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Cost of Service_2015\Mid Term Application_2017\Interrogatories\"/>
    </mc:Choice>
  </mc:AlternateContent>
  <bookViews>
    <workbookView xWindow="-600" yWindow="750" windowWidth="12120" windowHeight="5010" tabRatio="904" activeTab="1"/>
  </bookViews>
  <sheets>
    <sheet name="Chart" sheetId="34" r:id="rId1"/>
    <sheet name="Chart II" sheetId="37" r:id="rId2"/>
    <sheet name="Chart III" sheetId="38" r:id="rId3"/>
    <sheet name="Chart IV" sheetId="39" r:id="rId4"/>
    <sheet name="Year End Customer" sheetId="40" r:id="rId5"/>
    <sheet name="City Expansion" sheetId="44" r:id="rId6"/>
    <sheet name="LED" sheetId="41" r:id="rId7"/>
    <sheet name=" CDM Summary" sheetId="42" r:id="rId8"/>
    <sheet name="Summary" sheetId="11" r:id="rId9"/>
    <sheet name="Comparison" sheetId="45" r:id="rId10"/>
    <sheet name="Purchased Power Model " sheetId="19" r:id="rId11"/>
    <sheet name="Economic Indices" sheetId="36" r:id="rId12"/>
    <sheet name="Trends" sheetId="30" r:id="rId13"/>
    <sheet name="10 Year Average" sheetId="32" r:id="rId14"/>
    <sheet name="20 Year Trend" sheetId="33" r:id="rId15"/>
    <sheet name="Residential" sheetId="20" r:id="rId16"/>
    <sheet name="GS &lt; 50 kW" sheetId="21" r:id="rId17"/>
    <sheet name="GS &gt; 50 kW" sheetId="22" r:id="rId18"/>
    <sheet name="I2" sheetId="26" r:id="rId19"/>
    <sheet name="Large User" sheetId="23" r:id="rId20"/>
    <sheet name="Streetlights" sheetId="27" r:id="rId21"/>
    <sheet name="USL" sheetId="28" r:id="rId22"/>
    <sheet name="Rate Class Energy Model" sheetId="9" r:id="rId23"/>
    <sheet name="Rate Class Customer Model" sheetId="17" r:id="rId24"/>
    <sheet name="Rate Class Load Model" sheetId="18" r:id="rId25"/>
  </sheets>
  <externalReferences>
    <externalReference r:id="rId26"/>
    <externalReference r:id="rId27"/>
    <externalReference r:id="rId28"/>
    <externalReference r:id="rId29"/>
  </externalReferences>
  <definedNames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dafsa" localSheetId="18">#REF!</definedName>
    <definedName name="fdafsa" localSheetId="20">#REF!</definedName>
    <definedName name="fdafsa" localSheetId="21">#REF!</definedName>
    <definedName name="fdafsa">#REF!</definedName>
    <definedName name="FolderPath">[2]Menu!$C$8</definedName>
    <definedName name="gdagfda" localSheetId="18">#REF!</definedName>
    <definedName name="gdagfda" localSheetId="20">#REF!</definedName>
    <definedName name="gdagfda" localSheetId="21">#REF!</definedName>
    <definedName name="gdagfda">#REF!</definedName>
    <definedName name="NewRevReq">[2]Refs!$B$8</definedName>
    <definedName name="PAGE11" localSheetId="18">#REF!</definedName>
    <definedName name="PAGE11" localSheetId="19">#REF!</definedName>
    <definedName name="PAGE11" localSheetId="20">#REF!</definedName>
    <definedName name="PAGE11" localSheetId="21">#REF!</definedName>
    <definedName name="PAGE11">#REF!</definedName>
    <definedName name="PAGE2">[1]Sheet1!$A$1:$I$40</definedName>
    <definedName name="PAGE3" localSheetId="18">#REF!</definedName>
    <definedName name="PAGE3" localSheetId="19">#REF!</definedName>
    <definedName name="PAGE3" localSheetId="20">#REF!</definedName>
    <definedName name="PAGE3" localSheetId="21">#REF!</definedName>
    <definedName name="PAGE3">#REF!</definedName>
    <definedName name="PAGE4" localSheetId="18">#REF!</definedName>
    <definedName name="PAGE4" localSheetId="19">#REF!</definedName>
    <definedName name="PAGE4" localSheetId="20">#REF!</definedName>
    <definedName name="PAGE4" localSheetId="21">#REF!</definedName>
    <definedName name="PAGE4">#REF!</definedName>
    <definedName name="PAGE7" localSheetId="18">#REF!</definedName>
    <definedName name="PAGE7" localSheetId="19">#REF!</definedName>
    <definedName name="PAGE7" localSheetId="20">#REF!</definedName>
    <definedName name="PAGE7" localSheetId="21">#REF!</definedName>
    <definedName name="PAGE7">#REF!</definedName>
    <definedName name="PAGE9" localSheetId="18">#REF!</definedName>
    <definedName name="PAGE9" localSheetId="19">#REF!</definedName>
    <definedName name="PAGE9" localSheetId="20">#REF!</definedName>
    <definedName name="PAGE9" localSheetId="21">#REF!</definedName>
    <definedName name="PAGE9">#REF!</definedName>
    <definedName name="_xlnm.Print_Area" localSheetId="16">'GS &lt; 50 kW'!#REF!</definedName>
    <definedName name="_xlnm.Print_Area" localSheetId="17">'GS &gt; 50 kW'!#REF!</definedName>
    <definedName name="_xlnm.Print_Area" localSheetId="18">'I2'!#REF!</definedName>
    <definedName name="_xlnm.Print_Area" localSheetId="19">'Large User'!#REF!</definedName>
    <definedName name="_xlnm.Print_Area" localSheetId="10">'Purchased Power Model '!$K$63:$O$86</definedName>
    <definedName name="_xlnm.Print_Area" localSheetId="23">'Rate Class Customer Model'!$A$1:$C$2</definedName>
    <definedName name="_xlnm.Print_Area" localSheetId="22">'Rate Class Energy Model'!$A$1:$I$2</definedName>
    <definedName name="_xlnm.Print_Area" localSheetId="24">'Rate Class Load Model'!$A$1:$A$1</definedName>
    <definedName name="_xlnm.Print_Area" localSheetId="15">Residential!#REF!</definedName>
    <definedName name="_xlnm.Print_Area" localSheetId="20">Streetlights!#REF!</definedName>
    <definedName name="_xlnm.Print_Area" localSheetId="8">Summary!$A$1:$R$63</definedName>
    <definedName name="_xlnm.Print_Area" localSheetId="21">USL!#REF!</definedName>
    <definedName name="RevReqLookupKey">[2]Refs!$B$5</definedName>
    <definedName name="RevReqRange">[2]Refs!$B$7</definedName>
    <definedName name="solver_eng" localSheetId="10" hidden="1">1</definedName>
    <definedName name="solver_neg" localSheetId="10" hidden="1">1</definedName>
    <definedName name="solver_num" localSheetId="10" hidden="1">0</definedName>
    <definedName name="solver_opt" localSheetId="10" hidden="1">'Purchased Power Model '!$B$2</definedName>
    <definedName name="solver_typ" localSheetId="10" hidden="1">1</definedName>
    <definedName name="solver_val" localSheetId="10" hidden="1">0</definedName>
    <definedName name="solver_ver" localSheetId="10" hidden="1">3</definedName>
  </definedNames>
  <calcPr calcId="152511" iterate="1"/>
</workbook>
</file>

<file path=xl/calcChain.xml><?xml version="1.0" encoding="utf-8"?>
<calcChain xmlns="http://schemas.openxmlformats.org/spreadsheetml/2006/main">
  <c r="U95" i="37" l="1"/>
  <c r="T95" i="37"/>
  <c r="S95" i="37"/>
  <c r="R95" i="37"/>
  <c r="Q95" i="37"/>
  <c r="P95" i="37"/>
  <c r="O95" i="37"/>
  <c r="N95" i="37"/>
  <c r="M95" i="37"/>
  <c r="T93" i="37"/>
  <c r="S93" i="37"/>
  <c r="R93" i="37"/>
  <c r="Q93" i="37"/>
  <c r="P93" i="37"/>
  <c r="O93" i="37"/>
  <c r="N93" i="37"/>
  <c r="M93" i="37"/>
  <c r="T92" i="37"/>
  <c r="S92" i="37"/>
  <c r="R92" i="37"/>
  <c r="Q92" i="37"/>
  <c r="P92" i="37"/>
  <c r="O92" i="37"/>
  <c r="N92" i="37"/>
  <c r="M92" i="37"/>
  <c r="T91" i="37"/>
  <c r="S91" i="37"/>
  <c r="R91" i="37"/>
  <c r="Q91" i="37"/>
  <c r="P91" i="37"/>
  <c r="O91" i="37"/>
  <c r="N91" i="37"/>
  <c r="M91" i="37"/>
  <c r="T90" i="37"/>
  <c r="S90" i="37"/>
  <c r="R90" i="37"/>
  <c r="Q90" i="37"/>
  <c r="P90" i="37"/>
  <c r="O90" i="37"/>
  <c r="N90" i="37"/>
  <c r="M90" i="37"/>
  <c r="T89" i="37"/>
  <c r="S89" i="37"/>
  <c r="R89" i="37"/>
  <c r="Q89" i="37"/>
  <c r="P89" i="37"/>
  <c r="O89" i="37"/>
  <c r="N89" i="37"/>
  <c r="M89" i="37"/>
  <c r="L69" i="37" l="1"/>
  <c r="L68" i="37"/>
  <c r="M55" i="37"/>
  <c r="M54" i="37"/>
  <c r="M53" i="37"/>
  <c r="M52" i="37"/>
  <c r="M51" i="37"/>
  <c r="M50" i="37"/>
  <c r="M106" i="37" s="1"/>
  <c r="M49" i="37"/>
  <c r="M105" i="37" s="1"/>
  <c r="M48" i="37"/>
  <c r="M104" i="37" s="1"/>
  <c r="M47" i="37"/>
  <c r="M103" i="37" s="1"/>
  <c r="M46" i="37"/>
  <c r="M102" i="37" s="1"/>
  <c r="M45" i="37"/>
  <c r="M101" i="37" s="1"/>
  <c r="M44" i="37"/>
  <c r="M100" i="37" s="1"/>
  <c r="M43" i="37"/>
  <c r="M99" i="37" s="1"/>
  <c r="M42" i="37"/>
  <c r="M98" i="37" s="1"/>
  <c r="M41" i="37"/>
  <c r="M97" i="37" s="1"/>
  <c r="T55" i="37"/>
  <c r="S55" i="37"/>
  <c r="R55" i="37"/>
  <c r="Q55" i="37"/>
  <c r="P55" i="37"/>
  <c r="O55" i="37"/>
  <c r="N55" i="37"/>
  <c r="T54" i="37"/>
  <c r="S54" i="37"/>
  <c r="R54" i="37"/>
  <c r="Q54" i="37"/>
  <c r="P54" i="37"/>
  <c r="O54" i="37"/>
  <c r="N54" i="37"/>
  <c r="T53" i="37"/>
  <c r="S53" i="37"/>
  <c r="R53" i="37"/>
  <c r="Q53" i="37"/>
  <c r="P53" i="37"/>
  <c r="O53" i="37"/>
  <c r="N53" i="37"/>
  <c r="T52" i="37"/>
  <c r="S52" i="37"/>
  <c r="R52" i="37"/>
  <c r="Q52" i="37"/>
  <c r="P52" i="37"/>
  <c r="O52" i="37"/>
  <c r="N52" i="37"/>
  <c r="T51" i="37"/>
  <c r="S51" i="37"/>
  <c r="R51" i="37"/>
  <c r="Q51" i="37"/>
  <c r="P51" i="37"/>
  <c r="O51" i="37"/>
  <c r="N51" i="37"/>
  <c r="T50" i="37"/>
  <c r="T106" i="37" s="1"/>
  <c r="S50" i="37"/>
  <c r="S106" i="37" s="1"/>
  <c r="R50" i="37"/>
  <c r="R106" i="37" s="1"/>
  <c r="Q50" i="37"/>
  <c r="Q106" i="37" s="1"/>
  <c r="P50" i="37"/>
  <c r="P106" i="37" s="1"/>
  <c r="O50" i="37"/>
  <c r="O106" i="37" s="1"/>
  <c r="N50" i="37"/>
  <c r="N106" i="37" s="1"/>
  <c r="T49" i="37"/>
  <c r="T105" i="37" s="1"/>
  <c r="S49" i="37"/>
  <c r="S105" i="37" s="1"/>
  <c r="R49" i="37"/>
  <c r="R105" i="37" s="1"/>
  <c r="Q49" i="37"/>
  <c r="Q105" i="37" s="1"/>
  <c r="P49" i="37"/>
  <c r="P105" i="37" s="1"/>
  <c r="O49" i="37"/>
  <c r="O105" i="37" s="1"/>
  <c r="N49" i="37"/>
  <c r="N105" i="37" s="1"/>
  <c r="T48" i="37"/>
  <c r="T104" i="37" s="1"/>
  <c r="S48" i="37"/>
  <c r="S104" i="37" s="1"/>
  <c r="R48" i="37"/>
  <c r="R104" i="37" s="1"/>
  <c r="Q48" i="37"/>
  <c r="Q104" i="37" s="1"/>
  <c r="P48" i="37"/>
  <c r="P104" i="37" s="1"/>
  <c r="O48" i="37"/>
  <c r="O104" i="37" s="1"/>
  <c r="N48" i="37"/>
  <c r="N104" i="37" s="1"/>
  <c r="T47" i="37"/>
  <c r="T103" i="37" s="1"/>
  <c r="S47" i="37"/>
  <c r="S103" i="37" s="1"/>
  <c r="R47" i="37"/>
  <c r="R103" i="37" s="1"/>
  <c r="Q47" i="37"/>
  <c r="Q103" i="37" s="1"/>
  <c r="P47" i="37"/>
  <c r="P103" i="37" s="1"/>
  <c r="O47" i="37"/>
  <c r="O103" i="37" s="1"/>
  <c r="N47" i="37"/>
  <c r="N103" i="37" s="1"/>
  <c r="T46" i="37"/>
  <c r="T102" i="37" s="1"/>
  <c r="S46" i="37"/>
  <c r="S102" i="37" s="1"/>
  <c r="R46" i="37"/>
  <c r="R102" i="37" s="1"/>
  <c r="Q46" i="37"/>
  <c r="Q102" i="37" s="1"/>
  <c r="P46" i="37"/>
  <c r="P102" i="37" s="1"/>
  <c r="O46" i="37"/>
  <c r="O102" i="37" s="1"/>
  <c r="N46" i="37"/>
  <c r="N102" i="37" s="1"/>
  <c r="T45" i="37"/>
  <c r="T101" i="37" s="1"/>
  <c r="S45" i="37"/>
  <c r="S101" i="37" s="1"/>
  <c r="R45" i="37"/>
  <c r="R101" i="37" s="1"/>
  <c r="Q45" i="37"/>
  <c r="Q101" i="37" s="1"/>
  <c r="P45" i="37"/>
  <c r="P101" i="37" s="1"/>
  <c r="O45" i="37"/>
  <c r="O101" i="37" s="1"/>
  <c r="N45" i="37"/>
  <c r="N101" i="37" s="1"/>
  <c r="T44" i="37"/>
  <c r="T100" i="37" s="1"/>
  <c r="S44" i="37"/>
  <c r="S100" i="37" s="1"/>
  <c r="R44" i="37"/>
  <c r="R100" i="37" s="1"/>
  <c r="Q44" i="37"/>
  <c r="Q100" i="37" s="1"/>
  <c r="P44" i="37"/>
  <c r="P100" i="37" s="1"/>
  <c r="O44" i="37"/>
  <c r="O100" i="37" s="1"/>
  <c r="N44" i="37"/>
  <c r="N100" i="37" s="1"/>
  <c r="T43" i="37"/>
  <c r="T99" i="37" s="1"/>
  <c r="S43" i="37"/>
  <c r="S99" i="37" s="1"/>
  <c r="R43" i="37"/>
  <c r="R99" i="37" s="1"/>
  <c r="Q43" i="37"/>
  <c r="Q99" i="37" s="1"/>
  <c r="P43" i="37"/>
  <c r="P99" i="37" s="1"/>
  <c r="O43" i="37"/>
  <c r="O99" i="37" s="1"/>
  <c r="N43" i="37"/>
  <c r="N99" i="37" s="1"/>
  <c r="T42" i="37"/>
  <c r="T98" i="37" s="1"/>
  <c r="S42" i="37"/>
  <c r="S98" i="37" s="1"/>
  <c r="R42" i="37"/>
  <c r="R98" i="37" s="1"/>
  <c r="Q42" i="37"/>
  <c r="Q98" i="37" s="1"/>
  <c r="P42" i="37"/>
  <c r="P98" i="37" s="1"/>
  <c r="O42" i="37"/>
  <c r="O98" i="37" s="1"/>
  <c r="N42" i="37"/>
  <c r="N98" i="37" s="1"/>
  <c r="T41" i="37"/>
  <c r="T97" i="37" s="1"/>
  <c r="S41" i="37"/>
  <c r="S97" i="37" s="1"/>
  <c r="R41" i="37"/>
  <c r="R97" i="37" s="1"/>
  <c r="Q41" i="37"/>
  <c r="Q97" i="37" s="1"/>
  <c r="P41" i="37"/>
  <c r="P97" i="37" s="1"/>
  <c r="O41" i="37"/>
  <c r="O97" i="37" s="1"/>
  <c r="N41" i="37"/>
  <c r="N97" i="37" s="1"/>
  <c r="T40" i="37"/>
  <c r="T96" i="37" s="1"/>
  <c r="S40" i="37"/>
  <c r="S96" i="37" s="1"/>
  <c r="R40" i="37"/>
  <c r="R96" i="37" s="1"/>
  <c r="Q40" i="37"/>
  <c r="Q96" i="37" s="1"/>
  <c r="P40" i="37"/>
  <c r="P96" i="37" s="1"/>
  <c r="O40" i="37"/>
  <c r="O96" i="37" s="1"/>
  <c r="N40" i="37"/>
  <c r="N96" i="37" s="1"/>
  <c r="M40" i="37"/>
  <c r="M96" i="37" s="1"/>
  <c r="U37" i="37"/>
  <c r="U93" i="37" s="1"/>
  <c r="U36" i="37"/>
  <c r="U92" i="37" s="1"/>
  <c r="U35" i="37"/>
  <c r="U91" i="37" s="1"/>
  <c r="U34" i="37"/>
  <c r="U90" i="37" s="1"/>
  <c r="U33" i="37"/>
  <c r="U89" i="37" s="1"/>
  <c r="O44" i="38" l="1"/>
  <c r="N44" i="38"/>
  <c r="M44" i="38"/>
  <c r="O39" i="38"/>
  <c r="N39" i="38"/>
  <c r="M39" i="38"/>
  <c r="O34" i="38"/>
  <c r="N34" i="38"/>
  <c r="M34" i="38"/>
  <c r="O29" i="38"/>
  <c r="N29" i="38"/>
  <c r="M29" i="38"/>
  <c r="O24" i="38"/>
  <c r="N24" i="38"/>
  <c r="M24" i="38"/>
  <c r="C23" i="9"/>
  <c r="C22" i="9"/>
  <c r="C21" i="9"/>
  <c r="B21" i="9"/>
  <c r="B22" i="9"/>
  <c r="B23" i="9"/>
  <c r="F20" i="9"/>
  <c r="F19" i="9"/>
  <c r="O6" i="38"/>
  <c r="N6" i="38"/>
  <c r="O10" i="38"/>
  <c r="N10" i="38"/>
  <c r="M10" i="38"/>
  <c r="G193" i="37"/>
  <c r="F193" i="37"/>
  <c r="E193" i="37"/>
  <c r="D193" i="37"/>
  <c r="C193" i="37"/>
  <c r="B193" i="37"/>
  <c r="F153" i="37"/>
  <c r="E153" i="37"/>
  <c r="D153" i="37"/>
  <c r="C153" i="37"/>
  <c r="B153" i="37"/>
  <c r="R5" i="38"/>
  <c r="Q5" i="38"/>
  <c r="P5" i="38"/>
  <c r="O5" i="38"/>
  <c r="O7" i="38" s="1"/>
  <c r="N5" i="38"/>
  <c r="M5" i="38"/>
  <c r="C42" i="34"/>
  <c r="C41" i="34"/>
  <c r="C40" i="34"/>
  <c r="G153" i="37" l="1"/>
  <c r="N7" i="38"/>
  <c r="L229" i="19"/>
  <c r="N230" i="19"/>
  <c r="I112" i="9"/>
  <c r="J112" i="9"/>
  <c r="K112" i="9"/>
  <c r="L112" i="9"/>
  <c r="M112" i="9"/>
  <c r="N112" i="9"/>
  <c r="O112" i="9"/>
  <c r="I113" i="9"/>
  <c r="J113" i="9"/>
  <c r="K113" i="9"/>
  <c r="L113" i="9"/>
  <c r="M113" i="9"/>
  <c r="N113" i="9"/>
  <c r="O113" i="9"/>
  <c r="H113" i="9"/>
  <c r="H112" i="9"/>
  <c r="G113" i="9"/>
  <c r="G112" i="9"/>
  <c r="B12" i="9"/>
  <c r="B13" i="9"/>
  <c r="B14" i="9"/>
  <c r="B15" i="9"/>
  <c r="B16" i="9"/>
  <c r="B17" i="9"/>
  <c r="B18" i="9"/>
  <c r="B19" i="9"/>
  <c r="B20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B225" i="19"/>
  <c r="B226" i="19" s="1"/>
  <c r="B224" i="19"/>
  <c r="M211" i="19"/>
  <c r="M212" i="19"/>
  <c r="M213" i="19"/>
  <c r="M214" i="19"/>
  <c r="M215" i="19"/>
  <c r="M216" i="19"/>
  <c r="M217" i="19"/>
  <c r="M218" i="19"/>
  <c r="M219" i="19"/>
  <c r="M220" i="19"/>
  <c r="M221" i="19"/>
  <c r="M222" i="19"/>
  <c r="M223" i="19"/>
  <c r="M210" i="19"/>
  <c r="C22" i="34"/>
  <c r="C23" i="34" s="1"/>
  <c r="C21" i="34"/>
  <c r="C174" i="19" l="1"/>
  <c r="I21" i="45"/>
  <c r="H21" i="45"/>
  <c r="F21" i="45"/>
  <c r="E21" i="45"/>
  <c r="C21" i="45"/>
  <c r="I20" i="45"/>
  <c r="H20" i="45"/>
  <c r="F20" i="45"/>
  <c r="E20" i="45"/>
  <c r="C20" i="45"/>
  <c r="I19" i="45"/>
  <c r="H19" i="45"/>
  <c r="F19" i="45"/>
  <c r="E19" i="45"/>
  <c r="C19" i="45"/>
  <c r="I18" i="45"/>
  <c r="H18" i="45"/>
  <c r="F18" i="45"/>
  <c r="E18" i="45"/>
  <c r="C18" i="45"/>
  <c r="I17" i="45"/>
  <c r="H17" i="45"/>
  <c r="F17" i="45"/>
  <c r="E17" i="45"/>
  <c r="C17" i="45"/>
  <c r="I16" i="45"/>
  <c r="H16" i="45"/>
  <c r="F16" i="45"/>
  <c r="E16" i="45"/>
  <c r="C16" i="45"/>
  <c r="B21" i="45"/>
  <c r="B20" i="45"/>
  <c r="B19" i="45"/>
  <c r="B18" i="45"/>
  <c r="B17" i="45"/>
  <c r="B16" i="45"/>
  <c r="G80" i="37" l="1"/>
  <c r="E173" i="37" s="1"/>
  <c r="G79" i="37"/>
  <c r="E172" i="37" s="1"/>
  <c r="G78" i="37"/>
  <c r="E171" i="37" s="1"/>
  <c r="G77" i="37"/>
  <c r="E170" i="37" s="1"/>
  <c r="R223" i="33" l="1"/>
  <c r="P223" i="33"/>
  <c r="Q223" i="33" s="1"/>
  <c r="S223" i="33" s="1"/>
  <c r="R222" i="33"/>
  <c r="P222" i="33"/>
  <c r="Q222" i="33" s="1"/>
  <c r="S222" i="33" s="1"/>
  <c r="Q221" i="33"/>
  <c r="S221" i="33" s="1"/>
  <c r="Q219" i="33"/>
  <c r="S219" i="33" s="1"/>
  <c r="Q218" i="33"/>
  <c r="S218" i="33" s="1"/>
  <c r="Q217" i="33"/>
  <c r="S217" i="33" s="1"/>
  <c r="Q216" i="33"/>
  <c r="S216" i="33" s="1"/>
  <c r="Q215" i="33"/>
  <c r="S215" i="33" s="1"/>
  <c r="Q214" i="33"/>
  <c r="S214" i="33" s="1"/>
  <c r="Q213" i="33"/>
  <c r="S213" i="33" s="1"/>
  <c r="Q212" i="33"/>
  <c r="S212" i="33" s="1"/>
  <c r="Q211" i="33"/>
  <c r="S211" i="33" s="1"/>
  <c r="Q210" i="33"/>
  <c r="S210" i="33" s="1"/>
  <c r="S211" i="32"/>
  <c r="S212" i="32"/>
  <c r="S213" i="32"/>
  <c r="S214" i="32"/>
  <c r="S215" i="32"/>
  <c r="S216" i="32"/>
  <c r="S217" i="32"/>
  <c r="S218" i="32"/>
  <c r="S219" i="32"/>
  <c r="S221" i="32"/>
  <c r="S222" i="32"/>
  <c r="S210" i="32"/>
  <c r="R223" i="32"/>
  <c r="R222" i="32"/>
  <c r="G17" i="42" l="1"/>
  <c r="H17" i="42"/>
  <c r="I17" i="42"/>
  <c r="J17" i="42"/>
  <c r="K17" i="42"/>
  <c r="L17" i="42"/>
  <c r="M18" i="42"/>
  <c r="M22" i="42"/>
  <c r="O22" i="42"/>
  <c r="I55" i="37" l="1"/>
  <c r="H55" i="37"/>
  <c r="G55" i="37"/>
  <c r="F55" i="37"/>
  <c r="E55" i="37"/>
  <c r="D55" i="37"/>
  <c r="C55" i="37"/>
  <c r="B55" i="37"/>
  <c r="I54" i="37"/>
  <c r="H54" i="37"/>
  <c r="G54" i="37"/>
  <c r="F54" i="37"/>
  <c r="E54" i="37"/>
  <c r="D54" i="37"/>
  <c r="C54" i="37"/>
  <c r="B54" i="37"/>
  <c r="I53" i="37"/>
  <c r="H53" i="37"/>
  <c r="G53" i="37"/>
  <c r="F53" i="37"/>
  <c r="E53" i="37"/>
  <c r="D53" i="37"/>
  <c r="C53" i="37"/>
  <c r="B53" i="37"/>
  <c r="G65" i="44" l="1"/>
  <c r="G64" i="44"/>
  <c r="F65" i="44"/>
  <c r="F64" i="44"/>
  <c r="D64" i="44"/>
  <c r="D65" i="44" s="1"/>
  <c r="C64" i="44"/>
  <c r="C65" i="44" s="1"/>
  <c r="B65" i="44"/>
  <c r="B64" i="44"/>
  <c r="I63" i="44"/>
  <c r="H63" i="44"/>
  <c r="G63" i="44"/>
  <c r="F63" i="44"/>
  <c r="E63" i="44"/>
  <c r="D63" i="44"/>
  <c r="C63" i="44"/>
  <c r="I62" i="44"/>
  <c r="H62" i="44"/>
  <c r="G62" i="44"/>
  <c r="F62" i="44"/>
  <c r="E62" i="44"/>
  <c r="D62" i="44"/>
  <c r="C62" i="44"/>
  <c r="I61" i="44"/>
  <c r="H61" i="44"/>
  <c r="G61" i="44"/>
  <c r="F61" i="44"/>
  <c r="E61" i="44"/>
  <c r="D61" i="44"/>
  <c r="C61" i="44"/>
  <c r="I60" i="44"/>
  <c r="H60" i="44"/>
  <c r="G60" i="44"/>
  <c r="F60" i="44"/>
  <c r="E60" i="44"/>
  <c r="D60" i="44"/>
  <c r="C60" i="44"/>
  <c r="B60" i="44"/>
  <c r="B53" i="44"/>
  <c r="B52" i="44"/>
  <c r="I53" i="44"/>
  <c r="H53" i="44"/>
  <c r="G53" i="44"/>
  <c r="F53" i="44"/>
  <c r="E53" i="44"/>
  <c r="D53" i="44"/>
  <c r="C53" i="44"/>
  <c r="I52" i="44"/>
  <c r="H52" i="44"/>
  <c r="G52" i="44"/>
  <c r="F52" i="44"/>
  <c r="E52" i="44"/>
  <c r="D52" i="44"/>
  <c r="C52" i="44"/>
  <c r="I51" i="44"/>
  <c r="H51" i="44"/>
  <c r="G51" i="44"/>
  <c r="F51" i="44"/>
  <c r="E51" i="44"/>
  <c r="D51" i="44"/>
  <c r="C51" i="44"/>
  <c r="B51" i="44"/>
  <c r="I40" i="44"/>
  <c r="H40" i="44"/>
  <c r="G40" i="44"/>
  <c r="F40" i="44"/>
  <c r="E40" i="44"/>
  <c r="D40" i="44"/>
  <c r="C40" i="44"/>
  <c r="B40" i="44"/>
  <c r="J40" i="44" s="1"/>
  <c r="I39" i="44"/>
  <c r="H39" i="44"/>
  <c r="G39" i="44"/>
  <c r="F39" i="44"/>
  <c r="E39" i="44"/>
  <c r="D39" i="44"/>
  <c r="C39" i="44"/>
  <c r="B39" i="44"/>
  <c r="J39" i="44" s="1"/>
  <c r="I38" i="44"/>
  <c r="H38" i="44"/>
  <c r="G38" i="44"/>
  <c r="F38" i="44"/>
  <c r="E38" i="44"/>
  <c r="D38" i="44"/>
  <c r="C38" i="44"/>
  <c r="B38" i="44"/>
  <c r="J38" i="44" s="1"/>
  <c r="B20" i="44"/>
  <c r="B19" i="44"/>
  <c r="I20" i="44"/>
  <c r="H20" i="44"/>
  <c r="G20" i="44"/>
  <c r="F20" i="44"/>
  <c r="E20" i="44"/>
  <c r="D20" i="44"/>
  <c r="C20" i="44"/>
  <c r="I19" i="44"/>
  <c r="H19" i="44"/>
  <c r="G19" i="44"/>
  <c r="F19" i="44"/>
  <c r="E19" i="44"/>
  <c r="D19" i="44"/>
  <c r="C19" i="44"/>
  <c r="I18" i="44"/>
  <c r="H18" i="44"/>
  <c r="G18" i="44"/>
  <c r="F18" i="44"/>
  <c r="E18" i="44"/>
  <c r="D18" i="44"/>
  <c r="C18" i="44"/>
  <c r="B18" i="44"/>
  <c r="J18" i="44" s="1"/>
  <c r="M14" i="42"/>
  <c r="M17" i="42" s="1"/>
  <c r="E221" i="19"/>
  <c r="N18" i="42" l="1"/>
  <c r="J19" i="44"/>
  <c r="N15" i="42" l="1"/>
  <c r="O15" i="42" s="1"/>
  <c r="O18" i="42"/>
  <c r="O16" i="42" s="1"/>
  <c r="F152" i="37"/>
  <c r="E152" i="37"/>
  <c r="D152" i="37"/>
  <c r="C152" i="37"/>
  <c r="F151" i="37"/>
  <c r="E151" i="37"/>
  <c r="D151" i="37"/>
  <c r="C151" i="37"/>
  <c r="F150" i="37"/>
  <c r="E150" i="37"/>
  <c r="D150" i="37"/>
  <c r="C150" i="37"/>
  <c r="F149" i="37"/>
  <c r="E149" i="37"/>
  <c r="D149" i="37"/>
  <c r="C149" i="37"/>
  <c r="B152" i="37"/>
  <c r="B151" i="37"/>
  <c r="A122" i="37"/>
  <c r="A123" i="37"/>
  <c r="A124" i="37"/>
  <c r="A125" i="37"/>
  <c r="A126" i="37"/>
  <c r="B91" i="37"/>
  <c r="B118" i="37" s="1"/>
  <c r="C91" i="37"/>
  <c r="C118" i="37" s="1"/>
  <c r="D91" i="37"/>
  <c r="D118" i="37" s="1"/>
  <c r="E91" i="37"/>
  <c r="E118" i="37" s="1"/>
  <c r="F91" i="37"/>
  <c r="F118" i="37" s="1"/>
  <c r="G91" i="37"/>
  <c r="G118" i="37" s="1"/>
  <c r="H91" i="37"/>
  <c r="H118" i="37" s="1"/>
  <c r="I91" i="37"/>
  <c r="I118" i="37" s="1"/>
  <c r="B92" i="37"/>
  <c r="B119" i="37" s="1"/>
  <c r="C92" i="37"/>
  <c r="C119" i="37" s="1"/>
  <c r="D92" i="37"/>
  <c r="D119" i="37" s="1"/>
  <c r="E92" i="37"/>
  <c r="E119" i="37" s="1"/>
  <c r="F92" i="37"/>
  <c r="F119" i="37" s="1"/>
  <c r="G92" i="37"/>
  <c r="G119" i="37" s="1"/>
  <c r="H92" i="37"/>
  <c r="H119" i="37" s="1"/>
  <c r="I92" i="37"/>
  <c r="I119" i="37" s="1"/>
  <c r="B93" i="37"/>
  <c r="B120" i="37" s="1"/>
  <c r="C93" i="37"/>
  <c r="C120" i="37" s="1"/>
  <c r="D93" i="37"/>
  <c r="D120" i="37" s="1"/>
  <c r="E93" i="37"/>
  <c r="E120" i="37" s="1"/>
  <c r="F93" i="37"/>
  <c r="F120" i="37" s="1"/>
  <c r="G93" i="37"/>
  <c r="G120" i="37" s="1"/>
  <c r="H93" i="37"/>
  <c r="H120" i="37" s="1"/>
  <c r="I93" i="37"/>
  <c r="I120" i="37" s="1"/>
  <c r="B79" i="37"/>
  <c r="C79" i="37"/>
  <c r="D79" i="37"/>
  <c r="B172" i="37" s="1"/>
  <c r="E79" i="37"/>
  <c r="C172" i="37" s="1"/>
  <c r="F79" i="37"/>
  <c r="D172" i="37" s="1"/>
  <c r="H79" i="37"/>
  <c r="F172" i="37" s="1"/>
  <c r="I79" i="37"/>
  <c r="B80" i="37"/>
  <c r="C80" i="37"/>
  <c r="D80" i="37"/>
  <c r="B173" i="37" s="1"/>
  <c r="E80" i="37"/>
  <c r="C173" i="37" s="1"/>
  <c r="F80" i="37"/>
  <c r="D173" i="37" s="1"/>
  <c r="H80" i="37"/>
  <c r="F173" i="37" s="1"/>
  <c r="I80" i="37"/>
  <c r="B23" i="37"/>
  <c r="G7" i="45" s="1"/>
  <c r="B24" i="37"/>
  <c r="G8" i="45" s="1"/>
  <c r="J65" i="37"/>
  <c r="J64" i="37"/>
  <c r="J63" i="37"/>
  <c r="I52" i="37"/>
  <c r="H52" i="37"/>
  <c r="G52" i="37"/>
  <c r="F52" i="37"/>
  <c r="E52" i="37"/>
  <c r="D52" i="37"/>
  <c r="C52" i="37"/>
  <c r="I51" i="37"/>
  <c r="H51" i="37"/>
  <c r="G51" i="37"/>
  <c r="F51" i="37"/>
  <c r="E51" i="37"/>
  <c r="D51" i="37"/>
  <c r="C51" i="37"/>
  <c r="I50" i="37"/>
  <c r="H50" i="37"/>
  <c r="G50" i="37"/>
  <c r="F50" i="37"/>
  <c r="E50" i="37"/>
  <c r="D50" i="37"/>
  <c r="C50" i="37"/>
  <c r="B52" i="37"/>
  <c r="B51" i="37"/>
  <c r="B50" i="37"/>
  <c r="C192" i="37" l="1"/>
  <c r="G18" i="45"/>
  <c r="G173" i="37"/>
  <c r="D192" i="37"/>
  <c r="G172" i="37"/>
  <c r="F192" i="37"/>
  <c r="E191" i="37"/>
  <c r="E192" i="37"/>
  <c r="G152" i="37"/>
  <c r="B192" i="37"/>
  <c r="G151" i="37"/>
  <c r="G192" i="37" l="1"/>
  <c r="J37" i="37"/>
  <c r="J36" i="37"/>
  <c r="J35" i="37"/>
  <c r="T135" i="39"/>
  <c r="T136" i="39"/>
  <c r="T137" i="39"/>
  <c r="T138" i="39"/>
  <c r="T139" i="39"/>
  <c r="T140" i="39"/>
  <c r="T141" i="39"/>
  <c r="T142" i="39"/>
  <c r="T143" i="39"/>
  <c r="T144" i="39"/>
  <c r="T145" i="39"/>
  <c r="T146" i="39"/>
  <c r="T147" i="39"/>
  <c r="T148" i="39"/>
  <c r="T149" i="39"/>
  <c r="T150" i="39"/>
  <c r="T151" i="39"/>
  <c r="T152" i="39"/>
  <c r="T153" i="39"/>
  <c r="T154" i="39"/>
  <c r="T155" i="39"/>
  <c r="T156" i="39"/>
  <c r="T157" i="39"/>
  <c r="T158" i="39"/>
  <c r="T159" i="39"/>
  <c r="T160" i="39"/>
  <c r="T161" i="39"/>
  <c r="T162" i="39"/>
  <c r="T163" i="39"/>
  <c r="T164" i="39"/>
  <c r="T165" i="39"/>
  <c r="T166" i="39"/>
  <c r="T167" i="39"/>
  <c r="T168" i="39"/>
  <c r="T169" i="39"/>
  <c r="T170" i="39"/>
  <c r="T171" i="39"/>
  <c r="T172" i="39"/>
  <c r="T173" i="39"/>
  <c r="T174" i="39"/>
  <c r="T175" i="39"/>
  <c r="T176" i="39"/>
  <c r="T177" i="39"/>
  <c r="T178" i="39"/>
  <c r="T179" i="39"/>
  <c r="T180" i="39"/>
  <c r="T181" i="39"/>
  <c r="T182" i="39"/>
  <c r="K206" i="39"/>
  <c r="K135" i="39"/>
  <c r="K136" i="39"/>
  <c r="K137" i="39"/>
  <c r="K138" i="39"/>
  <c r="K139" i="39"/>
  <c r="K140" i="39"/>
  <c r="K141" i="39"/>
  <c r="K142" i="39"/>
  <c r="K143" i="39"/>
  <c r="K144" i="39"/>
  <c r="K145" i="39"/>
  <c r="K146" i="39"/>
  <c r="K147" i="39"/>
  <c r="K148" i="39"/>
  <c r="K149" i="39"/>
  <c r="K150" i="39"/>
  <c r="K151" i="39"/>
  <c r="K152" i="39"/>
  <c r="K153" i="39"/>
  <c r="K154" i="39"/>
  <c r="K155" i="39"/>
  <c r="K156" i="39"/>
  <c r="K157" i="39"/>
  <c r="K158" i="39"/>
  <c r="K159" i="39"/>
  <c r="K160" i="39"/>
  <c r="K161" i="39"/>
  <c r="K162" i="39"/>
  <c r="K163" i="39"/>
  <c r="K164" i="39"/>
  <c r="K165" i="39"/>
  <c r="K166" i="39"/>
  <c r="K167" i="39"/>
  <c r="K168" i="39"/>
  <c r="K169" i="39"/>
  <c r="K170" i="39"/>
  <c r="K171" i="39"/>
  <c r="K172" i="39"/>
  <c r="K173" i="39"/>
  <c r="K174" i="39"/>
  <c r="K175" i="39"/>
  <c r="K176" i="39"/>
  <c r="K177" i="39"/>
  <c r="K178" i="39"/>
  <c r="K179" i="39"/>
  <c r="K180" i="39"/>
  <c r="K181" i="39"/>
  <c r="K182" i="39"/>
  <c r="K186" i="39"/>
  <c r="K187" i="39"/>
  <c r="K188" i="39"/>
  <c r="K189" i="39"/>
  <c r="K190" i="39"/>
  <c r="K191" i="39"/>
  <c r="K192" i="39"/>
  <c r="K193" i="39"/>
  <c r="K194" i="39"/>
  <c r="K198" i="39"/>
  <c r="K199" i="39"/>
  <c r="K200" i="39"/>
  <c r="K201" i="39"/>
  <c r="K202" i="39"/>
  <c r="K203" i="39"/>
  <c r="K204" i="39"/>
  <c r="K205" i="39"/>
  <c r="B135" i="39"/>
  <c r="B136" i="39"/>
  <c r="B137" i="39"/>
  <c r="B138" i="39"/>
  <c r="B139" i="39"/>
  <c r="B140" i="39"/>
  <c r="B141" i="39"/>
  <c r="B142" i="39"/>
  <c r="B143" i="39"/>
  <c r="B144" i="39"/>
  <c r="B145" i="39"/>
  <c r="B146" i="39"/>
  <c r="B147" i="39"/>
  <c r="B148" i="39"/>
  <c r="B149" i="39"/>
  <c r="B150" i="39"/>
  <c r="B151" i="39"/>
  <c r="B152" i="39"/>
  <c r="B153" i="39"/>
  <c r="B154" i="39"/>
  <c r="B155" i="39"/>
  <c r="B156" i="39"/>
  <c r="B157" i="39"/>
  <c r="B158" i="39"/>
  <c r="B159" i="39"/>
  <c r="B160" i="39"/>
  <c r="B161" i="39"/>
  <c r="B162" i="39"/>
  <c r="B163" i="39"/>
  <c r="B164" i="39"/>
  <c r="B165" i="39"/>
  <c r="B166" i="39"/>
  <c r="B167" i="39"/>
  <c r="B168" i="39"/>
  <c r="B169" i="39"/>
  <c r="B170" i="39"/>
  <c r="B171" i="39"/>
  <c r="B172" i="39"/>
  <c r="B173" i="39"/>
  <c r="F7" i="37" l="1"/>
  <c r="J91" i="37"/>
  <c r="J118" i="37" s="1"/>
  <c r="F8" i="37"/>
  <c r="J92" i="37"/>
  <c r="J119" i="37" s="1"/>
  <c r="F9" i="37"/>
  <c r="J93" i="37"/>
  <c r="J120" i="37" s="1"/>
  <c r="B224" i="33"/>
  <c r="B223" i="33"/>
  <c r="B222" i="33"/>
  <c r="B221" i="33"/>
  <c r="B220" i="33"/>
  <c r="B219" i="33"/>
  <c r="B218" i="33"/>
  <c r="B217" i="33"/>
  <c r="B216" i="33"/>
  <c r="B215" i="33"/>
  <c r="B214" i="33"/>
  <c r="B213" i="33"/>
  <c r="B212" i="33"/>
  <c r="B211" i="33"/>
  <c r="B210" i="33"/>
  <c r="B175" i="33"/>
  <c r="B176" i="33"/>
  <c r="B177" i="33"/>
  <c r="B178" i="33"/>
  <c r="I178" i="33" s="1"/>
  <c r="B179" i="33"/>
  <c r="B180" i="33"/>
  <c r="B181" i="33"/>
  <c r="B182" i="33"/>
  <c r="I182" i="33" s="1"/>
  <c r="B174" i="33"/>
  <c r="I174" i="33" s="1"/>
  <c r="I175" i="33"/>
  <c r="I176" i="33"/>
  <c r="I177" i="33"/>
  <c r="I179" i="33"/>
  <c r="I180" i="33"/>
  <c r="I181" i="33"/>
  <c r="B224" i="32"/>
  <c r="B223" i="32"/>
  <c r="B222" i="32"/>
  <c r="B221" i="32"/>
  <c r="I147" i="32"/>
  <c r="J147" i="32" s="1"/>
  <c r="I148" i="32"/>
  <c r="J148" i="32"/>
  <c r="I149" i="32"/>
  <c r="J149" i="32" s="1"/>
  <c r="I150" i="32"/>
  <c r="J150" i="32"/>
  <c r="I151" i="32"/>
  <c r="J151" i="32" s="1"/>
  <c r="I152" i="32"/>
  <c r="J152" i="32"/>
  <c r="I153" i="32"/>
  <c r="J153" i="32" s="1"/>
  <c r="I154" i="32"/>
  <c r="J154" i="32"/>
  <c r="I155" i="32"/>
  <c r="J155" i="32" s="1"/>
  <c r="I156" i="32"/>
  <c r="J156" i="32"/>
  <c r="I157" i="32"/>
  <c r="J157" i="32" s="1"/>
  <c r="I158" i="32"/>
  <c r="J158" i="32"/>
  <c r="I159" i="32"/>
  <c r="J159" i="32" s="1"/>
  <c r="I160" i="32"/>
  <c r="J160" i="32"/>
  <c r="I161" i="32"/>
  <c r="J161" i="32" s="1"/>
  <c r="I162" i="32"/>
  <c r="J162" i="32"/>
  <c r="I163" i="32"/>
  <c r="J163" i="32" s="1"/>
  <c r="I164" i="32"/>
  <c r="J164" i="32"/>
  <c r="I165" i="32"/>
  <c r="J165" i="32" s="1"/>
  <c r="I166" i="32"/>
  <c r="J166" i="32"/>
  <c r="I167" i="32"/>
  <c r="J167" i="32" s="1"/>
  <c r="I168" i="32"/>
  <c r="J168" i="32"/>
  <c r="I169" i="32"/>
  <c r="J169" i="32" s="1"/>
  <c r="I170" i="32"/>
  <c r="J170" i="32"/>
  <c r="B175" i="32"/>
  <c r="B176" i="32"/>
  <c r="B177" i="32"/>
  <c r="B178" i="32"/>
  <c r="B179" i="32"/>
  <c r="B180" i="32"/>
  <c r="B181" i="32"/>
  <c r="B182" i="32"/>
  <c r="B186" i="32"/>
  <c r="B187" i="32"/>
  <c r="B188" i="32"/>
  <c r="B189" i="32"/>
  <c r="B190" i="32"/>
  <c r="B191" i="32"/>
  <c r="B192" i="32"/>
  <c r="B193" i="32"/>
  <c r="B194" i="32"/>
  <c r="B198" i="32"/>
  <c r="B199" i="32"/>
  <c r="B200" i="32"/>
  <c r="B201" i="32"/>
  <c r="B202" i="32"/>
  <c r="B203" i="32"/>
  <c r="B204" i="32"/>
  <c r="B205" i="32"/>
  <c r="B206" i="32"/>
  <c r="B174" i="32"/>
  <c r="B147" i="33"/>
  <c r="C147" i="33"/>
  <c r="H147" i="33" s="1"/>
  <c r="I147" i="33" s="1"/>
  <c r="D147" i="33"/>
  <c r="E147" i="33"/>
  <c r="F147" i="33"/>
  <c r="G147" i="33"/>
  <c r="B148" i="33"/>
  <c r="C148" i="33"/>
  <c r="H148" i="33" s="1"/>
  <c r="I148" i="33" s="1"/>
  <c r="D148" i="33"/>
  <c r="E148" i="33"/>
  <c r="F148" i="33"/>
  <c r="G148" i="33"/>
  <c r="B149" i="33"/>
  <c r="C149" i="33"/>
  <c r="H149" i="33" s="1"/>
  <c r="I149" i="33" s="1"/>
  <c r="D149" i="33"/>
  <c r="E149" i="33"/>
  <c r="F149" i="33"/>
  <c r="G149" i="33"/>
  <c r="B150" i="33"/>
  <c r="C150" i="33"/>
  <c r="H150" i="33" s="1"/>
  <c r="I150" i="33" s="1"/>
  <c r="D150" i="33"/>
  <c r="E150" i="33"/>
  <c r="F150" i="33"/>
  <c r="G150" i="33"/>
  <c r="B151" i="33"/>
  <c r="C151" i="33"/>
  <c r="H151" i="33" s="1"/>
  <c r="I151" i="33" s="1"/>
  <c r="D151" i="33"/>
  <c r="E151" i="33"/>
  <c r="F151" i="33"/>
  <c r="G151" i="33"/>
  <c r="B152" i="33"/>
  <c r="C152" i="33"/>
  <c r="H152" i="33" s="1"/>
  <c r="I152" i="33" s="1"/>
  <c r="D152" i="33"/>
  <c r="E152" i="33"/>
  <c r="F152" i="33"/>
  <c r="G152" i="33"/>
  <c r="B153" i="33"/>
  <c r="C153" i="33"/>
  <c r="H153" i="33" s="1"/>
  <c r="I153" i="33" s="1"/>
  <c r="D153" i="33"/>
  <c r="E153" i="33"/>
  <c r="F153" i="33"/>
  <c r="G153" i="33"/>
  <c r="B154" i="33"/>
  <c r="C154" i="33"/>
  <c r="H154" i="33" s="1"/>
  <c r="I154" i="33" s="1"/>
  <c r="D154" i="33"/>
  <c r="E154" i="33"/>
  <c r="F154" i="33"/>
  <c r="G154" i="33"/>
  <c r="B155" i="33"/>
  <c r="C155" i="33"/>
  <c r="H155" i="33" s="1"/>
  <c r="I155" i="33" s="1"/>
  <c r="D155" i="33"/>
  <c r="E155" i="33"/>
  <c r="F155" i="33"/>
  <c r="G155" i="33"/>
  <c r="B156" i="33"/>
  <c r="C156" i="33"/>
  <c r="H156" i="33" s="1"/>
  <c r="I156" i="33" s="1"/>
  <c r="D156" i="33"/>
  <c r="E156" i="33"/>
  <c r="F156" i="33"/>
  <c r="G156" i="33"/>
  <c r="B157" i="33"/>
  <c r="C157" i="33"/>
  <c r="H157" i="33" s="1"/>
  <c r="I157" i="33" s="1"/>
  <c r="D157" i="33"/>
  <c r="E157" i="33"/>
  <c r="F157" i="33"/>
  <c r="G157" i="33"/>
  <c r="B158" i="33"/>
  <c r="C158" i="33"/>
  <c r="H158" i="33" s="1"/>
  <c r="I158" i="33" s="1"/>
  <c r="D158" i="33"/>
  <c r="E158" i="33"/>
  <c r="F158" i="33"/>
  <c r="G158" i="33"/>
  <c r="B159" i="33"/>
  <c r="C159" i="33"/>
  <c r="H159" i="33" s="1"/>
  <c r="I159" i="33" s="1"/>
  <c r="D159" i="33"/>
  <c r="E159" i="33"/>
  <c r="F159" i="33"/>
  <c r="G159" i="33"/>
  <c r="B160" i="33"/>
  <c r="C160" i="33"/>
  <c r="H160" i="33" s="1"/>
  <c r="I160" i="33" s="1"/>
  <c r="D160" i="33"/>
  <c r="E160" i="33"/>
  <c r="F160" i="33"/>
  <c r="G160" i="33"/>
  <c r="B161" i="33"/>
  <c r="C161" i="33"/>
  <c r="H161" i="33" s="1"/>
  <c r="I161" i="33" s="1"/>
  <c r="D161" i="33"/>
  <c r="E161" i="33"/>
  <c r="F161" i="33"/>
  <c r="G161" i="33"/>
  <c r="B162" i="33"/>
  <c r="C162" i="33"/>
  <c r="H162" i="33" s="1"/>
  <c r="I162" i="33" s="1"/>
  <c r="D162" i="33"/>
  <c r="E162" i="33"/>
  <c r="F162" i="33"/>
  <c r="G162" i="33"/>
  <c r="B163" i="33"/>
  <c r="C163" i="33"/>
  <c r="H163" i="33" s="1"/>
  <c r="I163" i="33" s="1"/>
  <c r="D163" i="33"/>
  <c r="E163" i="33"/>
  <c r="F163" i="33"/>
  <c r="G163" i="33"/>
  <c r="B164" i="33"/>
  <c r="C164" i="33"/>
  <c r="H164" i="33" s="1"/>
  <c r="I164" i="33" s="1"/>
  <c r="D164" i="33"/>
  <c r="E164" i="33"/>
  <c r="F164" i="33"/>
  <c r="G164" i="33"/>
  <c r="B165" i="33"/>
  <c r="C165" i="33"/>
  <c r="H165" i="33" s="1"/>
  <c r="I165" i="33" s="1"/>
  <c r="D165" i="33"/>
  <c r="E165" i="33"/>
  <c r="F165" i="33"/>
  <c r="G165" i="33"/>
  <c r="B166" i="33"/>
  <c r="C166" i="33"/>
  <c r="H166" i="33" s="1"/>
  <c r="I166" i="33" s="1"/>
  <c r="D166" i="33"/>
  <c r="E166" i="33"/>
  <c r="F166" i="33"/>
  <c r="G166" i="33"/>
  <c r="B167" i="33"/>
  <c r="C167" i="33"/>
  <c r="H167" i="33" s="1"/>
  <c r="I167" i="33" s="1"/>
  <c r="D167" i="33"/>
  <c r="E167" i="33"/>
  <c r="F167" i="33"/>
  <c r="G167" i="33"/>
  <c r="B168" i="33"/>
  <c r="C168" i="33"/>
  <c r="H168" i="33" s="1"/>
  <c r="I168" i="33" s="1"/>
  <c r="D168" i="33"/>
  <c r="E168" i="33"/>
  <c r="F168" i="33"/>
  <c r="G168" i="33"/>
  <c r="B169" i="33"/>
  <c r="C169" i="33"/>
  <c r="H169" i="33" s="1"/>
  <c r="I169" i="33" s="1"/>
  <c r="D169" i="33"/>
  <c r="E169" i="33"/>
  <c r="F169" i="33"/>
  <c r="G169" i="33"/>
  <c r="B170" i="33"/>
  <c r="C170" i="33"/>
  <c r="H170" i="33" s="1"/>
  <c r="I170" i="33" s="1"/>
  <c r="D170" i="33"/>
  <c r="E170" i="33"/>
  <c r="F170" i="33"/>
  <c r="G170" i="33"/>
  <c r="B171" i="33"/>
  <c r="C171" i="33"/>
  <c r="E171" i="33"/>
  <c r="F171" i="33"/>
  <c r="G171" i="33"/>
  <c r="B172" i="33"/>
  <c r="C172" i="33"/>
  <c r="E172" i="33"/>
  <c r="F172" i="33"/>
  <c r="G172" i="33"/>
  <c r="B173" i="33"/>
  <c r="C173" i="33"/>
  <c r="E173" i="33"/>
  <c r="F173" i="33"/>
  <c r="G173" i="33"/>
  <c r="D175" i="32"/>
  <c r="D176" i="32"/>
  <c r="D177" i="32"/>
  <c r="D178" i="32"/>
  <c r="D179" i="32"/>
  <c r="D180" i="32"/>
  <c r="D181" i="32"/>
  <c r="D182" i="32"/>
  <c r="D186" i="32"/>
  <c r="D187" i="32"/>
  <c r="D188" i="32"/>
  <c r="D189" i="32"/>
  <c r="D190" i="32"/>
  <c r="D191" i="32"/>
  <c r="D192" i="32"/>
  <c r="D193" i="32"/>
  <c r="D194" i="32"/>
  <c r="D198" i="32"/>
  <c r="D199" i="32"/>
  <c r="D200" i="32"/>
  <c r="D201" i="32"/>
  <c r="D202" i="32"/>
  <c r="D203" i="32"/>
  <c r="D204" i="32"/>
  <c r="D205" i="32"/>
  <c r="D206" i="32"/>
  <c r="D174" i="32"/>
  <c r="C175" i="32"/>
  <c r="C176" i="32"/>
  <c r="C177" i="32"/>
  <c r="C178" i="32"/>
  <c r="C179" i="32"/>
  <c r="C180" i="32"/>
  <c r="C181" i="32"/>
  <c r="C182" i="32"/>
  <c r="C183" i="32"/>
  <c r="C184" i="32"/>
  <c r="C185" i="32"/>
  <c r="C186" i="32"/>
  <c r="C187" i="32"/>
  <c r="C188" i="32"/>
  <c r="C189" i="32"/>
  <c r="C190" i="32"/>
  <c r="C191" i="32"/>
  <c r="C192" i="32"/>
  <c r="C193" i="32"/>
  <c r="C194" i="32"/>
  <c r="C195" i="32"/>
  <c r="C196" i="32"/>
  <c r="C197" i="32"/>
  <c r="C198" i="32"/>
  <c r="C199" i="32"/>
  <c r="C200" i="32"/>
  <c r="C201" i="32"/>
  <c r="C202" i="32"/>
  <c r="C203" i="32"/>
  <c r="C204" i="32"/>
  <c r="C205" i="32"/>
  <c r="C206" i="32"/>
  <c r="C174" i="32"/>
  <c r="G173" i="32"/>
  <c r="F173" i="32"/>
  <c r="E173" i="32"/>
  <c r="C173" i="32"/>
  <c r="B173" i="32"/>
  <c r="G172" i="32"/>
  <c r="F172" i="32"/>
  <c r="E172" i="32"/>
  <c r="C172" i="32"/>
  <c r="B172" i="32"/>
  <c r="G171" i="32"/>
  <c r="F171" i="32"/>
  <c r="E171" i="32"/>
  <c r="C171" i="32"/>
  <c r="B171" i="32"/>
  <c r="G170" i="32"/>
  <c r="F170" i="32"/>
  <c r="E170" i="32"/>
  <c r="D170" i="32"/>
  <c r="H170" i="32" s="1"/>
  <c r="C170" i="32"/>
  <c r="B170" i="32"/>
  <c r="G169" i="32"/>
  <c r="F169" i="32"/>
  <c r="E169" i="32"/>
  <c r="D169" i="32"/>
  <c r="C169" i="32"/>
  <c r="H169" i="32" s="1"/>
  <c r="B169" i="32"/>
  <c r="G168" i="32"/>
  <c r="F168" i="32"/>
  <c r="E168" i="32"/>
  <c r="D168" i="32"/>
  <c r="C168" i="32"/>
  <c r="H168" i="32" s="1"/>
  <c r="B168" i="32"/>
  <c r="G167" i="32"/>
  <c r="F167" i="32"/>
  <c r="E167" i="32"/>
  <c r="D167" i="32"/>
  <c r="C167" i="32"/>
  <c r="H167" i="32" s="1"/>
  <c r="B167" i="32"/>
  <c r="G166" i="32"/>
  <c r="F166" i="32"/>
  <c r="E166" i="32"/>
  <c r="D166" i="32"/>
  <c r="H166" i="32" s="1"/>
  <c r="C166" i="32"/>
  <c r="B166" i="32"/>
  <c r="G165" i="32"/>
  <c r="F165" i="32"/>
  <c r="E165" i="32"/>
  <c r="D165" i="32"/>
  <c r="C165" i="32"/>
  <c r="H165" i="32" s="1"/>
  <c r="B165" i="32"/>
  <c r="G164" i="32"/>
  <c r="F164" i="32"/>
  <c r="E164" i="32"/>
  <c r="D164" i="32"/>
  <c r="C164" i="32"/>
  <c r="H164" i="32" s="1"/>
  <c r="B164" i="32"/>
  <c r="G163" i="32"/>
  <c r="F163" i="32"/>
  <c r="E163" i="32"/>
  <c r="D163" i="32"/>
  <c r="C163" i="32"/>
  <c r="H163" i="32" s="1"/>
  <c r="B163" i="32"/>
  <c r="G162" i="32"/>
  <c r="F162" i="32"/>
  <c r="E162" i="32"/>
  <c r="D162" i="32"/>
  <c r="H162" i="32" s="1"/>
  <c r="C162" i="32"/>
  <c r="B162" i="32"/>
  <c r="G161" i="32"/>
  <c r="F161" i="32"/>
  <c r="E161" i="32"/>
  <c r="D161" i="32"/>
  <c r="C161" i="32"/>
  <c r="H161" i="32" s="1"/>
  <c r="B161" i="32"/>
  <c r="G160" i="32"/>
  <c r="F160" i="32"/>
  <c r="E160" i="32"/>
  <c r="D160" i="32"/>
  <c r="C160" i="32"/>
  <c r="H160" i="32" s="1"/>
  <c r="B160" i="32"/>
  <c r="G159" i="32"/>
  <c r="F159" i="32"/>
  <c r="E159" i="32"/>
  <c r="D159" i="32"/>
  <c r="C159" i="32"/>
  <c r="H159" i="32" s="1"/>
  <c r="B159" i="32"/>
  <c r="G158" i="32"/>
  <c r="F158" i="32"/>
  <c r="E158" i="32"/>
  <c r="D158" i="32"/>
  <c r="H158" i="32" s="1"/>
  <c r="C158" i="32"/>
  <c r="B158" i="32"/>
  <c r="G157" i="32"/>
  <c r="F157" i="32"/>
  <c r="E157" i="32"/>
  <c r="D157" i="32"/>
  <c r="C157" i="32"/>
  <c r="H157" i="32" s="1"/>
  <c r="B157" i="32"/>
  <c r="G156" i="32"/>
  <c r="F156" i="32"/>
  <c r="E156" i="32"/>
  <c r="D156" i="32"/>
  <c r="C156" i="32"/>
  <c r="H156" i="32" s="1"/>
  <c r="B156" i="32"/>
  <c r="G155" i="32"/>
  <c r="F155" i="32"/>
  <c r="E155" i="32"/>
  <c r="D155" i="32"/>
  <c r="C155" i="32"/>
  <c r="H155" i="32" s="1"/>
  <c r="B155" i="32"/>
  <c r="H154" i="32"/>
  <c r="G154" i="32"/>
  <c r="F154" i="32"/>
  <c r="E154" i="32"/>
  <c r="D154" i="32"/>
  <c r="C154" i="32"/>
  <c r="B154" i="32"/>
  <c r="G153" i="32"/>
  <c r="F153" i="32"/>
  <c r="E153" i="32"/>
  <c r="D153" i="32"/>
  <c r="C153" i="32"/>
  <c r="H153" i="32" s="1"/>
  <c r="B153" i="32"/>
  <c r="G152" i="32"/>
  <c r="F152" i="32"/>
  <c r="E152" i="32"/>
  <c r="D152" i="32"/>
  <c r="C152" i="32"/>
  <c r="H152" i="32" s="1"/>
  <c r="B152" i="32"/>
  <c r="G151" i="32"/>
  <c r="F151" i="32"/>
  <c r="E151" i="32"/>
  <c r="D151" i="32"/>
  <c r="C151" i="32"/>
  <c r="H151" i="32" s="1"/>
  <c r="B151" i="32"/>
  <c r="H150" i="32"/>
  <c r="G150" i="32"/>
  <c r="F150" i="32"/>
  <c r="E150" i="32"/>
  <c r="D150" i="32"/>
  <c r="C150" i="32"/>
  <c r="B150" i="32"/>
  <c r="G149" i="32"/>
  <c r="F149" i="32"/>
  <c r="E149" i="32"/>
  <c r="D149" i="32"/>
  <c r="C149" i="32"/>
  <c r="H149" i="32" s="1"/>
  <c r="B149" i="32"/>
  <c r="G148" i="32"/>
  <c r="F148" i="32"/>
  <c r="E148" i="32"/>
  <c r="D148" i="32"/>
  <c r="C148" i="32"/>
  <c r="H148" i="32" s="1"/>
  <c r="B148" i="32"/>
  <c r="G147" i="32"/>
  <c r="F147" i="32"/>
  <c r="E147" i="32"/>
  <c r="D147" i="32"/>
  <c r="C147" i="32"/>
  <c r="H147" i="32" s="1"/>
  <c r="B147" i="32"/>
  <c r="D16" i="30" l="1"/>
  <c r="D17" i="30"/>
  <c r="D18" i="30"/>
  <c r="E43" i="18" l="1"/>
  <c r="C45" i="18"/>
  <c r="D45" i="18"/>
  <c r="E45" i="18"/>
  <c r="F45" i="18"/>
  <c r="G45" i="18"/>
  <c r="B45" i="18"/>
  <c r="B37" i="18"/>
  <c r="C37" i="18"/>
  <c r="D37" i="18"/>
  <c r="E37" i="18"/>
  <c r="F37" i="18"/>
  <c r="H37" i="18"/>
  <c r="G37" i="18" s="1"/>
  <c r="B38" i="18"/>
  <c r="C38" i="18"/>
  <c r="D38" i="18"/>
  <c r="E38" i="18"/>
  <c r="F38" i="18"/>
  <c r="H38" i="18"/>
  <c r="G38" i="18" s="1"/>
  <c r="L66" i="9"/>
  <c r="M66" i="9"/>
  <c r="N66" i="9"/>
  <c r="O66" i="9"/>
  <c r="K66" i="9"/>
  <c r="H42" i="9"/>
  <c r="I42" i="9"/>
  <c r="J42" i="9"/>
  <c r="K42" i="9"/>
  <c r="K60" i="9" s="1"/>
  <c r="K68" i="9" s="1"/>
  <c r="L42" i="9"/>
  <c r="M42" i="9"/>
  <c r="N42" i="9"/>
  <c r="O42" i="9"/>
  <c r="O60" i="9" s="1"/>
  <c r="O68" i="9" s="1"/>
  <c r="P42" i="9"/>
  <c r="H43" i="9"/>
  <c r="I43" i="9"/>
  <c r="J43" i="9"/>
  <c r="K43" i="9"/>
  <c r="L43" i="9"/>
  <c r="M43" i="9"/>
  <c r="N43" i="9"/>
  <c r="N61" i="9" s="1"/>
  <c r="O43" i="9"/>
  <c r="P43" i="9"/>
  <c r="L68" i="9"/>
  <c r="G68" i="9"/>
  <c r="G60" i="9"/>
  <c r="L60" i="9"/>
  <c r="M60" i="9"/>
  <c r="M68" i="9" s="1"/>
  <c r="N60" i="9"/>
  <c r="N68" i="9" s="1"/>
  <c r="G61" i="9"/>
  <c r="K61" i="9"/>
  <c r="L61" i="9"/>
  <c r="M61" i="9"/>
  <c r="O61" i="9"/>
  <c r="B38" i="17"/>
  <c r="C38" i="17"/>
  <c r="D38" i="17"/>
  <c r="E38" i="17"/>
  <c r="F38" i="17"/>
  <c r="G38" i="17"/>
  <c r="H38" i="17"/>
  <c r="I38" i="17"/>
  <c r="J38" i="17"/>
  <c r="J42" i="17" l="1"/>
  <c r="I42" i="17"/>
  <c r="H42" i="17"/>
  <c r="G42" i="17"/>
  <c r="F42" i="17"/>
  <c r="E42" i="17"/>
  <c r="D42" i="17"/>
  <c r="C42" i="17"/>
  <c r="B42" i="17"/>
  <c r="C16" i="17"/>
  <c r="D16" i="17"/>
  <c r="E16" i="17"/>
  <c r="F16" i="17"/>
  <c r="G16" i="17"/>
  <c r="H16" i="17"/>
  <c r="I16" i="17"/>
  <c r="C15" i="17"/>
  <c r="D15" i="17"/>
  <c r="E15" i="17"/>
  <c r="J15" i="17" s="1"/>
  <c r="F15" i="17"/>
  <c r="G15" i="17"/>
  <c r="H15" i="17"/>
  <c r="I15" i="17"/>
  <c r="B16" i="17"/>
  <c r="B15" i="17"/>
  <c r="B223" i="28"/>
  <c r="B222" i="28"/>
  <c r="B223" i="27"/>
  <c r="M20" i="9" s="1"/>
  <c r="B222" i="27"/>
  <c r="B223" i="23"/>
  <c r="B222" i="23"/>
  <c r="K19" i="9" s="1"/>
  <c r="B223" i="26"/>
  <c r="B222" i="26"/>
  <c r="B223" i="22"/>
  <c r="J20" i="9" s="1"/>
  <c r="B222" i="22"/>
  <c r="B223" i="21"/>
  <c r="B222" i="21"/>
  <c r="B223" i="20"/>
  <c r="H20" i="9" s="1"/>
  <c r="B222" i="20"/>
  <c r="I19" i="9"/>
  <c r="J19" i="9"/>
  <c r="L19" i="9"/>
  <c r="M19" i="9"/>
  <c r="O19" i="9"/>
  <c r="I20" i="9"/>
  <c r="K20" i="9"/>
  <c r="L20" i="9"/>
  <c r="O20" i="9"/>
  <c r="H19" i="9"/>
  <c r="J16" i="17" l="1"/>
  <c r="G19" i="9"/>
  <c r="G20" i="9"/>
  <c r="S82" i="36"/>
  <c r="S81" i="36"/>
  <c r="S80" i="36"/>
  <c r="S79" i="36"/>
  <c r="S78" i="36"/>
  <c r="S77" i="36"/>
  <c r="S76" i="36"/>
  <c r="S75" i="36"/>
  <c r="S74" i="36"/>
  <c r="S73" i="36"/>
  <c r="S72" i="36"/>
  <c r="S71" i="36"/>
  <c r="S70" i="36"/>
  <c r="S69" i="36"/>
  <c r="S68" i="36"/>
  <c r="S67" i="36"/>
  <c r="S66" i="36"/>
  <c r="S65" i="36"/>
  <c r="S64" i="36"/>
  <c r="S63" i="36"/>
  <c r="S62" i="36"/>
  <c r="S61" i="36"/>
  <c r="S60" i="36"/>
  <c r="S59" i="36"/>
  <c r="S58" i="36"/>
  <c r="S57" i="36"/>
  <c r="S56" i="36"/>
  <c r="S55" i="36"/>
  <c r="S54" i="36"/>
  <c r="S53" i="36"/>
  <c r="S52" i="36"/>
  <c r="S51" i="36"/>
  <c r="S50" i="36"/>
  <c r="S49" i="36"/>
  <c r="S48" i="36"/>
  <c r="S47" i="36"/>
  <c r="S46" i="36"/>
  <c r="S45" i="36"/>
  <c r="S44" i="36"/>
  <c r="S43" i="36"/>
  <c r="S42" i="36"/>
  <c r="S41" i="36"/>
  <c r="S40" i="36"/>
  <c r="S39" i="36"/>
  <c r="S38" i="36"/>
  <c r="S37" i="36"/>
  <c r="S36" i="36"/>
  <c r="S35" i="36"/>
  <c r="S34" i="36"/>
  <c r="S33" i="36"/>
  <c r="S32" i="36"/>
  <c r="S31" i="36"/>
  <c r="S30" i="36"/>
  <c r="S29" i="36"/>
  <c r="S28" i="36"/>
  <c r="S27" i="36"/>
  <c r="S26" i="36"/>
  <c r="S25" i="36"/>
  <c r="S24" i="36"/>
  <c r="S23" i="36"/>
  <c r="S22" i="36"/>
  <c r="S21" i="36"/>
  <c r="S20" i="36"/>
  <c r="S19" i="36"/>
  <c r="S18" i="36"/>
  <c r="S17" i="36"/>
  <c r="S16" i="36"/>
  <c r="J20" i="40" l="1"/>
  <c r="J19" i="40"/>
  <c r="C38" i="34" l="1"/>
  <c r="C39" i="34"/>
  <c r="C19" i="34"/>
  <c r="C20" i="34"/>
  <c r="B223" i="19" l="1"/>
  <c r="B222" i="19"/>
  <c r="B221" i="19"/>
  <c r="H135" i="19" l="1"/>
  <c r="C15" i="30" l="1"/>
  <c r="B15" i="30"/>
  <c r="C14" i="30"/>
  <c r="B14" i="30"/>
  <c r="A135" i="37" l="1"/>
  <c r="A134" i="37"/>
  <c r="A133" i="37"/>
  <c r="A132" i="37"/>
  <c r="A131" i="37"/>
  <c r="C62" i="41" l="1"/>
  <c r="C63" i="41" s="1"/>
  <c r="C64" i="41" s="1"/>
  <c r="C65" i="41" s="1"/>
  <c r="B35" i="41"/>
  <c r="B36" i="41" s="1"/>
  <c r="B37" i="41" s="1"/>
  <c r="B38" i="41" s="1"/>
  <c r="B39" i="41" s="1"/>
  <c r="C52" i="41"/>
  <c r="C51" i="41"/>
  <c r="C50" i="41"/>
  <c r="C49" i="41"/>
  <c r="C48" i="41"/>
  <c r="C45" i="41"/>
  <c r="C44" i="41"/>
  <c r="C43" i="41"/>
  <c r="C42" i="41"/>
  <c r="C41" i="41"/>
  <c r="B52" i="41" l="1"/>
  <c r="B59" i="41"/>
  <c r="B57" i="41"/>
  <c r="B50" i="41"/>
  <c r="B62" i="41"/>
  <c r="B56" i="41"/>
  <c r="B54" i="41"/>
  <c r="B58" i="41"/>
  <c r="B49" i="41"/>
  <c r="B63" i="41"/>
  <c r="B55" i="41"/>
  <c r="B53" i="41"/>
  <c r="B65" i="41"/>
  <c r="C66" i="41"/>
  <c r="B64" i="41"/>
  <c r="B51" i="41"/>
  <c r="B48" i="41"/>
  <c r="C67" i="41" l="1"/>
  <c r="B66" i="41"/>
  <c r="B67" i="41" l="1"/>
  <c r="C68" i="41"/>
  <c r="C69" i="41" l="1"/>
  <c r="B68" i="41"/>
  <c r="B69" i="41" l="1"/>
  <c r="C70" i="41"/>
  <c r="C71" i="41" l="1"/>
  <c r="B70" i="41"/>
  <c r="B71" i="41" l="1"/>
  <c r="C72" i="41"/>
  <c r="C73" i="41" l="1"/>
  <c r="B73" i="41" s="1"/>
  <c r="B72" i="41"/>
  <c r="E141" i="19" l="1"/>
  <c r="E138" i="19"/>
  <c r="E135" i="19"/>
  <c r="E132" i="19"/>
  <c r="E129" i="19"/>
  <c r="E126" i="19"/>
  <c r="E123" i="19"/>
  <c r="E120" i="19"/>
  <c r="E117" i="19"/>
  <c r="E114" i="19"/>
  <c r="E111" i="19"/>
  <c r="E108" i="19"/>
  <c r="E105" i="19"/>
  <c r="E102" i="19"/>
  <c r="E99" i="19"/>
  <c r="E96" i="19"/>
  <c r="E93" i="19"/>
  <c r="E90" i="19"/>
  <c r="E87" i="19"/>
  <c r="E84" i="19"/>
  <c r="E81" i="19"/>
  <c r="E78" i="19"/>
  <c r="E75" i="19"/>
  <c r="E72" i="19"/>
  <c r="E69" i="19"/>
  <c r="E66" i="19"/>
  <c r="E63" i="19"/>
  <c r="E60" i="19"/>
  <c r="E57" i="19"/>
  <c r="E54" i="19"/>
  <c r="E51" i="19"/>
  <c r="E48" i="19"/>
  <c r="E45" i="19"/>
  <c r="E42" i="19"/>
  <c r="E39" i="19"/>
  <c r="E36" i="19"/>
  <c r="E33" i="19"/>
  <c r="E30" i="19"/>
  <c r="E27" i="19"/>
  <c r="E24" i="19"/>
  <c r="E21" i="19"/>
  <c r="E18" i="19"/>
  <c r="E15" i="19"/>
  <c r="E12" i="19"/>
  <c r="E9" i="19"/>
  <c r="E6" i="19"/>
  <c r="E3" i="19"/>
  <c r="R69" i="42" l="1"/>
  <c r="Q69" i="42"/>
  <c r="P69" i="42"/>
  <c r="O69" i="42"/>
  <c r="N69" i="42"/>
  <c r="O70" i="42" l="1"/>
  <c r="P70" i="42" s="1"/>
  <c r="Q70" i="42" s="1"/>
  <c r="R70" i="42" s="1"/>
  <c r="M47" i="42"/>
  <c r="J10" i="42" s="1"/>
  <c r="L46" i="42"/>
  <c r="M46" i="42" s="1"/>
  <c r="N46" i="42" s="1"/>
  <c r="O46" i="42" s="1"/>
  <c r="P46" i="42" s="1"/>
  <c r="Q46" i="42" s="1"/>
  <c r="R46" i="42" s="1"/>
  <c r="K45" i="42"/>
  <c r="L45" i="42" s="1"/>
  <c r="M45" i="42" s="1"/>
  <c r="N45" i="42" s="1"/>
  <c r="O45" i="42" s="1"/>
  <c r="P45" i="42" s="1"/>
  <c r="Q45" i="42" s="1"/>
  <c r="R45" i="42" s="1"/>
  <c r="N47" i="42" l="1"/>
  <c r="O47" i="42" l="1"/>
  <c r="K10" i="42"/>
  <c r="P47" i="42" l="1"/>
  <c r="L10" i="42"/>
  <c r="I17" i="44"/>
  <c r="H17" i="44"/>
  <c r="G17" i="44"/>
  <c r="F17" i="44"/>
  <c r="E17" i="44"/>
  <c r="D17" i="44"/>
  <c r="C17" i="44"/>
  <c r="B17" i="44"/>
  <c r="I16" i="44"/>
  <c r="H16" i="44"/>
  <c r="G16" i="44"/>
  <c r="F16" i="44"/>
  <c r="E16" i="44"/>
  <c r="D16" i="44"/>
  <c r="C16" i="44"/>
  <c r="B16" i="44"/>
  <c r="B37" i="44" s="1"/>
  <c r="I15" i="44"/>
  <c r="H15" i="44"/>
  <c r="G15" i="44"/>
  <c r="F15" i="44"/>
  <c r="E15" i="44"/>
  <c r="D15" i="44"/>
  <c r="C15" i="44"/>
  <c r="B15" i="44"/>
  <c r="B36" i="44" s="1"/>
  <c r="I14" i="44"/>
  <c r="H14" i="44"/>
  <c r="G14" i="44"/>
  <c r="F14" i="44"/>
  <c r="E14" i="44"/>
  <c r="D14" i="44"/>
  <c r="C14" i="44"/>
  <c r="B14" i="44"/>
  <c r="B35" i="44" s="1"/>
  <c r="I13" i="44"/>
  <c r="H13" i="44"/>
  <c r="G13" i="44"/>
  <c r="F13" i="44"/>
  <c r="E13" i="44"/>
  <c r="D13" i="44"/>
  <c r="C13" i="44"/>
  <c r="B13" i="44"/>
  <c r="B34" i="44" s="1"/>
  <c r="I12" i="44"/>
  <c r="H12" i="44"/>
  <c r="G12" i="44"/>
  <c r="F12" i="44"/>
  <c r="E12" i="44"/>
  <c r="D12" i="44"/>
  <c r="C12" i="44"/>
  <c r="B12" i="44"/>
  <c r="B33" i="44" s="1"/>
  <c r="I11" i="44"/>
  <c r="H11" i="44"/>
  <c r="G11" i="44"/>
  <c r="F11" i="44"/>
  <c r="E11" i="44"/>
  <c r="D11" i="44"/>
  <c r="C11" i="44"/>
  <c r="B11" i="44"/>
  <c r="B32" i="44" s="1"/>
  <c r="I10" i="44"/>
  <c r="H10" i="44"/>
  <c r="G10" i="44"/>
  <c r="F10" i="44"/>
  <c r="E10" i="44"/>
  <c r="D10" i="44"/>
  <c r="C10" i="44"/>
  <c r="B10" i="44"/>
  <c r="B31" i="44" s="1"/>
  <c r="I9" i="44"/>
  <c r="H9" i="44"/>
  <c r="G9" i="44"/>
  <c r="F9" i="44"/>
  <c r="E9" i="44"/>
  <c r="D9" i="44"/>
  <c r="B9" i="44"/>
  <c r="I8" i="44"/>
  <c r="H8" i="44"/>
  <c r="G8" i="44"/>
  <c r="F8" i="44"/>
  <c r="E8" i="44"/>
  <c r="D8" i="44"/>
  <c r="B8" i="44"/>
  <c r="B29" i="44" s="1"/>
  <c r="I7" i="44"/>
  <c r="H7" i="44"/>
  <c r="G7" i="44"/>
  <c r="F7" i="44"/>
  <c r="E7" i="44"/>
  <c r="D7" i="44"/>
  <c r="B7" i="44"/>
  <c r="B28" i="44" s="1"/>
  <c r="I6" i="44"/>
  <c r="H6" i="44"/>
  <c r="G6" i="44"/>
  <c r="F6" i="44"/>
  <c r="E6" i="44"/>
  <c r="D6" i="44"/>
  <c r="C6" i="44"/>
  <c r="B6" i="44"/>
  <c r="B27" i="44" s="1"/>
  <c r="I4" i="44"/>
  <c r="I25" i="44" s="1"/>
  <c r="H4" i="44"/>
  <c r="H25" i="44" s="1"/>
  <c r="G4" i="44"/>
  <c r="G25" i="44" s="1"/>
  <c r="F4" i="44"/>
  <c r="F25" i="44" s="1"/>
  <c r="E4" i="44"/>
  <c r="E25" i="44" s="1"/>
  <c r="D4" i="44"/>
  <c r="D25" i="44" s="1"/>
  <c r="C4" i="44"/>
  <c r="C25" i="44" s="1"/>
  <c r="B4" i="44"/>
  <c r="B25" i="44" s="1"/>
  <c r="I3" i="44"/>
  <c r="I24" i="44" s="1"/>
  <c r="H3" i="44"/>
  <c r="H24" i="44" s="1"/>
  <c r="G3" i="44"/>
  <c r="G24" i="44" s="1"/>
  <c r="F3" i="44"/>
  <c r="F24" i="44" s="1"/>
  <c r="E3" i="44"/>
  <c r="E24" i="44" s="1"/>
  <c r="D3" i="44"/>
  <c r="D24" i="44" s="1"/>
  <c r="C3" i="44"/>
  <c r="C24" i="44" s="1"/>
  <c r="B3" i="44"/>
  <c r="B24" i="44" s="1"/>
  <c r="H78" i="37"/>
  <c r="F171" i="37" s="1"/>
  <c r="F191" i="37" s="1"/>
  <c r="F36" i="18"/>
  <c r="E13" i="18"/>
  <c r="E12" i="18"/>
  <c r="B30" i="44" l="1"/>
  <c r="C18" i="34"/>
  <c r="C37" i="34" s="1"/>
  <c r="D14" i="41"/>
  <c r="Q47" i="42"/>
  <c r="M10" i="42"/>
  <c r="J20" i="44"/>
  <c r="B22" i="37" l="1"/>
  <c r="G6" i="45" s="1"/>
  <c r="F14" i="41"/>
  <c r="F5" i="41" s="1"/>
  <c r="D5" i="41"/>
  <c r="R47" i="42"/>
  <c r="O10" i="42" s="1"/>
  <c r="N10" i="42"/>
  <c r="C13" i="30"/>
  <c r="B13" i="30"/>
  <c r="G17" i="45" l="1"/>
  <c r="B221" i="28"/>
  <c r="B221" i="27"/>
  <c r="B221" i="23"/>
  <c r="B221" i="26"/>
  <c r="B221" i="22"/>
  <c r="B221" i="21"/>
  <c r="B221" i="20"/>
  <c r="G146" i="33"/>
  <c r="F146" i="33"/>
  <c r="C146" i="33"/>
  <c r="B146" i="33"/>
  <c r="G145" i="33"/>
  <c r="F145" i="33"/>
  <c r="C145" i="33"/>
  <c r="B145" i="33"/>
  <c r="G144" i="33"/>
  <c r="F144" i="33"/>
  <c r="C144" i="33"/>
  <c r="B144" i="33"/>
  <c r="G143" i="33"/>
  <c r="F143" i="33"/>
  <c r="C143" i="33"/>
  <c r="B143" i="33"/>
  <c r="G142" i="33"/>
  <c r="F142" i="33"/>
  <c r="C142" i="33"/>
  <c r="B142" i="33"/>
  <c r="G141" i="33"/>
  <c r="F141" i="33"/>
  <c r="C141" i="33"/>
  <c r="B141" i="33"/>
  <c r="G140" i="33"/>
  <c r="F140" i="33"/>
  <c r="C140" i="33"/>
  <c r="B140" i="33"/>
  <c r="G139" i="33"/>
  <c r="F139" i="33"/>
  <c r="C139" i="33"/>
  <c r="B139" i="33"/>
  <c r="G138" i="33"/>
  <c r="F138" i="33"/>
  <c r="C138" i="33"/>
  <c r="B138" i="33"/>
  <c r="G137" i="33"/>
  <c r="F137" i="33"/>
  <c r="C137" i="33"/>
  <c r="B137" i="33"/>
  <c r="G136" i="33"/>
  <c r="F136" i="33"/>
  <c r="C136" i="33"/>
  <c r="B136" i="33"/>
  <c r="G135" i="33"/>
  <c r="F135" i="33"/>
  <c r="C135" i="33"/>
  <c r="B135" i="33"/>
  <c r="G146" i="32"/>
  <c r="F146" i="32"/>
  <c r="C146" i="32"/>
  <c r="B146" i="32"/>
  <c r="G145" i="32"/>
  <c r="F145" i="32"/>
  <c r="C145" i="32"/>
  <c r="B145" i="32"/>
  <c r="G144" i="32"/>
  <c r="F144" i="32"/>
  <c r="C144" i="32"/>
  <c r="B144" i="32"/>
  <c r="G143" i="32"/>
  <c r="F143" i="32"/>
  <c r="C143" i="32"/>
  <c r="B143" i="32"/>
  <c r="G142" i="32"/>
  <c r="F142" i="32"/>
  <c r="C142" i="32"/>
  <c r="B142" i="32"/>
  <c r="G141" i="32"/>
  <c r="F141" i="32"/>
  <c r="C141" i="32"/>
  <c r="B141" i="32"/>
  <c r="G140" i="32"/>
  <c r="F140" i="32"/>
  <c r="C140" i="32"/>
  <c r="B140" i="32"/>
  <c r="G139" i="32"/>
  <c r="F139" i="32"/>
  <c r="C139" i="32"/>
  <c r="B139" i="32"/>
  <c r="G138" i="32"/>
  <c r="F138" i="32"/>
  <c r="C138" i="32"/>
  <c r="B138" i="32"/>
  <c r="G137" i="32"/>
  <c r="F137" i="32"/>
  <c r="C137" i="32"/>
  <c r="B137" i="32"/>
  <c r="G136" i="32"/>
  <c r="F136" i="32"/>
  <c r="C136" i="32"/>
  <c r="B136" i="32"/>
  <c r="G135" i="32"/>
  <c r="F135" i="32"/>
  <c r="C135" i="32"/>
  <c r="B135" i="32"/>
  <c r="C135" i="27"/>
  <c r="F135" i="27"/>
  <c r="G135" i="27"/>
  <c r="I14" i="17"/>
  <c r="H14" i="17"/>
  <c r="N41" i="9" s="1"/>
  <c r="G14" i="17"/>
  <c r="B5" i="41" s="1"/>
  <c r="F14" i="17"/>
  <c r="E14" i="17"/>
  <c r="D14" i="17"/>
  <c r="C14" i="17"/>
  <c r="B14" i="17"/>
  <c r="J18" i="40"/>
  <c r="J14" i="17" l="1"/>
  <c r="B68" i="38" l="1"/>
  <c r="N14" i="42" l="1"/>
  <c r="L13" i="42"/>
  <c r="M13" i="42" s="1"/>
  <c r="N13" i="42" s="1"/>
  <c r="J11" i="42"/>
  <c r="I10" i="42"/>
  <c r="H9" i="42"/>
  <c r="G8" i="42"/>
  <c r="I9" i="42"/>
  <c r="H8" i="42"/>
  <c r="N17" i="42" l="1"/>
  <c r="O14" i="42"/>
  <c r="O17" i="42" s="1"/>
  <c r="S49" i="42"/>
  <c r="K11" i="42"/>
  <c r="J19" i="42"/>
  <c r="R7" i="42" s="1"/>
  <c r="L11" i="42" l="1"/>
  <c r="M11" i="42" s="1"/>
  <c r="N11" i="42" s="1"/>
  <c r="S60" i="42" l="1"/>
  <c r="K12" i="42"/>
  <c r="G99" i="9" s="1"/>
  <c r="A56" i="42"/>
  <c r="A57" i="42" s="1"/>
  <c r="A58" i="42" s="1"/>
  <c r="A59" i="42" s="1"/>
  <c r="A60" i="42" s="1"/>
  <c r="F54" i="42"/>
  <c r="G54" i="42" s="1"/>
  <c r="H54" i="42" s="1"/>
  <c r="I54" i="42" s="1"/>
  <c r="J54" i="42" s="1"/>
  <c r="K54" i="42" s="1"/>
  <c r="L54" i="42" s="1"/>
  <c r="M54" i="42" s="1"/>
  <c r="N54" i="42" s="1"/>
  <c r="O54" i="42" s="1"/>
  <c r="P54" i="42" s="1"/>
  <c r="Q54" i="42" s="1"/>
  <c r="R54" i="42" s="1"/>
  <c r="J50" i="42"/>
  <c r="I50" i="42"/>
  <c r="H50" i="42"/>
  <c r="G50" i="42"/>
  <c r="F50" i="42"/>
  <c r="E50" i="42"/>
  <c r="A46" i="42"/>
  <c r="A47" i="42" s="1"/>
  <c r="A48" i="42" s="1"/>
  <c r="A49" i="42" s="1"/>
  <c r="F44" i="42"/>
  <c r="G44" i="42" s="1"/>
  <c r="H44" i="42" s="1"/>
  <c r="I44" i="42" s="1"/>
  <c r="S39" i="42"/>
  <c r="T39" i="42" s="1"/>
  <c r="T38" i="42"/>
  <c r="S38" i="42"/>
  <c r="R38" i="42"/>
  <c r="Q38" i="42"/>
  <c r="P38" i="42"/>
  <c r="O38" i="42"/>
  <c r="N38" i="42"/>
  <c r="M38" i="42"/>
  <c r="L38" i="42"/>
  <c r="K38" i="42"/>
  <c r="J38" i="42"/>
  <c r="I38" i="42"/>
  <c r="H38" i="42"/>
  <c r="G38" i="42"/>
  <c r="F38" i="42"/>
  <c r="E38" i="42"/>
  <c r="T37" i="42"/>
  <c r="S37" i="42"/>
  <c r="R37" i="42"/>
  <c r="Q37" i="42"/>
  <c r="P37" i="42"/>
  <c r="O37" i="42"/>
  <c r="N37" i="42"/>
  <c r="M37" i="42"/>
  <c r="L37" i="42"/>
  <c r="K37" i="42"/>
  <c r="J37" i="42"/>
  <c r="I37" i="42"/>
  <c r="H37" i="42"/>
  <c r="G37" i="42"/>
  <c r="F37" i="42"/>
  <c r="E37" i="42"/>
  <c r="T36" i="42"/>
  <c r="S36" i="42"/>
  <c r="R36" i="42"/>
  <c r="Q36" i="42"/>
  <c r="P36" i="42"/>
  <c r="O36" i="42"/>
  <c r="N36" i="42"/>
  <c r="M36" i="42"/>
  <c r="L36" i="42"/>
  <c r="K36" i="42"/>
  <c r="J36" i="42"/>
  <c r="I36" i="42"/>
  <c r="H36" i="42"/>
  <c r="G36" i="42"/>
  <c r="F36" i="42"/>
  <c r="E36" i="42"/>
  <c r="A36" i="42"/>
  <c r="A37" i="42" s="1"/>
  <c r="A38" i="42" s="1"/>
  <c r="A39" i="42" s="1"/>
  <c r="T35" i="42"/>
  <c r="S35" i="42"/>
  <c r="R35" i="42"/>
  <c r="Q35" i="42"/>
  <c r="P35" i="42"/>
  <c r="O35" i="42"/>
  <c r="N35" i="42"/>
  <c r="M35" i="42"/>
  <c r="L35" i="42"/>
  <c r="K35" i="42"/>
  <c r="J35" i="42"/>
  <c r="I35" i="42"/>
  <c r="H35" i="42"/>
  <c r="G35" i="42"/>
  <c r="F35" i="42"/>
  <c r="E35" i="42"/>
  <c r="F34" i="42"/>
  <c r="G34" i="42" s="1"/>
  <c r="H34" i="42" s="1"/>
  <c r="I34" i="42" s="1"/>
  <c r="J34" i="42" s="1"/>
  <c r="K34" i="42" s="1"/>
  <c r="L34" i="42" s="1"/>
  <c r="M34" i="42" s="1"/>
  <c r="N34" i="42" s="1"/>
  <c r="O34" i="42" s="1"/>
  <c r="P34" i="42" s="1"/>
  <c r="Q34" i="42" s="1"/>
  <c r="R34" i="42" s="1"/>
  <c r="S34" i="42" s="1"/>
  <c r="T34" i="42" s="1"/>
  <c r="T30" i="42"/>
  <c r="S30" i="42"/>
  <c r="R30" i="42"/>
  <c r="Q30" i="42"/>
  <c r="P30" i="42"/>
  <c r="O30" i="42"/>
  <c r="N30" i="42"/>
  <c r="M30" i="42"/>
  <c r="L30" i="42"/>
  <c r="K30" i="42"/>
  <c r="J30" i="42"/>
  <c r="I30" i="42"/>
  <c r="H30" i="42"/>
  <c r="G30" i="42"/>
  <c r="F30" i="42"/>
  <c r="E30" i="42"/>
  <c r="A27" i="42"/>
  <c r="A28" i="42" s="1"/>
  <c r="A29" i="42" s="1"/>
  <c r="F24" i="42"/>
  <c r="G24" i="42" s="1"/>
  <c r="H24" i="42" s="1"/>
  <c r="I24" i="42" s="1"/>
  <c r="J24" i="42" s="1"/>
  <c r="K24" i="42" s="1"/>
  <c r="L24" i="42" s="1"/>
  <c r="M24" i="42" s="1"/>
  <c r="N24" i="42" s="1"/>
  <c r="O24" i="42" s="1"/>
  <c r="P24" i="42" s="1"/>
  <c r="Q24" i="42" s="1"/>
  <c r="R24" i="42" s="1"/>
  <c r="S24" i="42" s="1"/>
  <c r="T24" i="42" s="1"/>
  <c r="H40" i="42" l="1"/>
  <c r="O11" i="42"/>
  <c r="S48" i="42"/>
  <c r="S59" i="42"/>
  <c r="S58" i="42"/>
  <c r="L12" i="42"/>
  <c r="G100" i="9" s="1"/>
  <c r="K50" i="42"/>
  <c r="J44" i="42"/>
  <c r="G40" i="42"/>
  <c r="E40" i="42"/>
  <c r="I40" i="42"/>
  <c r="F7" i="42" s="1"/>
  <c r="F17" i="42" s="1"/>
  <c r="F19" i="42" s="1"/>
  <c r="F40" i="42"/>
  <c r="M40" i="42"/>
  <c r="J7" i="42" s="1"/>
  <c r="J40" i="42"/>
  <c r="G7" i="42" s="1"/>
  <c r="G19" i="42" s="1"/>
  <c r="Q40" i="42"/>
  <c r="N7" i="42" s="1"/>
  <c r="N40" i="42"/>
  <c r="K7" i="42" s="1"/>
  <c r="R40" i="42"/>
  <c r="O7" i="42" s="1"/>
  <c r="L40" i="42"/>
  <c r="I7" i="42" s="1"/>
  <c r="P40" i="42"/>
  <c r="M7" i="42" s="1"/>
  <c r="T40" i="42"/>
  <c r="K40" i="42"/>
  <c r="H7" i="42" s="1"/>
  <c r="H19" i="42" s="1"/>
  <c r="O40" i="42"/>
  <c r="L7" i="42" s="1"/>
  <c r="S40" i="42"/>
  <c r="O13" i="42"/>
  <c r="O12" i="42"/>
  <c r="G103" i="9" l="1"/>
  <c r="S57" i="42"/>
  <c r="M12" i="42"/>
  <c r="G101" i="9" s="1"/>
  <c r="J9" i="42"/>
  <c r="I8" i="42"/>
  <c r="I19" i="42" s="1"/>
  <c r="K44" i="42"/>
  <c r="S56" i="42"/>
  <c r="S55" i="42"/>
  <c r="L50" i="42"/>
  <c r="J8" i="42"/>
  <c r="N12" i="42" l="1"/>
  <c r="G102" i="9" s="1"/>
  <c r="S47" i="42"/>
  <c r="K9" i="42"/>
  <c r="L44" i="42"/>
  <c r="M44" i="42" s="1"/>
  <c r="M50" i="42"/>
  <c r="L9" i="42" l="1"/>
  <c r="K8" i="42"/>
  <c r="N44" i="42"/>
  <c r="O44" i="42" s="1"/>
  <c r="P44" i="42" s="1"/>
  <c r="Q44" i="42" s="1"/>
  <c r="R44" i="42" s="1"/>
  <c r="N50" i="42"/>
  <c r="M9" i="42" l="1"/>
  <c r="L8" i="42"/>
  <c r="O50" i="42"/>
  <c r="N9" i="42" l="1"/>
  <c r="M8" i="42"/>
  <c r="P50" i="42"/>
  <c r="I49" i="44"/>
  <c r="H49" i="44"/>
  <c r="G49" i="44"/>
  <c r="F49" i="44"/>
  <c r="E49" i="44"/>
  <c r="D49" i="44"/>
  <c r="C49" i="44"/>
  <c r="I48" i="44"/>
  <c r="H48" i="44"/>
  <c r="G48" i="44"/>
  <c r="F48" i="44"/>
  <c r="E48" i="44"/>
  <c r="D48" i="44"/>
  <c r="C48" i="44"/>
  <c r="B49" i="44"/>
  <c r="B48" i="44"/>
  <c r="D43" i="44"/>
  <c r="I37" i="44"/>
  <c r="H37" i="44"/>
  <c r="G37" i="44"/>
  <c r="F37" i="44"/>
  <c r="E37" i="44"/>
  <c r="D37" i="44"/>
  <c r="C37" i="44"/>
  <c r="I36" i="44"/>
  <c r="H36" i="44"/>
  <c r="G36" i="44"/>
  <c r="F36" i="44"/>
  <c r="E36" i="44"/>
  <c r="D36" i="44"/>
  <c r="C36" i="44"/>
  <c r="I35" i="44"/>
  <c r="H35" i="44"/>
  <c r="G35" i="44"/>
  <c r="F35" i="44"/>
  <c r="E35" i="44"/>
  <c r="D35" i="44"/>
  <c r="C35" i="44"/>
  <c r="I34" i="44"/>
  <c r="H34" i="44"/>
  <c r="G34" i="44"/>
  <c r="F34" i="44"/>
  <c r="E34" i="44"/>
  <c r="D34" i="44"/>
  <c r="C34" i="44"/>
  <c r="I33" i="44"/>
  <c r="H33" i="44"/>
  <c r="G33" i="44"/>
  <c r="F33" i="44"/>
  <c r="E33" i="44"/>
  <c r="D33" i="44"/>
  <c r="C33" i="44"/>
  <c r="I32" i="44"/>
  <c r="H32" i="44"/>
  <c r="G32" i="44"/>
  <c r="F32" i="44"/>
  <c r="E32" i="44"/>
  <c r="D32" i="44"/>
  <c r="C32" i="44"/>
  <c r="I31" i="44"/>
  <c r="H31" i="44"/>
  <c r="G31" i="44"/>
  <c r="F31" i="44"/>
  <c r="E31" i="44"/>
  <c r="D31" i="44"/>
  <c r="C31" i="44"/>
  <c r="I30" i="44"/>
  <c r="H30" i="44"/>
  <c r="G30" i="44"/>
  <c r="F30" i="44"/>
  <c r="E30" i="44"/>
  <c r="D30" i="44"/>
  <c r="I29" i="44"/>
  <c r="H29" i="44"/>
  <c r="G29" i="44"/>
  <c r="F29" i="44"/>
  <c r="E29" i="44"/>
  <c r="D29" i="44"/>
  <c r="I28" i="44"/>
  <c r="H28" i="44"/>
  <c r="G28" i="44"/>
  <c r="F28" i="44"/>
  <c r="E28" i="44"/>
  <c r="D28" i="44"/>
  <c r="I27" i="44"/>
  <c r="H27" i="44"/>
  <c r="G27" i="44"/>
  <c r="F27" i="44"/>
  <c r="E27" i="44"/>
  <c r="D27" i="44"/>
  <c r="J25" i="44"/>
  <c r="J24" i="44"/>
  <c r="J17" i="44"/>
  <c r="J16" i="44"/>
  <c r="J15" i="44"/>
  <c r="J14" i="44"/>
  <c r="J13" i="44"/>
  <c r="J12" i="44"/>
  <c r="J11" i="44"/>
  <c r="J10" i="44"/>
  <c r="J6" i="44"/>
  <c r="J4" i="44"/>
  <c r="J3" i="44"/>
  <c r="E40" i="17"/>
  <c r="E43" i="44" s="1"/>
  <c r="J58" i="36"/>
  <c r="J57" i="36"/>
  <c r="J56" i="36"/>
  <c r="J55" i="36"/>
  <c r="J54" i="36"/>
  <c r="J53" i="36"/>
  <c r="J52" i="36"/>
  <c r="J51" i="36"/>
  <c r="J50" i="36"/>
  <c r="J49" i="36"/>
  <c r="J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J6" i="36"/>
  <c r="J5" i="36"/>
  <c r="J4" i="36"/>
  <c r="J3" i="36"/>
  <c r="J78" i="36"/>
  <c r="J77" i="36"/>
  <c r="J76" i="36"/>
  <c r="J75" i="36"/>
  <c r="J74" i="36"/>
  <c r="J73" i="36"/>
  <c r="J72" i="36"/>
  <c r="J71" i="36"/>
  <c r="J70" i="36"/>
  <c r="J69" i="36"/>
  <c r="J68" i="36"/>
  <c r="J67" i="36"/>
  <c r="J66" i="36"/>
  <c r="J65" i="36"/>
  <c r="J64" i="36"/>
  <c r="J63" i="36"/>
  <c r="J62" i="36"/>
  <c r="J61" i="36"/>
  <c r="J60" i="36"/>
  <c r="J59" i="36"/>
  <c r="O9" i="42" l="1"/>
  <c r="S46" i="42"/>
  <c r="N8" i="42"/>
  <c r="Q50" i="42"/>
  <c r="J48" i="44"/>
  <c r="E69" i="44"/>
  <c r="J31" i="44"/>
  <c r="J35" i="44"/>
  <c r="J49" i="44"/>
  <c r="J32" i="44"/>
  <c r="J33" i="44"/>
  <c r="J34" i="44"/>
  <c r="J36" i="44"/>
  <c r="J37" i="44"/>
  <c r="O8" i="42" l="1"/>
  <c r="R50" i="42"/>
  <c r="S45" i="42"/>
  <c r="S50" i="42" s="1"/>
  <c r="M27" i="38"/>
  <c r="D69" i="44"/>
  <c r="S206" i="39"/>
  <c r="S205" i="39"/>
  <c r="S204" i="39"/>
  <c r="S203" i="39"/>
  <c r="S202" i="39"/>
  <c r="S201" i="39"/>
  <c r="S200" i="39"/>
  <c r="S199" i="39"/>
  <c r="S198" i="39"/>
  <c r="S197" i="39"/>
  <c r="S196" i="39"/>
  <c r="S195" i="39"/>
  <c r="S194" i="39"/>
  <c r="S193" i="39"/>
  <c r="S192" i="39"/>
  <c r="S191" i="39"/>
  <c r="S190" i="39"/>
  <c r="S189" i="39"/>
  <c r="S188" i="39"/>
  <c r="S187" i="39"/>
  <c r="S186" i="39"/>
  <c r="S185" i="39"/>
  <c r="S184" i="39"/>
  <c r="S183" i="39"/>
  <c r="S182" i="39"/>
  <c r="S181" i="39"/>
  <c r="S180" i="39"/>
  <c r="S179" i="39"/>
  <c r="S178" i="39"/>
  <c r="S177" i="39"/>
  <c r="S176" i="39"/>
  <c r="S175" i="39"/>
  <c r="S174" i="39"/>
  <c r="S173" i="39"/>
  <c r="S172" i="39"/>
  <c r="S171" i="39"/>
  <c r="S170" i="39"/>
  <c r="S169" i="39"/>
  <c r="S168" i="39"/>
  <c r="S167" i="39"/>
  <c r="S166" i="39"/>
  <c r="S165" i="39"/>
  <c r="S164" i="39"/>
  <c r="S163" i="39"/>
  <c r="S162" i="39"/>
  <c r="S161" i="39"/>
  <c r="S160" i="39"/>
  <c r="S159" i="39"/>
  <c r="S158" i="39"/>
  <c r="S157" i="39"/>
  <c r="S156" i="39"/>
  <c r="S155" i="39"/>
  <c r="S154" i="39"/>
  <c r="S153" i="39"/>
  <c r="S152" i="39"/>
  <c r="S151" i="39"/>
  <c r="S150" i="39"/>
  <c r="S149" i="39"/>
  <c r="S148" i="39"/>
  <c r="S147" i="39"/>
  <c r="S146" i="39"/>
  <c r="S145" i="39"/>
  <c r="S144" i="39"/>
  <c r="S143" i="39"/>
  <c r="S142" i="39"/>
  <c r="S141" i="39"/>
  <c r="S140" i="39"/>
  <c r="S139" i="39"/>
  <c r="S138" i="39"/>
  <c r="S137" i="39"/>
  <c r="S136" i="39"/>
  <c r="S135" i="39"/>
  <c r="S134" i="39"/>
  <c r="S133" i="39"/>
  <c r="S132" i="39"/>
  <c r="S131" i="39"/>
  <c r="S130" i="39"/>
  <c r="S129" i="39"/>
  <c r="S128" i="39"/>
  <c r="S127" i="39"/>
  <c r="S126" i="39"/>
  <c r="S125" i="39"/>
  <c r="S124" i="39"/>
  <c r="S123" i="39"/>
  <c r="S122" i="39"/>
  <c r="S121" i="39"/>
  <c r="S120" i="39"/>
  <c r="S119" i="39"/>
  <c r="S118" i="39"/>
  <c r="S117" i="39"/>
  <c r="S116" i="39"/>
  <c r="S115" i="39"/>
  <c r="S114" i="39"/>
  <c r="S113" i="39"/>
  <c r="S112" i="39"/>
  <c r="S111" i="39"/>
  <c r="S110" i="39"/>
  <c r="S109" i="39"/>
  <c r="S108" i="39"/>
  <c r="S107" i="39"/>
  <c r="S106" i="39"/>
  <c r="S105" i="39"/>
  <c r="S104" i="39"/>
  <c r="S103" i="39"/>
  <c r="S102" i="39"/>
  <c r="S101" i="39"/>
  <c r="S100" i="39"/>
  <c r="S99" i="39"/>
  <c r="S98" i="39"/>
  <c r="S97" i="39"/>
  <c r="S96" i="39"/>
  <c r="S95" i="39"/>
  <c r="S94" i="39"/>
  <c r="S93" i="39"/>
  <c r="S92" i="39"/>
  <c r="S91" i="39"/>
  <c r="S90" i="39"/>
  <c r="S89" i="39"/>
  <c r="S88" i="39"/>
  <c r="S87" i="39"/>
  <c r="S86" i="39"/>
  <c r="S85" i="39"/>
  <c r="S84" i="39"/>
  <c r="S83" i="39"/>
  <c r="S82" i="39"/>
  <c r="S81" i="39"/>
  <c r="S80" i="39"/>
  <c r="S79" i="39"/>
  <c r="S78" i="39"/>
  <c r="S77" i="39"/>
  <c r="S76" i="39"/>
  <c r="S75" i="39"/>
  <c r="S74" i="39"/>
  <c r="S73" i="39"/>
  <c r="S72" i="39"/>
  <c r="S71" i="39"/>
  <c r="S70" i="39"/>
  <c r="S69" i="39"/>
  <c r="S68" i="39"/>
  <c r="S67" i="39"/>
  <c r="S66" i="39"/>
  <c r="S65" i="39"/>
  <c r="S64" i="39"/>
  <c r="S63" i="39"/>
  <c r="S62" i="39"/>
  <c r="S61" i="39"/>
  <c r="S60" i="39"/>
  <c r="S59" i="39"/>
  <c r="S58" i="39"/>
  <c r="S57" i="39"/>
  <c r="S56" i="39"/>
  <c r="S55" i="39"/>
  <c r="S54" i="39"/>
  <c r="S53" i="39"/>
  <c r="S52" i="39"/>
  <c r="S51" i="39"/>
  <c r="S50" i="39"/>
  <c r="S49" i="39"/>
  <c r="S48" i="39"/>
  <c r="S47" i="39"/>
  <c r="S46" i="39"/>
  <c r="S45" i="39"/>
  <c r="S44" i="39"/>
  <c r="S43" i="39"/>
  <c r="S42" i="39"/>
  <c r="S41" i="39"/>
  <c r="S40" i="39"/>
  <c r="S39" i="39"/>
  <c r="S38" i="39"/>
  <c r="S37" i="39"/>
  <c r="S36" i="39"/>
  <c r="S35" i="39"/>
  <c r="S34" i="39"/>
  <c r="S33" i="39"/>
  <c r="S32" i="39"/>
  <c r="S31" i="39"/>
  <c r="S30" i="39"/>
  <c r="S29" i="39"/>
  <c r="S28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S5" i="39"/>
  <c r="S4" i="39"/>
  <c r="S3" i="39"/>
  <c r="J206" i="39"/>
  <c r="J205" i="39"/>
  <c r="J204" i="39"/>
  <c r="J203" i="39"/>
  <c r="J202" i="39"/>
  <c r="J201" i="39"/>
  <c r="J200" i="39"/>
  <c r="J199" i="39"/>
  <c r="J198" i="39"/>
  <c r="J197" i="39"/>
  <c r="J196" i="39"/>
  <c r="J195" i="39"/>
  <c r="J194" i="39"/>
  <c r="J193" i="39"/>
  <c r="J192" i="39"/>
  <c r="J191" i="39"/>
  <c r="J190" i="39"/>
  <c r="J189" i="39"/>
  <c r="J188" i="39"/>
  <c r="J187" i="39"/>
  <c r="J186" i="39"/>
  <c r="J185" i="39"/>
  <c r="J184" i="39"/>
  <c r="J183" i="39"/>
  <c r="J182" i="39"/>
  <c r="J181" i="39"/>
  <c r="J180" i="39"/>
  <c r="J179" i="39"/>
  <c r="J178" i="39"/>
  <c r="J177" i="39"/>
  <c r="J176" i="39"/>
  <c r="J175" i="39"/>
  <c r="J174" i="39"/>
  <c r="J173" i="39"/>
  <c r="J172" i="39"/>
  <c r="J171" i="39"/>
  <c r="J170" i="39"/>
  <c r="J169" i="39"/>
  <c r="J168" i="39"/>
  <c r="J167" i="39"/>
  <c r="J166" i="39"/>
  <c r="J165" i="39"/>
  <c r="J164" i="39"/>
  <c r="J163" i="39"/>
  <c r="J162" i="39"/>
  <c r="J161" i="39"/>
  <c r="J160" i="39"/>
  <c r="J159" i="39"/>
  <c r="J158" i="39"/>
  <c r="J157" i="39"/>
  <c r="J156" i="39"/>
  <c r="J155" i="39"/>
  <c r="J154" i="39"/>
  <c r="J153" i="39"/>
  <c r="J152" i="39"/>
  <c r="J151" i="39"/>
  <c r="J150" i="39"/>
  <c r="J149" i="39"/>
  <c r="J148" i="39"/>
  <c r="J147" i="39"/>
  <c r="J146" i="39"/>
  <c r="J145" i="39"/>
  <c r="J144" i="39"/>
  <c r="J143" i="39"/>
  <c r="J142" i="39"/>
  <c r="J141" i="39"/>
  <c r="J140" i="39"/>
  <c r="J139" i="39"/>
  <c r="J138" i="39"/>
  <c r="J137" i="39"/>
  <c r="J136" i="39"/>
  <c r="J135" i="39"/>
  <c r="J134" i="39"/>
  <c r="J133" i="39"/>
  <c r="J132" i="39"/>
  <c r="J131" i="39"/>
  <c r="J130" i="39"/>
  <c r="J129" i="39"/>
  <c r="J128" i="39"/>
  <c r="J127" i="39"/>
  <c r="J126" i="39"/>
  <c r="J125" i="39"/>
  <c r="J124" i="39"/>
  <c r="J123" i="39"/>
  <c r="J122" i="39"/>
  <c r="J121" i="39"/>
  <c r="J120" i="39"/>
  <c r="J119" i="39"/>
  <c r="J118" i="39"/>
  <c r="J117" i="39"/>
  <c r="J116" i="39"/>
  <c r="J115" i="39"/>
  <c r="J114" i="39"/>
  <c r="J113" i="39"/>
  <c r="J112" i="39"/>
  <c r="J111" i="39"/>
  <c r="J110" i="39"/>
  <c r="J109" i="39"/>
  <c r="J108" i="39"/>
  <c r="J107" i="39"/>
  <c r="J106" i="39"/>
  <c r="J105" i="39"/>
  <c r="J104" i="39"/>
  <c r="J103" i="39"/>
  <c r="J102" i="39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G134" i="39"/>
  <c r="F134" i="39"/>
  <c r="C134" i="39"/>
  <c r="B134" i="39"/>
  <c r="D70" i="44" l="1"/>
  <c r="M22" i="38"/>
  <c r="B220" i="28"/>
  <c r="C221" i="28" s="1"/>
  <c r="D221" i="28" s="1"/>
  <c r="B220" i="27"/>
  <c r="C221" i="27" s="1"/>
  <c r="D221" i="27" s="1"/>
  <c r="B220" i="23"/>
  <c r="C221" i="23" s="1"/>
  <c r="D221" i="23" s="1"/>
  <c r="B220" i="26"/>
  <c r="C221" i="26" s="1"/>
  <c r="D221" i="26" s="1"/>
  <c r="B220" i="22"/>
  <c r="C221" i="22" s="1"/>
  <c r="D221" i="22" s="1"/>
  <c r="B220" i="21"/>
  <c r="C221" i="21" s="1"/>
  <c r="D221" i="21" s="1"/>
  <c r="B220" i="20"/>
  <c r="C221" i="20" s="1"/>
  <c r="D221" i="20" s="1"/>
  <c r="G134" i="28"/>
  <c r="F134" i="28"/>
  <c r="C134" i="28"/>
  <c r="G134" i="27"/>
  <c r="F134" i="27"/>
  <c r="C134" i="27"/>
  <c r="G134" i="23"/>
  <c r="F134" i="23"/>
  <c r="C134" i="23"/>
  <c r="G134" i="26"/>
  <c r="F134" i="26"/>
  <c r="C134" i="26"/>
  <c r="G134" i="22"/>
  <c r="F134" i="22"/>
  <c r="C134" i="22"/>
  <c r="G134" i="21"/>
  <c r="F134" i="21"/>
  <c r="C134" i="21"/>
  <c r="D54" i="44" l="1"/>
  <c r="D71" i="44"/>
  <c r="E54" i="44"/>
  <c r="E71" i="44"/>
  <c r="E70" i="44"/>
  <c r="C134" i="33"/>
  <c r="U134" i="39" s="1"/>
  <c r="B134" i="33"/>
  <c r="T134" i="39" s="1"/>
  <c r="C134" i="32"/>
  <c r="L134" i="39" s="1"/>
  <c r="B134" i="32"/>
  <c r="K134" i="39" s="1"/>
  <c r="C11" i="30"/>
  <c r="C10" i="30"/>
  <c r="C9" i="30"/>
  <c r="C8" i="30"/>
  <c r="C7" i="30"/>
  <c r="C6" i="30"/>
  <c r="C5" i="30"/>
  <c r="C4" i="30"/>
  <c r="C3" i="30"/>
  <c r="C2" i="30"/>
  <c r="B12" i="30"/>
  <c r="B11" i="30"/>
  <c r="B10" i="30"/>
  <c r="B9" i="30"/>
  <c r="B8" i="30"/>
  <c r="B7" i="30"/>
  <c r="B6" i="30"/>
  <c r="B5" i="30"/>
  <c r="B4" i="30"/>
  <c r="B3" i="30"/>
  <c r="B2" i="30"/>
  <c r="E55" i="44" l="1"/>
  <c r="E64" i="44" s="1"/>
  <c r="E72" i="44"/>
  <c r="D55" i="44"/>
  <c r="B18" i="30"/>
  <c r="B17" i="30"/>
  <c r="B16" i="30"/>
  <c r="D72" i="44"/>
  <c r="E56" i="44" l="1"/>
  <c r="E65" i="44" s="1"/>
  <c r="D56" i="44"/>
  <c r="D73" i="44"/>
  <c r="E73" i="44"/>
  <c r="E74" i="44"/>
  <c r="D74" i="44" l="1"/>
  <c r="B220" i="19"/>
  <c r="C221" i="19" s="1"/>
  <c r="D221" i="19" s="1"/>
  <c r="H123" i="19"/>
  <c r="I123" i="19" s="1"/>
  <c r="J123" i="19" s="1"/>
  <c r="I90" i="37" l="1"/>
  <c r="I117" i="37" s="1"/>
  <c r="H90" i="37"/>
  <c r="H117" i="37" s="1"/>
  <c r="G90" i="37"/>
  <c r="G117" i="37" s="1"/>
  <c r="F90" i="37"/>
  <c r="F117" i="37" s="1"/>
  <c r="E90" i="37"/>
  <c r="E117" i="37" s="1"/>
  <c r="D90" i="37"/>
  <c r="D117" i="37" s="1"/>
  <c r="C90" i="37"/>
  <c r="C117" i="37" s="1"/>
  <c r="B90" i="37"/>
  <c r="B117" i="37" s="1"/>
  <c r="I89" i="37"/>
  <c r="I116" i="37" s="1"/>
  <c r="H89" i="37"/>
  <c r="H116" i="37" s="1"/>
  <c r="G89" i="37"/>
  <c r="G116" i="37" s="1"/>
  <c r="F89" i="37"/>
  <c r="F116" i="37" s="1"/>
  <c r="E89" i="37"/>
  <c r="E116" i="37" s="1"/>
  <c r="D89" i="37"/>
  <c r="D116" i="37" s="1"/>
  <c r="C89" i="37"/>
  <c r="C116" i="37" s="1"/>
  <c r="B89" i="37"/>
  <c r="B116" i="37" s="1"/>
  <c r="E86" i="44" l="1"/>
  <c r="E87" i="44"/>
  <c r="C86" i="44"/>
  <c r="G86" i="44"/>
  <c r="C87" i="44"/>
  <c r="D86" i="44"/>
  <c r="H86" i="44"/>
  <c r="D87" i="44"/>
  <c r="H87" i="44"/>
  <c r="I86" i="44"/>
  <c r="I87" i="44"/>
  <c r="B86" i="44"/>
  <c r="F86" i="44"/>
  <c r="B87" i="44"/>
  <c r="F87" i="44"/>
  <c r="G87" i="44"/>
  <c r="I13" i="17"/>
  <c r="I49" i="37" s="1"/>
  <c r="H13" i="17"/>
  <c r="H49" i="37" s="1"/>
  <c r="G13" i="17"/>
  <c r="G49" i="37" s="1"/>
  <c r="F13" i="17"/>
  <c r="F49" i="37" s="1"/>
  <c r="E13" i="17"/>
  <c r="D13" i="17"/>
  <c r="D49" i="37" s="1"/>
  <c r="C13" i="17"/>
  <c r="C49" i="37" s="1"/>
  <c r="I12" i="17"/>
  <c r="I48" i="37" s="1"/>
  <c r="H12" i="17"/>
  <c r="H48" i="37" s="1"/>
  <c r="G12" i="17"/>
  <c r="G48" i="37" s="1"/>
  <c r="F12" i="17"/>
  <c r="F48" i="37" s="1"/>
  <c r="E12" i="17"/>
  <c r="E48" i="37" s="1"/>
  <c r="D12" i="17"/>
  <c r="D48" i="37" s="1"/>
  <c r="C12" i="17"/>
  <c r="C48" i="37" s="1"/>
  <c r="I11" i="17"/>
  <c r="I47" i="37" s="1"/>
  <c r="H11" i="17"/>
  <c r="H47" i="37" s="1"/>
  <c r="G11" i="17"/>
  <c r="G47" i="37" s="1"/>
  <c r="F11" i="17"/>
  <c r="F47" i="37" s="1"/>
  <c r="E11" i="17"/>
  <c r="E47" i="37" s="1"/>
  <c r="D11" i="17"/>
  <c r="D47" i="37" s="1"/>
  <c r="C11" i="17"/>
  <c r="C47" i="37" s="1"/>
  <c r="I10" i="17"/>
  <c r="I46" i="37" s="1"/>
  <c r="H10" i="17"/>
  <c r="H46" i="37" s="1"/>
  <c r="G10" i="17"/>
  <c r="G46" i="37" s="1"/>
  <c r="F10" i="17"/>
  <c r="F46" i="37" s="1"/>
  <c r="E10" i="17"/>
  <c r="E46" i="37" s="1"/>
  <c r="D10" i="17"/>
  <c r="D46" i="37" s="1"/>
  <c r="C10" i="17"/>
  <c r="C46" i="37" s="1"/>
  <c r="I9" i="17"/>
  <c r="I45" i="37" s="1"/>
  <c r="H9" i="17"/>
  <c r="H45" i="37" s="1"/>
  <c r="G9" i="17"/>
  <c r="G45" i="37" s="1"/>
  <c r="F9" i="17"/>
  <c r="F45" i="37" s="1"/>
  <c r="E9" i="17"/>
  <c r="E45" i="37" s="1"/>
  <c r="D9" i="17"/>
  <c r="D45" i="37" s="1"/>
  <c r="C9" i="17"/>
  <c r="C45" i="37" s="1"/>
  <c r="I8" i="17"/>
  <c r="H8" i="17"/>
  <c r="H44" i="37" s="1"/>
  <c r="G8" i="17"/>
  <c r="G44" i="37" s="1"/>
  <c r="F8" i="17"/>
  <c r="F44" i="37" s="1"/>
  <c r="E8" i="17"/>
  <c r="E44" i="37" s="1"/>
  <c r="D8" i="17"/>
  <c r="D44" i="37" s="1"/>
  <c r="C8" i="17"/>
  <c r="C44" i="37" s="1"/>
  <c r="I7" i="17"/>
  <c r="I43" i="37" s="1"/>
  <c r="H7" i="17"/>
  <c r="H43" i="37" s="1"/>
  <c r="G7" i="17"/>
  <c r="G43" i="37" s="1"/>
  <c r="F7" i="17"/>
  <c r="F43" i="37" s="1"/>
  <c r="E7" i="17"/>
  <c r="E43" i="37" s="1"/>
  <c r="D7" i="17"/>
  <c r="D43" i="37" s="1"/>
  <c r="C7" i="17"/>
  <c r="C43" i="37" s="1"/>
  <c r="I6" i="17"/>
  <c r="H6" i="17"/>
  <c r="H42" i="37" s="1"/>
  <c r="G6" i="17"/>
  <c r="G42" i="37" s="1"/>
  <c r="F6" i="17"/>
  <c r="F42" i="37" s="1"/>
  <c r="E6" i="17"/>
  <c r="E42" i="37" s="1"/>
  <c r="D6" i="17"/>
  <c r="D42" i="37" s="1"/>
  <c r="I5" i="17"/>
  <c r="H5" i="17"/>
  <c r="H41" i="37" s="1"/>
  <c r="G5" i="17"/>
  <c r="G41" i="37" s="1"/>
  <c r="F5" i="17"/>
  <c r="F41" i="37" s="1"/>
  <c r="E5" i="17"/>
  <c r="E41" i="37" s="1"/>
  <c r="D5" i="17"/>
  <c r="D41" i="37" s="1"/>
  <c r="I4" i="17"/>
  <c r="H4" i="17"/>
  <c r="H40" i="37" s="1"/>
  <c r="G4" i="17"/>
  <c r="G40" i="37" s="1"/>
  <c r="F4" i="17"/>
  <c r="F40" i="37" s="1"/>
  <c r="E4" i="17"/>
  <c r="E40" i="37" s="1"/>
  <c r="D4" i="17"/>
  <c r="D40" i="37" s="1"/>
  <c r="I3" i="17"/>
  <c r="H3" i="17"/>
  <c r="H39" i="37" s="1"/>
  <c r="G3" i="17"/>
  <c r="G39" i="37" s="1"/>
  <c r="F3" i="17"/>
  <c r="F39" i="37" s="1"/>
  <c r="E3" i="17"/>
  <c r="E39" i="37" s="1"/>
  <c r="D3" i="17"/>
  <c r="D39" i="37" s="1"/>
  <c r="B13" i="17"/>
  <c r="B49" i="37" s="1"/>
  <c r="B12" i="17"/>
  <c r="B48" i="37" s="1"/>
  <c r="B11" i="17"/>
  <c r="B47" i="37" s="1"/>
  <c r="B10" i="17"/>
  <c r="B46" i="37" s="1"/>
  <c r="B9" i="17"/>
  <c r="B45" i="37" s="1"/>
  <c r="B8" i="17"/>
  <c r="B44" i="37" s="1"/>
  <c r="B7" i="17"/>
  <c r="B43" i="37" s="1"/>
  <c r="B6" i="17"/>
  <c r="B42" i="37" s="1"/>
  <c r="B5" i="17"/>
  <c r="B41" i="37" s="1"/>
  <c r="B4" i="17"/>
  <c r="B40" i="37" s="1"/>
  <c r="B3" i="17"/>
  <c r="B39" i="37" s="1"/>
  <c r="O31" i="9" l="1"/>
  <c r="I40" i="37"/>
  <c r="E49" i="37"/>
  <c r="I26" i="17"/>
  <c r="I42" i="37"/>
  <c r="O30" i="9"/>
  <c r="O49" i="9" s="1"/>
  <c r="I39" i="37"/>
  <c r="O32" i="9"/>
  <c r="O50" i="9" s="1"/>
  <c r="I41" i="37"/>
  <c r="I27" i="17"/>
  <c r="I44" i="37"/>
  <c r="I28" i="17"/>
  <c r="I25" i="17"/>
  <c r="I23" i="17"/>
  <c r="I24" i="17"/>
  <c r="J17" i="40"/>
  <c r="J16" i="40"/>
  <c r="J15" i="40"/>
  <c r="J14" i="40"/>
  <c r="J13" i="40"/>
  <c r="J12" i="40"/>
  <c r="J11" i="40"/>
  <c r="J10" i="40"/>
  <c r="C9" i="40"/>
  <c r="C9" i="44" s="1"/>
  <c r="C8" i="40"/>
  <c r="C8" i="44" s="1"/>
  <c r="C7" i="40"/>
  <c r="C7" i="44" s="1"/>
  <c r="J6" i="40"/>
  <c r="J4" i="40"/>
  <c r="J3" i="40"/>
  <c r="J7" i="44" l="1"/>
  <c r="C28" i="44"/>
  <c r="J28" i="44" s="1"/>
  <c r="C27" i="44"/>
  <c r="J27" i="44" s="1"/>
  <c r="J8" i="44"/>
  <c r="C29" i="44"/>
  <c r="J29" i="44" s="1"/>
  <c r="J9" i="44"/>
  <c r="C30" i="44"/>
  <c r="J30" i="44" s="1"/>
  <c r="N27" i="38"/>
  <c r="E17" i="17"/>
  <c r="J7" i="40"/>
  <c r="C3" i="17"/>
  <c r="C39" i="37" s="1"/>
  <c r="C4" i="17"/>
  <c r="C40" i="37" s="1"/>
  <c r="J8" i="40"/>
  <c r="C5" i="17"/>
  <c r="C41" i="37" s="1"/>
  <c r="J9" i="40"/>
  <c r="C6" i="17"/>
  <c r="C42" i="37" s="1"/>
  <c r="O27" i="38" l="1"/>
  <c r="E18" i="17"/>
  <c r="P27" i="38" l="1"/>
  <c r="E19" i="17"/>
  <c r="F40" i="17"/>
  <c r="Q27" i="38" l="1"/>
  <c r="R27" i="38"/>
  <c r="N22" i="38"/>
  <c r="D17" i="17"/>
  <c r="F43" i="44"/>
  <c r="O22" i="38" l="1"/>
  <c r="D18" i="17"/>
  <c r="B32" i="17"/>
  <c r="C32" i="17"/>
  <c r="C31" i="17"/>
  <c r="C30" i="17"/>
  <c r="C29" i="17"/>
  <c r="C28" i="17"/>
  <c r="C27" i="17"/>
  <c r="C26" i="17"/>
  <c r="C25" i="17"/>
  <c r="C24" i="17"/>
  <c r="C23" i="17"/>
  <c r="F17" i="17" l="1"/>
  <c r="P22" i="38"/>
  <c r="D19" i="17"/>
  <c r="F69" i="44"/>
  <c r="F33" i="17"/>
  <c r="D33" i="17"/>
  <c r="F54" i="44" l="1"/>
  <c r="M32" i="38"/>
  <c r="Q22" i="38"/>
  <c r="R22" i="38"/>
  <c r="F18" i="17"/>
  <c r="F70" i="44"/>
  <c r="G206" i="39"/>
  <c r="F206" i="39"/>
  <c r="A206" i="39"/>
  <c r="G205" i="39"/>
  <c r="F205" i="39"/>
  <c r="A205" i="39"/>
  <c r="G204" i="39"/>
  <c r="F204" i="39"/>
  <c r="A204" i="39"/>
  <c r="G203" i="39"/>
  <c r="F203" i="39"/>
  <c r="A203" i="39"/>
  <c r="G202" i="39"/>
  <c r="F202" i="39"/>
  <c r="A202" i="39"/>
  <c r="G201" i="39"/>
  <c r="F201" i="39"/>
  <c r="A201" i="39"/>
  <c r="G200" i="39"/>
  <c r="F200" i="39"/>
  <c r="A200" i="39"/>
  <c r="G199" i="39"/>
  <c r="F199" i="39"/>
  <c r="A199" i="39"/>
  <c r="G198" i="39"/>
  <c r="F198" i="39"/>
  <c r="A198" i="39"/>
  <c r="G197" i="39"/>
  <c r="F197" i="39"/>
  <c r="A197" i="39"/>
  <c r="G196" i="39"/>
  <c r="F196" i="39"/>
  <c r="A196" i="39"/>
  <c r="G195" i="39"/>
  <c r="F195" i="39"/>
  <c r="A195" i="39"/>
  <c r="G194" i="39"/>
  <c r="F194" i="39"/>
  <c r="A194" i="39"/>
  <c r="G193" i="39"/>
  <c r="F193" i="39"/>
  <c r="A193" i="39"/>
  <c r="G192" i="39"/>
  <c r="F192" i="39"/>
  <c r="A192" i="39"/>
  <c r="G191" i="39"/>
  <c r="F191" i="39"/>
  <c r="A191" i="39"/>
  <c r="G190" i="39"/>
  <c r="F190" i="39"/>
  <c r="A190" i="39"/>
  <c r="G189" i="39"/>
  <c r="F189" i="39"/>
  <c r="A189" i="39"/>
  <c r="G188" i="39"/>
  <c r="F188" i="39"/>
  <c r="A188" i="39"/>
  <c r="G187" i="39"/>
  <c r="F187" i="39"/>
  <c r="A187" i="39"/>
  <c r="G186" i="39"/>
  <c r="F186" i="39"/>
  <c r="A186" i="39"/>
  <c r="G185" i="39"/>
  <c r="F185" i="39"/>
  <c r="A185" i="39"/>
  <c r="G184" i="39"/>
  <c r="F184" i="39"/>
  <c r="A184" i="39"/>
  <c r="G183" i="39"/>
  <c r="F183" i="39"/>
  <c r="A183" i="39"/>
  <c r="G182" i="39"/>
  <c r="F182" i="39"/>
  <c r="A182" i="39"/>
  <c r="G181" i="39"/>
  <c r="F181" i="39"/>
  <c r="A181" i="39"/>
  <c r="G180" i="39"/>
  <c r="F180" i="39"/>
  <c r="A180" i="39"/>
  <c r="G179" i="39"/>
  <c r="F179" i="39"/>
  <c r="A179" i="39"/>
  <c r="G178" i="39"/>
  <c r="F178" i="39"/>
  <c r="A178" i="39"/>
  <c r="G177" i="39"/>
  <c r="F177" i="39"/>
  <c r="A177" i="39"/>
  <c r="G176" i="39"/>
  <c r="F176" i="39"/>
  <c r="A176" i="39"/>
  <c r="G175" i="39"/>
  <c r="F175" i="39"/>
  <c r="A175" i="39"/>
  <c r="G174" i="39"/>
  <c r="F174" i="39"/>
  <c r="A174" i="39"/>
  <c r="G173" i="39"/>
  <c r="F173" i="39"/>
  <c r="A173" i="39"/>
  <c r="G172" i="39"/>
  <c r="F172" i="39"/>
  <c r="A172" i="39"/>
  <c r="G171" i="39"/>
  <c r="F171" i="39"/>
  <c r="A171" i="39"/>
  <c r="G170" i="39"/>
  <c r="F170" i="39"/>
  <c r="A170" i="39"/>
  <c r="G169" i="39"/>
  <c r="F169" i="39"/>
  <c r="A169" i="39"/>
  <c r="G168" i="39"/>
  <c r="F168" i="39"/>
  <c r="A168" i="39"/>
  <c r="G167" i="39"/>
  <c r="F167" i="39"/>
  <c r="A167" i="39"/>
  <c r="G166" i="39"/>
  <c r="F166" i="39"/>
  <c r="A166" i="39"/>
  <c r="G165" i="39"/>
  <c r="F165" i="39"/>
  <c r="A165" i="39"/>
  <c r="G164" i="39"/>
  <c r="F164" i="39"/>
  <c r="A164" i="39"/>
  <c r="G163" i="39"/>
  <c r="F163" i="39"/>
  <c r="A163" i="39"/>
  <c r="G162" i="39"/>
  <c r="F162" i="39"/>
  <c r="A162" i="39"/>
  <c r="G161" i="39"/>
  <c r="F161" i="39"/>
  <c r="A161" i="39"/>
  <c r="G160" i="39"/>
  <c r="F160" i="39"/>
  <c r="A160" i="39"/>
  <c r="G159" i="39"/>
  <c r="F159" i="39"/>
  <c r="A159" i="39"/>
  <c r="G158" i="39"/>
  <c r="F158" i="39"/>
  <c r="A158" i="39"/>
  <c r="G157" i="39"/>
  <c r="F157" i="39"/>
  <c r="A157" i="39"/>
  <c r="G156" i="39"/>
  <c r="F156" i="39"/>
  <c r="A156" i="39"/>
  <c r="G155" i="39"/>
  <c r="F155" i="39"/>
  <c r="A155" i="39"/>
  <c r="G154" i="39"/>
  <c r="F154" i="39"/>
  <c r="A154" i="39"/>
  <c r="G153" i="39"/>
  <c r="F153" i="39"/>
  <c r="A153" i="39"/>
  <c r="G152" i="39"/>
  <c r="F152" i="39"/>
  <c r="A152" i="39"/>
  <c r="G151" i="39"/>
  <c r="F151" i="39"/>
  <c r="A151" i="39"/>
  <c r="G150" i="39"/>
  <c r="F150" i="39"/>
  <c r="A150" i="39"/>
  <c r="G149" i="39"/>
  <c r="F149" i="39"/>
  <c r="A149" i="39"/>
  <c r="G148" i="39"/>
  <c r="F148" i="39"/>
  <c r="A148" i="39"/>
  <c r="G147" i="39"/>
  <c r="F147" i="39"/>
  <c r="A147" i="39"/>
  <c r="G146" i="39"/>
  <c r="F146" i="39"/>
  <c r="A146" i="39"/>
  <c r="G145" i="39"/>
  <c r="F145" i="39"/>
  <c r="A145" i="39"/>
  <c r="G144" i="39"/>
  <c r="F144" i="39"/>
  <c r="A144" i="39"/>
  <c r="G143" i="39"/>
  <c r="F143" i="39"/>
  <c r="A143" i="39"/>
  <c r="G142" i="39"/>
  <c r="F142" i="39"/>
  <c r="A142" i="39"/>
  <c r="G141" i="39"/>
  <c r="F141" i="39"/>
  <c r="A141" i="39"/>
  <c r="G140" i="39"/>
  <c r="F140" i="39"/>
  <c r="A140" i="39"/>
  <c r="G139" i="39"/>
  <c r="F139" i="39"/>
  <c r="A139" i="39"/>
  <c r="G138" i="39"/>
  <c r="F138" i="39"/>
  <c r="A138" i="39"/>
  <c r="G137" i="39"/>
  <c r="F137" i="39"/>
  <c r="A137" i="39"/>
  <c r="G136" i="39"/>
  <c r="F136" i="39"/>
  <c r="A136" i="39"/>
  <c r="G135" i="39"/>
  <c r="F135" i="39"/>
  <c r="A135" i="39"/>
  <c r="A134" i="39"/>
  <c r="G133" i="39"/>
  <c r="F133" i="39"/>
  <c r="B133" i="39"/>
  <c r="A133" i="39"/>
  <c r="G132" i="39"/>
  <c r="F132" i="39"/>
  <c r="B132" i="39"/>
  <c r="A132" i="39"/>
  <c r="G131" i="39"/>
  <c r="F131" i="39"/>
  <c r="B131" i="39"/>
  <c r="A131" i="39"/>
  <c r="G130" i="39"/>
  <c r="F130" i="39"/>
  <c r="B130" i="39"/>
  <c r="A130" i="39"/>
  <c r="G129" i="39"/>
  <c r="F129" i="39"/>
  <c r="B129" i="39"/>
  <c r="A129" i="39"/>
  <c r="G128" i="39"/>
  <c r="F128" i="39"/>
  <c r="B128" i="39"/>
  <c r="A128" i="39"/>
  <c r="G127" i="39"/>
  <c r="F127" i="39"/>
  <c r="B127" i="39"/>
  <c r="A127" i="39"/>
  <c r="G126" i="39"/>
  <c r="F126" i="39"/>
  <c r="B126" i="39"/>
  <c r="A126" i="39"/>
  <c r="G125" i="39"/>
  <c r="F125" i="39"/>
  <c r="B125" i="39"/>
  <c r="A125" i="39"/>
  <c r="G124" i="39"/>
  <c r="F124" i="39"/>
  <c r="B124" i="39"/>
  <c r="A124" i="39"/>
  <c r="G123" i="39"/>
  <c r="F123" i="39"/>
  <c r="E123" i="39"/>
  <c r="B123" i="39"/>
  <c r="A123" i="39"/>
  <c r="G122" i="39"/>
  <c r="F122" i="39"/>
  <c r="B122" i="39"/>
  <c r="A122" i="39"/>
  <c r="G121" i="39"/>
  <c r="F121" i="39"/>
  <c r="B121" i="39"/>
  <c r="A121" i="39"/>
  <c r="G120" i="39"/>
  <c r="F120" i="39"/>
  <c r="B120" i="39"/>
  <c r="A120" i="39"/>
  <c r="G119" i="39"/>
  <c r="F119" i="39"/>
  <c r="B119" i="39"/>
  <c r="A119" i="39"/>
  <c r="G118" i="39"/>
  <c r="F118" i="39"/>
  <c r="B118" i="39"/>
  <c r="A118" i="39"/>
  <c r="G117" i="39"/>
  <c r="F117" i="39"/>
  <c r="B117" i="39"/>
  <c r="A117" i="39"/>
  <c r="G116" i="39"/>
  <c r="F116" i="39"/>
  <c r="B116" i="39"/>
  <c r="A116" i="39"/>
  <c r="G115" i="39"/>
  <c r="F115" i="39"/>
  <c r="B115" i="39"/>
  <c r="A115" i="39"/>
  <c r="G114" i="39"/>
  <c r="F114" i="39"/>
  <c r="B114" i="39"/>
  <c r="A114" i="39"/>
  <c r="G113" i="39"/>
  <c r="F113" i="39"/>
  <c r="B113" i="39"/>
  <c r="A113" i="39"/>
  <c r="G112" i="39"/>
  <c r="F112" i="39"/>
  <c r="B112" i="39"/>
  <c r="A112" i="39"/>
  <c r="G111" i="39"/>
  <c r="F111" i="39"/>
  <c r="B111" i="39"/>
  <c r="A111" i="39"/>
  <c r="G110" i="39"/>
  <c r="F110" i="39"/>
  <c r="B110" i="39"/>
  <c r="A110" i="39"/>
  <c r="G109" i="39"/>
  <c r="F109" i="39"/>
  <c r="B109" i="39"/>
  <c r="A109" i="39"/>
  <c r="G108" i="39"/>
  <c r="F108" i="39"/>
  <c r="B108" i="39"/>
  <c r="A108" i="39"/>
  <c r="G107" i="39"/>
  <c r="F107" i="39"/>
  <c r="B107" i="39"/>
  <c r="A107" i="39"/>
  <c r="G106" i="39"/>
  <c r="F106" i="39"/>
  <c r="B106" i="39"/>
  <c r="A106" i="39"/>
  <c r="G105" i="39"/>
  <c r="F105" i="39"/>
  <c r="B105" i="39"/>
  <c r="A105" i="39"/>
  <c r="G104" i="39"/>
  <c r="F104" i="39"/>
  <c r="B104" i="39"/>
  <c r="A104" i="39"/>
  <c r="G103" i="39"/>
  <c r="F103" i="39"/>
  <c r="B103" i="39"/>
  <c r="A103" i="39"/>
  <c r="G102" i="39"/>
  <c r="F102" i="39"/>
  <c r="B102" i="39"/>
  <c r="A102" i="39"/>
  <c r="G101" i="39"/>
  <c r="F101" i="39"/>
  <c r="B101" i="39"/>
  <c r="A101" i="39"/>
  <c r="G100" i="39"/>
  <c r="F100" i="39"/>
  <c r="B100" i="39"/>
  <c r="A100" i="39"/>
  <c r="G99" i="39"/>
  <c r="F99" i="39"/>
  <c r="B99" i="39"/>
  <c r="A99" i="39"/>
  <c r="G98" i="39"/>
  <c r="F98" i="39"/>
  <c r="D98" i="39"/>
  <c r="C98" i="39"/>
  <c r="B98" i="39"/>
  <c r="A98" i="39"/>
  <c r="G97" i="39"/>
  <c r="F97" i="39"/>
  <c r="D97" i="39"/>
  <c r="C97" i="39"/>
  <c r="B97" i="39"/>
  <c r="A97" i="39"/>
  <c r="G96" i="39"/>
  <c r="F96" i="39"/>
  <c r="D96" i="39"/>
  <c r="C96" i="39"/>
  <c r="B96" i="39"/>
  <c r="A96" i="39"/>
  <c r="G95" i="39"/>
  <c r="F95" i="39"/>
  <c r="D95" i="39"/>
  <c r="C95" i="39"/>
  <c r="B95" i="39"/>
  <c r="A95" i="39"/>
  <c r="G94" i="39"/>
  <c r="F94" i="39"/>
  <c r="D94" i="39"/>
  <c r="C94" i="39"/>
  <c r="B94" i="39"/>
  <c r="A94" i="39"/>
  <c r="G93" i="39"/>
  <c r="F93" i="39"/>
  <c r="D93" i="39"/>
  <c r="C93" i="39"/>
  <c r="B93" i="39"/>
  <c r="A93" i="39"/>
  <c r="G92" i="39"/>
  <c r="F92" i="39"/>
  <c r="D92" i="39"/>
  <c r="C92" i="39"/>
  <c r="B92" i="39"/>
  <c r="A92" i="39"/>
  <c r="G91" i="39"/>
  <c r="F91" i="39"/>
  <c r="D91" i="39"/>
  <c r="C91" i="39"/>
  <c r="B91" i="39"/>
  <c r="A91" i="39"/>
  <c r="G90" i="39"/>
  <c r="F90" i="39"/>
  <c r="D90" i="39"/>
  <c r="C90" i="39"/>
  <c r="B90" i="39"/>
  <c r="A90" i="39"/>
  <c r="G89" i="39"/>
  <c r="F89" i="39"/>
  <c r="D89" i="39"/>
  <c r="C89" i="39"/>
  <c r="B89" i="39"/>
  <c r="A89" i="39"/>
  <c r="G88" i="39"/>
  <c r="F88" i="39"/>
  <c r="D88" i="39"/>
  <c r="C88" i="39"/>
  <c r="B88" i="39"/>
  <c r="A88" i="39"/>
  <c r="G87" i="39"/>
  <c r="F87" i="39"/>
  <c r="D87" i="39"/>
  <c r="C87" i="39"/>
  <c r="B87" i="39"/>
  <c r="A87" i="39"/>
  <c r="G86" i="39"/>
  <c r="F86" i="39"/>
  <c r="D86" i="39"/>
  <c r="C86" i="39"/>
  <c r="B86" i="39"/>
  <c r="A86" i="39"/>
  <c r="G85" i="39"/>
  <c r="F85" i="39"/>
  <c r="D85" i="39"/>
  <c r="C85" i="39"/>
  <c r="B85" i="39"/>
  <c r="A85" i="39"/>
  <c r="G84" i="39"/>
  <c r="F84" i="39"/>
  <c r="D84" i="39"/>
  <c r="C84" i="39"/>
  <c r="B84" i="39"/>
  <c r="A84" i="39"/>
  <c r="G83" i="39"/>
  <c r="F83" i="39"/>
  <c r="D83" i="39"/>
  <c r="C83" i="39"/>
  <c r="B83" i="39"/>
  <c r="A83" i="39"/>
  <c r="G82" i="39"/>
  <c r="F82" i="39"/>
  <c r="D82" i="39"/>
  <c r="C82" i="39"/>
  <c r="B82" i="39"/>
  <c r="A82" i="39"/>
  <c r="G81" i="39"/>
  <c r="F81" i="39"/>
  <c r="D81" i="39"/>
  <c r="C81" i="39"/>
  <c r="B81" i="39"/>
  <c r="A81" i="39"/>
  <c r="G80" i="39"/>
  <c r="F80" i="39"/>
  <c r="D80" i="39"/>
  <c r="C80" i="39"/>
  <c r="B80" i="39"/>
  <c r="A80" i="39"/>
  <c r="G79" i="39"/>
  <c r="F79" i="39"/>
  <c r="D79" i="39"/>
  <c r="C79" i="39"/>
  <c r="B79" i="39"/>
  <c r="A79" i="39"/>
  <c r="G78" i="39"/>
  <c r="F78" i="39"/>
  <c r="D78" i="39"/>
  <c r="C78" i="39"/>
  <c r="B78" i="39"/>
  <c r="A78" i="39"/>
  <c r="G77" i="39"/>
  <c r="F77" i="39"/>
  <c r="D77" i="39"/>
  <c r="C77" i="39"/>
  <c r="B77" i="39"/>
  <c r="A77" i="39"/>
  <c r="G76" i="39"/>
  <c r="F76" i="39"/>
  <c r="D76" i="39"/>
  <c r="C76" i="39"/>
  <c r="B76" i="39"/>
  <c r="A76" i="39"/>
  <c r="G75" i="39"/>
  <c r="F75" i="39"/>
  <c r="D75" i="39"/>
  <c r="C75" i="39"/>
  <c r="B75" i="39"/>
  <c r="A75" i="39"/>
  <c r="G74" i="39"/>
  <c r="F74" i="39"/>
  <c r="D74" i="39"/>
  <c r="C74" i="39"/>
  <c r="B74" i="39"/>
  <c r="A74" i="39"/>
  <c r="G73" i="39"/>
  <c r="F73" i="39"/>
  <c r="D73" i="39"/>
  <c r="C73" i="39"/>
  <c r="B73" i="39"/>
  <c r="A73" i="39"/>
  <c r="G72" i="39"/>
  <c r="F72" i="39"/>
  <c r="D72" i="39"/>
  <c r="C72" i="39"/>
  <c r="B72" i="39"/>
  <c r="A72" i="39"/>
  <c r="G71" i="39"/>
  <c r="F71" i="39"/>
  <c r="D71" i="39"/>
  <c r="C71" i="39"/>
  <c r="B71" i="39"/>
  <c r="A71" i="39"/>
  <c r="G70" i="39"/>
  <c r="F70" i="39"/>
  <c r="D70" i="39"/>
  <c r="C70" i="39"/>
  <c r="B70" i="39"/>
  <c r="A70" i="39"/>
  <c r="G69" i="39"/>
  <c r="F69" i="39"/>
  <c r="D69" i="39"/>
  <c r="C69" i="39"/>
  <c r="B69" i="39"/>
  <c r="A69" i="39"/>
  <c r="G68" i="39"/>
  <c r="F68" i="39"/>
  <c r="D68" i="39"/>
  <c r="C68" i="39"/>
  <c r="B68" i="39"/>
  <c r="A68" i="39"/>
  <c r="G67" i="39"/>
  <c r="F67" i="39"/>
  <c r="D67" i="39"/>
  <c r="C67" i="39"/>
  <c r="B67" i="39"/>
  <c r="A67" i="39"/>
  <c r="G66" i="39"/>
  <c r="F66" i="39"/>
  <c r="D66" i="39"/>
  <c r="C66" i="39"/>
  <c r="B66" i="39"/>
  <c r="A66" i="39"/>
  <c r="G65" i="39"/>
  <c r="F65" i="39"/>
  <c r="D65" i="39"/>
  <c r="C65" i="39"/>
  <c r="B65" i="39"/>
  <c r="A65" i="39"/>
  <c r="G64" i="39"/>
  <c r="F64" i="39"/>
  <c r="D64" i="39"/>
  <c r="C64" i="39"/>
  <c r="B64" i="39"/>
  <c r="A64" i="39"/>
  <c r="G63" i="39"/>
  <c r="F63" i="39"/>
  <c r="D63" i="39"/>
  <c r="C63" i="39"/>
  <c r="B63" i="39"/>
  <c r="A63" i="39"/>
  <c r="G62" i="39"/>
  <c r="F62" i="39"/>
  <c r="D62" i="39"/>
  <c r="C62" i="39"/>
  <c r="B62" i="39"/>
  <c r="A62" i="39"/>
  <c r="G61" i="39"/>
  <c r="F61" i="39"/>
  <c r="D61" i="39"/>
  <c r="C61" i="39"/>
  <c r="B61" i="39"/>
  <c r="A61" i="39"/>
  <c r="G60" i="39"/>
  <c r="F60" i="39"/>
  <c r="D60" i="39"/>
  <c r="C60" i="39"/>
  <c r="B60" i="39"/>
  <c r="A60" i="39"/>
  <c r="G59" i="39"/>
  <c r="F59" i="39"/>
  <c r="D59" i="39"/>
  <c r="C59" i="39"/>
  <c r="B59" i="39"/>
  <c r="A59" i="39"/>
  <c r="G58" i="39"/>
  <c r="F58" i="39"/>
  <c r="D58" i="39"/>
  <c r="C58" i="39"/>
  <c r="B58" i="39"/>
  <c r="A58" i="39"/>
  <c r="G57" i="39"/>
  <c r="F57" i="39"/>
  <c r="D57" i="39"/>
  <c r="C57" i="39"/>
  <c r="B57" i="39"/>
  <c r="A57" i="39"/>
  <c r="G56" i="39"/>
  <c r="F56" i="39"/>
  <c r="D56" i="39"/>
  <c r="C56" i="39"/>
  <c r="B56" i="39"/>
  <c r="A56" i="39"/>
  <c r="G55" i="39"/>
  <c r="F55" i="39"/>
  <c r="D55" i="39"/>
  <c r="C55" i="39"/>
  <c r="B55" i="39"/>
  <c r="A55" i="39"/>
  <c r="G54" i="39"/>
  <c r="F54" i="39"/>
  <c r="D54" i="39"/>
  <c r="C54" i="39"/>
  <c r="B54" i="39"/>
  <c r="A54" i="39"/>
  <c r="G53" i="39"/>
  <c r="F53" i="39"/>
  <c r="D53" i="39"/>
  <c r="C53" i="39"/>
  <c r="B53" i="39"/>
  <c r="A53" i="39"/>
  <c r="G52" i="39"/>
  <c r="F52" i="39"/>
  <c r="D52" i="39"/>
  <c r="C52" i="39"/>
  <c r="B52" i="39"/>
  <c r="A52" i="39"/>
  <c r="G51" i="39"/>
  <c r="F51" i="39"/>
  <c r="D51" i="39"/>
  <c r="C51" i="39"/>
  <c r="B51" i="39"/>
  <c r="A51" i="39"/>
  <c r="G50" i="39"/>
  <c r="F50" i="39"/>
  <c r="D50" i="39"/>
  <c r="C50" i="39"/>
  <c r="B50" i="39"/>
  <c r="A50" i="39"/>
  <c r="G49" i="39"/>
  <c r="F49" i="39"/>
  <c r="D49" i="39"/>
  <c r="C49" i="39"/>
  <c r="B49" i="39"/>
  <c r="A49" i="39"/>
  <c r="G48" i="39"/>
  <c r="F48" i="39"/>
  <c r="D48" i="39"/>
  <c r="C48" i="39"/>
  <c r="B48" i="39"/>
  <c r="A48" i="39"/>
  <c r="G47" i="39"/>
  <c r="F47" i="39"/>
  <c r="D47" i="39"/>
  <c r="C47" i="39"/>
  <c r="B47" i="39"/>
  <c r="A47" i="39"/>
  <c r="G46" i="39"/>
  <c r="F46" i="39"/>
  <c r="D46" i="39"/>
  <c r="C46" i="39"/>
  <c r="B46" i="39"/>
  <c r="A46" i="39"/>
  <c r="G45" i="39"/>
  <c r="F45" i="39"/>
  <c r="D45" i="39"/>
  <c r="C45" i="39"/>
  <c r="B45" i="39"/>
  <c r="A45" i="39"/>
  <c r="G44" i="39"/>
  <c r="F44" i="39"/>
  <c r="D44" i="39"/>
  <c r="C44" i="39"/>
  <c r="B44" i="39"/>
  <c r="A44" i="39"/>
  <c r="G43" i="39"/>
  <c r="F43" i="39"/>
  <c r="D43" i="39"/>
  <c r="C43" i="39"/>
  <c r="B43" i="39"/>
  <c r="A43" i="39"/>
  <c r="G42" i="39"/>
  <c r="F42" i="39"/>
  <c r="D42" i="39"/>
  <c r="C42" i="39"/>
  <c r="B42" i="39"/>
  <c r="A42" i="39"/>
  <c r="G41" i="39"/>
  <c r="F41" i="39"/>
  <c r="D41" i="39"/>
  <c r="C41" i="39"/>
  <c r="B41" i="39"/>
  <c r="A41" i="39"/>
  <c r="G40" i="39"/>
  <c r="F40" i="39"/>
  <c r="D40" i="39"/>
  <c r="C40" i="39"/>
  <c r="B40" i="39"/>
  <c r="A40" i="39"/>
  <c r="G39" i="39"/>
  <c r="F39" i="39"/>
  <c r="D39" i="39"/>
  <c r="C39" i="39"/>
  <c r="B39" i="39"/>
  <c r="A39" i="39"/>
  <c r="G38" i="39"/>
  <c r="F38" i="39"/>
  <c r="D38" i="39"/>
  <c r="C38" i="39"/>
  <c r="B38" i="39"/>
  <c r="A38" i="39"/>
  <c r="G37" i="39"/>
  <c r="F37" i="39"/>
  <c r="D37" i="39"/>
  <c r="C37" i="39"/>
  <c r="B37" i="39"/>
  <c r="A37" i="39"/>
  <c r="G36" i="39"/>
  <c r="F36" i="39"/>
  <c r="D36" i="39"/>
  <c r="C36" i="39"/>
  <c r="B36" i="39"/>
  <c r="A36" i="39"/>
  <c r="G35" i="39"/>
  <c r="F35" i="39"/>
  <c r="D35" i="39"/>
  <c r="C35" i="39"/>
  <c r="B35" i="39"/>
  <c r="A35" i="39"/>
  <c r="G34" i="39"/>
  <c r="F34" i="39"/>
  <c r="D34" i="39"/>
  <c r="C34" i="39"/>
  <c r="B34" i="39"/>
  <c r="A34" i="39"/>
  <c r="G33" i="39"/>
  <c r="F33" i="39"/>
  <c r="D33" i="39"/>
  <c r="C33" i="39"/>
  <c r="B33" i="39"/>
  <c r="A33" i="39"/>
  <c r="G32" i="39"/>
  <c r="F32" i="39"/>
  <c r="D32" i="39"/>
  <c r="C32" i="39"/>
  <c r="B32" i="39"/>
  <c r="A32" i="39"/>
  <c r="G31" i="39"/>
  <c r="F31" i="39"/>
  <c r="D31" i="39"/>
  <c r="C31" i="39"/>
  <c r="B31" i="39"/>
  <c r="A31" i="39"/>
  <c r="G30" i="39"/>
  <c r="F30" i="39"/>
  <c r="D30" i="39"/>
  <c r="C30" i="39"/>
  <c r="B30" i="39"/>
  <c r="A30" i="39"/>
  <c r="G29" i="39"/>
  <c r="F29" i="39"/>
  <c r="D29" i="39"/>
  <c r="C29" i="39"/>
  <c r="B29" i="39"/>
  <c r="A29" i="39"/>
  <c r="G28" i="39"/>
  <c r="F28" i="39"/>
  <c r="D28" i="39"/>
  <c r="C28" i="39"/>
  <c r="B28" i="39"/>
  <c r="A28" i="39"/>
  <c r="G27" i="39"/>
  <c r="F27" i="39"/>
  <c r="D27" i="39"/>
  <c r="C27" i="39"/>
  <c r="B27" i="39"/>
  <c r="A27" i="39"/>
  <c r="G26" i="39"/>
  <c r="F26" i="39"/>
  <c r="D26" i="39"/>
  <c r="C26" i="39"/>
  <c r="B26" i="39"/>
  <c r="A26" i="39"/>
  <c r="G25" i="39"/>
  <c r="F25" i="39"/>
  <c r="D25" i="39"/>
  <c r="C25" i="39"/>
  <c r="B25" i="39"/>
  <c r="A25" i="39"/>
  <c r="G24" i="39"/>
  <c r="F24" i="39"/>
  <c r="D24" i="39"/>
  <c r="C24" i="39"/>
  <c r="B24" i="39"/>
  <c r="A24" i="39"/>
  <c r="G23" i="39"/>
  <c r="F23" i="39"/>
  <c r="D23" i="39"/>
  <c r="C23" i="39"/>
  <c r="B23" i="39"/>
  <c r="A23" i="39"/>
  <c r="G22" i="39"/>
  <c r="F22" i="39"/>
  <c r="D22" i="39"/>
  <c r="C22" i="39"/>
  <c r="B22" i="39"/>
  <c r="A22" i="39"/>
  <c r="G21" i="39"/>
  <c r="F21" i="39"/>
  <c r="D21" i="39"/>
  <c r="C21" i="39"/>
  <c r="B21" i="39"/>
  <c r="A21" i="39"/>
  <c r="G20" i="39"/>
  <c r="F20" i="39"/>
  <c r="D20" i="39"/>
  <c r="C20" i="39"/>
  <c r="B20" i="39"/>
  <c r="A20" i="39"/>
  <c r="G19" i="39"/>
  <c r="F19" i="39"/>
  <c r="D19" i="39"/>
  <c r="C19" i="39"/>
  <c r="B19" i="39"/>
  <c r="A19" i="39"/>
  <c r="G18" i="39"/>
  <c r="F18" i="39"/>
  <c r="D18" i="39"/>
  <c r="C18" i="39"/>
  <c r="B18" i="39"/>
  <c r="A18" i="39"/>
  <c r="G17" i="39"/>
  <c r="F17" i="39"/>
  <c r="D17" i="39"/>
  <c r="C17" i="39"/>
  <c r="B17" i="39"/>
  <c r="A17" i="39"/>
  <c r="G16" i="39"/>
  <c r="F16" i="39"/>
  <c r="D16" i="39"/>
  <c r="C16" i="39"/>
  <c r="B16" i="39"/>
  <c r="A16" i="39"/>
  <c r="G15" i="39"/>
  <c r="F15" i="39"/>
  <c r="D15" i="39"/>
  <c r="C15" i="39"/>
  <c r="B15" i="39"/>
  <c r="A15" i="39"/>
  <c r="G14" i="39"/>
  <c r="F14" i="39"/>
  <c r="D14" i="39"/>
  <c r="C14" i="39"/>
  <c r="B14" i="39"/>
  <c r="A14" i="39"/>
  <c r="G13" i="39"/>
  <c r="F13" i="39"/>
  <c r="D13" i="39"/>
  <c r="C13" i="39"/>
  <c r="B13" i="39"/>
  <c r="A13" i="39"/>
  <c r="G12" i="39"/>
  <c r="F12" i="39"/>
  <c r="D12" i="39"/>
  <c r="C12" i="39"/>
  <c r="B12" i="39"/>
  <c r="A12" i="39"/>
  <c r="G11" i="39"/>
  <c r="F11" i="39"/>
  <c r="D11" i="39"/>
  <c r="C11" i="39"/>
  <c r="B11" i="39"/>
  <c r="A11" i="39"/>
  <c r="G10" i="39"/>
  <c r="F10" i="39"/>
  <c r="D10" i="39"/>
  <c r="C10" i="39"/>
  <c r="B10" i="39"/>
  <c r="A10" i="39"/>
  <c r="G9" i="39"/>
  <c r="F9" i="39"/>
  <c r="D9" i="39"/>
  <c r="C9" i="39"/>
  <c r="B9" i="39"/>
  <c r="A9" i="39"/>
  <c r="G8" i="39"/>
  <c r="F8" i="39"/>
  <c r="D8" i="39"/>
  <c r="C8" i="39"/>
  <c r="B8" i="39"/>
  <c r="A8" i="39"/>
  <c r="G7" i="39"/>
  <c r="F7" i="39"/>
  <c r="D7" i="39"/>
  <c r="C7" i="39"/>
  <c r="B7" i="39"/>
  <c r="A7" i="39"/>
  <c r="G6" i="39"/>
  <c r="F6" i="39"/>
  <c r="D6" i="39"/>
  <c r="C6" i="39"/>
  <c r="B6" i="39"/>
  <c r="A6" i="39"/>
  <c r="G5" i="39"/>
  <c r="F5" i="39"/>
  <c r="D5" i="39"/>
  <c r="C5" i="39"/>
  <c r="B5" i="39"/>
  <c r="A5" i="39"/>
  <c r="G4" i="39"/>
  <c r="F4" i="39"/>
  <c r="D4" i="39"/>
  <c r="C4" i="39"/>
  <c r="B4" i="39"/>
  <c r="A4" i="39"/>
  <c r="G3" i="39"/>
  <c r="F3" i="39"/>
  <c r="D3" i="39"/>
  <c r="C3" i="39"/>
  <c r="B3" i="39"/>
  <c r="A3" i="39"/>
  <c r="C110" i="38"/>
  <c r="B110" i="38"/>
  <c r="C105" i="38"/>
  <c r="C106" i="38" s="1"/>
  <c r="B105" i="38"/>
  <c r="B106" i="38" s="1"/>
  <c r="C100" i="38"/>
  <c r="C101" i="38" s="1"/>
  <c r="B100" i="38"/>
  <c r="B101" i="38" s="1"/>
  <c r="C95" i="38"/>
  <c r="C96" i="38" s="1"/>
  <c r="B95" i="38"/>
  <c r="B96" i="38" s="1"/>
  <c r="B90" i="38"/>
  <c r="B91" i="38" s="1"/>
  <c r="C90" i="38"/>
  <c r="C91" i="38" s="1"/>
  <c r="B85" i="38"/>
  <c r="B86" i="38" s="1"/>
  <c r="C85" i="38"/>
  <c r="C86" i="38" s="1"/>
  <c r="C81" i="38"/>
  <c r="B81" i="38"/>
  <c r="C77" i="38"/>
  <c r="B77" i="38"/>
  <c r="C68" i="38"/>
  <c r="A46" i="38"/>
  <c r="A108" i="38" s="1"/>
  <c r="A41" i="38"/>
  <c r="A103" i="38" s="1"/>
  <c r="A36" i="38"/>
  <c r="A98" i="38" s="1"/>
  <c r="A31" i="38"/>
  <c r="A93" i="38" s="1"/>
  <c r="A26" i="38"/>
  <c r="A88" i="38" s="1"/>
  <c r="A21" i="38"/>
  <c r="A83" i="38" s="1"/>
  <c r="A17" i="38"/>
  <c r="A79" i="38" s="1"/>
  <c r="A13" i="38"/>
  <c r="A75" i="38" s="1"/>
  <c r="L44" i="38"/>
  <c r="L44" i="11" s="1"/>
  <c r="L39" i="38"/>
  <c r="L39" i="11" s="1"/>
  <c r="L34" i="38"/>
  <c r="L34" i="11" s="1"/>
  <c r="L29" i="38"/>
  <c r="L29" i="11" s="1"/>
  <c r="B150" i="37"/>
  <c r="L24" i="38" s="1"/>
  <c r="L24" i="11" s="1"/>
  <c r="K44" i="38"/>
  <c r="K44" i="11" s="1"/>
  <c r="K39" i="38"/>
  <c r="K39" i="11" s="1"/>
  <c r="K34" i="38"/>
  <c r="K34" i="11" s="1"/>
  <c r="K29" i="38"/>
  <c r="K29" i="11" s="1"/>
  <c r="B149" i="37"/>
  <c r="K24" i="38" s="1"/>
  <c r="K24" i="11" s="1"/>
  <c r="F148" i="37"/>
  <c r="J44" i="38" s="1"/>
  <c r="J44" i="11" s="1"/>
  <c r="E148" i="37"/>
  <c r="J39" i="38" s="1"/>
  <c r="J39" i="11" s="1"/>
  <c r="D148" i="37"/>
  <c r="J34" i="38" s="1"/>
  <c r="J34" i="11" s="1"/>
  <c r="C148" i="37"/>
  <c r="J29" i="38" s="1"/>
  <c r="J29" i="11" s="1"/>
  <c r="B148" i="37"/>
  <c r="J24" i="38" s="1"/>
  <c r="J24" i="11" s="1"/>
  <c r="F147" i="37"/>
  <c r="I44" i="38" s="1"/>
  <c r="I44" i="11" s="1"/>
  <c r="E147" i="37"/>
  <c r="I39" i="38" s="1"/>
  <c r="I39" i="11" s="1"/>
  <c r="D147" i="37"/>
  <c r="I34" i="38" s="1"/>
  <c r="I34" i="11" s="1"/>
  <c r="C147" i="37"/>
  <c r="I29" i="38" s="1"/>
  <c r="I29" i="11" s="1"/>
  <c r="B147" i="37"/>
  <c r="I24" i="38" s="1"/>
  <c r="I24" i="11" s="1"/>
  <c r="F146" i="37"/>
  <c r="H44" i="38" s="1"/>
  <c r="H44" i="11" s="1"/>
  <c r="E146" i="37"/>
  <c r="H39" i="38" s="1"/>
  <c r="H39" i="11" s="1"/>
  <c r="D146" i="37"/>
  <c r="H34" i="38" s="1"/>
  <c r="H34" i="11" s="1"/>
  <c r="C146" i="37"/>
  <c r="H29" i="38" s="1"/>
  <c r="H29" i="11" s="1"/>
  <c r="B146" i="37"/>
  <c r="H24" i="38" s="1"/>
  <c r="H24" i="11" s="1"/>
  <c r="F145" i="37"/>
  <c r="G44" i="38" s="1"/>
  <c r="G44" i="11" s="1"/>
  <c r="E145" i="37"/>
  <c r="G39" i="38" s="1"/>
  <c r="G39" i="11" s="1"/>
  <c r="D145" i="37"/>
  <c r="G34" i="38" s="1"/>
  <c r="G34" i="11" s="1"/>
  <c r="C145" i="37"/>
  <c r="G29" i="38" s="1"/>
  <c r="G29" i="11" s="1"/>
  <c r="B145" i="37"/>
  <c r="G24" i="38" s="1"/>
  <c r="G24" i="11" s="1"/>
  <c r="F144" i="37"/>
  <c r="F44" i="38" s="1"/>
  <c r="F44" i="11" s="1"/>
  <c r="E144" i="37"/>
  <c r="F39" i="38" s="1"/>
  <c r="F39" i="11" s="1"/>
  <c r="D144" i="37"/>
  <c r="F34" i="38" s="1"/>
  <c r="F34" i="11" s="1"/>
  <c r="C144" i="37"/>
  <c r="F29" i="38" s="1"/>
  <c r="F29" i="11" s="1"/>
  <c r="B144" i="37"/>
  <c r="F24" i="38" s="1"/>
  <c r="F24" i="11" s="1"/>
  <c r="F143" i="37"/>
  <c r="E44" i="38" s="1"/>
  <c r="E44" i="11" s="1"/>
  <c r="E143" i="37"/>
  <c r="E39" i="38" s="1"/>
  <c r="E39" i="11" s="1"/>
  <c r="D143" i="37"/>
  <c r="E34" i="38" s="1"/>
  <c r="E34" i="11" s="1"/>
  <c r="C143" i="37"/>
  <c r="E29" i="38" s="1"/>
  <c r="E29" i="11" s="1"/>
  <c r="B143" i="37"/>
  <c r="E24" i="38" s="1"/>
  <c r="E24" i="11" s="1"/>
  <c r="F142" i="37"/>
  <c r="D44" i="38" s="1"/>
  <c r="D44" i="11" s="1"/>
  <c r="E142" i="37"/>
  <c r="D39" i="38" s="1"/>
  <c r="D39" i="11" s="1"/>
  <c r="D142" i="37"/>
  <c r="D34" i="38" s="1"/>
  <c r="D34" i="11" s="1"/>
  <c r="C142" i="37"/>
  <c r="D29" i="38" s="1"/>
  <c r="D29" i="11" s="1"/>
  <c r="B142" i="37"/>
  <c r="D24" i="38" s="1"/>
  <c r="D24" i="11" s="1"/>
  <c r="F141" i="37"/>
  <c r="C44" i="38" s="1"/>
  <c r="C44" i="11" s="1"/>
  <c r="E141" i="37"/>
  <c r="C39" i="38" s="1"/>
  <c r="C39" i="11" s="1"/>
  <c r="D141" i="37"/>
  <c r="C34" i="38" s="1"/>
  <c r="C34" i="11" s="1"/>
  <c r="C141" i="37"/>
  <c r="C29" i="38" s="1"/>
  <c r="C29" i="11" s="1"/>
  <c r="B141" i="37"/>
  <c r="C24" i="38" s="1"/>
  <c r="C24" i="11" s="1"/>
  <c r="F140" i="37"/>
  <c r="B44" i="38" s="1"/>
  <c r="B44" i="11" s="1"/>
  <c r="E140" i="37"/>
  <c r="B39" i="38" s="1"/>
  <c r="B39" i="11" s="1"/>
  <c r="D140" i="37"/>
  <c r="B34" i="38" s="1"/>
  <c r="B34" i="11" s="1"/>
  <c r="C140" i="37"/>
  <c r="B29" i="38" s="1"/>
  <c r="B29" i="11" s="1"/>
  <c r="B140" i="37"/>
  <c r="B24" i="38" s="1"/>
  <c r="B24" i="11" s="1"/>
  <c r="F55" i="44" l="1"/>
  <c r="N32" i="38"/>
  <c r="F19" i="17"/>
  <c r="G96" i="38"/>
  <c r="I106" i="38"/>
  <c r="E86" i="38"/>
  <c r="D106" i="38"/>
  <c r="E91" i="38"/>
  <c r="E106" i="38"/>
  <c r="F96" i="38"/>
  <c r="H106" i="38"/>
  <c r="H101" i="38"/>
  <c r="F91" i="38"/>
  <c r="E101" i="38"/>
  <c r="H86" i="38"/>
  <c r="F86" i="38"/>
  <c r="H91" i="38"/>
  <c r="D96" i="38"/>
  <c r="H96" i="38"/>
  <c r="F101" i="38"/>
  <c r="F106" i="38"/>
  <c r="D101" i="38"/>
  <c r="I101" i="38"/>
  <c r="G86" i="38"/>
  <c r="I91" i="38"/>
  <c r="E96" i="38"/>
  <c r="I96" i="38"/>
  <c r="G101" i="38"/>
  <c r="G106" i="38"/>
  <c r="D91" i="38"/>
  <c r="F71" i="44"/>
  <c r="J84" i="38"/>
  <c r="M22" i="11"/>
  <c r="J94" i="38"/>
  <c r="M32" i="11"/>
  <c r="B53" i="38"/>
  <c r="J53" i="38"/>
  <c r="C114" i="38"/>
  <c r="D53" i="38"/>
  <c r="H53" i="38"/>
  <c r="L53" i="38"/>
  <c r="G91" i="38"/>
  <c r="G53" i="38"/>
  <c r="D86" i="38"/>
  <c r="I86" i="38"/>
  <c r="E53" i="38"/>
  <c r="I53" i="38"/>
  <c r="C53" i="38"/>
  <c r="K53" i="38"/>
  <c r="F53" i="38"/>
  <c r="B115" i="38"/>
  <c r="C115" i="38"/>
  <c r="B114" i="38"/>
  <c r="G146" i="37"/>
  <c r="H10" i="38" s="1"/>
  <c r="G148" i="37"/>
  <c r="J10" i="38" s="1"/>
  <c r="G141" i="37"/>
  <c r="C10" i="38" s="1"/>
  <c r="G145" i="37"/>
  <c r="G10" i="38" s="1"/>
  <c r="G149" i="37"/>
  <c r="K10" i="38" s="1"/>
  <c r="G144" i="37"/>
  <c r="F10" i="38" s="1"/>
  <c r="G142" i="37"/>
  <c r="D10" i="38" s="1"/>
  <c r="G150" i="37"/>
  <c r="L10" i="38" s="1"/>
  <c r="G143" i="37"/>
  <c r="E10" i="38" s="1"/>
  <c r="G140" i="37"/>
  <c r="B10" i="38" s="1"/>
  <c r="G147" i="37"/>
  <c r="I10" i="38" s="1"/>
  <c r="F56" i="44" l="1"/>
  <c r="O32" i="38"/>
  <c r="G115" i="38"/>
  <c r="F115" i="38"/>
  <c r="E115" i="38"/>
  <c r="H115" i="38"/>
  <c r="E10" i="11"/>
  <c r="E58" i="38"/>
  <c r="E58" i="11" s="1"/>
  <c r="K10" i="11"/>
  <c r="K58" i="38"/>
  <c r="K58" i="11" s="1"/>
  <c r="C10" i="11"/>
  <c r="C58" i="38"/>
  <c r="C58" i="11" s="1"/>
  <c r="I10" i="11"/>
  <c r="I58" i="38"/>
  <c r="I58" i="11" s="1"/>
  <c r="H10" i="11"/>
  <c r="H58" i="38"/>
  <c r="H58" i="11" s="1"/>
  <c r="I115" i="38"/>
  <c r="L10" i="11"/>
  <c r="L58" i="38"/>
  <c r="L58" i="11" s="1"/>
  <c r="G10" i="11"/>
  <c r="G58" i="38"/>
  <c r="G58" i="11" s="1"/>
  <c r="D10" i="11"/>
  <c r="D58" i="38"/>
  <c r="D58" i="11" s="1"/>
  <c r="F58" i="38"/>
  <c r="F58" i="11" s="1"/>
  <c r="F10" i="11"/>
  <c r="J58" i="38"/>
  <c r="J58" i="11" s="1"/>
  <c r="J10" i="11"/>
  <c r="B58" i="38"/>
  <c r="B58" i="11" s="1"/>
  <c r="B10" i="11"/>
  <c r="K63" i="38"/>
  <c r="D115" i="38"/>
  <c r="B63" i="38"/>
  <c r="F72" i="44"/>
  <c r="C33" i="17"/>
  <c r="C40" i="17" l="1"/>
  <c r="C44" i="44"/>
  <c r="P32" i="38"/>
  <c r="I63" i="38"/>
  <c r="E63" i="38"/>
  <c r="C63" i="38"/>
  <c r="G63" i="38"/>
  <c r="J63" i="38"/>
  <c r="F63" i="38"/>
  <c r="D63" i="38"/>
  <c r="H63" i="38"/>
  <c r="F73" i="44"/>
  <c r="C69" i="44"/>
  <c r="C43" i="44" l="1"/>
  <c r="Q32" i="38"/>
  <c r="M18" i="38"/>
  <c r="F74" i="44"/>
  <c r="C17" i="17"/>
  <c r="B24" i="17"/>
  <c r="B23" i="17"/>
  <c r="C70" i="44" l="1"/>
  <c r="N18" i="38" s="1"/>
  <c r="R32" i="38"/>
  <c r="J80" i="38"/>
  <c r="M18" i="11"/>
  <c r="C18" i="17"/>
  <c r="J34" i="37"/>
  <c r="F6" i="37" s="1"/>
  <c r="J33" i="37"/>
  <c r="F5" i="37" s="1"/>
  <c r="C54" i="44" l="1"/>
  <c r="C71" i="44"/>
  <c r="A202" i="37"/>
  <c r="A204" i="37"/>
  <c r="A203" i="37"/>
  <c r="O18" i="38"/>
  <c r="E14" i="38"/>
  <c r="B18" i="38"/>
  <c r="B18" i="11" s="1"/>
  <c r="C22" i="38"/>
  <c r="C22" i="11" s="1"/>
  <c r="D27" i="38"/>
  <c r="D27" i="11" s="1"/>
  <c r="E32" i="38"/>
  <c r="F18" i="38"/>
  <c r="G22" i="38"/>
  <c r="G42" i="38"/>
  <c r="H27" i="38"/>
  <c r="H47" i="38"/>
  <c r="J18" i="38"/>
  <c r="J37" i="38"/>
  <c r="K22" i="38"/>
  <c r="K42" i="38"/>
  <c r="L27" i="38"/>
  <c r="L47" i="38"/>
  <c r="B14" i="38"/>
  <c r="J14" i="38"/>
  <c r="B22" i="38"/>
  <c r="B22" i="11" s="1"/>
  <c r="C27" i="38"/>
  <c r="C27" i="11" s="1"/>
  <c r="D32" i="38"/>
  <c r="D32" i="11" s="1"/>
  <c r="E18" i="38"/>
  <c r="F22" i="38"/>
  <c r="G27" i="38"/>
  <c r="H32" i="38"/>
  <c r="I37" i="38"/>
  <c r="J42" i="38"/>
  <c r="K47" i="38"/>
  <c r="C14" i="38"/>
  <c r="G14" i="38"/>
  <c r="K14" i="38"/>
  <c r="B27" i="38"/>
  <c r="B27" i="11" s="1"/>
  <c r="B47" i="38"/>
  <c r="B47" i="11" s="1"/>
  <c r="C32" i="38"/>
  <c r="C32" i="11" s="1"/>
  <c r="D18" i="38"/>
  <c r="D18" i="11" s="1"/>
  <c r="D37" i="38"/>
  <c r="D37" i="11" s="1"/>
  <c r="E22" i="38"/>
  <c r="E42" i="38"/>
  <c r="F27" i="38"/>
  <c r="F47" i="38"/>
  <c r="G32" i="38"/>
  <c r="H18" i="38"/>
  <c r="H37" i="38"/>
  <c r="I22" i="38"/>
  <c r="I42" i="38"/>
  <c r="J27" i="38"/>
  <c r="J47" i="38"/>
  <c r="K32" i="38"/>
  <c r="L18" i="38"/>
  <c r="L37" i="38"/>
  <c r="I14" i="38"/>
  <c r="B37" i="38"/>
  <c r="B37" i="11" s="1"/>
  <c r="C42" i="38"/>
  <c r="C42" i="11" s="1"/>
  <c r="D47" i="38"/>
  <c r="D47" i="11" s="1"/>
  <c r="F37" i="38"/>
  <c r="I32" i="38"/>
  <c r="F14" i="38"/>
  <c r="B42" i="38"/>
  <c r="B42" i="11" s="1"/>
  <c r="C47" i="38"/>
  <c r="C47" i="11" s="1"/>
  <c r="E37" i="38"/>
  <c r="F42" i="38"/>
  <c r="G47" i="38"/>
  <c r="I18" i="38"/>
  <c r="J22" i="38"/>
  <c r="K27" i="38"/>
  <c r="L32" i="38"/>
  <c r="D14" i="38"/>
  <c r="H14" i="38"/>
  <c r="L14" i="38"/>
  <c r="B32" i="38"/>
  <c r="B32" i="11" s="1"/>
  <c r="C18" i="38"/>
  <c r="C18" i="11" s="1"/>
  <c r="C37" i="38"/>
  <c r="C37" i="11" s="1"/>
  <c r="D22" i="38"/>
  <c r="D22" i="11" s="1"/>
  <c r="D42" i="38"/>
  <c r="D42" i="11" s="1"/>
  <c r="E27" i="38"/>
  <c r="E47" i="38"/>
  <c r="F32" i="38"/>
  <c r="G18" i="38"/>
  <c r="G37" i="38"/>
  <c r="H22" i="38"/>
  <c r="H42" i="38"/>
  <c r="I27" i="38"/>
  <c r="I47" i="38"/>
  <c r="J32" i="38"/>
  <c r="K18" i="38"/>
  <c r="K37" i="38"/>
  <c r="L22" i="38"/>
  <c r="L42" i="38"/>
  <c r="C19" i="17"/>
  <c r="J42" i="37"/>
  <c r="J46" i="37"/>
  <c r="J41" i="37"/>
  <c r="J43" i="37"/>
  <c r="J45" i="37"/>
  <c r="J47" i="37"/>
  <c r="J49" i="37"/>
  <c r="J48" i="37"/>
  <c r="J40" i="37"/>
  <c r="U40" i="37" s="1"/>
  <c r="U96" i="37" s="1"/>
  <c r="J44" i="37"/>
  <c r="J39" i="37"/>
  <c r="F14" i="37" l="1"/>
  <c r="U42" i="37"/>
  <c r="U98" i="37" s="1"/>
  <c r="F15" i="37"/>
  <c r="U43" i="37"/>
  <c r="U99" i="37" s="1"/>
  <c r="F13" i="37"/>
  <c r="U41" i="37"/>
  <c r="U97" i="37" s="1"/>
  <c r="F17" i="37"/>
  <c r="U45" i="37"/>
  <c r="U101" i="37" s="1"/>
  <c r="F20" i="37"/>
  <c r="G6" i="37" s="1"/>
  <c r="U48" i="37"/>
  <c r="U104" i="37" s="1"/>
  <c r="U49" i="37"/>
  <c r="U105" i="37" s="1"/>
  <c r="F16" i="37"/>
  <c r="U44" i="37"/>
  <c r="U100" i="37" s="1"/>
  <c r="F19" i="37"/>
  <c r="U47" i="37"/>
  <c r="U103" i="37" s="1"/>
  <c r="F18" i="37"/>
  <c r="U46" i="37"/>
  <c r="U102" i="37" s="1"/>
  <c r="F21" i="37"/>
  <c r="D5" i="45"/>
  <c r="C55" i="44"/>
  <c r="C72" i="44"/>
  <c r="F12" i="37"/>
  <c r="B56" i="38"/>
  <c r="F11" i="37"/>
  <c r="P18" i="38"/>
  <c r="H80" i="38"/>
  <c r="K18" i="11"/>
  <c r="F89" i="38"/>
  <c r="I27" i="11"/>
  <c r="G37" i="11"/>
  <c r="D99" i="38"/>
  <c r="E47" i="11"/>
  <c r="B109" i="38"/>
  <c r="D14" i="11"/>
  <c r="D51" i="38"/>
  <c r="C76" i="38"/>
  <c r="F14" i="11"/>
  <c r="F51" i="38"/>
  <c r="H94" i="38"/>
  <c r="K32" i="11"/>
  <c r="D76" i="38"/>
  <c r="G14" i="11"/>
  <c r="G51" i="38"/>
  <c r="I89" i="38"/>
  <c r="L27" i="11"/>
  <c r="J37" i="11"/>
  <c r="G99" i="38"/>
  <c r="B94" i="38"/>
  <c r="E32" i="11"/>
  <c r="H99" i="38"/>
  <c r="K37" i="11"/>
  <c r="F109" i="38"/>
  <c r="I47" i="11"/>
  <c r="H51" i="38"/>
  <c r="E76" i="38"/>
  <c r="H14" i="11"/>
  <c r="H89" i="38"/>
  <c r="K27" i="11"/>
  <c r="D109" i="38"/>
  <c r="G47" i="11"/>
  <c r="F37" i="11"/>
  <c r="C99" i="38"/>
  <c r="I14" i="11"/>
  <c r="I51" i="38"/>
  <c r="F76" i="38"/>
  <c r="G89" i="38"/>
  <c r="J27" i="11"/>
  <c r="E99" i="38"/>
  <c r="H37" i="11"/>
  <c r="C109" i="38"/>
  <c r="F47" i="11"/>
  <c r="E22" i="11"/>
  <c r="B84" i="38"/>
  <c r="H76" i="38"/>
  <c r="K14" i="11"/>
  <c r="D89" i="38"/>
  <c r="G27" i="11"/>
  <c r="H84" i="38"/>
  <c r="K22" i="11"/>
  <c r="E89" i="38"/>
  <c r="H27" i="11"/>
  <c r="F18" i="11"/>
  <c r="C80" i="38"/>
  <c r="E104" i="38"/>
  <c r="H42" i="11"/>
  <c r="F32" i="11"/>
  <c r="C94" i="38"/>
  <c r="F80" i="38"/>
  <c r="I18" i="11"/>
  <c r="I80" i="38"/>
  <c r="L18" i="11"/>
  <c r="G109" i="38"/>
  <c r="J47" i="11"/>
  <c r="F84" i="38"/>
  <c r="I22" i="11"/>
  <c r="B104" i="38"/>
  <c r="E42" i="11"/>
  <c r="H109" i="38"/>
  <c r="K47" i="11"/>
  <c r="E18" i="11"/>
  <c r="B80" i="38"/>
  <c r="I109" i="38"/>
  <c r="L47" i="11"/>
  <c r="E109" i="38"/>
  <c r="H47" i="11"/>
  <c r="D84" i="38"/>
  <c r="G22" i="11"/>
  <c r="B76" i="38"/>
  <c r="E51" i="38"/>
  <c r="E14" i="11"/>
  <c r="C104" i="38"/>
  <c r="F42" i="11"/>
  <c r="I99" i="38"/>
  <c r="L37" i="11"/>
  <c r="E80" i="38"/>
  <c r="H18" i="11"/>
  <c r="F27" i="11"/>
  <c r="C89" i="38"/>
  <c r="F99" i="38"/>
  <c r="I37" i="11"/>
  <c r="G76" i="38"/>
  <c r="J14" i="11"/>
  <c r="E84" i="38"/>
  <c r="H22" i="11"/>
  <c r="I84" i="38"/>
  <c r="L22" i="11"/>
  <c r="G94" i="38"/>
  <c r="J32" i="11"/>
  <c r="D80" i="38"/>
  <c r="G18" i="11"/>
  <c r="E27" i="11"/>
  <c r="B89" i="38"/>
  <c r="I76" i="38"/>
  <c r="L14" i="11"/>
  <c r="I94" i="38"/>
  <c r="L32" i="11"/>
  <c r="G84" i="38"/>
  <c r="J22" i="11"/>
  <c r="E37" i="11"/>
  <c r="B99" i="38"/>
  <c r="F94" i="38"/>
  <c r="I32" i="11"/>
  <c r="F104" i="38"/>
  <c r="I42" i="11"/>
  <c r="D94" i="38"/>
  <c r="G32" i="11"/>
  <c r="C14" i="11"/>
  <c r="C51" i="38"/>
  <c r="E94" i="38"/>
  <c r="H32" i="11"/>
  <c r="C84" i="38"/>
  <c r="F22" i="11"/>
  <c r="B14" i="11"/>
  <c r="B51" i="38"/>
  <c r="G80" i="38"/>
  <c r="J18" i="11"/>
  <c r="D104" i="38"/>
  <c r="G42" i="11"/>
  <c r="F56" i="38"/>
  <c r="L56" i="38"/>
  <c r="D56" i="38"/>
  <c r="G56" i="38"/>
  <c r="J56" i="38"/>
  <c r="I56" i="38"/>
  <c r="K56" i="38"/>
  <c r="C56" i="38"/>
  <c r="H56" i="38"/>
  <c r="E56" i="38"/>
  <c r="C56" i="44" l="1"/>
  <c r="C73" i="44"/>
  <c r="Q18" i="38"/>
  <c r="F113" i="38"/>
  <c r="C113" i="38"/>
  <c r="E113" i="38"/>
  <c r="B113" i="38"/>
  <c r="D113" i="38"/>
  <c r="C74" i="44"/>
  <c r="H77" i="37"/>
  <c r="H75" i="37"/>
  <c r="H74" i="37"/>
  <c r="H73" i="37"/>
  <c r="H72" i="37"/>
  <c r="H71" i="37"/>
  <c r="H70" i="37"/>
  <c r="I69" i="37"/>
  <c r="I97" i="37" s="1"/>
  <c r="H69" i="37"/>
  <c r="I68" i="37"/>
  <c r="I96" i="37" s="1"/>
  <c r="H68" i="37"/>
  <c r="I67" i="37"/>
  <c r="I95" i="37" s="1"/>
  <c r="H67" i="37"/>
  <c r="H76" i="37"/>
  <c r="J61" i="37"/>
  <c r="H98" i="37" l="1"/>
  <c r="F163" i="37"/>
  <c r="F183" i="37" s="1"/>
  <c r="H104" i="37"/>
  <c r="F169" i="37"/>
  <c r="F189" i="37" s="1"/>
  <c r="H99" i="37"/>
  <c r="F164" i="37"/>
  <c r="F184" i="37" s="1"/>
  <c r="H103" i="37"/>
  <c r="F168" i="37"/>
  <c r="F188" i="37" s="1"/>
  <c r="H96" i="37"/>
  <c r="F161" i="37"/>
  <c r="F181" i="37" s="1"/>
  <c r="H102" i="37"/>
  <c r="F167" i="37"/>
  <c r="F187" i="37" s="1"/>
  <c r="H95" i="37"/>
  <c r="F160" i="37"/>
  <c r="F180" i="37" s="1"/>
  <c r="F198" i="37" s="1"/>
  <c r="H97" i="37"/>
  <c r="F162" i="37"/>
  <c r="F182" i="37" s="1"/>
  <c r="H100" i="37"/>
  <c r="F165" i="37"/>
  <c r="F185" i="37" s="1"/>
  <c r="H105" i="37"/>
  <c r="F170" i="37"/>
  <c r="F190" i="37" s="1"/>
  <c r="H101" i="37"/>
  <c r="F166" i="37"/>
  <c r="F186" i="37" s="1"/>
  <c r="R18" i="38"/>
  <c r="C48" i="38"/>
  <c r="C48" i="11" s="1"/>
  <c r="B48" i="38"/>
  <c r="B48" i="11" s="1"/>
  <c r="F43" i="38"/>
  <c r="F43" i="11" s="1"/>
  <c r="J43" i="38"/>
  <c r="D48" i="38"/>
  <c r="D48" i="11" s="1"/>
  <c r="B43" i="38"/>
  <c r="B43" i="11" s="1"/>
  <c r="D43" i="38"/>
  <c r="D43" i="11" s="1"/>
  <c r="H43" i="38"/>
  <c r="K43" i="38"/>
  <c r="C43" i="38"/>
  <c r="C43" i="11" s="1"/>
  <c r="E43" i="38"/>
  <c r="E43" i="11" s="1"/>
  <c r="G43" i="38"/>
  <c r="I43" i="38"/>
  <c r="L43" i="38"/>
  <c r="B72" i="38"/>
  <c r="J89" i="37"/>
  <c r="J116" i="37" s="1"/>
  <c r="J86" i="44" l="1"/>
  <c r="L43" i="11"/>
  <c r="I105" i="38"/>
  <c r="I43" i="11"/>
  <c r="F105" i="38"/>
  <c r="K43" i="11"/>
  <c r="H105" i="38"/>
  <c r="H43" i="11"/>
  <c r="E105" i="38"/>
  <c r="J43" i="11"/>
  <c r="G105" i="38"/>
  <c r="G43" i="11"/>
  <c r="D105" i="38"/>
  <c r="J62" i="37"/>
  <c r="E123" i="28"/>
  <c r="E2" i="28"/>
  <c r="E123" i="27"/>
  <c r="E2" i="27"/>
  <c r="E123" i="23"/>
  <c r="E2" i="23"/>
  <c r="E123" i="26"/>
  <c r="E2" i="26"/>
  <c r="E123" i="22"/>
  <c r="E2" i="22"/>
  <c r="E2" i="21"/>
  <c r="E2" i="20"/>
  <c r="C72" i="38" l="1"/>
  <c r="J90" i="37"/>
  <c r="J117" i="37" s="1"/>
  <c r="E123" i="32"/>
  <c r="N123" i="39" s="1"/>
  <c r="E2" i="33"/>
  <c r="E2" i="32"/>
  <c r="J87" i="44" l="1"/>
  <c r="E133" i="19" l="1"/>
  <c r="E130" i="19"/>
  <c r="E118" i="19"/>
  <c r="E115" i="19"/>
  <c r="E109" i="19"/>
  <c r="E103" i="19"/>
  <c r="E100" i="19"/>
  <c r="E97" i="19"/>
  <c r="E91" i="19"/>
  <c r="E73" i="19"/>
  <c r="E70" i="19"/>
  <c r="E49" i="19"/>
  <c r="E43" i="19"/>
  <c r="E16" i="19"/>
  <c r="E13" i="19"/>
  <c r="E7" i="19"/>
  <c r="E124" i="19"/>
  <c r="E121" i="19"/>
  <c r="E82" i="19"/>
  <c r="E46" i="19"/>
  <c r="E4" i="19"/>
  <c r="E101" i="19" l="1"/>
  <c r="E100" i="39"/>
  <c r="E100" i="28"/>
  <c r="E100" i="23"/>
  <c r="E100" i="27"/>
  <c r="E100" i="22"/>
  <c r="E100" i="26"/>
  <c r="E100" i="32"/>
  <c r="N100" i="39" s="1"/>
  <c r="E5" i="19"/>
  <c r="E4" i="39"/>
  <c r="E4" i="28"/>
  <c r="E4" i="23"/>
  <c r="E4" i="27"/>
  <c r="E4" i="22"/>
  <c r="E4" i="26"/>
  <c r="E4" i="32"/>
  <c r="N4" i="39" s="1"/>
  <c r="E92" i="19"/>
  <c r="E91" i="39"/>
  <c r="E91" i="28"/>
  <c r="E91" i="23"/>
  <c r="E91" i="26"/>
  <c r="E91" i="27"/>
  <c r="E91" i="22"/>
  <c r="E91" i="32"/>
  <c r="N91" i="39" s="1"/>
  <c r="E28" i="19"/>
  <c r="E27" i="39"/>
  <c r="E27" i="28"/>
  <c r="E27" i="26"/>
  <c r="E27" i="27"/>
  <c r="E27" i="23"/>
  <c r="E27" i="22"/>
  <c r="E27" i="32"/>
  <c r="N27" i="39" s="1"/>
  <c r="E64" i="19"/>
  <c r="E63" i="39"/>
  <c r="E63" i="28"/>
  <c r="E63" i="23"/>
  <c r="E63" i="27"/>
  <c r="E63" i="26"/>
  <c r="E63" i="22"/>
  <c r="E63" i="32"/>
  <c r="N63" i="39" s="1"/>
  <c r="E87" i="39"/>
  <c r="E87" i="28"/>
  <c r="E87" i="23"/>
  <c r="E87" i="26"/>
  <c r="E87" i="27"/>
  <c r="E87" i="22"/>
  <c r="E87" i="32"/>
  <c r="N87" i="39" s="1"/>
  <c r="E111" i="39"/>
  <c r="E111" i="28"/>
  <c r="E111" i="23"/>
  <c r="E111" i="27"/>
  <c r="E111" i="26"/>
  <c r="E111" i="22"/>
  <c r="E111" i="32"/>
  <c r="N111" i="39" s="1"/>
  <c r="E44" i="19"/>
  <c r="E43" i="39"/>
  <c r="E43" i="28"/>
  <c r="E43" i="26"/>
  <c r="E43" i="23"/>
  <c r="E43" i="27"/>
  <c r="E43" i="22"/>
  <c r="E43" i="32"/>
  <c r="N43" i="39" s="1"/>
  <c r="E74" i="19"/>
  <c r="E73" i="39"/>
  <c r="E73" i="27"/>
  <c r="E73" i="22"/>
  <c r="E73" i="28"/>
  <c r="E73" i="23"/>
  <c r="E73" i="26"/>
  <c r="E73" i="32"/>
  <c r="N73" i="39" s="1"/>
  <c r="E98" i="19"/>
  <c r="E97" i="39"/>
  <c r="E97" i="27"/>
  <c r="E97" i="28"/>
  <c r="E97" i="23"/>
  <c r="E97" i="22"/>
  <c r="E97" i="26"/>
  <c r="E97" i="32"/>
  <c r="N97" i="39" s="1"/>
  <c r="E112" i="19"/>
  <c r="E6" i="39"/>
  <c r="E6" i="27"/>
  <c r="E6" i="28"/>
  <c r="E6" i="23"/>
  <c r="E6" i="26"/>
  <c r="E6" i="22"/>
  <c r="E6" i="32"/>
  <c r="N6" i="39" s="1"/>
  <c r="E19" i="19"/>
  <c r="E18" i="39"/>
  <c r="E18" i="27"/>
  <c r="E18" i="28"/>
  <c r="E18" i="23"/>
  <c r="E18" i="22"/>
  <c r="E18" i="26"/>
  <c r="E18" i="32"/>
  <c r="N18" i="39" s="1"/>
  <c r="E31" i="19"/>
  <c r="E30" i="39"/>
  <c r="E30" i="27"/>
  <c r="E30" i="28"/>
  <c r="E30" i="23"/>
  <c r="E30" i="22"/>
  <c r="E30" i="26"/>
  <c r="E30" i="32"/>
  <c r="N30" i="39" s="1"/>
  <c r="E42" i="39"/>
  <c r="E42" i="27"/>
  <c r="E42" i="28"/>
  <c r="E42" i="23"/>
  <c r="E42" i="26"/>
  <c r="E42" i="22"/>
  <c r="E42" i="32"/>
  <c r="N42" i="39" s="1"/>
  <c r="E55" i="19"/>
  <c r="E54" i="39"/>
  <c r="E54" i="27"/>
  <c r="E54" i="28"/>
  <c r="E54" i="23"/>
  <c r="E54" i="26"/>
  <c r="E54" i="22"/>
  <c r="E54" i="32"/>
  <c r="N54" i="39" s="1"/>
  <c r="E67" i="19"/>
  <c r="E66" i="39"/>
  <c r="E66" i="27"/>
  <c r="E66" i="28"/>
  <c r="E66" i="23"/>
  <c r="E66" i="26"/>
  <c r="E66" i="22"/>
  <c r="E66" i="32"/>
  <c r="N66" i="39" s="1"/>
  <c r="E79" i="19"/>
  <c r="E78" i="39"/>
  <c r="E78" i="27"/>
  <c r="E78" i="28"/>
  <c r="E78" i="23"/>
  <c r="E78" i="26"/>
  <c r="E78" i="22"/>
  <c r="E78" i="32"/>
  <c r="N78" i="39" s="1"/>
  <c r="E90" i="39"/>
  <c r="E90" i="27"/>
  <c r="E90" i="28"/>
  <c r="E90" i="23"/>
  <c r="E90" i="26"/>
  <c r="E90" i="22"/>
  <c r="E90" i="32"/>
  <c r="N90" i="39" s="1"/>
  <c r="E102" i="39"/>
  <c r="E102" i="27"/>
  <c r="E102" i="28"/>
  <c r="E102" i="23"/>
  <c r="E102" i="26"/>
  <c r="E102" i="22"/>
  <c r="E102" i="32"/>
  <c r="N102" i="39" s="1"/>
  <c r="E114" i="39"/>
  <c r="E114" i="27"/>
  <c r="E114" i="28"/>
  <c r="E114" i="23"/>
  <c r="E114" i="26"/>
  <c r="E114" i="22"/>
  <c r="E114" i="32"/>
  <c r="N114" i="39" s="1"/>
  <c r="E129" i="39"/>
  <c r="E129" i="28"/>
  <c r="E129" i="23"/>
  <c r="E129" i="27"/>
  <c r="E129" i="26"/>
  <c r="E129" i="22"/>
  <c r="E129" i="32"/>
  <c r="N129" i="39" s="1"/>
  <c r="E17" i="19"/>
  <c r="E16" i="39"/>
  <c r="E16" i="28"/>
  <c r="E16" i="23"/>
  <c r="E16" i="27"/>
  <c r="E16" i="22"/>
  <c r="E16" i="26"/>
  <c r="E16" i="32"/>
  <c r="N16" i="39" s="1"/>
  <c r="E71" i="19"/>
  <c r="E70" i="39"/>
  <c r="E70" i="27"/>
  <c r="E70" i="28"/>
  <c r="E70" i="23"/>
  <c r="E70" i="22"/>
  <c r="E70" i="26"/>
  <c r="E70" i="32"/>
  <c r="N70" i="39" s="1"/>
  <c r="E122" i="19"/>
  <c r="E121" i="39"/>
  <c r="E121" i="27"/>
  <c r="E121" i="22"/>
  <c r="E121" i="28"/>
  <c r="E121" i="23"/>
  <c r="E121" i="26"/>
  <c r="E121" i="32"/>
  <c r="N121" i="39" s="1"/>
  <c r="E134" i="19"/>
  <c r="E133" i="39"/>
  <c r="E133" i="28"/>
  <c r="E133" i="23"/>
  <c r="E133" i="26"/>
  <c r="E133" i="22"/>
  <c r="E133" i="27"/>
  <c r="E133" i="32"/>
  <c r="N133" i="39" s="1"/>
  <c r="E40" i="19"/>
  <c r="E39" i="39"/>
  <c r="E39" i="28"/>
  <c r="E39" i="26"/>
  <c r="E39" i="23"/>
  <c r="E39" i="27"/>
  <c r="E39" i="22"/>
  <c r="E39" i="32"/>
  <c r="N39" i="39" s="1"/>
  <c r="E76" i="19"/>
  <c r="E75" i="39"/>
  <c r="E75" i="28"/>
  <c r="E75" i="23"/>
  <c r="E75" i="26"/>
  <c r="E75" i="27"/>
  <c r="E75" i="22"/>
  <c r="E75" i="32"/>
  <c r="N75" i="39" s="1"/>
  <c r="E126" i="39"/>
  <c r="E126" i="28"/>
  <c r="E126" i="23"/>
  <c r="E126" i="27"/>
  <c r="E126" i="26"/>
  <c r="E126" i="22"/>
  <c r="E126" i="32"/>
  <c r="N126" i="39" s="1"/>
  <c r="E8" i="19"/>
  <c r="E7" i="39"/>
  <c r="E7" i="28"/>
  <c r="E7" i="26"/>
  <c r="E7" i="23"/>
  <c r="E7" i="27"/>
  <c r="E7" i="22"/>
  <c r="E7" i="32"/>
  <c r="N7" i="39" s="1"/>
  <c r="E83" i="19"/>
  <c r="E82" i="39"/>
  <c r="E82" i="27"/>
  <c r="E82" i="28"/>
  <c r="E82" i="23"/>
  <c r="E82" i="22"/>
  <c r="E82" i="26"/>
  <c r="E82" i="32"/>
  <c r="N82" i="39" s="1"/>
  <c r="E116" i="19"/>
  <c r="E115" i="39"/>
  <c r="E115" i="28"/>
  <c r="E115" i="23"/>
  <c r="E115" i="26"/>
  <c r="E115" i="22"/>
  <c r="E115" i="27"/>
  <c r="E115" i="32"/>
  <c r="N115" i="39" s="1"/>
  <c r="E127" i="19"/>
  <c r="E10" i="19"/>
  <c r="E9" i="39"/>
  <c r="E9" i="27"/>
  <c r="E9" i="23"/>
  <c r="E9" i="22"/>
  <c r="E9" i="28"/>
  <c r="E9" i="26"/>
  <c r="E9" i="32"/>
  <c r="N9" i="39" s="1"/>
  <c r="E22" i="19"/>
  <c r="E21" i="39"/>
  <c r="E21" i="27"/>
  <c r="E21" i="22"/>
  <c r="E21" i="23"/>
  <c r="E21" i="26"/>
  <c r="E21" i="28"/>
  <c r="E21" i="32"/>
  <c r="N21" i="39" s="1"/>
  <c r="E34" i="19"/>
  <c r="E33" i="39"/>
  <c r="E33" i="27"/>
  <c r="E33" i="28"/>
  <c r="E33" i="23"/>
  <c r="E33" i="22"/>
  <c r="E33" i="26"/>
  <c r="E33" i="32"/>
  <c r="N33" i="39" s="1"/>
  <c r="E45" i="39"/>
  <c r="E45" i="27"/>
  <c r="E45" i="22"/>
  <c r="E45" i="28"/>
  <c r="E45" i="23"/>
  <c r="E45" i="26"/>
  <c r="E45" i="32"/>
  <c r="N45" i="39" s="1"/>
  <c r="E58" i="19"/>
  <c r="E57" i="39"/>
  <c r="E57" i="27"/>
  <c r="E57" i="22"/>
  <c r="E57" i="28"/>
  <c r="E57" i="23"/>
  <c r="E57" i="26"/>
  <c r="E57" i="32"/>
  <c r="N57" i="39" s="1"/>
  <c r="E69" i="39"/>
  <c r="E69" i="27"/>
  <c r="E69" i="22"/>
  <c r="E69" i="23"/>
  <c r="E69" i="26"/>
  <c r="E69" i="28"/>
  <c r="E69" i="32"/>
  <c r="N69" i="39" s="1"/>
  <c r="E81" i="39"/>
  <c r="E81" i="27"/>
  <c r="E81" i="28"/>
  <c r="E81" i="23"/>
  <c r="E81" i="22"/>
  <c r="E81" i="26"/>
  <c r="E81" i="32"/>
  <c r="N81" i="39" s="1"/>
  <c r="E94" i="19"/>
  <c r="E93" i="39"/>
  <c r="E93" i="27"/>
  <c r="E93" i="22"/>
  <c r="E93" i="28"/>
  <c r="E93" i="23"/>
  <c r="E93" i="26"/>
  <c r="E93" i="32"/>
  <c r="N93" i="39" s="1"/>
  <c r="E106" i="19"/>
  <c r="E105" i="39"/>
  <c r="E105" i="27"/>
  <c r="E105" i="22"/>
  <c r="E105" i="28"/>
  <c r="E105" i="23"/>
  <c r="E105" i="26"/>
  <c r="E105" i="32"/>
  <c r="N105" i="39" s="1"/>
  <c r="E117" i="39"/>
  <c r="E117" i="27"/>
  <c r="E117" i="22"/>
  <c r="E117" i="28"/>
  <c r="E117" i="23"/>
  <c r="E117" i="26"/>
  <c r="E117" i="32"/>
  <c r="N117" i="39" s="1"/>
  <c r="E132" i="39"/>
  <c r="E132" i="27"/>
  <c r="E132" i="26"/>
  <c r="E132" i="28"/>
  <c r="E132" i="23"/>
  <c r="E132" i="22"/>
  <c r="E132" i="32"/>
  <c r="N132" i="39" s="1"/>
  <c r="E3" i="39"/>
  <c r="E3" i="28"/>
  <c r="E3" i="26"/>
  <c r="E3" i="23"/>
  <c r="E3" i="22"/>
  <c r="E3" i="27"/>
  <c r="E3" i="32"/>
  <c r="N3" i="39" s="1"/>
  <c r="E110" i="19"/>
  <c r="E109" i="39"/>
  <c r="E109" i="27"/>
  <c r="E109" i="22"/>
  <c r="E109" i="28"/>
  <c r="E109" i="23"/>
  <c r="E109" i="26"/>
  <c r="E109" i="32"/>
  <c r="N109" i="39" s="1"/>
  <c r="E15" i="39"/>
  <c r="E15" i="28"/>
  <c r="E15" i="27"/>
  <c r="E15" i="26"/>
  <c r="E15" i="23"/>
  <c r="E15" i="22"/>
  <c r="E15" i="32"/>
  <c r="N15" i="39" s="1"/>
  <c r="E52" i="19"/>
  <c r="E51" i="39"/>
  <c r="E51" i="28"/>
  <c r="E51" i="23"/>
  <c r="E51" i="26"/>
  <c r="E51" i="22"/>
  <c r="E51" i="27"/>
  <c r="E51" i="32"/>
  <c r="N51" i="39" s="1"/>
  <c r="E99" i="39"/>
  <c r="E99" i="28"/>
  <c r="E99" i="23"/>
  <c r="E99" i="26"/>
  <c r="E99" i="27"/>
  <c r="E99" i="22"/>
  <c r="E99" i="32"/>
  <c r="N99" i="39" s="1"/>
  <c r="E47" i="19"/>
  <c r="E46" i="39"/>
  <c r="E46" i="27"/>
  <c r="E46" i="28"/>
  <c r="E46" i="23"/>
  <c r="E46" i="22"/>
  <c r="E46" i="26"/>
  <c r="E46" i="32"/>
  <c r="N46" i="39" s="1"/>
  <c r="E14" i="19"/>
  <c r="E13" i="39"/>
  <c r="E13" i="27"/>
  <c r="E13" i="22"/>
  <c r="E13" i="28"/>
  <c r="E13" i="23"/>
  <c r="E13" i="26"/>
  <c r="E13" i="32"/>
  <c r="N13" i="39" s="1"/>
  <c r="E50" i="19"/>
  <c r="E49" i="39"/>
  <c r="E49" i="27"/>
  <c r="E49" i="28"/>
  <c r="E49" i="23"/>
  <c r="E49" i="22"/>
  <c r="E49" i="26"/>
  <c r="E49" i="32"/>
  <c r="N49" i="39" s="1"/>
  <c r="E88" i="19"/>
  <c r="E104" i="19"/>
  <c r="E103" i="39"/>
  <c r="E103" i="28"/>
  <c r="E103" i="23"/>
  <c r="E103" i="26"/>
  <c r="E103" i="27"/>
  <c r="E103" i="22"/>
  <c r="E103" i="32"/>
  <c r="N103" i="39" s="1"/>
  <c r="E119" i="19"/>
  <c r="E118" i="39"/>
  <c r="E118" i="27"/>
  <c r="E118" i="28"/>
  <c r="E118" i="23"/>
  <c r="E118" i="22"/>
  <c r="E118" i="26"/>
  <c r="E118" i="32"/>
  <c r="N118" i="39" s="1"/>
  <c r="E131" i="19"/>
  <c r="E130" i="39"/>
  <c r="E130" i="28"/>
  <c r="E130" i="23"/>
  <c r="E130" i="27"/>
  <c r="E130" i="26"/>
  <c r="E130" i="22"/>
  <c r="E130" i="32"/>
  <c r="N130" i="39" s="1"/>
  <c r="E12" i="39"/>
  <c r="E12" i="28"/>
  <c r="E12" i="23"/>
  <c r="E12" i="27"/>
  <c r="E12" i="22"/>
  <c r="E12" i="26"/>
  <c r="E12" i="32"/>
  <c r="N12" i="39" s="1"/>
  <c r="E25" i="19"/>
  <c r="E24" i="39"/>
  <c r="E24" i="28"/>
  <c r="E24" i="23"/>
  <c r="E24" i="27"/>
  <c r="E24" i="22"/>
  <c r="E24" i="26"/>
  <c r="E24" i="32"/>
  <c r="N24" i="39" s="1"/>
  <c r="E37" i="19"/>
  <c r="E36" i="39"/>
  <c r="E36" i="28"/>
  <c r="E36" i="23"/>
  <c r="E36" i="27"/>
  <c r="E36" i="26"/>
  <c r="E36" i="22"/>
  <c r="E36" i="32"/>
  <c r="N36" i="39" s="1"/>
  <c r="E48" i="39"/>
  <c r="E48" i="28"/>
  <c r="E48" i="23"/>
  <c r="E48" i="27"/>
  <c r="E48" i="26"/>
  <c r="E48" i="22"/>
  <c r="E48" i="32"/>
  <c r="N48" i="39" s="1"/>
  <c r="E61" i="19"/>
  <c r="E60" i="39"/>
  <c r="E60" i="28"/>
  <c r="E60" i="23"/>
  <c r="E60" i="27"/>
  <c r="E60" i="26"/>
  <c r="E60" i="22"/>
  <c r="E60" i="32"/>
  <c r="N60" i="39" s="1"/>
  <c r="E72" i="39"/>
  <c r="E72" i="28"/>
  <c r="E72" i="23"/>
  <c r="E72" i="27"/>
  <c r="E72" i="22"/>
  <c r="E72" i="26"/>
  <c r="E72" i="32"/>
  <c r="N72" i="39" s="1"/>
  <c r="E85" i="19"/>
  <c r="E84" i="39"/>
  <c r="E84" i="28"/>
  <c r="E84" i="23"/>
  <c r="E84" i="27"/>
  <c r="E84" i="22"/>
  <c r="E84" i="26"/>
  <c r="E84" i="32"/>
  <c r="N84" i="39" s="1"/>
  <c r="E96" i="39"/>
  <c r="E96" i="28"/>
  <c r="E96" i="23"/>
  <c r="E96" i="27"/>
  <c r="E96" i="22"/>
  <c r="E96" i="26"/>
  <c r="E96" i="32"/>
  <c r="N96" i="39" s="1"/>
  <c r="E108" i="39"/>
  <c r="E108" i="28"/>
  <c r="E108" i="23"/>
  <c r="E108" i="27"/>
  <c r="E108" i="22"/>
  <c r="E108" i="26"/>
  <c r="E108" i="32"/>
  <c r="N108" i="39" s="1"/>
  <c r="E120" i="39"/>
  <c r="E120" i="28"/>
  <c r="E120" i="23"/>
  <c r="E120" i="27"/>
  <c r="E120" i="26"/>
  <c r="E120" i="22"/>
  <c r="E120" i="32"/>
  <c r="N120" i="39" s="1"/>
  <c r="E125" i="19"/>
  <c r="E124" i="39"/>
  <c r="E124" i="27"/>
  <c r="E124" i="26"/>
  <c r="E124" i="22"/>
  <c r="E124" i="23"/>
  <c r="E124" i="28"/>
  <c r="E124" i="32"/>
  <c r="N124" i="39" s="1"/>
  <c r="F35" i="18"/>
  <c r="F34" i="18"/>
  <c r="F33" i="18"/>
  <c r="F32" i="18"/>
  <c r="F31" i="18"/>
  <c r="F30" i="18"/>
  <c r="F29" i="18"/>
  <c r="F28" i="18"/>
  <c r="F27" i="18"/>
  <c r="F26" i="18"/>
  <c r="F25" i="18"/>
  <c r="G12" i="18"/>
  <c r="L63" i="38" s="1"/>
  <c r="N40" i="9"/>
  <c r="N59" i="9" s="1"/>
  <c r="N39" i="9"/>
  <c r="N38" i="9"/>
  <c r="N37" i="9"/>
  <c r="N36" i="9"/>
  <c r="N35" i="9"/>
  <c r="N34" i="9"/>
  <c r="N33" i="9"/>
  <c r="N32" i="9"/>
  <c r="N31" i="9"/>
  <c r="I32" i="17"/>
  <c r="I31" i="17"/>
  <c r="I30" i="17"/>
  <c r="I29" i="17"/>
  <c r="E95" i="19" l="1"/>
  <c r="E94" i="39"/>
  <c r="E94" i="27"/>
  <c r="E94" i="28"/>
  <c r="E94" i="23"/>
  <c r="E94" i="22"/>
  <c r="E94" i="26"/>
  <c r="E94" i="32"/>
  <c r="N94" i="39" s="1"/>
  <c r="E44" i="39"/>
  <c r="E44" i="28"/>
  <c r="E44" i="23"/>
  <c r="E44" i="27"/>
  <c r="E44" i="22"/>
  <c r="E44" i="26"/>
  <c r="E44" i="32"/>
  <c r="N44" i="39" s="1"/>
  <c r="E86" i="19"/>
  <c r="E85" i="39"/>
  <c r="E85" i="27"/>
  <c r="E85" i="22"/>
  <c r="E85" i="23"/>
  <c r="E85" i="26"/>
  <c r="E85" i="28"/>
  <c r="E85" i="32"/>
  <c r="N85" i="39" s="1"/>
  <c r="E110" i="39"/>
  <c r="E110" i="27"/>
  <c r="E110" i="28"/>
  <c r="E110" i="23"/>
  <c r="E110" i="22"/>
  <c r="E110" i="26"/>
  <c r="E110" i="32"/>
  <c r="N110" i="39" s="1"/>
  <c r="E53" i="19"/>
  <c r="E52" i="39"/>
  <c r="E52" i="28"/>
  <c r="E52" i="23"/>
  <c r="E52" i="27"/>
  <c r="E52" i="22"/>
  <c r="E52" i="26"/>
  <c r="E52" i="32"/>
  <c r="N52" i="39" s="1"/>
  <c r="E107" i="19"/>
  <c r="E106" i="39"/>
  <c r="E106" i="27"/>
  <c r="E106" i="28"/>
  <c r="E106" i="23"/>
  <c r="E106" i="26"/>
  <c r="E106" i="22"/>
  <c r="E106" i="32"/>
  <c r="N106" i="39" s="1"/>
  <c r="E113" i="19"/>
  <c r="E112" i="39"/>
  <c r="E112" i="28"/>
  <c r="E112" i="23"/>
  <c r="E112" i="27"/>
  <c r="E112" i="26"/>
  <c r="E112" i="22"/>
  <c r="E112" i="32"/>
  <c r="N112" i="39" s="1"/>
  <c r="E98" i="39"/>
  <c r="E98" i="27"/>
  <c r="E98" i="28"/>
  <c r="E98" i="23"/>
  <c r="E98" i="26"/>
  <c r="E98" i="22"/>
  <c r="E98" i="32"/>
  <c r="N98" i="39" s="1"/>
  <c r="E38" i="19"/>
  <c r="E37" i="39"/>
  <c r="E37" i="27"/>
  <c r="E37" i="22"/>
  <c r="E37" i="23"/>
  <c r="E37" i="26"/>
  <c r="E37" i="28"/>
  <c r="E37" i="32"/>
  <c r="N37" i="39" s="1"/>
  <c r="E26" i="19"/>
  <c r="E25" i="39"/>
  <c r="E25" i="27"/>
  <c r="E25" i="23"/>
  <c r="E25" i="22"/>
  <c r="E25" i="28"/>
  <c r="E25" i="26"/>
  <c r="E25" i="32"/>
  <c r="N25" i="39" s="1"/>
  <c r="E89" i="19"/>
  <c r="E88" i="39"/>
  <c r="E88" i="28"/>
  <c r="E88" i="23"/>
  <c r="E88" i="27"/>
  <c r="E88" i="26"/>
  <c r="E88" i="22"/>
  <c r="E88" i="32"/>
  <c r="N88" i="39" s="1"/>
  <c r="E50" i="39"/>
  <c r="E50" i="27"/>
  <c r="E50" i="28"/>
  <c r="E50" i="23"/>
  <c r="E50" i="26"/>
  <c r="E50" i="22"/>
  <c r="E50" i="32"/>
  <c r="N50" i="39" s="1"/>
  <c r="E14" i="39"/>
  <c r="E14" i="27"/>
  <c r="E14" i="28"/>
  <c r="E14" i="23"/>
  <c r="E14" i="26"/>
  <c r="E14" i="22"/>
  <c r="E14" i="32"/>
  <c r="N14" i="39" s="1"/>
  <c r="E47" i="39"/>
  <c r="E47" i="28"/>
  <c r="E47" i="27"/>
  <c r="E47" i="26"/>
  <c r="E47" i="23"/>
  <c r="E47" i="22"/>
  <c r="E47" i="32"/>
  <c r="N47" i="39" s="1"/>
  <c r="E35" i="19"/>
  <c r="E34" i="39"/>
  <c r="E34" i="27"/>
  <c r="E34" i="28"/>
  <c r="E34" i="23"/>
  <c r="E34" i="26"/>
  <c r="E34" i="22"/>
  <c r="E34" i="32"/>
  <c r="N34" i="39" s="1"/>
  <c r="E23" i="19"/>
  <c r="E22" i="39"/>
  <c r="E22" i="27"/>
  <c r="E22" i="28"/>
  <c r="E22" i="23"/>
  <c r="E22" i="26"/>
  <c r="E22" i="22"/>
  <c r="E22" i="32"/>
  <c r="N22" i="39" s="1"/>
  <c r="E11" i="19"/>
  <c r="E10" i="39"/>
  <c r="E10" i="27"/>
  <c r="E10" i="28"/>
  <c r="E10" i="23"/>
  <c r="E10" i="22"/>
  <c r="E10" i="26"/>
  <c r="E10" i="32"/>
  <c r="N10" i="39" s="1"/>
  <c r="E77" i="19"/>
  <c r="E76" i="39"/>
  <c r="E76" i="28"/>
  <c r="E76" i="23"/>
  <c r="E76" i="27"/>
  <c r="E76" i="22"/>
  <c r="E76" i="26"/>
  <c r="E76" i="32"/>
  <c r="N76" i="39" s="1"/>
  <c r="E41" i="19"/>
  <c r="E40" i="39"/>
  <c r="E40" i="28"/>
  <c r="E40" i="23"/>
  <c r="E40" i="27"/>
  <c r="E40" i="22"/>
  <c r="E40" i="26"/>
  <c r="E40" i="32"/>
  <c r="N40" i="39" s="1"/>
  <c r="E134" i="39"/>
  <c r="E134" i="27"/>
  <c r="E134" i="28"/>
  <c r="E134" i="23"/>
  <c r="E134" i="26"/>
  <c r="E134" i="22"/>
  <c r="E134" i="21"/>
  <c r="E134" i="32"/>
  <c r="N134" i="39" s="1"/>
  <c r="E122" i="39"/>
  <c r="E122" i="27"/>
  <c r="E122" i="26"/>
  <c r="E122" i="28"/>
  <c r="E122" i="23"/>
  <c r="E122" i="22"/>
  <c r="E122" i="32"/>
  <c r="N122" i="39" s="1"/>
  <c r="E71" i="39"/>
  <c r="E71" i="28"/>
  <c r="E71" i="23"/>
  <c r="E71" i="26"/>
  <c r="E71" i="27"/>
  <c r="E71" i="22"/>
  <c r="E71" i="32"/>
  <c r="N71" i="39" s="1"/>
  <c r="E17" i="39"/>
  <c r="E17" i="27"/>
  <c r="E17" i="28"/>
  <c r="E17" i="23"/>
  <c r="E17" i="22"/>
  <c r="E17" i="26"/>
  <c r="E17" i="32"/>
  <c r="N17" i="39" s="1"/>
  <c r="E80" i="19"/>
  <c r="E79" i="39"/>
  <c r="E79" i="28"/>
  <c r="E79" i="23"/>
  <c r="E79" i="27"/>
  <c r="E79" i="26"/>
  <c r="E79" i="22"/>
  <c r="E79" i="32"/>
  <c r="N79" i="39" s="1"/>
  <c r="E68" i="19"/>
  <c r="E67" i="39"/>
  <c r="E67" i="28"/>
  <c r="E67" i="23"/>
  <c r="E67" i="26"/>
  <c r="E67" i="27"/>
  <c r="E67" i="22"/>
  <c r="E67" i="32"/>
  <c r="N67" i="39" s="1"/>
  <c r="E56" i="19"/>
  <c r="E55" i="39"/>
  <c r="E55" i="28"/>
  <c r="E55" i="23"/>
  <c r="E55" i="26"/>
  <c r="E55" i="27"/>
  <c r="E55" i="22"/>
  <c r="E55" i="32"/>
  <c r="N55" i="39" s="1"/>
  <c r="E131" i="39"/>
  <c r="E131" i="27"/>
  <c r="E131" i="22"/>
  <c r="E131" i="23"/>
  <c r="E131" i="26"/>
  <c r="E131" i="28"/>
  <c r="E131" i="32"/>
  <c r="N131" i="39" s="1"/>
  <c r="E119" i="39"/>
  <c r="E119" i="28"/>
  <c r="E119" i="23"/>
  <c r="E119" i="26"/>
  <c r="E119" i="27"/>
  <c r="E119" i="22"/>
  <c r="E119" i="32"/>
  <c r="N119" i="39" s="1"/>
  <c r="E104" i="39"/>
  <c r="E104" i="28"/>
  <c r="E104" i="23"/>
  <c r="E104" i="27"/>
  <c r="E104" i="22"/>
  <c r="E104" i="26"/>
  <c r="E104" i="32"/>
  <c r="N104" i="39" s="1"/>
  <c r="E32" i="19"/>
  <c r="E31" i="39"/>
  <c r="E31" i="28"/>
  <c r="E31" i="27"/>
  <c r="E31" i="26"/>
  <c r="E31" i="23"/>
  <c r="E31" i="22"/>
  <c r="E31" i="32"/>
  <c r="N31" i="39" s="1"/>
  <c r="E20" i="19"/>
  <c r="E19" i="39"/>
  <c r="E19" i="28"/>
  <c r="E19" i="26"/>
  <c r="E19" i="27"/>
  <c r="E19" i="23"/>
  <c r="E19" i="22"/>
  <c r="E19" i="32"/>
  <c r="N19" i="39" s="1"/>
  <c r="E74" i="39"/>
  <c r="E74" i="27"/>
  <c r="E74" i="28"/>
  <c r="E74" i="23"/>
  <c r="E74" i="26"/>
  <c r="E74" i="22"/>
  <c r="E74" i="32"/>
  <c r="N74" i="39" s="1"/>
  <c r="E62" i="19"/>
  <c r="E61" i="39"/>
  <c r="E61" i="27"/>
  <c r="E61" i="22"/>
  <c r="E61" i="28"/>
  <c r="E61" i="23"/>
  <c r="E61" i="26"/>
  <c r="E61" i="32"/>
  <c r="N61" i="39" s="1"/>
  <c r="E59" i="19"/>
  <c r="E58" i="39"/>
  <c r="E58" i="27"/>
  <c r="E58" i="28"/>
  <c r="E58" i="23"/>
  <c r="E58" i="22"/>
  <c r="E58" i="26"/>
  <c r="E58" i="32"/>
  <c r="N58" i="39" s="1"/>
  <c r="E128" i="19"/>
  <c r="E127" i="39"/>
  <c r="E127" i="27"/>
  <c r="E127" i="28"/>
  <c r="E127" i="23"/>
  <c r="E127" i="26"/>
  <c r="E127" i="22"/>
  <c r="E127" i="32"/>
  <c r="N127" i="39" s="1"/>
  <c r="E116" i="39"/>
  <c r="E116" i="28"/>
  <c r="E116" i="23"/>
  <c r="E116" i="27"/>
  <c r="E116" i="22"/>
  <c r="E116" i="26"/>
  <c r="E116" i="32"/>
  <c r="N116" i="39" s="1"/>
  <c r="E83" i="39"/>
  <c r="E83" i="28"/>
  <c r="E83" i="23"/>
  <c r="E83" i="26"/>
  <c r="E83" i="22"/>
  <c r="E83" i="27"/>
  <c r="E83" i="32"/>
  <c r="N83" i="39" s="1"/>
  <c r="E8" i="39"/>
  <c r="E8" i="28"/>
  <c r="E8" i="23"/>
  <c r="E8" i="27"/>
  <c r="E8" i="22"/>
  <c r="E8" i="26"/>
  <c r="E8" i="32"/>
  <c r="N8" i="39" s="1"/>
  <c r="E65" i="19"/>
  <c r="E64" i="39"/>
  <c r="E64" i="28"/>
  <c r="E64" i="23"/>
  <c r="E64" i="27"/>
  <c r="E64" i="22"/>
  <c r="E64" i="26"/>
  <c r="E64" i="32"/>
  <c r="N64" i="39" s="1"/>
  <c r="E29" i="19"/>
  <c r="E28" i="39"/>
  <c r="E28" i="28"/>
  <c r="E28" i="23"/>
  <c r="E28" i="27"/>
  <c r="E28" i="22"/>
  <c r="E28" i="26"/>
  <c r="E28" i="32"/>
  <c r="N28" i="39" s="1"/>
  <c r="E92" i="39"/>
  <c r="E92" i="28"/>
  <c r="E92" i="23"/>
  <c r="E92" i="27"/>
  <c r="E92" i="22"/>
  <c r="E92" i="26"/>
  <c r="E92" i="32"/>
  <c r="N92" i="39" s="1"/>
  <c r="E5" i="39"/>
  <c r="E5" i="27"/>
  <c r="E5" i="22"/>
  <c r="E5" i="23"/>
  <c r="E5" i="26"/>
  <c r="E5" i="28"/>
  <c r="E5" i="32"/>
  <c r="N5" i="39" s="1"/>
  <c r="E101" i="39"/>
  <c r="E101" i="27"/>
  <c r="E101" i="22"/>
  <c r="E101" i="26"/>
  <c r="E101" i="28"/>
  <c r="E101" i="23"/>
  <c r="E101" i="32"/>
  <c r="N101" i="39" s="1"/>
  <c r="N56" i="9"/>
  <c r="E125" i="39"/>
  <c r="E125" i="23"/>
  <c r="E125" i="27"/>
  <c r="E125" i="26"/>
  <c r="E125" i="28"/>
  <c r="E125" i="22"/>
  <c r="E125" i="32"/>
  <c r="N125" i="39" s="1"/>
  <c r="N57" i="9"/>
  <c r="N58" i="9"/>
  <c r="J53" i="11"/>
  <c r="J63" i="11" s="1"/>
  <c r="L53" i="11"/>
  <c r="K53" i="11"/>
  <c r="K63" i="11" s="1"/>
  <c r="E135" i="33" l="1"/>
  <c r="E135" i="32"/>
  <c r="N135" i="39" s="1"/>
  <c r="E135" i="27"/>
  <c r="E135" i="39"/>
  <c r="E135" i="28"/>
  <c r="E135" i="23"/>
  <c r="E135" i="26"/>
  <c r="E135" i="22"/>
  <c r="E136" i="19"/>
  <c r="E77" i="39"/>
  <c r="E77" i="27"/>
  <c r="E77" i="22"/>
  <c r="E77" i="28"/>
  <c r="E77" i="23"/>
  <c r="E77" i="26"/>
  <c r="E77" i="32"/>
  <c r="N77" i="39" s="1"/>
  <c r="E11" i="39"/>
  <c r="E11" i="28"/>
  <c r="E11" i="26"/>
  <c r="E11" i="27"/>
  <c r="E11" i="22"/>
  <c r="E11" i="23"/>
  <c r="E11" i="32"/>
  <c r="N11" i="39" s="1"/>
  <c r="E53" i="39"/>
  <c r="E53" i="27"/>
  <c r="E53" i="22"/>
  <c r="E53" i="26"/>
  <c r="E53" i="28"/>
  <c r="E53" i="23"/>
  <c r="E53" i="32"/>
  <c r="N53" i="39" s="1"/>
  <c r="E59" i="39"/>
  <c r="E59" i="28"/>
  <c r="E59" i="23"/>
  <c r="E59" i="26"/>
  <c r="E59" i="27"/>
  <c r="E59" i="22"/>
  <c r="E59" i="32"/>
  <c r="N59" i="39" s="1"/>
  <c r="E80" i="39"/>
  <c r="E80" i="28"/>
  <c r="E80" i="23"/>
  <c r="E80" i="27"/>
  <c r="E80" i="22"/>
  <c r="E80" i="26"/>
  <c r="E80" i="32"/>
  <c r="N80" i="39" s="1"/>
  <c r="E86" i="39"/>
  <c r="E86" i="27"/>
  <c r="E86" i="28"/>
  <c r="E86" i="23"/>
  <c r="E86" i="26"/>
  <c r="E86" i="22"/>
  <c r="E86" i="32"/>
  <c r="N86" i="39" s="1"/>
  <c r="E113" i="39"/>
  <c r="E113" i="27"/>
  <c r="E113" i="28"/>
  <c r="E113" i="23"/>
  <c r="E113" i="22"/>
  <c r="E113" i="26"/>
  <c r="E113" i="32"/>
  <c r="N113" i="39" s="1"/>
  <c r="E29" i="39"/>
  <c r="E29" i="27"/>
  <c r="E29" i="22"/>
  <c r="E29" i="28"/>
  <c r="E29" i="23"/>
  <c r="E29" i="26"/>
  <c r="E29" i="32"/>
  <c r="N29" i="39" s="1"/>
  <c r="E20" i="39"/>
  <c r="E20" i="28"/>
  <c r="E20" i="23"/>
  <c r="E20" i="27"/>
  <c r="E20" i="22"/>
  <c r="E20" i="26"/>
  <c r="E20" i="32"/>
  <c r="N20" i="39" s="1"/>
  <c r="E32" i="39"/>
  <c r="E32" i="28"/>
  <c r="E32" i="23"/>
  <c r="E32" i="27"/>
  <c r="E32" i="22"/>
  <c r="E32" i="26"/>
  <c r="E32" i="32"/>
  <c r="N32" i="39" s="1"/>
  <c r="E89" i="39"/>
  <c r="E89" i="27"/>
  <c r="E89" i="22"/>
  <c r="E89" i="28"/>
  <c r="E89" i="23"/>
  <c r="E89" i="26"/>
  <c r="E89" i="32"/>
  <c r="N89" i="39" s="1"/>
  <c r="E26" i="39"/>
  <c r="E26" i="27"/>
  <c r="E26" i="28"/>
  <c r="E26" i="23"/>
  <c r="E26" i="26"/>
  <c r="E26" i="22"/>
  <c r="E26" i="32"/>
  <c r="N26" i="39" s="1"/>
  <c r="E38" i="39"/>
  <c r="E38" i="27"/>
  <c r="E38" i="28"/>
  <c r="E38" i="23"/>
  <c r="E38" i="26"/>
  <c r="E38" i="22"/>
  <c r="E38" i="32"/>
  <c r="N38" i="39" s="1"/>
  <c r="E41" i="39"/>
  <c r="E41" i="27"/>
  <c r="E41" i="23"/>
  <c r="E41" i="22"/>
  <c r="E41" i="28"/>
  <c r="E41" i="26"/>
  <c r="E41" i="32"/>
  <c r="N41" i="39" s="1"/>
  <c r="E23" i="39"/>
  <c r="E23" i="28"/>
  <c r="E23" i="26"/>
  <c r="E23" i="23"/>
  <c r="E23" i="27"/>
  <c r="E23" i="22"/>
  <c r="E23" i="32"/>
  <c r="N23" i="39" s="1"/>
  <c r="E35" i="39"/>
  <c r="E35" i="28"/>
  <c r="E35" i="26"/>
  <c r="E35" i="27"/>
  <c r="E35" i="22"/>
  <c r="E35" i="23"/>
  <c r="E35" i="32"/>
  <c r="N35" i="39" s="1"/>
  <c r="E107" i="39"/>
  <c r="E107" i="28"/>
  <c r="E107" i="23"/>
  <c r="E107" i="26"/>
  <c r="E107" i="27"/>
  <c r="E107" i="22"/>
  <c r="E107" i="32"/>
  <c r="N107" i="39" s="1"/>
  <c r="E65" i="39"/>
  <c r="E65" i="27"/>
  <c r="E65" i="28"/>
  <c r="E65" i="23"/>
  <c r="E65" i="22"/>
  <c r="E65" i="26"/>
  <c r="E65" i="32"/>
  <c r="N65" i="39" s="1"/>
  <c r="E128" i="39"/>
  <c r="E128" i="27"/>
  <c r="E128" i="26"/>
  <c r="E128" i="28"/>
  <c r="E128" i="23"/>
  <c r="E128" i="22"/>
  <c r="E128" i="32"/>
  <c r="N128" i="39" s="1"/>
  <c r="E62" i="39"/>
  <c r="E62" i="27"/>
  <c r="E62" i="28"/>
  <c r="E62" i="23"/>
  <c r="E62" i="26"/>
  <c r="E62" i="22"/>
  <c r="E62" i="32"/>
  <c r="N62" i="39" s="1"/>
  <c r="E56" i="39"/>
  <c r="E56" i="28"/>
  <c r="E56" i="23"/>
  <c r="E56" i="27"/>
  <c r="E56" i="22"/>
  <c r="E56" i="26"/>
  <c r="E56" i="32"/>
  <c r="N56" i="39" s="1"/>
  <c r="E68" i="39"/>
  <c r="E68" i="28"/>
  <c r="E68" i="23"/>
  <c r="E68" i="27"/>
  <c r="E68" i="22"/>
  <c r="E68" i="26"/>
  <c r="E68" i="32"/>
  <c r="N68" i="39" s="1"/>
  <c r="E95" i="39"/>
  <c r="E95" i="28"/>
  <c r="E95" i="23"/>
  <c r="E95" i="27"/>
  <c r="E95" i="26"/>
  <c r="E95" i="22"/>
  <c r="E95" i="32"/>
  <c r="N95" i="39" s="1"/>
  <c r="L63" i="11"/>
  <c r="H32" i="17"/>
  <c r="G32" i="17"/>
  <c r="D32" i="17"/>
  <c r="H31" i="17"/>
  <c r="G31" i="17"/>
  <c r="H30" i="17"/>
  <c r="G30" i="17"/>
  <c r="F31" i="17"/>
  <c r="E31" i="17"/>
  <c r="D31" i="17"/>
  <c r="B31" i="17"/>
  <c r="N30" i="9"/>
  <c r="E136" i="33" l="1"/>
  <c r="E136" i="32"/>
  <c r="N136" i="39" s="1"/>
  <c r="E137" i="19"/>
  <c r="E136" i="39"/>
  <c r="E136" i="27"/>
  <c r="E136" i="26"/>
  <c r="E136" i="22"/>
  <c r="E136" i="28"/>
  <c r="E136" i="23"/>
  <c r="E33" i="17"/>
  <c r="F34" i="17"/>
  <c r="D34" i="17"/>
  <c r="C34" i="17"/>
  <c r="J13" i="17"/>
  <c r="D13" i="30" s="1"/>
  <c r="F32" i="17"/>
  <c r="E32" i="17"/>
  <c r="E137" i="33" l="1"/>
  <c r="E137" i="32"/>
  <c r="N137" i="39" s="1"/>
  <c r="I69" i="44"/>
  <c r="E137" i="39"/>
  <c r="E137" i="27"/>
  <c r="E137" i="26"/>
  <c r="E137" i="28"/>
  <c r="E137" i="23"/>
  <c r="E137" i="22"/>
  <c r="K80" i="38"/>
  <c r="N18" i="11"/>
  <c r="J89" i="38"/>
  <c r="M27" i="11"/>
  <c r="K94" i="38"/>
  <c r="N32" i="11"/>
  <c r="K84" i="38"/>
  <c r="N22" i="11"/>
  <c r="E34" i="17"/>
  <c r="F35" i="17"/>
  <c r="D35" i="17"/>
  <c r="C35" i="17"/>
  <c r="E138" i="33" l="1"/>
  <c r="E138" i="32"/>
  <c r="N138" i="39" s="1"/>
  <c r="M47" i="38"/>
  <c r="E139" i="19"/>
  <c r="E138" i="39"/>
  <c r="E138" i="28"/>
  <c r="E138" i="23"/>
  <c r="E138" i="27"/>
  <c r="E138" i="22"/>
  <c r="E138" i="26"/>
  <c r="K89" i="38"/>
  <c r="N27" i="11"/>
  <c r="L94" i="38"/>
  <c r="O32" i="11"/>
  <c r="L56" i="11"/>
  <c r="L80" i="38"/>
  <c r="O18" i="11"/>
  <c r="L84" i="38"/>
  <c r="O22" i="11"/>
  <c r="E35" i="17"/>
  <c r="F36" i="17"/>
  <c r="D36" i="17"/>
  <c r="C36" i="17"/>
  <c r="E139" i="33" l="1"/>
  <c r="E139" i="32"/>
  <c r="E140" i="19"/>
  <c r="E139" i="39"/>
  <c r="E139" i="28"/>
  <c r="E139" i="23"/>
  <c r="E139" i="27"/>
  <c r="E139" i="26"/>
  <c r="E139" i="22"/>
  <c r="N139" i="39"/>
  <c r="L89" i="38"/>
  <c r="O27" i="11"/>
  <c r="M84" i="38"/>
  <c r="P22" i="11"/>
  <c r="M80" i="38"/>
  <c r="P18" i="11"/>
  <c r="M94" i="38"/>
  <c r="P32" i="11"/>
  <c r="E36" i="17"/>
  <c r="F37" i="17"/>
  <c r="D37" i="17"/>
  <c r="C37" i="17"/>
  <c r="A22" i="9"/>
  <c r="A45" i="9" s="1"/>
  <c r="A23" i="9"/>
  <c r="A46" i="9" s="1"/>
  <c r="A17" i="9"/>
  <c r="A40" i="9" s="1"/>
  <c r="A18" i="9"/>
  <c r="A41" i="9" s="1"/>
  <c r="A19" i="9"/>
  <c r="A42" i="9" s="1"/>
  <c r="A20" i="9"/>
  <c r="A43" i="9" s="1"/>
  <c r="A21" i="9"/>
  <c r="A44" i="9" s="1"/>
  <c r="E140" i="33" l="1"/>
  <c r="E140" i="32"/>
  <c r="N140" i="39" s="1"/>
  <c r="E140" i="39"/>
  <c r="E140" i="27"/>
  <c r="E140" i="22"/>
  <c r="E140" i="28"/>
  <c r="E140" i="23"/>
  <c r="E140" i="26"/>
  <c r="N84" i="38"/>
  <c r="Q22" i="11"/>
  <c r="M89" i="38"/>
  <c r="P27" i="11"/>
  <c r="N94" i="38"/>
  <c r="Q32" i="11"/>
  <c r="N80" i="38"/>
  <c r="Q18" i="11"/>
  <c r="E37" i="17"/>
  <c r="E141" i="33" l="1"/>
  <c r="E141" i="32"/>
  <c r="N141" i="39" s="1"/>
  <c r="E142" i="19"/>
  <c r="E141" i="39"/>
  <c r="E141" i="27"/>
  <c r="E141" i="26"/>
  <c r="E141" i="28"/>
  <c r="E141" i="23"/>
  <c r="E141" i="22"/>
  <c r="O84" i="38"/>
  <c r="R22" i="11"/>
  <c r="O80" i="38"/>
  <c r="R18" i="11"/>
  <c r="O94" i="38"/>
  <c r="R32" i="11"/>
  <c r="N89" i="38"/>
  <c r="Q27" i="11"/>
  <c r="G206" i="33"/>
  <c r="Y206" i="39" s="1"/>
  <c r="F206" i="33"/>
  <c r="X206" i="39" s="1"/>
  <c r="G205" i="33"/>
  <c r="Y205" i="39" s="1"/>
  <c r="F205" i="33"/>
  <c r="X205" i="39" s="1"/>
  <c r="G204" i="33"/>
  <c r="Y204" i="39" s="1"/>
  <c r="F204" i="33"/>
  <c r="X204" i="39" s="1"/>
  <c r="G203" i="33"/>
  <c r="Y203" i="39" s="1"/>
  <c r="F203" i="33"/>
  <c r="X203" i="39" s="1"/>
  <c r="G202" i="33"/>
  <c r="Y202" i="39" s="1"/>
  <c r="F202" i="33"/>
  <c r="X202" i="39" s="1"/>
  <c r="G201" i="33"/>
  <c r="Y201" i="39" s="1"/>
  <c r="F201" i="33"/>
  <c r="X201" i="39" s="1"/>
  <c r="G200" i="33"/>
  <c r="Y200" i="39" s="1"/>
  <c r="F200" i="33"/>
  <c r="X200" i="39" s="1"/>
  <c r="G199" i="33"/>
  <c r="Y199" i="39" s="1"/>
  <c r="F199" i="33"/>
  <c r="X199" i="39" s="1"/>
  <c r="G198" i="33"/>
  <c r="Y198" i="39" s="1"/>
  <c r="F198" i="33"/>
  <c r="X198" i="39" s="1"/>
  <c r="G197" i="33"/>
  <c r="Y197" i="39" s="1"/>
  <c r="F197" i="33"/>
  <c r="X197" i="39" s="1"/>
  <c r="G196" i="33"/>
  <c r="Y196" i="39" s="1"/>
  <c r="F196" i="33"/>
  <c r="X196" i="39" s="1"/>
  <c r="G195" i="33"/>
  <c r="Y195" i="39" s="1"/>
  <c r="F195" i="33"/>
  <c r="X195" i="39" s="1"/>
  <c r="G194" i="33"/>
  <c r="Y194" i="39" s="1"/>
  <c r="F194" i="33"/>
  <c r="X194" i="39" s="1"/>
  <c r="G193" i="33"/>
  <c r="Y193" i="39" s="1"/>
  <c r="F193" i="33"/>
  <c r="X193" i="39" s="1"/>
  <c r="G192" i="33"/>
  <c r="Y192" i="39" s="1"/>
  <c r="F192" i="33"/>
  <c r="X192" i="39" s="1"/>
  <c r="G191" i="33"/>
  <c r="Y191" i="39" s="1"/>
  <c r="F191" i="33"/>
  <c r="X191" i="39" s="1"/>
  <c r="G190" i="33"/>
  <c r="Y190" i="39" s="1"/>
  <c r="F190" i="33"/>
  <c r="X190" i="39" s="1"/>
  <c r="G189" i="33"/>
  <c r="Y189" i="39" s="1"/>
  <c r="F189" i="33"/>
  <c r="X189" i="39" s="1"/>
  <c r="G188" i="33"/>
  <c r="Y188" i="39" s="1"/>
  <c r="F188" i="33"/>
  <c r="X188" i="39" s="1"/>
  <c r="G187" i="33"/>
  <c r="Y187" i="39" s="1"/>
  <c r="F187" i="33"/>
  <c r="X187" i="39" s="1"/>
  <c r="G186" i="33"/>
  <c r="Y186" i="39" s="1"/>
  <c r="F186" i="33"/>
  <c r="X186" i="39" s="1"/>
  <c r="G185" i="33"/>
  <c r="Y185" i="39" s="1"/>
  <c r="F185" i="33"/>
  <c r="X185" i="39" s="1"/>
  <c r="G184" i="33"/>
  <c r="Y184" i="39" s="1"/>
  <c r="F184" i="33"/>
  <c r="X184" i="39" s="1"/>
  <c r="G183" i="33"/>
  <c r="Y183" i="39" s="1"/>
  <c r="F183" i="33"/>
  <c r="X183" i="39" s="1"/>
  <c r="G182" i="33"/>
  <c r="Y182" i="39" s="1"/>
  <c r="F182" i="33"/>
  <c r="X182" i="39" s="1"/>
  <c r="G181" i="33"/>
  <c r="Y181" i="39" s="1"/>
  <c r="F181" i="33"/>
  <c r="X181" i="39" s="1"/>
  <c r="G180" i="33"/>
  <c r="Y180" i="39" s="1"/>
  <c r="F180" i="33"/>
  <c r="X180" i="39" s="1"/>
  <c r="G179" i="33"/>
  <c r="Y179" i="39" s="1"/>
  <c r="F179" i="33"/>
  <c r="X179" i="39" s="1"/>
  <c r="G178" i="33"/>
  <c r="Y178" i="39" s="1"/>
  <c r="F178" i="33"/>
  <c r="X178" i="39" s="1"/>
  <c r="G177" i="33"/>
  <c r="Y177" i="39" s="1"/>
  <c r="F177" i="33"/>
  <c r="X177" i="39" s="1"/>
  <c r="G176" i="33"/>
  <c r="Y176" i="39" s="1"/>
  <c r="F176" i="33"/>
  <c r="X176" i="39" s="1"/>
  <c r="G175" i="33"/>
  <c r="Y175" i="39" s="1"/>
  <c r="F175" i="33"/>
  <c r="X175" i="39" s="1"/>
  <c r="G174" i="33"/>
  <c r="Y174" i="39" s="1"/>
  <c r="F174" i="33"/>
  <c r="X174" i="39" s="1"/>
  <c r="Y173" i="39"/>
  <c r="X173" i="39"/>
  <c r="Y172" i="39"/>
  <c r="X172" i="39"/>
  <c r="Y171" i="39"/>
  <c r="X171" i="39"/>
  <c r="Y170" i="39"/>
  <c r="X170" i="39"/>
  <c r="Y169" i="39"/>
  <c r="X169" i="39"/>
  <c r="Y168" i="39"/>
  <c r="X168" i="39"/>
  <c r="Y167" i="39"/>
  <c r="X167" i="39"/>
  <c r="Y166" i="39"/>
  <c r="X166" i="39"/>
  <c r="Y165" i="39"/>
  <c r="X165" i="39"/>
  <c r="Y164" i="39"/>
  <c r="X164" i="39"/>
  <c r="Y163" i="39"/>
  <c r="X163" i="39"/>
  <c r="Y162" i="39"/>
  <c r="X162" i="39"/>
  <c r="Y161" i="39"/>
  <c r="X161" i="39"/>
  <c r="Y160" i="39"/>
  <c r="X160" i="39"/>
  <c r="Y159" i="39"/>
  <c r="X159" i="39"/>
  <c r="Y158" i="39"/>
  <c r="X158" i="39"/>
  <c r="Y157" i="39"/>
  <c r="X157" i="39"/>
  <c r="Y156" i="39"/>
  <c r="X156" i="39"/>
  <c r="Y155" i="39"/>
  <c r="X155" i="39"/>
  <c r="Y154" i="39"/>
  <c r="X154" i="39"/>
  <c r="Y153" i="39"/>
  <c r="X153" i="39"/>
  <c r="Y152" i="39"/>
  <c r="X152" i="39"/>
  <c r="Y151" i="39"/>
  <c r="X151" i="39"/>
  <c r="Y150" i="39"/>
  <c r="X150" i="39"/>
  <c r="Y149" i="39"/>
  <c r="X149" i="39"/>
  <c r="Y148" i="39"/>
  <c r="X148" i="39"/>
  <c r="Y147" i="39"/>
  <c r="X147" i="39"/>
  <c r="Y146" i="39"/>
  <c r="X146" i="39"/>
  <c r="Y145" i="39"/>
  <c r="X145" i="39"/>
  <c r="Y144" i="39"/>
  <c r="X144" i="39"/>
  <c r="Y143" i="39"/>
  <c r="X143" i="39"/>
  <c r="Y142" i="39"/>
  <c r="X142" i="39"/>
  <c r="Y141" i="39"/>
  <c r="X141" i="39"/>
  <c r="Y140" i="39"/>
  <c r="X140" i="39"/>
  <c r="Y139" i="39"/>
  <c r="X139" i="39"/>
  <c r="Y138" i="39"/>
  <c r="X138" i="39"/>
  <c r="Y137" i="39"/>
  <c r="X137" i="39"/>
  <c r="Y136" i="39"/>
  <c r="X136" i="39"/>
  <c r="Y135" i="39"/>
  <c r="X135" i="39"/>
  <c r="G134" i="33"/>
  <c r="Y134" i="39" s="1"/>
  <c r="F134" i="33"/>
  <c r="X134" i="39" s="1"/>
  <c r="G133" i="33"/>
  <c r="Y133" i="39" s="1"/>
  <c r="F133" i="33"/>
  <c r="X133" i="39" s="1"/>
  <c r="B133" i="33"/>
  <c r="T133" i="39" s="1"/>
  <c r="G132" i="33"/>
  <c r="Y132" i="39" s="1"/>
  <c r="F132" i="33"/>
  <c r="X132" i="39" s="1"/>
  <c r="B132" i="33"/>
  <c r="T132" i="39" s="1"/>
  <c r="G131" i="33"/>
  <c r="Y131" i="39" s="1"/>
  <c r="F131" i="33"/>
  <c r="X131" i="39" s="1"/>
  <c r="B131" i="33"/>
  <c r="T131" i="39" s="1"/>
  <c r="G130" i="33"/>
  <c r="Y130" i="39" s="1"/>
  <c r="F130" i="33"/>
  <c r="X130" i="39" s="1"/>
  <c r="B130" i="33"/>
  <c r="T130" i="39" s="1"/>
  <c r="G129" i="33"/>
  <c r="Y129" i="39" s="1"/>
  <c r="F129" i="33"/>
  <c r="X129" i="39" s="1"/>
  <c r="B129" i="33"/>
  <c r="T129" i="39" s="1"/>
  <c r="G128" i="33"/>
  <c r="Y128" i="39" s="1"/>
  <c r="F128" i="33"/>
  <c r="X128" i="39" s="1"/>
  <c r="B128" i="33"/>
  <c r="T128" i="39" s="1"/>
  <c r="G127" i="33"/>
  <c r="Y127" i="39" s="1"/>
  <c r="F127" i="33"/>
  <c r="X127" i="39" s="1"/>
  <c r="B127" i="33"/>
  <c r="T127" i="39" s="1"/>
  <c r="G126" i="33"/>
  <c r="Y126" i="39" s="1"/>
  <c r="F126" i="33"/>
  <c r="X126" i="39" s="1"/>
  <c r="B126" i="33"/>
  <c r="T126" i="39" s="1"/>
  <c r="G125" i="33"/>
  <c r="Y125" i="39" s="1"/>
  <c r="F125" i="33"/>
  <c r="X125" i="39" s="1"/>
  <c r="B125" i="33"/>
  <c r="T125" i="39" s="1"/>
  <c r="G124" i="33"/>
  <c r="Y124" i="39" s="1"/>
  <c r="F124" i="33"/>
  <c r="X124" i="39" s="1"/>
  <c r="B124" i="33"/>
  <c r="T124" i="39" s="1"/>
  <c r="G123" i="33"/>
  <c r="Y123" i="39" s="1"/>
  <c r="F123" i="33"/>
  <c r="X123" i="39" s="1"/>
  <c r="B123" i="33"/>
  <c r="G122" i="33"/>
  <c r="Y122" i="39" s="1"/>
  <c r="F122" i="33"/>
  <c r="X122" i="39" s="1"/>
  <c r="B122" i="33"/>
  <c r="T122" i="39" s="1"/>
  <c r="G121" i="33"/>
  <c r="Y121" i="39" s="1"/>
  <c r="F121" i="33"/>
  <c r="X121" i="39" s="1"/>
  <c r="B121" i="33"/>
  <c r="T121" i="39" s="1"/>
  <c r="G120" i="33"/>
  <c r="Y120" i="39" s="1"/>
  <c r="F120" i="33"/>
  <c r="X120" i="39" s="1"/>
  <c r="B120" i="33"/>
  <c r="T120" i="39" s="1"/>
  <c r="G119" i="33"/>
  <c r="Y119" i="39" s="1"/>
  <c r="F119" i="33"/>
  <c r="X119" i="39" s="1"/>
  <c r="B119" i="33"/>
  <c r="T119" i="39" s="1"/>
  <c r="G118" i="33"/>
  <c r="Y118" i="39" s="1"/>
  <c r="F118" i="33"/>
  <c r="X118" i="39" s="1"/>
  <c r="B118" i="33"/>
  <c r="T118" i="39" s="1"/>
  <c r="G117" i="33"/>
  <c r="Y117" i="39" s="1"/>
  <c r="F117" i="33"/>
  <c r="X117" i="39" s="1"/>
  <c r="B117" i="33"/>
  <c r="T117" i="39" s="1"/>
  <c r="G116" i="33"/>
  <c r="Y116" i="39" s="1"/>
  <c r="F116" i="33"/>
  <c r="X116" i="39" s="1"/>
  <c r="B116" i="33"/>
  <c r="T116" i="39" s="1"/>
  <c r="G115" i="33"/>
  <c r="Y115" i="39" s="1"/>
  <c r="F115" i="33"/>
  <c r="X115" i="39" s="1"/>
  <c r="B115" i="33"/>
  <c r="T115" i="39" s="1"/>
  <c r="G114" i="33"/>
  <c r="Y114" i="39" s="1"/>
  <c r="F114" i="33"/>
  <c r="X114" i="39" s="1"/>
  <c r="B114" i="33"/>
  <c r="T114" i="39" s="1"/>
  <c r="G113" i="33"/>
  <c r="Y113" i="39" s="1"/>
  <c r="F113" i="33"/>
  <c r="X113" i="39" s="1"/>
  <c r="B113" i="33"/>
  <c r="T113" i="39" s="1"/>
  <c r="G112" i="33"/>
  <c r="Y112" i="39" s="1"/>
  <c r="F112" i="33"/>
  <c r="X112" i="39" s="1"/>
  <c r="B112" i="33"/>
  <c r="T112" i="39" s="1"/>
  <c r="G111" i="33"/>
  <c r="Y111" i="39" s="1"/>
  <c r="F111" i="33"/>
  <c r="X111" i="39" s="1"/>
  <c r="B111" i="33"/>
  <c r="T111" i="39" s="1"/>
  <c r="G110" i="33"/>
  <c r="Y110" i="39" s="1"/>
  <c r="F110" i="33"/>
  <c r="X110" i="39" s="1"/>
  <c r="B110" i="33"/>
  <c r="T110" i="39" s="1"/>
  <c r="G109" i="33"/>
  <c r="Y109" i="39" s="1"/>
  <c r="F109" i="33"/>
  <c r="X109" i="39" s="1"/>
  <c r="B109" i="33"/>
  <c r="T109" i="39" s="1"/>
  <c r="G108" i="33"/>
  <c r="Y108" i="39" s="1"/>
  <c r="F108" i="33"/>
  <c r="X108" i="39" s="1"/>
  <c r="B108" i="33"/>
  <c r="T108" i="39" s="1"/>
  <c r="G107" i="33"/>
  <c r="Y107" i="39" s="1"/>
  <c r="F107" i="33"/>
  <c r="X107" i="39" s="1"/>
  <c r="B107" i="33"/>
  <c r="T107" i="39" s="1"/>
  <c r="G106" i="33"/>
  <c r="Y106" i="39" s="1"/>
  <c r="F106" i="33"/>
  <c r="X106" i="39" s="1"/>
  <c r="B106" i="33"/>
  <c r="T106" i="39" s="1"/>
  <c r="G105" i="33"/>
  <c r="Y105" i="39" s="1"/>
  <c r="F105" i="33"/>
  <c r="X105" i="39" s="1"/>
  <c r="B105" i="33"/>
  <c r="T105" i="39" s="1"/>
  <c r="G104" i="33"/>
  <c r="Y104" i="39" s="1"/>
  <c r="F104" i="33"/>
  <c r="X104" i="39" s="1"/>
  <c r="B104" i="33"/>
  <c r="T104" i="39" s="1"/>
  <c r="G103" i="33"/>
  <c r="Y103" i="39" s="1"/>
  <c r="F103" i="33"/>
  <c r="X103" i="39" s="1"/>
  <c r="B103" i="33"/>
  <c r="T103" i="39" s="1"/>
  <c r="G102" i="33"/>
  <c r="Y102" i="39" s="1"/>
  <c r="F102" i="33"/>
  <c r="X102" i="39" s="1"/>
  <c r="B102" i="33"/>
  <c r="T102" i="39" s="1"/>
  <c r="G101" i="33"/>
  <c r="Y101" i="39" s="1"/>
  <c r="F101" i="33"/>
  <c r="X101" i="39" s="1"/>
  <c r="B101" i="33"/>
  <c r="T101" i="39" s="1"/>
  <c r="G100" i="33"/>
  <c r="Y100" i="39" s="1"/>
  <c r="F100" i="33"/>
  <c r="X100" i="39" s="1"/>
  <c r="B100" i="33"/>
  <c r="T100" i="39" s="1"/>
  <c r="G99" i="33"/>
  <c r="Y99" i="39" s="1"/>
  <c r="F99" i="33"/>
  <c r="X99" i="39" s="1"/>
  <c r="B99" i="33"/>
  <c r="T99" i="39" s="1"/>
  <c r="G98" i="33"/>
  <c r="Y98" i="39" s="1"/>
  <c r="F98" i="33"/>
  <c r="X98" i="39" s="1"/>
  <c r="D98" i="33"/>
  <c r="V98" i="39" s="1"/>
  <c r="C98" i="33"/>
  <c r="U98" i="39" s="1"/>
  <c r="B98" i="33"/>
  <c r="T98" i="39" s="1"/>
  <c r="G97" i="33"/>
  <c r="Y97" i="39" s="1"/>
  <c r="F97" i="33"/>
  <c r="X97" i="39" s="1"/>
  <c r="D97" i="33"/>
  <c r="V97" i="39" s="1"/>
  <c r="C97" i="33"/>
  <c r="U97" i="39" s="1"/>
  <c r="B97" i="33"/>
  <c r="T97" i="39" s="1"/>
  <c r="G96" i="33"/>
  <c r="Y96" i="39" s="1"/>
  <c r="F96" i="33"/>
  <c r="X96" i="39" s="1"/>
  <c r="D96" i="33"/>
  <c r="V96" i="39" s="1"/>
  <c r="C96" i="33"/>
  <c r="U96" i="39" s="1"/>
  <c r="B96" i="33"/>
  <c r="T96" i="39" s="1"/>
  <c r="G95" i="33"/>
  <c r="Y95" i="39" s="1"/>
  <c r="F95" i="33"/>
  <c r="X95" i="39" s="1"/>
  <c r="D95" i="33"/>
  <c r="V95" i="39" s="1"/>
  <c r="C95" i="33"/>
  <c r="U95" i="39" s="1"/>
  <c r="B95" i="33"/>
  <c r="T95" i="39" s="1"/>
  <c r="G94" i="33"/>
  <c r="Y94" i="39" s="1"/>
  <c r="F94" i="33"/>
  <c r="X94" i="39" s="1"/>
  <c r="D94" i="33"/>
  <c r="V94" i="39" s="1"/>
  <c r="C94" i="33"/>
  <c r="U94" i="39" s="1"/>
  <c r="B94" i="33"/>
  <c r="T94" i="39" s="1"/>
  <c r="G93" i="33"/>
  <c r="Y93" i="39" s="1"/>
  <c r="F93" i="33"/>
  <c r="X93" i="39" s="1"/>
  <c r="D93" i="33"/>
  <c r="V93" i="39" s="1"/>
  <c r="C93" i="33"/>
  <c r="U93" i="39" s="1"/>
  <c r="B93" i="33"/>
  <c r="T93" i="39" s="1"/>
  <c r="G92" i="33"/>
  <c r="Y92" i="39" s="1"/>
  <c r="F92" i="33"/>
  <c r="X92" i="39" s="1"/>
  <c r="D92" i="33"/>
  <c r="V92" i="39" s="1"/>
  <c r="C92" i="33"/>
  <c r="U92" i="39" s="1"/>
  <c r="B92" i="33"/>
  <c r="T92" i="39" s="1"/>
  <c r="G91" i="33"/>
  <c r="Y91" i="39" s="1"/>
  <c r="F91" i="33"/>
  <c r="X91" i="39" s="1"/>
  <c r="D91" i="33"/>
  <c r="V91" i="39" s="1"/>
  <c r="C91" i="33"/>
  <c r="U91" i="39" s="1"/>
  <c r="B91" i="33"/>
  <c r="T91" i="39" s="1"/>
  <c r="G90" i="33"/>
  <c r="Y90" i="39" s="1"/>
  <c r="F90" i="33"/>
  <c r="X90" i="39" s="1"/>
  <c r="D90" i="33"/>
  <c r="V90" i="39" s="1"/>
  <c r="C90" i="33"/>
  <c r="U90" i="39" s="1"/>
  <c r="B90" i="33"/>
  <c r="T90" i="39" s="1"/>
  <c r="G89" i="33"/>
  <c r="Y89" i="39" s="1"/>
  <c r="F89" i="33"/>
  <c r="X89" i="39" s="1"/>
  <c r="D89" i="33"/>
  <c r="V89" i="39" s="1"/>
  <c r="C89" i="33"/>
  <c r="U89" i="39" s="1"/>
  <c r="B89" i="33"/>
  <c r="T89" i="39" s="1"/>
  <c r="G88" i="33"/>
  <c r="Y88" i="39" s="1"/>
  <c r="F88" i="33"/>
  <c r="X88" i="39" s="1"/>
  <c r="D88" i="33"/>
  <c r="V88" i="39" s="1"/>
  <c r="C88" i="33"/>
  <c r="U88" i="39" s="1"/>
  <c r="B88" i="33"/>
  <c r="T88" i="39" s="1"/>
  <c r="G87" i="33"/>
  <c r="Y87" i="39" s="1"/>
  <c r="F87" i="33"/>
  <c r="X87" i="39" s="1"/>
  <c r="D87" i="33"/>
  <c r="V87" i="39" s="1"/>
  <c r="C87" i="33"/>
  <c r="U87" i="39" s="1"/>
  <c r="B87" i="33"/>
  <c r="T87" i="39" s="1"/>
  <c r="G86" i="33"/>
  <c r="Y86" i="39" s="1"/>
  <c r="F86" i="33"/>
  <c r="X86" i="39" s="1"/>
  <c r="D86" i="33"/>
  <c r="V86" i="39" s="1"/>
  <c r="C86" i="33"/>
  <c r="U86" i="39" s="1"/>
  <c r="B86" i="33"/>
  <c r="T86" i="39" s="1"/>
  <c r="G85" i="33"/>
  <c r="Y85" i="39" s="1"/>
  <c r="F85" i="33"/>
  <c r="X85" i="39" s="1"/>
  <c r="D85" i="33"/>
  <c r="V85" i="39" s="1"/>
  <c r="C85" i="33"/>
  <c r="U85" i="39" s="1"/>
  <c r="B85" i="33"/>
  <c r="T85" i="39" s="1"/>
  <c r="G84" i="33"/>
  <c r="Y84" i="39" s="1"/>
  <c r="F84" i="33"/>
  <c r="X84" i="39" s="1"/>
  <c r="D84" i="33"/>
  <c r="V84" i="39" s="1"/>
  <c r="C84" i="33"/>
  <c r="U84" i="39" s="1"/>
  <c r="B84" i="33"/>
  <c r="T84" i="39" s="1"/>
  <c r="G83" i="33"/>
  <c r="Y83" i="39" s="1"/>
  <c r="F83" i="33"/>
  <c r="X83" i="39" s="1"/>
  <c r="D83" i="33"/>
  <c r="V83" i="39" s="1"/>
  <c r="C83" i="33"/>
  <c r="U83" i="39" s="1"/>
  <c r="B83" i="33"/>
  <c r="T83" i="39" s="1"/>
  <c r="G82" i="33"/>
  <c r="Y82" i="39" s="1"/>
  <c r="F82" i="33"/>
  <c r="X82" i="39" s="1"/>
  <c r="D82" i="33"/>
  <c r="V82" i="39" s="1"/>
  <c r="C82" i="33"/>
  <c r="U82" i="39" s="1"/>
  <c r="B82" i="33"/>
  <c r="T82" i="39" s="1"/>
  <c r="G81" i="33"/>
  <c r="Y81" i="39" s="1"/>
  <c r="F81" i="33"/>
  <c r="X81" i="39" s="1"/>
  <c r="D81" i="33"/>
  <c r="V81" i="39" s="1"/>
  <c r="C81" i="33"/>
  <c r="U81" i="39" s="1"/>
  <c r="B81" i="33"/>
  <c r="T81" i="39" s="1"/>
  <c r="G80" i="33"/>
  <c r="Y80" i="39" s="1"/>
  <c r="F80" i="33"/>
  <c r="X80" i="39" s="1"/>
  <c r="D80" i="33"/>
  <c r="V80" i="39" s="1"/>
  <c r="C80" i="33"/>
  <c r="U80" i="39" s="1"/>
  <c r="B80" i="33"/>
  <c r="T80" i="39" s="1"/>
  <c r="G79" i="33"/>
  <c r="Y79" i="39" s="1"/>
  <c r="F79" i="33"/>
  <c r="X79" i="39" s="1"/>
  <c r="D79" i="33"/>
  <c r="V79" i="39" s="1"/>
  <c r="C79" i="33"/>
  <c r="U79" i="39" s="1"/>
  <c r="B79" i="33"/>
  <c r="T79" i="39" s="1"/>
  <c r="G78" i="33"/>
  <c r="Y78" i="39" s="1"/>
  <c r="F78" i="33"/>
  <c r="X78" i="39" s="1"/>
  <c r="D78" i="33"/>
  <c r="V78" i="39" s="1"/>
  <c r="C78" i="33"/>
  <c r="U78" i="39" s="1"/>
  <c r="B78" i="33"/>
  <c r="T78" i="39" s="1"/>
  <c r="G77" i="33"/>
  <c r="Y77" i="39" s="1"/>
  <c r="F77" i="33"/>
  <c r="X77" i="39" s="1"/>
  <c r="D77" i="33"/>
  <c r="V77" i="39" s="1"/>
  <c r="C77" i="33"/>
  <c r="U77" i="39" s="1"/>
  <c r="B77" i="33"/>
  <c r="T77" i="39" s="1"/>
  <c r="G76" i="33"/>
  <c r="Y76" i="39" s="1"/>
  <c r="F76" i="33"/>
  <c r="X76" i="39" s="1"/>
  <c r="D76" i="33"/>
  <c r="V76" i="39" s="1"/>
  <c r="C76" i="33"/>
  <c r="U76" i="39" s="1"/>
  <c r="B76" i="33"/>
  <c r="T76" i="39" s="1"/>
  <c r="G75" i="33"/>
  <c r="Y75" i="39" s="1"/>
  <c r="F75" i="33"/>
  <c r="X75" i="39" s="1"/>
  <c r="D75" i="33"/>
  <c r="V75" i="39" s="1"/>
  <c r="C75" i="33"/>
  <c r="U75" i="39" s="1"/>
  <c r="B75" i="33"/>
  <c r="T75" i="39" s="1"/>
  <c r="G74" i="33"/>
  <c r="Y74" i="39" s="1"/>
  <c r="F74" i="33"/>
  <c r="X74" i="39" s="1"/>
  <c r="D74" i="33"/>
  <c r="V74" i="39" s="1"/>
  <c r="C74" i="33"/>
  <c r="U74" i="39" s="1"/>
  <c r="B74" i="33"/>
  <c r="T74" i="39" s="1"/>
  <c r="G73" i="33"/>
  <c r="Y73" i="39" s="1"/>
  <c r="F73" i="33"/>
  <c r="X73" i="39" s="1"/>
  <c r="D73" i="33"/>
  <c r="V73" i="39" s="1"/>
  <c r="C73" i="33"/>
  <c r="U73" i="39" s="1"/>
  <c r="B73" i="33"/>
  <c r="T73" i="39" s="1"/>
  <c r="G72" i="33"/>
  <c r="Y72" i="39" s="1"/>
  <c r="F72" i="33"/>
  <c r="X72" i="39" s="1"/>
  <c r="D72" i="33"/>
  <c r="V72" i="39" s="1"/>
  <c r="C72" i="33"/>
  <c r="U72" i="39" s="1"/>
  <c r="B72" i="33"/>
  <c r="T72" i="39" s="1"/>
  <c r="G71" i="33"/>
  <c r="Y71" i="39" s="1"/>
  <c r="F71" i="33"/>
  <c r="X71" i="39" s="1"/>
  <c r="D71" i="33"/>
  <c r="V71" i="39" s="1"/>
  <c r="C71" i="33"/>
  <c r="U71" i="39" s="1"/>
  <c r="B71" i="33"/>
  <c r="T71" i="39" s="1"/>
  <c r="G70" i="33"/>
  <c r="Y70" i="39" s="1"/>
  <c r="F70" i="33"/>
  <c r="X70" i="39" s="1"/>
  <c r="D70" i="33"/>
  <c r="V70" i="39" s="1"/>
  <c r="C70" i="33"/>
  <c r="U70" i="39" s="1"/>
  <c r="B70" i="33"/>
  <c r="T70" i="39" s="1"/>
  <c r="G69" i="33"/>
  <c r="Y69" i="39" s="1"/>
  <c r="F69" i="33"/>
  <c r="X69" i="39" s="1"/>
  <c r="D69" i="33"/>
  <c r="V69" i="39" s="1"/>
  <c r="C69" i="33"/>
  <c r="U69" i="39" s="1"/>
  <c r="B69" i="33"/>
  <c r="T69" i="39" s="1"/>
  <c r="G68" i="33"/>
  <c r="Y68" i="39" s="1"/>
  <c r="F68" i="33"/>
  <c r="X68" i="39" s="1"/>
  <c r="D68" i="33"/>
  <c r="V68" i="39" s="1"/>
  <c r="C68" i="33"/>
  <c r="U68" i="39" s="1"/>
  <c r="B68" i="33"/>
  <c r="T68" i="39" s="1"/>
  <c r="G67" i="33"/>
  <c r="Y67" i="39" s="1"/>
  <c r="F67" i="33"/>
  <c r="X67" i="39" s="1"/>
  <c r="D67" i="33"/>
  <c r="V67" i="39" s="1"/>
  <c r="C67" i="33"/>
  <c r="U67" i="39" s="1"/>
  <c r="B67" i="33"/>
  <c r="T67" i="39" s="1"/>
  <c r="G66" i="33"/>
  <c r="Y66" i="39" s="1"/>
  <c r="F66" i="33"/>
  <c r="X66" i="39" s="1"/>
  <c r="D66" i="33"/>
  <c r="V66" i="39" s="1"/>
  <c r="C66" i="33"/>
  <c r="U66" i="39" s="1"/>
  <c r="B66" i="33"/>
  <c r="T66" i="39" s="1"/>
  <c r="G65" i="33"/>
  <c r="Y65" i="39" s="1"/>
  <c r="F65" i="33"/>
  <c r="X65" i="39" s="1"/>
  <c r="D65" i="33"/>
  <c r="V65" i="39" s="1"/>
  <c r="C65" i="33"/>
  <c r="U65" i="39" s="1"/>
  <c r="B65" i="33"/>
  <c r="T65" i="39" s="1"/>
  <c r="G64" i="33"/>
  <c r="Y64" i="39" s="1"/>
  <c r="F64" i="33"/>
  <c r="X64" i="39" s="1"/>
  <c r="D64" i="33"/>
  <c r="V64" i="39" s="1"/>
  <c r="C64" i="33"/>
  <c r="U64" i="39" s="1"/>
  <c r="B64" i="33"/>
  <c r="T64" i="39" s="1"/>
  <c r="G63" i="33"/>
  <c r="Y63" i="39" s="1"/>
  <c r="F63" i="33"/>
  <c r="X63" i="39" s="1"/>
  <c r="D63" i="33"/>
  <c r="V63" i="39" s="1"/>
  <c r="C63" i="33"/>
  <c r="U63" i="39" s="1"/>
  <c r="B63" i="33"/>
  <c r="T63" i="39" s="1"/>
  <c r="G62" i="33"/>
  <c r="Y62" i="39" s="1"/>
  <c r="F62" i="33"/>
  <c r="X62" i="39" s="1"/>
  <c r="D62" i="33"/>
  <c r="V62" i="39" s="1"/>
  <c r="C62" i="33"/>
  <c r="U62" i="39" s="1"/>
  <c r="B62" i="33"/>
  <c r="T62" i="39" s="1"/>
  <c r="G61" i="33"/>
  <c r="Y61" i="39" s="1"/>
  <c r="F61" i="33"/>
  <c r="X61" i="39" s="1"/>
  <c r="D61" i="33"/>
  <c r="V61" i="39" s="1"/>
  <c r="C61" i="33"/>
  <c r="U61" i="39" s="1"/>
  <c r="B61" i="33"/>
  <c r="T61" i="39" s="1"/>
  <c r="G60" i="33"/>
  <c r="Y60" i="39" s="1"/>
  <c r="F60" i="33"/>
  <c r="X60" i="39" s="1"/>
  <c r="D60" i="33"/>
  <c r="V60" i="39" s="1"/>
  <c r="C60" i="33"/>
  <c r="U60" i="39" s="1"/>
  <c r="B60" i="33"/>
  <c r="T60" i="39" s="1"/>
  <c r="G59" i="33"/>
  <c r="Y59" i="39" s="1"/>
  <c r="F59" i="33"/>
  <c r="X59" i="39" s="1"/>
  <c r="D59" i="33"/>
  <c r="V59" i="39" s="1"/>
  <c r="C59" i="33"/>
  <c r="U59" i="39" s="1"/>
  <c r="B59" i="33"/>
  <c r="T59" i="39" s="1"/>
  <c r="G58" i="33"/>
  <c r="Y58" i="39" s="1"/>
  <c r="F58" i="33"/>
  <c r="X58" i="39" s="1"/>
  <c r="D58" i="33"/>
  <c r="V58" i="39" s="1"/>
  <c r="C58" i="33"/>
  <c r="U58" i="39" s="1"/>
  <c r="B58" i="33"/>
  <c r="T58" i="39" s="1"/>
  <c r="G57" i="33"/>
  <c r="Y57" i="39" s="1"/>
  <c r="F57" i="33"/>
  <c r="X57" i="39" s="1"/>
  <c r="D57" i="33"/>
  <c r="V57" i="39" s="1"/>
  <c r="C57" i="33"/>
  <c r="U57" i="39" s="1"/>
  <c r="B57" i="33"/>
  <c r="T57" i="39" s="1"/>
  <c r="G56" i="33"/>
  <c r="Y56" i="39" s="1"/>
  <c r="F56" i="33"/>
  <c r="X56" i="39" s="1"/>
  <c r="D56" i="33"/>
  <c r="V56" i="39" s="1"/>
  <c r="C56" i="33"/>
  <c r="U56" i="39" s="1"/>
  <c r="B56" i="33"/>
  <c r="T56" i="39" s="1"/>
  <c r="G55" i="33"/>
  <c r="Y55" i="39" s="1"/>
  <c r="F55" i="33"/>
  <c r="X55" i="39" s="1"/>
  <c r="D55" i="33"/>
  <c r="V55" i="39" s="1"/>
  <c r="C55" i="33"/>
  <c r="U55" i="39" s="1"/>
  <c r="B55" i="33"/>
  <c r="T55" i="39" s="1"/>
  <c r="G54" i="33"/>
  <c r="Y54" i="39" s="1"/>
  <c r="F54" i="33"/>
  <c r="X54" i="39" s="1"/>
  <c r="D54" i="33"/>
  <c r="V54" i="39" s="1"/>
  <c r="C54" i="33"/>
  <c r="U54" i="39" s="1"/>
  <c r="B54" i="33"/>
  <c r="T54" i="39" s="1"/>
  <c r="G53" i="33"/>
  <c r="Y53" i="39" s="1"/>
  <c r="F53" i="33"/>
  <c r="X53" i="39" s="1"/>
  <c r="D53" i="33"/>
  <c r="V53" i="39" s="1"/>
  <c r="C53" i="33"/>
  <c r="U53" i="39" s="1"/>
  <c r="B53" i="33"/>
  <c r="T53" i="39" s="1"/>
  <c r="G52" i="33"/>
  <c r="Y52" i="39" s="1"/>
  <c r="F52" i="33"/>
  <c r="X52" i="39" s="1"/>
  <c r="D52" i="33"/>
  <c r="V52" i="39" s="1"/>
  <c r="C52" i="33"/>
  <c r="U52" i="39" s="1"/>
  <c r="B52" i="33"/>
  <c r="T52" i="39" s="1"/>
  <c r="G51" i="33"/>
  <c r="Y51" i="39" s="1"/>
  <c r="F51" i="33"/>
  <c r="X51" i="39" s="1"/>
  <c r="D51" i="33"/>
  <c r="V51" i="39" s="1"/>
  <c r="C51" i="33"/>
  <c r="U51" i="39" s="1"/>
  <c r="B51" i="33"/>
  <c r="T51" i="39" s="1"/>
  <c r="G50" i="33"/>
  <c r="Y50" i="39" s="1"/>
  <c r="F50" i="33"/>
  <c r="X50" i="39" s="1"/>
  <c r="D50" i="33"/>
  <c r="V50" i="39" s="1"/>
  <c r="C50" i="33"/>
  <c r="U50" i="39" s="1"/>
  <c r="B50" i="33"/>
  <c r="T50" i="39" s="1"/>
  <c r="G49" i="33"/>
  <c r="Y49" i="39" s="1"/>
  <c r="F49" i="33"/>
  <c r="X49" i="39" s="1"/>
  <c r="D49" i="33"/>
  <c r="V49" i="39" s="1"/>
  <c r="C49" i="33"/>
  <c r="U49" i="39" s="1"/>
  <c r="B49" i="33"/>
  <c r="T49" i="39" s="1"/>
  <c r="G48" i="33"/>
  <c r="Y48" i="39" s="1"/>
  <c r="F48" i="33"/>
  <c r="X48" i="39" s="1"/>
  <c r="D48" i="33"/>
  <c r="V48" i="39" s="1"/>
  <c r="C48" i="33"/>
  <c r="U48" i="39" s="1"/>
  <c r="B48" i="33"/>
  <c r="T48" i="39" s="1"/>
  <c r="G47" i="33"/>
  <c r="Y47" i="39" s="1"/>
  <c r="F47" i="33"/>
  <c r="X47" i="39" s="1"/>
  <c r="D47" i="33"/>
  <c r="V47" i="39" s="1"/>
  <c r="C47" i="33"/>
  <c r="U47" i="39" s="1"/>
  <c r="B47" i="33"/>
  <c r="T47" i="39" s="1"/>
  <c r="G46" i="33"/>
  <c r="Y46" i="39" s="1"/>
  <c r="F46" i="33"/>
  <c r="X46" i="39" s="1"/>
  <c r="D46" i="33"/>
  <c r="V46" i="39" s="1"/>
  <c r="C46" i="33"/>
  <c r="U46" i="39" s="1"/>
  <c r="B46" i="33"/>
  <c r="T46" i="39" s="1"/>
  <c r="G45" i="33"/>
  <c r="Y45" i="39" s="1"/>
  <c r="F45" i="33"/>
  <c r="X45" i="39" s="1"/>
  <c r="D45" i="33"/>
  <c r="V45" i="39" s="1"/>
  <c r="C45" i="33"/>
  <c r="U45" i="39" s="1"/>
  <c r="B45" i="33"/>
  <c r="T45" i="39" s="1"/>
  <c r="G44" i="33"/>
  <c r="Y44" i="39" s="1"/>
  <c r="F44" i="33"/>
  <c r="X44" i="39" s="1"/>
  <c r="D44" i="33"/>
  <c r="V44" i="39" s="1"/>
  <c r="C44" i="33"/>
  <c r="U44" i="39" s="1"/>
  <c r="B44" i="33"/>
  <c r="T44" i="39" s="1"/>
  <c r="G43" i="33"/>
  <c r="Y43" i="39" s="1"/>
  <c r="F43" i="33"/>
  <c r="X43" i="39" s="1"/>
  <c r="D43" i="33"/>
  <c r="V43" i="39" s="1"/>
  <c r="C43" i="33"/>
  <c r="U43" i="39" s="1"/>
  <c r="B43" i="33"/>
  <c r="T43" i="39" s="1"/>
  <c r="G42" i="33"/>
  <c r="Y42" i="39" s="1"/>
  <c r="F42" i="33"/>
  <c r="X42" i="39" s="1"/>
  <c r="D42" i="33"/>
  <c r="V42" i="39" s="1"/>
  <c r="C42" i="33"/>
  <c r="U42" i="39" s="1"/>
  <c r="B42" i="33"/>
  <c r="T42" i="39" s="1"/>
  <c r="G41" i="33"/>
  <c r="Y41" i="39" s="1"/>
  <c r="F41" i="33"/>
  <c r="X41" i="39" s="1"/>
  <c r="D41" i="33"/>
  <c r="V41" i="39" s="1"/>
  <c r="C41" i="33"/>
  <c r="U41" i="39" s="1"/>
  <c r="B41" i="33"/>
  <c r="T41" i="39" s="1"/>
  <c r="G40" i="33"/>
  <c r="Y40" i="39" s="1"/>
  <c r="F40" i="33"/>
  <c r="X40" i="39" s="1"/>
  <c r="D40" i="33"/>
  <c r="V40" i="39" s="1"/>
  <c r="C40" i="33"/>
  <c r="U40" i="39" s="1"/>
  <c r="B40" i="33"/>
  <c r="T40" i="39" s="1"/>
  <c r="G39" i="33"/>
  <c r="Y39" i="39" s="1"/>
  <c r="F39" i="33"/>
  <c r="X39" i="39" s="1"/>
  <c r="D39" i="33"/>
  <c r="V39" i="39" s="1"/>
  <c r="C39" i="33"/>
  <c r="U39" i="39" s="1"/>
  <c r="B39" i="33"/>
  <c r="G38" i="33"/>
  <c r="Y38" i="39" s="1"/>
  <c r="F38" i="33"/>
  <c r="X38" i="39" s="1"/>
  <c r="D38" i="33"/>
  <c r="V38" i="39" s="1"/>
  <c r="C38" i="33"/>
  <c r="U38" i="39" s="1"/>
  <c r="B38" i="33"/>
  <c r="T38" i="39" s="1"/>
  <c r="G37" i="33"/>
  <c r="Y37" i="39" s="1"/>
  <c r="F37" i="33"/>
  <c r="X37" i="39" s="1"/>
  <c r="D37" i="33"/>
  <c r="V37" i="39" s="1"/>
  <c r="C37" i="33"/>
  <c r="U37" i="39" s="1"/>
  <c r="B37" i="33"/>
  <c r="T37" i="39" s="1"/>
  <c r="G36" i="33"/>
  <c r="Y36" i="39" s="1"/>
  <c r="F36" i="33"/>
  <c r="X36" i="39" s="1"/>
  <c r="D36" i="33"/>
  <c r="V36" i="39" s="1"/>
  <c r="C36" i="33"/>
  <c r="U36" i="39" s="1"/>
  <c r="B36" i="33"/>
  <c r="T36" i="39" s="1"/>
  <c r="G35" i="33"/>
  <c r="Y35" i="39" s="1"/>
  <c r="F35" i="33"/>
  <c r="X35" i="39" s="1"/>
  <c r="D35" i="33"/>
  <c r="V35" i="39" s="1"/>
  <c r="C35" i="33"/>
  <c r="U35" i="39" s="1"/>
  <c r="B35" i="33"/>
  <c r="T35" i="39" s="1"/>
  <c r="G34" i="33"/>
  <c r="Y34" i="39" s="1"/>
  <c r="F34" i="33"/>
  <c r="X34" i="39" s="1"/>
  <c r="D34" i="33"/>
  <c r="V34" i="39" s="1"/>
  <c r="C34" i="33"/>
  <c r="U34" i="39" s="1"/>
  <c r="B34" i="33"/>
  <c r="T34" i="39" s="1"/>
  <c r="G33" i="33"/>
  <c r="Y33" i="39" s="1"/>
  <c r="F33" i="33"/>
  <c r="X33" i="39" s="1"/>
  <c r="D33" i="33"/>
  <c r="V33" i="39" s="1"/>
  <c r="C33" i="33"/>
  <c r="U33" i="39" s="1"/>
  <c r="B33" i="33"/>
  <c r="T33" i="39" s="1"/>
  <c r="G32" i="33"/>
  <c r="Y32" i="39" s="1"/>
  <c r="F32" i="33"/>
  <c r="X32" i="39" s="1"/>
  <c r="D32" i="33"/>
  <c r="V32" i="39" s="1"/>
  <c r="C32" i="33"/>
  <c r="U32" i="39" s="1"/>
  <c r="B32" i="33"/>
  <c r="T32" i="39" s="1"/>
  <c r="G31" i="33"/>
  <c r="Y31" i="39" s="1"/>
  <c r="F31" i="33"/>
  <c r="X31" i="39" s="1"/>
  <c r="D31" i="33"/>
  <c r="V31" i="39" s="1"/>
  <c r="C31" i="33"/>
  <c r="U31" i="39" s="1"/>
  <c r="B31" i="33"/>
  <c r="T31" i="39" s="1"/>
  <c r="G30" i="33"/>
  <c r="Y30" i="39" s="1"/>
  <c r="F30" i="33"/>
  <c r="X30" i="39" s="1"/>
  <c r="D30" i="33"/>
  <c r="V30" i="39" s="1"/>
  <c r="C30" i="33"/>
  <c r="U30" i="39" s="1"/>
  <c r="B30" i="33"/>
  <c r="T30" i="39" s="1"/>
  <c r="G29" i="33"/>
  <c r="Y29" i="39" s="1"/>
  <c r="F29" i="33"/>
  <c r="X29" i="39" s="1"/>
  <c r="D29" i="33"/>
  <c r="V29" i="39" s="1"/>
  <c r="C29" i="33"/>
  <c r="U29" i="39" s="1"/>
  <c r="B29" i="33"/>
  <c r="T29" i="39" s="1"/>
  <c r="G28" i="33"/>
  <c r="Y28" i="39" s="1"/>
  <c r="F28" i="33"/>
  <c r="X28" i="39" s="1"/>
  <c r="D28" i="33"/>
  <c r="V28" i="39" s="1"/>
  <c r="C28" i="33"/>
  <c r="U28" i="39" s="1"/>
  <c r="B28" i="33"/>
  <c r="T28" i="39" s="1"/>
  <c r="G27" i="33"/>
  <c r="Y27" i="39" s="1"/>
  <c r="F27" i="33"/>
  <c r="X27" i="39" s="1"/>
  <c r="D27" i="33"/>
  <c r="V27" i="39" s="1"/>
  <c r="C27" i="33"/>
  <c r="U27" i="39" s="1"/>
  <c r="B27" i="33"/>
  <c r="T27" i="39" s="1"/>
  <c r="G26" i="33"/>
  <c r="Y26" i="39" s="1"/>
  <c r="F26" i="33"/>
  <c r="X26" i="39" s="1"/>
  <c r="D26" i="33"/>
  <c r="V26" i="39" s="1"/>
  <c r="C26" i="33"/>
  <c r="U26" i="39" s="1"/>
  <c r="B26" i="33"/>
  <c r="T26" i="39" s="1"/>
  <c r="G25" i="33"/>
  <c r="Y25" i="39" s="1"/>
  <c r="F25" i="33"/>
  <c r="X25" i="39" s="1"/>
  <c r="D25" i="33"/>
  <c r="V25" i="39" s="1"/>
  <c r="C25" i="33"/>
  <c r="U25" i="39" s="1"/>
  <c r="B25" i="33"/>
  <c r="T25" i="39" s="1"/>
  <c r="G24" i="33"/>
  <c r="Y24" i="39" s="1"/>
  <c r="F24" i="33"/>
  <c r="X24" i="39" s="1"/>
  <c r="D24" i="33"/>
  <c r="V24" i="39" s="1"/>
  <c r="C24" i="33"/>
  <c r="U24" i="39" s="1"/>
  <c r="B24" i="33"/>
  <c r="T24" i="39" s="1"/>
  <c r="G23" i="33"/>
  <c r="Y23" i="39" s="1"/>
  <c r="F23" i="33"/>
  <c r="X23" i="39" s="1"/>
  <c r="D23" i="33"/>
  <c r="V23" i="39" s="1"/>
  <c r="C23" i="33"/>
  <c r="U23" i="39" s="1"/>
  <c r="B23" i="33"/>
  <c r="T23" i="39" s="1"/>
  <c r="G22" i="33"/>
  <c r="Y22" i="39" s="1"/>
  <c r="F22" i="33"/>
  <c r="X22" i="39" s="1"/>
  <c r="D22" i="33"/>
  <c r="V22" i="39" s="1"/>
  <c r="C22" i="33"/>
  <c r="U22" i="39" s="1"/>
  <c r="B22" i="33"/>
  <c r="T22" i="39" s="1"/>
  <c r="G21" i="33"/>
  <c r="Y21" i="39" s="1"/>
  <c r="F21" i="33"/>
  <c r="X21" i="39" s="1"/>
  <c r="D21" i="33"/>
  <c r="V21" i="39" s="1"/>
  <c r="C21" i="33"/>
  <c r="U21" i="39" s="1"/>
  <c r="B21" i="33"/>
  <c r="T21" i="39" s="1"/>
  <c r="G20" i="33"/>
  <c r="Y20" i="39" s="1"/>
  <c r="F20" i="33"/>
  <c r="X20" i="39" s="1"/>
  <c r="D20" i="33"/>
  <c r="V20" i="39" s="1"/>
  <c r="C20" i="33"/>
  <c r="U20" i="39" s="1"/>
  <c r="B20" i="33"/>
  <c r="T20" i="39" s="1"/>
  <c r="G19" i="33"/>
  <c r="Y19" i="39" s="1"/>
  <c r="F19" i="33"/>
  <c r="X19" i="39" s="1"/>
  <c r="D19" i="33"/>
  <c r="V19" i="39" s="1"/>
  <c r="C19" i="33"/>
  <c r="U19" i="39" s="1"/>
  <c r="B19" i="33"/>
  <c r="T19" i="39" s="1"/>
  <c r="G18" i="33"/>
  <c r="Y18" i="39" s="1"/>
  <c r="F18" i="33"/>
  <c r="X18" i="39" s="1"/>
  <c r="D18" i="33"/>
  <c r="V18" i="39" s="1"/>
  <c r="C18" i="33"/>
  <c r="U18" i="39" s="1"/>
  <c r="B18" i="33"/>
  <c r="T18" i="39" s="1"/>
  <c r="G17" i="33"/>
  <c r="Y17" i="39" s="1"/>
  <c r="F17" i="33"/>
  <c r="X17" i="39" s="1"/>
  <c r="D17" i="33"/>
  <c r="V17" i="39" s="1"/>
  <c r="C17" i="33"/>
  <c r="U17" i="39" s="1"/>
  <c r="B17" i="33"/>
  <c r="T17" i="39" s="1"/>
  <c r="G16" i="33"/>
  <c r="Y16" i="39" s="1"/>
  <c r="F16" i="33"/>
  <c r="X16" i="39" s="1"/>
  <c r="D16" i="33"/>
  <c r="V16" i="39" s="1"/>
  <c r="C16" i="33"/>
  <c r="U16" i="39" s="1"/>
  <c r="B16" i="33"/>
  <c r="T16" i="39" s="1"/>
  <c r="G15" i="33"/>
  <c r="Y15" i="39" s="1"/>
  <c r="F15" i="33"/>
  <c r="X15" i="39" s="1"/>
  <c r="D15" i="33"/>
  <c r="V15" i="39" s="1"/>
  <c r="C15" i="33"/>
  <c r="U15" i="39" s="1"/>
  <c r="B15" i="33"/>
  <c r="T15" i="39" s="1"/>
  <c r="G14" i="33"/>
  <c r="Y14" i="39" s="1"/>
  <c r="F14" i="33"/>
  <c r="X14" i="39" s="1"/>
  <c r="D14" i="33"/>
  <c r="V14" i="39" s="1"/>
  <c r="C14" i="33"/>
  <c r="U14" i="39" s="1"/>
  <c r="B14" i="33"/>
  <c r="T14" i="39" s="1"/>
  <c r="G13" i="33"/>
  <c r="Y13" i="39" s="1"/>
  <c r="F13" i="33"/>
  <c r="X13" i="39" s="1"/>
  <c r="D13" i="33"/>
  <c r="V13" i="39" s="1"/>
  <c r="C13" i="33"/>
  <c r="U13" i="39" s="1"/>
  <c r="B13" i="33"/>
  <c r="T13" i="39" s="1"/>
  <c r="G12" i="33"/>
  <c r="Y12" i="39" s="1"/>
  <c r="F12" i="33"/>
  <c r="X12" i="39" s="1"/>
  <c r="D12" i="33"/>
  <c r="V12" i="39" s="1"/>
  <c r="C12" i="33"/>
  <c r="U12" i="39" s="1"/>
  <c r="B12" i="33"/>
  <c r="T12" i="39" s="1"/>
  <c r="G11" i="33"/>
  <c r="Y11" i="39" s="1"/>
  <c r="F11" i="33"/>
  <c r="X11" i="39" s="1"/>
  <c r="D11" i="33"/>
  <c r="V11" i="39" s="1"/>
  <c r="C11" i="33"/>
  <c r="U11" i="39" s="1"/>
  <c r="B11" i="33"/>
  <c r="T11" i="39" s="1"/>
  <c r="G10" i="33"/>
  <c r="Y10" i="39" s="1"/>
  <c r="F10" i="33"/>
  <c r="X10" i="39" s="1"/>
  <c r="D10" i="33"/>
  <c r="V10" i="39" s="1"/>
  <c r="C10" i="33"/>
  <c r="U10" i="39" s="1"/>
  <c r="B10" i="33"/>
  <c r="T10" i="39" s="1"/>
  <c r="G9" i="33"/>
  <c r="Y9" i="39" s="1"/>
  <c r="F9" i="33"/>
  <c r="X9" i="39" s="1"/>
  <c r="D9" i="33"/>
  <c r="V9" i="39" s="1"/>
  <c r="C9" i="33"/>
  <c r="U9" i="39" s="1"/>
  <c r="B9" i="33"/>
  <c r="T9" i="39" s="1"/>
  <c r="G8" i="33"/>
  <c r="Y8" i="39" s="1"/>
  <c r="F8" i="33"/>
  <c r="X8" i="39" s="1"/>
  <c r="D8" i="33"/>
  <c r="V8" i="39" s="1"/>
  <c r="C8" i="33"/>
  <c r="U8" i="39" s="1"/>
  <c r="B8" i="33"/>
  <c r="T8" i="39" s="1"/>
  <c r="G7" i="33"/>
  <c r="Y7" i="39" s="1"/>
  <c r="F7" i="33"/>
  <c r="X7" i="39" s="1"/>
  <c r="D7" i="33"/>
  <c r="V7" i="39" s="1"/>
  <c r="C7" i="33"/>
  <c r="U7" i="39" s="1"/>
  <c r="B7" i="33"/>
  <c r="T7" i="39" s="1"/>
  <c r="G6" i="33"/>
  <c r="Y6" i="39" s="1"/>
  <c r="F6" i="33"/>
  <c r="X6" i="39" s="1"/>
  <c r="D6" i="33"/>
  <c r="V6" i="39" s="1"/>
  <c r="C6" i="33"/>
  <c r="U6" i="39" s="1"/>
  <c r="B6" i="33"/>
  <c r="T6" i="39" s="1"/>
  <c r="G5" i="33"/>
  <c r="Y5" i="39" s="1"/>
  <c r="F5" i="33"/>
  <c r="X5" i="39" s="1"/>
  <c r="D5" i="33"/>
  <c r="V5" i="39" s="1"/>
  <c r="C5" i="33"/>
  <c r="U5" i="39" s="1"/>
  <c r="B5" i="33"/>
  <c r="T5" i="39" s="1"/>
  <c r="G4" i="33"/>
  <c r="Y4" i="39" s="1"/>
  <c r="F4" i="33"/>
  <c r="X4" i="39" s="1"/>
  <c r="D4" i="33"/>
  <c r="V4" i="39" s="1"/>
  <c r="C4" i="33"/>
  <c r="U4" i="39" s="1"/>
  <c r="B4" i="33"/>
  <c r="T4" i="39" s="1"/>
  <c r="G3" i="33"/>
  <c r="Y3" i="39" s="1"/>
  <c r="F3" i="33"/>
  <c r="X3" i="39" s="1"/>
  <c r="D3" i="33"/>
  <c r="V3" i="39" s="1"/>
  <c r="C3" i="33"/>
  <c r="U3" i="39" s="1"/>
  <c r="B3" i="33"/>
  <c r="T3" i="39" s="1"/>
  <c r="G206" i="32"/>
  <c r="P206" i="39" s="1"/>
  <c r="F206" i="32"/>
  <c r="O206" i="39" s="1"/>
  <c r="G205" i="32"/>
  <c r="P205" i="39" s="1"/>
  <c r="F205" i="32"/>
  <c r="O205" i="39" s="1"/>
  <c r="G204" i="32"/>
  <c r="P204" i="39" s="1"/>
  <c r="F204" i="32"/>
  <c r="O204" i="39" s="1"/>
  <c r="G203" i="32"/>
  <c r="P203" i="39" s="1"/>
  <c r="F203" i="32"/>
  <c r="O203" i="39" s="1"/>
  <c r="G202" i="32"/>
  <c r="P202" i="39" s="1"/>
  <c r="F202" i="32"/>
  <c r="O202" i="39" s="1"/>
  <c r="G201" i="32"/>
  <c r="P201" i="39" s="1"/>
  <c r="F201" i="32"/>
  <c r="O201" i="39" s="1"/>
  <c r="G200" i="32"/>
  <c r="P200" i="39" s="1"/>
  <c r="F200" i="32"/>
  <c r="O200" i="39" s="1"/>
  <c r="G199" i="32"/>
  <c r="P199" i="39" s="1"/>
  <c r="F199" i="32"/>
  <c r="O199" i="39" s="1"/>
  <c r="G198" i="32"/>
  <c r="P198" i="39" s="1"/>
  <c r="F198" i="32"/>
  <c r="O198" i="39" s="1"/>
  <c r="G197" i="32"/>
  <c r="P197" i="39" s="1"/>
  <c r="F197" i="32"/>
  <c r="O197" i="39" s="1"/>
  <c r="G196" i="32"/>
  <c r="P196" i="39" s="1"/>
  <c r="F196" i="32"/>
  <c r="O196" i="39" s="1"/>
  <c r="G195" i="32"/>
  <c r="P195" i="39" s="1"/>
  <c r="F195" i="32"/>
  <c r="O195" i="39" s="1"/>
  <c r="G194" i="32"/>
  <c r="P194" i="39" s="1"/>
  <c r="F194" i="32"/>
  <c r="O194" i="39" s="1"/>
  <c r="G193" i="32"/>
  <c r="P193" i="39" s="1"/>
  <c r="F193" i="32"/>
  <c r="O193" i="39" s="1"/>
  <c r="G192" i="32"/>
  <c r="P192" i="39" s="1"/>
  <c r="F192" i="32"/>
  <c r="O192" i="39" s="1"/>
  <c r="G191" i="32"/>
  <c r="P191" i="39" s="1"/>
  <c r="F191" i="32"/>
  <c r="O191" i="39" s="1"/>
  <c r="G190" i="32"/>
  <c r="P190" i="39" s="1"/>
  <c r="F190" i="32"/>
  <c r="O190" i="39" s="1"/>
  <c r="G189" i="32"/>
  <c r="P189" i="39" s="1"/>
  <c r="F189" i="32"/>
  <c r="O189" i="39" s="1"/>
  <c r="G188" i="32"/>
  <c r="P188" i="39" s="1"/>
  <c r="F188" i="32"/>
  <c r="O188" i="39" s="1"/>
  <c r="G187" i="32"/>
  <c r="P187" i="39" s="1"/>
  <c r="F187" i="32"/>
  <c r="O187" i="39" s="1"/>
  <c r="G186" i="32"/>
  <c r="P186" i="39" s="1"/>
  <c r="F186" i="32"/>
  <c r="O186" i="39" s="1"/>
  <c r="G185" i="32"/>
  <c r="P185" i="39" s="1"/>
  <c r="F185" i="32"/>
  <c r="O185" i="39" s="1"/>
  <c r="G184" i="32"/>
  <c r="P184" i="39" s="1"/>
  <c r="F184" i="32"/>
  <c r="O184" i="39" s="1"/>
  <c r="G183" i="32"/>
  <c r="P183" i="39" s="1"/>
  <c r="F183" i="32"/>
  <c r="O183" i="39" s="1"/>
  <c r="G182" i="32"/>
  <c r="P182" i="39" s="1"/>
  <c r="F182" i="32"/>
  <c r="O182" i="39" s="1"/>
  <c r="G181" i="32"/>
  <c r="P181" i="39" s="1"/>
  <c r="F181" i="32"/>
  <c r="O181" i="39" s="1"/>
  <c r="G180" i="32"/>
  <c r="P180" i="39" s="1"/>
  <c r="F180" i="32"/>
  <c r="O180" i="39" s="1"/>
  <c r="G179" i="32"/>
  <c r="P179" i="39" s="1"/>
  <c r="F179" i="32"/>
  <c r="O179" i="39" s="1"/>
  <c r="G178" i="32"/>
  <c r="P178" i="39" s="1"/>
  <c r="F178" i="32"/>
  <c r="O178" i="39" s="1"/>
  <c r="G177" i="32"/>
  <c r="P177" i="39" s="1"/>
  <c r="F177" i="32"/>
  <c r="O177" i="39" s="1"/>
  <c r="G176" i="32"/>
  <c r="P176" i="39" s="1"/>
  <c r="F176" i="32"/>
  <c r="O176" i="39" s="1"/>
  <c r="G175" i="32"/>
  <c r="P175" i="39" s="1"/>
  <c r="F175" i="32"/>
  <c r="O175" i="39" s="1"/>
  <c r="G174" i="32"/>
  <c r="P174" i="39" s="1"/>
  <c r="F174" i="32"/>
  <c r="O174" i="39" s="1"/>
  <c r="P173" i="39"/>
  <c r="O173" i="39"/>
  <c r="P172" i="39"/>
  <c r="O172" i="39"/>
  <c r="P171" i="39"/>
  <c r="O171" i="39"/>
  <c r="P170" i="39"/>
  <c r="O170" i="39"/>
  <c r="P169" i="39"/>
  <c r="O169" i="39"/>
  <c r="P168" i="39"/>
  <c r="O168" i="39"/>
  <c r="P167" i="39"/>
  <c r="O167" i="39"/>
  <c r="P166" i="39"/>
  <c r="O166" i="39"/>
  <c r="P165" i="39"/>
  <c r="O165" i="39"/>
  <c r="P164" i="39"/>
  <c r="O164" i="39"/>
  <c r="P163" i="39"/>
  <c r="O163" i="39"/>
  <c r="P162" i="39"/>
  <c r="O162" i="39"/>
  <c r="P161" i="39"/>
  <c r="O161" i="39"/>
  <c r="P160" i="39"/>
  <c r="O160" i="39"/>
  <c r="P159" i="39"/>
  <c r="O159" i="39"/>
  <c r="P158" i="39"/>
  <c r="O158" i="39"/>
  <c r="P157" i="39"/>
  <c r="O157" i="39"/>
  <c r="P156" i="39"/>
  <c r="O156" i="39"/>
  <c r="P155" i="39"/>
  <c r="O155" i="39"/>
  <c r="P154" i="39"/>
  <c r="O154" i="39"/>
  <c r="P153" i="39"/>
  <c r="O153" i="39"/>
  <c r="P152" i="39"/>
  <c r="O152" i="39"/>
  <c r="P151" i="39"/>
  <c r="O151" i="39"/>
  <c r="P150" i="39"/>
  <c r="O150" i="39"/>
  <c r="P149" i="39"/>
  <c r="O149" i="39"/>
  <c r="P148" i="39"/>
  <c r="O148" i="39"/>
  <c r="P147" i="39"/>
  <c r="O147" i="39"/>
  <c r="P146" i="39"/>
  <c r="O146" i="39"/>
  <c r="P145" i="39"/>
  <c r="O145" i="39"/>
  <c r="P144" i="39"/>
  <c r="O144" i="39"/>
  <c r="P143" i="39"/>
  <c r="O143" i="39"/>
  <c r="P142" i="39"/>
  <c r="O142" i="39"/>
  <c r="P141" i="39"/>
  <c r="O141" i="39"/>
  <c r="P140" i="39"/>
  <c r="O140" i="39"/>
  <c r="P139" i="39"/>
  <c r="O139" i="39"/>
  <c r="P138" i="39"/>
  <c r="O138" i="39"/>
  <c r="P137" i="39"/>
  <c r="O137" i="39"/>
  <c r="P136" i="39"/>
  <c r="O136" i="39"/>
  <c r="P135" i="39"/>
  <c r="O135" i="39"/>
  <c r="G134" i="32"/>
  <c r="P134" i="39" s="1"/>
  <c r="F134" i="32"/>
  <c r="O134" i="39" s="1"/>
  <c r="G133" i="32"/>
  <c r="P133" i="39" s="1"/>
  <c r="F133" i="32"/>
  <c r="O133" i="39" s="1"/>
  <c r="B133" i="32"/>
  <c r="K133" i="39" s="1"/>
  <c r="G132" i="32"/>
  <c r="P132" i="39" s="1"/>
  <c r="F132" i="32"/>
  <c r="O132" i="39" s="1"/>
  <c r="B132" i="32"/>
  <c r="K132" i="39" s="1"/>
  <c r="G131" i="32"/>
  <c r="P131" i="39" s="1"/>
  <c r="F131" i="32"/>
  <c r="O131" i="39" s="1"/>
  <c r="B131" i="32"/>
  <c r="K131" i="39" s="1"/>
  <c r="G130" i="32"/>
  <c r="P130" i="39" s="1"/>
  <c r="F130" i="32"/>
  <c r="O130" i="39" s="1"/>
  <c r="B130" i="32"/>
  <c r="K130" i="39" s="1"/>
  <c r="G129" i="32"/>
  <c r="P129" i="39" s="1"/>
  <c r="F129" i="32"/>
  <c r="O129" i="39" s="1"/>
  <c r="B129" i="32"/>
  <c r="K129" i="39" s="1"/>
  <c r="G128" i="32"/>
  <c r="P128" i="39" s="1"/>
  <c r="F128" i="32"/>
  <c r="O128" i="39" s="1"/>
  <c r="B128" i="32"/>
  <c r="K128" i="39" s="1"/>
  <c r="G127" i="32"/>
  <c r="P127" i="39" s="1"/>
  <c r="F127" i="32"/>
  <c r="O127" i="39" s="1"/>
  <c r="B127" i="32"/>
  <c r="K127" i="39" s="1"/>
  <c r="G126" i="32"/>
  <c r="P126" i="39" s="1"/>
  <c r="F126" i="32"/>
  <c r="O126" i="39" s="1"/>
  <c r="B126" i="32"/>
  <c r="K126" i="39" s="1"/>
  <c r="G125" i="32"/>
  <c r="P125" i="39" s="1"/>
  <c r="F125" i="32"/>
  <c r="O125" i="39" s="1"/>
  <c r="B125" i="32"/>
  <c r="K125" i="39" s="1"/>
  <c r="G124" i="32"/>
  <c r="P124" i="39" s="1"/>
  <c r="F124" i="32"/>
  <c r="O124" i="39" s="1"/>
  <c r="B124" i="32"/>
  <c r="K124" i="39" s="1"/>
  <c r="G123" i="32"/>
  <c r="P123" i="39" s="1"/>
  <c r="F123" i="32"/>
  <c r="O123" i="39" s="1"/>
  <c r="B123" i="32"/>
  <c r="G122" i="32"/>
  <c r="P122" i="39" s="1"/>
  <c r="F122" i="32"/>
  <c r="O122" i="39" s="1"/>
  <c r="B122" i="32"/>
  <c r="K122" i="39" s="1"/>
  <c r="G121" i="32"/>
  <c r="P121" i="39" s="1"/>
  <c r="F121" i="32"/>
  <c r="O121" i="39" s="1"/>
  <c r="B121" i="32"/>
  <c r="K121" i="39" s="1"/>
  <c r="G120" i="32"/>
  <c r="P120" i="39" s="1"/>
  <c r="F120" i="32"/>
  <c r="O120" i="39" s="1"/>
  <c r="B120" i="32"/>
  <c r="K120" i="39" s="1"/>
  <c r="G119" i="32"/>
  <c r="P119" i="39" s="1"/>
  <c r="F119" i="32"/>
  <c r="O119" i="39" s="1"/>
  <c r="B119" i="32"/>
  <c r="K119" i="39" s="1"/>
  <c r="G118" i="32"/>
  <c r="P118" i="39" s="1"/>
  <c r="F118" i="32"/>
  <c r="O118" i="39" s="1"/>
  <c r="B118" i="32"/>
  <c r="K118" i="39" s="1"/>
  <c r="G117" i="32"/>
  <c r="P117" i="39" s="1"/>
  <c r="F117" i="32"/>
  <c r="O117" i="39" s="1"/>
  <c r="B117" i="32"/>
  <c r="K117" i="39" s="1"/>
  <c r="G116" i="32"/>
  <c r="P116" i="39" s="1"/>
  <c r="F116" i="32"/>
  <c r="O116" i="39" s="1"/>
  <c r="B116" i="32"/>
  <c r="K116" i="39" s="1"/>
  <c r="G115" i="32"/>
  <c r="P115" i="39" s="1"/>
  <c r="F115" i="32"/>
  <c r="O115" i="39" s="1"/>
  <c r="B115" i="32"/>
  <c r="K115" i="39" s="1"/>
  <c r="G114" i="32"/>
  <c r="P114" i="39" s="1"/>
  <c r="F114" i="32"/>
  <c r="O114" i="39" s="1"/>
  <c r="B114" i="32"/>
  <c r="K114" i="39" s="1"/>
  <c r="G113" i="32"/>
  <c r="P113" i="39" s="1"/>
  <c r="F113" i="32"/>
  <c r="O113" i="39" s="1"/>
  <c r="B113" i="32"/>
  <c r="K113" i="39" s="1"/>
  <c r="G112" i="32"/>
  <c r="P112" i="39" s="1"/>
  <c r="F112" i="32"/>
  <c r="O112" i="39" s="1"/>
  <c r="B112" i="32"/>
  <c r="K112" i="39" s="1"/>
  <c r="G111" i="32"/>
  <c r="P111" i="39" s="1"/>
  <c r="F111" i="32"/>
  <c r="O111" i="39" s="1"/>
  <c r="B111" i="32"/>
  <c r="G110" i="32"/>
  <c r="P110" i="39" s="1"/>
  <c r="F110" i="32"/>
  <c r="O110" i="39" s="1"/>
  <c r="B110" i="32"/>
  <c r="K110" i="39" s="1"/>
  <c r="G109" i="32"/>
  <c r="P109" i="39" s="1"/>
  <c r="F109" i="32"/>
  <c r="O109" i="39" s="1"/>
  <c r="B109" i="32"/>
  <c r="K109" i="39" s="1"/>
  <c r="G108" i="32"/>
  <c r="P108" i="39" s="1"/>
  <c r="F108" i="32"/>
  <c r="O108" i="39" s="1"/>
  <c r="B108" i="32"/>
  <c r="K108" i="39" s="1"/>
  <c r="G107" i="32"/>
  <c r="P107" i="39" s="1"/>
  <c r="F107" i="32"/>
  <c r="O107" i="39" s="1"/>
  <c r="B107" i="32"/>
  <c r="K107" i="39" s="1"/>
  <c r="G106" i="32"/>
  <c r="P106" i="39" s="1"/>
  <c r="F106" i="32"/>
  <c r="O106" i="39" s="1"/>
  <c r="B106" i="32"/>
  <c r="K106" i="39" s="1"/>
  <c r="G105" i="32"/>
  <c r="P105" i="39" s="1"/>
  <c r="F105" i="32"/>
  <c r="O105" i="39" s="1"/>
  <c r="B105" i="32"/>
  <c r="K105" i="39" s="1"/>
  <c r="G104" i="32"/>
  <c r="P104" i="39" s="1"/>
  <c r="F104" i="32"/>
  <c r="O104" i="39" s="1"/>
  <c r="B104" i="32"/>
  <c r="K104" i="39" s="1"/>
  <c r="G103" i="32"/>
  <c r="P103" i="39" s="1"/>
  <c r="F103" i="32"/>
  <c r="O103" i="39" s="1"/>
  <c r="B103" i="32"/>
  <c r="K103" i="39" s="1"/>
  <c r="G102" i="32"/>
  <c r="P102" i="39" s="1"/>
  <c r="F102" i="32"/>
  <c r="O102" i="39" s="1"/>
  <c r="B102" i="32"/>
  <c r="K102" i="39" s="1"/>
  <c r="G101" i="32"/>
  <c r="P101" i="39" s="1"/>
  <c r="F101" i="32"/>
  <c r="O101" i="39" s="1"/>
  <c r="B101" i="32"/>
  <c r="K101" i="39" s="1"/>
  <c r="G100" i="32"/>
  <c r="P100" i="39" s="1"/>
  <c r="F100" i="32"/>
  <c r="O100" i="39" s="1"/>
  <c r="B100" i="32"/>
  <c r="K100" i="39" s="1"/>
  <c r="G99" i="32"/>
  <c r="P99" i="39" s="1"/>
  <c r="F99" i="32"/>
  <c r="O99" i="39" s="1"/>
  <c r="B99" i="32"/>
  <c r="G98" i="32"/>
  <c r="P98" i="39" s="1"/>
  <c r="F98" i="32"/>
  <c r="O98" i="39" s="1"/>
  <c r="D98" i="32"/>
  <c r="M98" i="39" s="1"/>
  <c r="C98" i="32"/>
  <c r="L98" i="39" s="1"/>
  <c r="B98" i="32"/>
  <c r="K98" i="39" s="1"/>
  <c r="G97" i="32"/>
  <c r="P97" i="39" s="1"/>
  <c r="F97" i="32"/>
  <c r="O97" i="39" s="1"/>
  <c r="D97" i="32"/>
  <c r="M97" i="39" s="1"/>
  <c r="C97" i="32"/>
  <c r="L97" i="39" s="1"/>
  <c r="B97" i="32"/>
  <c r="K97" i="39" s="1"/>
  <c r="G96" i="32"/>
  <c r="P96" i="39" s="1"/>
  <c r="F96" i="32"/>
  <c r="O96" i="39" s="1"/>
  <c r="D96" i="32"/>
  <c r="M96" i="39" s="1"/>
  <c r="C96" i="32"/>
  <c r="L96" i="39" s="1"/>
  <c r="B96" i="32"/>
  <c r="K96" i="39" s="1"/>
  <c r="G95" i="32"/>
  <c r="P95" i="39" s="1"/>
  <c r="F95" i="32"/>
  <c r="O95" i="39" s="1"/>
  <c r="D95" i="32"/>
  <c r="M95" i="39" s="1"/>
  <c r="C95" i="32"/>
  <c r="L95" i="39" s="1"/>
  <c r="B95" i="32"/>
  <c r="K95" i="39" s="1"/>
  <c r="G94" i="32"/>
  <c r="P94" i="39" s="1"/>
  <c r="F94" i="32"/>
  <c r="O94" i="39" s="1"/>
  <c r="D94" i="32"/>
  <c r="M94" i="39" s="1"/>
  <c r="C94" i="32"/>
  <c r="L94" i="39" s="1"/>
  <c r="B94" i="32"/>
  <c r="K94" i="39" s="1"/>
  <c r="G93" i="32"/>
  <c r="P93" i="39" s="1"/>
  <c r="F93" i="32"/>
  <c r="O93" i="39" s="1"/>
  <c r="D93" i="32"/>
  <c r="M93" i="39" s="1"/>
  <c r="C93" i="32"/>
  <c r="L93" i="39" s="1"/>
  <c r="B93" i="32"/>
  <c r="K93" i="39" s="1"/>
  <c r="G92" i="32"/>
  <c r="P92" i="39" s="1"/>
  <c r="F92" i="32"/>
  <c r="O92" i="39" s="1"/>
  <c r="D92" i="32"/>
  <c r="M92" i="39" s="1"/>
  <c r="C92" i="32"/>
  <c r="L92" i="39" s="1"/>
  <c r="B92" i="32"/>
  <c r="K92" i="39" s="1"/>
  <c r="G91" i="32"/>
  <c r="P91" i="39" s="1"/>
  <c r="F91" i="32"/>
  <c r="O91" i="39" s="1"/>
  <c r="D91" i="32"/>
  <c r="M91" i="39" s="1"/>
  <c r="C91" i="32"/>
  <c r="L91" i="39" s="1"/>
  <c r="B91" i="32"/>
  <c r="K91" i="39" s="1"/>
  <c r="G90" i="32"/>
  <c r="P90" i="39" s="1"/>
  <c r="F90" i="32"/>
  <c r="O90" i="39" s="1"/>
  <c r="D90" i="32"/>
  <c r="M90" i="39" s="1"/>
  <c r="C90" i="32"/>
  <c r="L90" i="39" s="1"/>
  <c r="B90" i="32"/>
  <c r="K90" i="39" s="1"/>
  <c r="G89" i="32"/>
  <c r="P89" i="39" s="1"/>
  <c r="F89" i="32"/>
  <c r="O89" i="39" s="1"/>
  <c r="D89" i="32"/>
  <c r="M89" i="39" s="1"/>
  <c r="C89" i="32"/>
  <c r="L89" i="39" s="1"/>
  <c r="B89" i="32"/>
  <c r="K89" i="39" s="1"/>
  <c r="G88" i="32"/>
  <c r="P88" i="39" s="1"/>
  <c r="F88" i="32"/>
  <c r="O88" i="39" s="1"/>
  <c r="D88" i="32"/>
  <c r="M88" i="39" s="1"/>
  <c r="C88" i="32"/>
  <c r="L88" i="39" s="1"/>
  <c r="B88" i="32"/>
  <c r="K88" i="39" s="1"/>
  <c r="G87" i="32"/>
  <c r="P87" i="39" s="1"/>
  <c r="F87" i="32"/>
  <c r="O87" i="39" s="1"/>
  <c r="D87" i="32"/>
  <c r="M87" i="39" s="1"/>
  <c r="C87" i="32"/>
  <c r="L87" i="39" s="1"/>
  <c r="B87" i="32"/>
  <c r="G86" i="32"/>
  <c r="P86" i="39" s="1"/>
  <c r="F86" i="32"/>
  <c r="O86" i="39" s="1"/>
  <c r="D86" i="32"/>
  <c r="M86" i="39" s="1"/>
  <c r="C86" i="32"/>
  <c r="L86" i="39" s="1"/>
  <c r="B86" i="32"/>
  <c r="K86" i="39" s="1"/>
  <c r="G85" i="32"/>
  <c r="P85" i="39" s="1"/>
  <c r="F85" i="32"/>
  <c r="O85" i="39" s="1"/>
  <c r="D85" i="32"/>
  <c r="M85" i="39" s="1"/>
  <c r="C85" i="32"/>
  <c r="L85" i="39" s="1"/>
  <c r="B85" i="32"/>
  <c r="K85" i="39" s="1"/>
  <c r="G84" i="32"/>
  <c r="P84" i="39" s="1"/>
  <c r="F84" i="32"/>
  <c r="O84" i="39" s="1"/>
  <c r="D84" i="32"/>
  <c r="M84" i="39" s="1"/>
  <c r="C84" i="32"/>
  <c r="L84" i="39" s="1"/>
  <c r="B84" i="32"/>
  <c r="K84" i="39" s="1"/>
  <c r="G83" i="32"/>
  <c r="P83" i="39" s="1"/>
  <c r="F83" i="32"/>
  <c r="O83" i="39" s="1"/>
  <c r="D83" i="32"/>
  <c r="M83" i="39" s="1"/>
  <c r="C83" i="32"/>
  <c r="L83" i="39" s="1"/>
  <c r="B83" i="32"/>
  <c r="K83" i="39" s="1"/>
  <c r="G82" i="32"/>
  <c r="P82" i="39" s="1"/>
  <c r="F82" i="32"/>
  <c r="O82" i="39" s="1"/>
  <c r="D82" i="32"/>
  <c r="M82" i="39" s="1"/>
  <c r="C82" i="32"/>
  <c r="L82" i="39" s="1"/>
  <c r="B82" i="32"/>
  <c r="K82" i="39" s="1"/>
  <c r="G81" i="32"/>
  <c r="P81" i="39" s="1"/>
  <c r="F81" i="32"/>
  <c r="O81" i="39" s="1"/>
  <c r="D81" i="32"/>
  <c r="M81" i="39" s="1"/>
  <c r="C81" i="32"/>
  <c r="L81" i="39" s="1"/>
  <c r="B81" i="32"/>
  <c r="K81" i="39" s="1"/>
  <c r="G80" i="32"/>
  <c r="P80" i="39" s="1"/>
  <c r="F80" i="32"/>
  <c r="O80" i="39" s="1"/>
  <c r="D80" i="32"/>
  <c r="M80" i="39" s="1"/>
  <c r="C80" i="32"/>
  <c r="L80" i="39" s="1"/>
  <c r="B80" i="32"/>
  <c r="K80" i="39" s="1"/>
  <c r="G79" i="32"/>
  <c r="P79" i="39" s="1"/>
  <c r="F79" i="32"/>
  <c r="O79" i="39" s="1"/>
  <c r="D79" i="32"/>
  <c r="M79" i="39" s="1"/>
  <c r="C79" i="32"/>
  <c r="L79" i="39" s="1"/>
  <c r="B79" i="32"/>
  <c r="K79" i="39" s="1"/>
  <c r="G78" i="32"/>
  <c r="P78" i="39" s="1"/>
  <c r="F78" i="32"/>
  <c r="O78" i="39" s="1"/>
  <c r="D78" i="32"/>
  <c r="M78" i="39" s="1"/>
  <c r="C78" i="32"/>
  <c r="L78" i="39" s="1"/>
  <c r="B78" i="32"/>
  <c r="K78" i="39" s="1"/>
  <c r="G77" i="32"/>
  <c r="P77" i="39" s="1"/>
  <c r="F77" i="32"/>
  <c r="O77" i="39" s="1"/>
  <c r="D77" i="32"/>
  <c r="M77" i="39" s="1"/>
  <c r="C77" i="32"/>
  <c r="L77" i="39" s="1"/>
  <c r="B77" i="32"/>
  <c r="K77" i="39" s="1"/>
  <c r="G76" i="32"/>
  <c r="P76" i="39" s="1"/>
  <c r="F76" i="32"/>
  <c r="O76" i="39" s="1"/>
  <c r="D76" i="32"/>
  <c r="M76" i="39" s="1"/>
  <c r="C76" i="32"/>
  <c r="L76" i="39" s="1"/>
  <c r="B76" i="32"/>
  <c r="K76" i="39" s="1"/>
  <c r="G75" i="32"/>
  <c r="P75" i="39" s="1"/>
  <c r="F75" i="32"/>
  <c r="O75" i="39" s="1"/>
  <c r="D75" i="32"/>
  <c r="M75" i="39" s="1"/>
  <c r="C75" i="32"/>
  <c r="L75" i="39" s="1"/>
  <c r="B75" i="32"/>
  <c r="G74" i="32"/>
  <c r="P74" i="39" s="1"/>
  <c r="F74" i="32"/>
  <c r="O74" i="39" s="1"/>
  <c r="D74" i="32"/>
  <c r="M74" i="39" s="1"/>
  <c r="C74" i="32"/>
  <c r="L74" i="39" s="1"/>
  <c r="B74" i="32"/>
  <c r="K74" i="39" s="1"/>
  <c r="G73" i="32"/>
  <c r="P73" i="39" s="1"/>
  <c r="F73" i="32"/>
  <c r="O73" i="39" s="1"/>
  <c r="D73" i="32"/>
  <c r="M73" i="39" s="1"/>
  <c r="C73" i="32"/>
  <c r="L73" i="39" s="1"/>
  <c r="B73" i="32"/>
  <c r="K73" i="39" s="1"/>
  <c r="G72" i="32"/>
  <c r="P72" i="39" s="1"/>
  <c r="F72" i="32"/>
  <c r="O72" i="39" s="1"/>
  <c r="D72" i="32"/>
  <c r="M72" i="39" s="1"/>
  <c r="C72" i="32"/>
  <c r="L72" i="39" s="1"/>
  <c r="B72" i="32"/>
  <c r="K72" i="39" s="1"/>
  <c r="G71" i="32"/>
  <c r="P71" i="39" s="1"/>
  <c r="F71" i="32"/>
  <c r="O71" i="39" s="1"/>
  <c r="D71" i="32"/>
  <c r="M71" i="39" s="1"/>
  <c r="C71" i="32"/>
  <c r="L71" i="39" s="1"/>
  <c r="B71" i="32"/>
  <c r="K71" i="39" s="1"/>
  <c r="G70" i="32"/>
  <c r="P70" i="39" s="1"/>
  <c r="F70" i="32"/>
  <c r="O70" i="39" s="1"/>
  <c r="D70" i="32"/>
  <c r="M70" i="39" s="1"/>
  <c r="C70" i="32"/>
  <c r="L70" i="39" s="1"/>
  <c r="B70" i="32"/>
  <c r="K70" i="39" s="1"/>
  <c r="G69" i="32"/>
  <c r="P69" i="39" s="1"/>
  <c r="F69" i="32"/>
  <c r="O69" i="39" s="1"/>
  <c r="D69" i="32"/>
  <c r="M69" i="39" s="1"/>
  <c r="C69" i="32"/>
  <c r="L69" i="39" s="1"/>
  <c r="B69" i="32"/>
  <c r="K69" i="39" s="1"/>
  <c r="G68" i="32"/>
  <c r="P68" i="39" s="1"/>
  <c r="F68" i="32"/>
  <c r="O68" i="39" s="1"/>
  <c r="D68" i="32"/>
  <c r="M68" i="39" s="1"/>
  <c r="C68" i="32"/>
  <c r="L68" i="39" s="1"/>
  <c r="B68" i="32"/>
  <c r="K68" i="39" s="1"/>
  <c r="G67" i="32"/>
  <c r="P67" i="39" s="1"/>
  <c r="F67" i="32"/>
  <c r="O67" i="39" s="1"/>
  <c r="D67" i="32"/>
  <c r="M67" i="39" s="1"/>
  <c r="C67" i="32"/>
  <c r="L67" i="39" s="1"/>
  <c r="B67" i="32"/>
  <c r="K67" i="39" s="1"/>
  <c r="G66" i="32"/>
  <c r="P66" i="39" s="1"/>
  <c r="F66" i="32"/>
  <c r="O66" i="39" s="1"/>
  <c r="D66" i="32"/>
  <c r="M66" i="39" s="1"/>
  <c r="C66" i="32"/>
  <c r="L66" i="39" s="1"/>
  <c r="B66" i="32"/>
  <c r="K66" i="39" s="1"/>
  <c r="G65" i="32"/>
  <c r="P65" i="39" s="1"/>
  <c r="F65" i="32"/>
  <c r="O65" i="39" s="1"/>
  <c r="D65" i="32"/>
  <c r="M65" i="39" s="1"/>
  <c r="C65" i="32"/>
  <c r="L65" i="39" s="1"/>
  <c r="B65" i="32"/>
  <c r="K65" i="39" s="1"/>
  <c r="G64" i="32"/>
  <c r="P64" i="39" s="1"/>
  <c r="F64" i="32"/>
  <c r="O64" i="39" s="1"/>
  <c r="D64" i="32"/>
  <c r="M64" i="39" s="1"/>
  <c r="C64" i="32"/>
  <c r="L64" i="39" s="1"/>
  <c r="B64" i="32"/>
  <c r="K64" i="39" s="1"/>
  <c r="G63" i="32"/>
  <c r="P63" i="39" s="1"/>
  <c r="F63" i="32"/>
  <c r="O63" i="39" s="1"/>
  <c r="D63" i="32"/>
  <c r="M63" i="39" s="1"/>
  <c r="C63" i="32"/>
  <c r="L63" i="39" s="1"/>
  <c r="B63" i="32"/>
  <c r="G62" i="32"/>
  <c r="P62" i="39" s="1"/>
  <c r="F62" i="32"/>
  <c r="O62" i="39" s="1"/>
  <c r="D62" i="32"/>
  <c r="M62" i="39" s="1"/>
  <c r="C62" i="32"/>
  <c r="L62" i="39" s="1"/>
  <c r="B62" i="32"/>
  <c r="K62" i="39" s="1"/>
  <c r="G61" i="32"/>
  <c r="P61" i="39" s="1"/>
  <c r="F61" i="32"/>
  <c r="O61" i="39" s="1"/>
  <c r="D61" i="32"/>
  <c r="M61" i="39" s="1"/>
  <c r="C61" i="32"/>
  <c r="L61" i="39" s="1"/>
  <c r="B61" i="32"/>
  <c r="K61" i="39" s="1"/>
  <c r="G60" i="32"/>
  <c r="P60" i="39" s="1"/>
  <c r="F60" i="32"/>
  <c r="O60" i="39" s="1"/>
  <c r="D60" i="32"/>
  <c r="M60" i="39" s="1"/>
  <c r="C60" i="32"/>
  <c r="L60" i="39" s="1"/>
  <c r="B60" i="32"/>
  <c r="K60" i="39" s="1"/>
  <c r="G59" i="32"/>
  <c r="P59" i="39" s="1"/>
  <c r="F59" i="32"/>
  <c r="O59" i="39" s="1"/>
  <c r="D59" i="32"/>
  <c r="M59" i="39" s="1"/>
  <c r="C59" i="32"/>
  <c r="L59" i="39" s="1"/>
  <c r="B59" i="32"/>
  <c r="K59" i="39" s="1"/>
  <c r="G58" i="32"/>
  <c r="P58" i="39" s="1"/>
  <c r="F58" i="32"/>
  <c r="O58" i="39" s="1"/>
  <c r="D58" i="32"/>
  <c r="M58" i="39" s="1"/>
  <c r="C58" i="32"/>
  <c r="L58" i="39" s="1"/>
  <c r="B58" i="32"/>
  <c r="K58" i="39" s="1"/>
  <c r="G57" i="32"/>
  <c r="P57" i="39" s="1"/>
  <c r="F57" i="32"/>
  <c r="O57" i="39" s="1"/>
  <c r="D57" i="32"/>
  <c r="M57" i="39" s="1"/>
  <c r="C57" i="32"/>
  <c r="L57" i="39" s="1"/>
  <c r="B57" i="32"/>
  <c r="K57" i="39" s="1"/>
  <c r="G56" i="32"/>
  <c r="P56" i="39" s="1"/>
  <c r="F56" i="32"/>
  <c r="O56" i="39" s="1"/>
  <c r="D56" i="32"/>
  <c r="M56" i="39" s="1"/>
  <c r="C56" i="32"/>
  <c r="L56" i="39" s="1"/>
  <c r="B56" i="32"/>
  <c r="K56" i="39" s="1"/>
  <c r="G55" i="32"/>
  <c r="P55" i="39" s="1"/>
  <c r="F55" i="32"/>
  <c r="O55" i="39" s="1"/>
  <c r="D55" i="32"/>
  <c r="M55" i="39" s="1"/>
  <c r="C55" i="32"/>
  <c r="L55" i="39" s="1"/>
  <c r="B55" i="32"/>
  <c r="K55" i="39" s="1"/>
  <c r="G54" i="32"/>
  <c r="P54" i="39" s="1"/>
  <c r="F54" i="32"/>
  <c r="O54" i="39" s="1"/>
  <c r="D54" i="32"/>
  <c r="M54" i="39" s="1"/>
  <c r="C54" i="32"/>
  <c r="L54" i="39" s="1"/>
  <c r="B54" i="32"/>
  <c r="K54" i="39" s="1"/>
  <c r="G53" i="32"/>
  <c r="P53" i="39" s="1"/>
  <c r="F53" i="32"/>
  <c r="O53" i="39" s="1"/>
  <c r="D53" i="32"/>
  <c r="M53" i="39" s="1"/>
  <c r="C53" i="32"/>
  <c r="L53" i="39" s="1"/>
  <c r="B53" i="32"/>
  <c r="K53" i="39" s="1"/>
  <c r="G52" i="32"/>
  <c r="P52" i="39" s="1"/>
  <c r="F52" i="32"/>
  <c r="O52" i="39" s="1"/>
  <c r="D52" i="32"/>
  <c r="M52" i="39" s="1"/>
  <c r="C52" i="32"/>
  <c r="L52" i="39" s="1"/>
  <c r="B52" i="32"/>
  <c r="K52" i="39" s="1"/>
  <c r="G51" i="32"/>
  <c r="P51" i="39" s="1"/>
  <c r="F51" i="32"/>
  <c r="O51" i="39" s="1"/>
  <c r="D51" i="32"/>
  <c r="M51" i="39" s="1"/>
  <c r="C51" i="32"/>
  <c r="L51" i="39" s="1"/>
  <c r="B51" i="32"/>
  <c r="G50" i="32"/>
  <c r="P50" i="39" s="1"/>
  <c r="F50" i="32"/>
  <c r="O50" i="39" s="1"/>
  <c r="D50" i="32"/>
  <c r="M50" i="39" s="1"/>
  <c r="C50" i="32"/>
  <c r="L50" i="39" s="1"/>
  <c r="B50" i="32"/>
  <c r="K50" i="39" s="1"/>
  <c r="G49" i="32"/>
  <c r="P49" i="39" s="1"/>
  <c r="F49" i="32"/>
  <c r="O49" i="39" s="1"/>
  <c r="D49" i="32"/>
  <c r="M49" i="39" s="1"/>
  <c r="C49" i="32"/>
  <c r="L49" i="39" s="1"/>
  <c r="B49" i="32"/>
  <c r="K49" i="39" s="1"/>
  <c r="G48" i="32"/>
  <c r="P48" i="39" s="1"/>
  <c r="F48" i="32"/>
  <c r="O48" i="39" s="1"/>
  <c r="D48" i="32"/>
  <c r="M48" i="39" s="1"/>
  <c r="C48" i="32"/>
  <c r="L48" i="39" s="1"/>
  <c r="B48" i="32"/>
  <c r="K48" i="39" s="1"/>
  <c r="G47" i="32"/>
  <c r="P47" i="39" s="1"/>
  <c r="F47" i="32"/>
  <c r="O47" i="39" s="1"/>
  <c r="D47" i="32"/>
  <c r="M47" i="39" s="1"/>
  <c r="C47" i="32"/>
  <c r="L47" i="39" s="1"/>
  <c r="B47" i="32"/>
  <c r="K47" i="39" s="1"/>
  <c r="G46" i="32"/>
  <c r="P46" i="39" s="1"/>
  <c r="F46" i="32"/>
  <c r="O46" i="39" s="1"/>
  <c r="D46" i="32"/>
  <c r="M46" i="39" s="1"/>
  <c r="C46" i="32"/>
  <c r="L46" i="39" s="1"/>
  <c r="B46" i="32"/>
  <c r="K46" i="39" s="1"/>
  <c r="G45" i="32"/>
  <c r="P45" i="39" s="1"/>
  <c r="F45" i="32"/>
  <c r="O45" i="39" s="1"/>
  <c r="D45" i="32"/>
  <c r="M45" i="39" s="1"/>
  <c r="C45" i="32"/>
  <c r="L45" i="39" s="1"/>
  <c r="B45" i="32"/>
  <c r="K45" i="39" s="1"/>
  <c r="G44" i="32"/>
  <c r="P44" i="39" s="1"/>
  <c r="F44" i="32"/>
  <c r="O44" i="39" s="1"/>
  <c r="D44" i="32"/>
  <c r="M44" i="39" s="1"/>
  <c r="C44" i="32"/>
  <c r="L44" i="39" s="1"/>
  <c r="B44" i="32"/>
  <c r="K44" i="39" s="1"/>
  <c r="G43" i="32"/>
  <c r="P43" i="39" s="1"/>
  <c r="F43" i="32"/>
  <c r="O43" i="39" s="1"/>
  <c r="D43" i="32"/>
  <c r="M43" i="39" s="1"/>
  <c r="C43" i="32"/>
  <c r="L43" i="39" s="1"/>
  <c r="B43" i="32"/>
  <c r="K43" i="39" s="1"/>
  <c r="G42" i="32"/>
  <c r="P42" i="39" s="1"/>
  <c r="F42" i="32"/>
  <c r="O42" i="39" s="1"/>
  <c r="D42" i="32"/>
  <c r="M42" i="39" s="1"/>
  <c r="C42" i="32"/>
  <c r="L42" i="39" s="1"/>
  <c r="B42" i="32"/>
  <c r="G41" i="32"/>
  <c r="P41" i="39" s="1"/>
  <c r="F41" i="32"/>
  <c r="O41" i="39" s="1"/>
  <c r="D41" i="32"/>
  <c r="M41" i="39" s="1"/>
  <c r="C41" i="32"/>
  <c r="L41" i="39" s="1"/>
  <c r="B41" i="32"/>
  <c r="K41" i="39" s="1"/>
  <c r="G40" i="32"/>
  <c r="P40" i="39" s="1"/>
  <c r="F40" i="32"/>
  <c r="O40" i="39" s="1"/>
  <c r="D40" i="32"/>
  <c r="M40" i="39" s="1"/>
  <c r="C40" i="32"/>
  <c r="L40" i="39" s="1"/>
  <c r="B40" i="32"/>
  <c r="K40" i="39" s="1"/>
  <c r="G39" i="32"/>
  <c r="P39" i="39" s="1"/>
  <c r="F39" i="32"/>
  <c r="O39" i="39" s="1"/>
  <c r="D39" i="32"/>
  <c r="M39" i="39" s="1"/>
  <c r="C39" i="32"/>
  <c r="L39" i="39" s="1"/>
  <c r="B39" i="32"/>
  <c r="K39" i="39" s="1"/>
  <c r="G38" i="32"/>
  <c r="P38" i="39" s="1"/>
  <c r="F38" i="32"/>
  <c r="O38" i="39" s="1"/>
  <c r="D38" i="32"/>
  <c r="M38" i="39" s="1"/>
  <c r="C38" i="32"/>
  <c r="L38" i="39" s="1"/>
  <c r="B38" i="32"/>
  <c r="K38" i="39" s="1"/>
  <c r="G37" i="32"/>
  <c r="P37" i="39" s="1"/>
  <c r="F37" i="32"/>
  <c r="O37" i="39" s="1"/>
  <c r="D37" i="32"/>
  <c r="M37" i="39" s="1"/>
  <c r="C37" i="32"/>
  <c r="L37" i="39" s="1"/>
  <c r="B37" i="32"/>
  <c r="K37" i="39" s="1"/>
  <c r="G36" i="32"/>
  <c r="P36" i="39" s="1"/>
  <c r="F36" i="32"/>
  <c r="O36" i="39" s="1"/>
  <c r="D36" i="32"/>
  <c r="M36" i="39" s="1"/>
  <c r="C36" i="32"/>
  <c r="L36" i="39" s="1"/>
  <c r="B36" i="32"/>
  <c r="K36" i="39" s="1"/>
  <c r="G35" i="32"/>
  <c r="P35" i="39" s="1"/>
  <c r="F35" i="32"/>
  <c r="O35" i="39" s="1"/>
  <c r="D35" i="32"/>
  <c r="M35" i="39" s="1"/>
  <c r="C35" i="32"/>
  <c r="L35" i="39" s="1"/>
  <c r="B35" i="32"/>
  <c r="K35" i="39" s="1"/>
  <c r="G34" i="32"/>
  <c r="P34" i="39" s="1"/>
  <c r="F34" i="32"/>
  <c r="O34" i="39" s="1"/>
  <c r="D34" i="32"/>
  <c r="M34" i="39" s="1"/>
  <c r="C34" i="32"/>
  <c r="L34" i="39" s="1"/>
  <c r="B34" i="32"/>
  <c r="K34" i="39" s="1"/>
  <c r="G33" i="32"/>
  <c r="P33" i="39" s="1"/>
  <c r="F33" i="32"/>
  <c r="O33" i="39" s="1"/>
  <c r="D33" i="32"/>
  <c r="M33" i="39" s="1"/>
  <c r="C33" i="32"/>
  <c r="L33" i="39" s="1"/>
  <c r="B33" i="32"/>
  <c r="K33" i="39" s="1"/>
  <c r="G32" i="32"/>
  <c r="P32" i="39" s="1"/>
  <c r="F32" i="32"/>
  <c r="O32" i="39" s="1"/>
  <c r="D32" i="32"/>
  <c r="M32" i="39" s="1"/>
  <c r="C32" i="32"/>
  <c r="L32" i="39" s="1"/>
  <c r="B32" i="32"/>
  <c r="K32" i="39" s="1"/>
  <c r="G31" i="32"/>
  <c r="P31" i="39" s="1"/>
  <c r="F31" i="32"/>
  <c r="O31" i="39" s="1"/>
  <c r="D31" i="32"/>
  <c r="M31" i="39" s="1"/>
  <c r="C31" i="32"/>
  <c r="L31" i="39" s="1"/>
  <c r="B31" i="32"/>
  <c r="K31" i="39" s="1"/>
  <c r="G30" i="32"/>
  <c r="P30" i="39" s="1"/>
  <c r="F30" i="32"/>
  <c r="O30" i="39" s="1"/>
  <c r="D30" i="32"/>
  <c r="M30" i="39" s="1"/>
  <c r="C30" i="32"/>
  <c r="L30" i="39" s="1"/>
  <c r="B30" i="32"/>
  <c r="K30" i="39" s="1"/>
  <c r="G29" i="32"/>
  <c r="P29" i="39" s="1"/>
  <c r="F29" i="32"/>
  <c r="O29" i="39" s="1"/>
  <c r="D29" i="32"/>
  <c r="M29" i="39" s="1"/>
  <c r="C29" i="32"/>
  <c r="L29" i="39" s="1"/>
  <c r="B29" i="32"/>
  <c r="K29" i="39" s="1"/>
  <c r="G28" i="32"/>
  <c r="P28" i="39" s="1"/>
  <c r="F28" i="32"/>
  <c r="O28" i="39" s="1"/>
  <c r="D28" i="32"/>
  <c r="M28" i="39" s="1"/>
  <c r="C28" i="32"/>
  <c r="L28" i="39" s="1"/>
  <c r="B28" i="32"/>
  <c r="K28" i="39" s="1"/>
  <c r="G27" i="32"/>
  <c r="P27" i="39" s="1"/>
  <c r="F27" i="32"/>
  <c r="O27" i="39" s="1"/>
  <c r="D27" i="32"/>
  <c r="M27" i="39" s="1"/>
  <c r="C27" i="32"/>
  <c r="L27" i="39" s="1"/>
  <c r="B27" i="32"/>
  <c r="G26" i="32"/>
  <c r="P26" i="39" s="1"/>
  <c r="F26" i="32"/>
  <c r="O26" i="39" s="1"/>
  <c r="D26" i="32"/>
  <c r="M26" i="39" s="1"/>
  <c r="C26" i="32"/>
  <c r="L26" i="39" s="1"/>
  <c r="B26" i="32"/>
  <c r="K26" i="39" s="1"/>
  <c r="G25" i="32"/>
  <c r="P25" i="39" s="1"/>
  <c r="F25" i="32"/>
  <c r="O25" i="39" s="1"/>
  <c r="D25" i="32"/>
  <c r="M25" i="39" s="1"/>
  <c r="C25" i="32"/>
  <c r="L25" i="39" s="1"/>
  <c r="B25" i="32"/>
  <c r="K25" i="39" s="1"/>
  <c r="G24" i="32"/>
  <c r="P24" i="39" s="1"/>
  <c r="F24" i="32"/>
  <c r="O24" i="39" s="1"/>
  <c r="D24" i="32"/>
  <c r="M24" i="39" s="1"/>
  <c r="C24" i="32"/>
  <c r="L24" i="39" s="1"/>
  <c r="B24" i="32"/>
  <c r="K24" i="39" s="1"/>
  <c r="G23" i="32"/>
  <c r="P23" i="39" s="1"/>
  <c r="F23" i="32"/>
  <c r="O23" i="39" s="1"/>
  <c r="D23" i="32"/>
  <c r="M23" i="39" s="1"/>
  <c r="C23" i="32"/>
  <c r="L23" i="39" s="1"/>
  <c r="B23" i="32"/>
  <c r="K23" i="39" s="1"/>
  <c r="G22" i="32"/>
  <c r="P22" i="39" s="1"/>
  <c r="F22" i="32"/>
  <c r="O22" i="39" s="1"/>
  <c r="D22" i="32"/>
  <c r="M22" i="39" s="1"/>
  <c r="C22" i="32"/>
  <c r="L22" i="39" s="1"/>
  <c r="B22" i="32"/>
  <c r="K22" i="39" s="1"/>
  <c r="G21" i="32"/>
  <c r="P21" i="39" s="1"/>
  <c r="F21" i="32"/>
  <c r="O21" i="39" s="1"/>
  <c r="D21" i="32"/>
  <c r="M21" i="39" s="1"/>
  <c r="C21" i="32"/>
  <c r="L21" i="39" s="1"/>
  <c r="B21" i="32"/>
  <c r="K21" i="39" s="1"/>
  <c r="G20" i="32"/>
  <c r="P20" i="39" s="1"/>
  <c r="F20" i="32"/>
  <c r="O20" i="39" s="1"/>
  <c r="D20" i="32"/>
  <c r="M20" i="39" s="1"/>
  <c r="C20" i="32"/>
  <c r="L20" i="39" s="1"/>
  <c r="B20" i="32"/>
  <c r="K20" i="39" s="1"/>
  <c r="G19" i="32"/>
  <c r="P19" i="39" s="1"/>
  <c r="F19" i="32"/>
  <c r="O19" i="39" s="1"/>
  <c r="D19" i="32"/>
  <c r="M19" i="39" s="1"/>
  <c r="C19" i="32"/>
  <c r="L19" i="39" s="1"/>
  <c r="B19" i="32"/>
  <c r="K19" i="39" s="1"/>
  <c r="G18" i="32"/>
  <c r="P18" i="39" s="1"/>
  <c r="F18" i="32"/>
  <c r="O18" i="39" s="1"/>
  <c r="D18" i="32"/>
  <c r="M18" i="39" s="1"/>
  <c r="C18" i="32"/>
  <c r="L18" i="39" s="1"/>
  <c r="B18" i="32"/>
  <c r="K18" i="39" s="1"/>
  <c r="G17" i="32"/>
  <c r="P17" i="39" s="1"/>
  <c r="F17" i="32"/>
  <c r="O17" i="39" s="1"/>
  <c r="D17" i="32"/>
  <c r="M17" i="39" s="1"/>
  <c r="C17" i="32"/>
  <c r="L17" i="39" s="1"/>
  <c r="B17" i="32"/>
  <c r="K17" i="39" s="1"/>
  <c r="G16" i="32"/>
  <c r="P16" i="39" s="1"/>
  <c r="F16" i="32"/>
  <c r="O16" i="39" s="1"/>
  <c r="D16" i="32"/>
  <c r="M16" i="39" s="1"/>
  <c r="C16" i="32"/>
  <c r="L16" i="39" s="1"/>
  <c r="B16" i="32"/>
  <c r="K16" i="39" s="1"/>
  <c r="G15" i="32"/>
  <c r="P15" i="39" s="1"/>
  <c r="F15" i="32"/>
  <c r="O15" i="39" s="1"/>
  <c r="D15" i="32"/>
  <c r="M15" i="39" s="1"/>
  <c r="C15" i="32"/>
  <c r="L15" i="39" s="1"/>
  <c r="B15" i="32"/>
  <c r="G14" i="32"/>
  <c r="P14" i="39" s="1"/>
  <c r="F14" i="32"/>
  <c r="O14" i="39" s="1"/>
  <c r="D14" i="32"/>
  <c r="M14" i="39" s="1"/>
  <c r="C14" i="32"/>
  <c r="L14" i="39" s="1"/>
  <c r="B14" i="32"/>
  <c r="K14" i="39" s="1"/>
  <c r="G13" i="32"/>
  <c r="P13" i="39" s="1"/>
  <c r="F13" i="32"/>
  <c r="O13" i="39" s="1"/>
  <c r="D13" i="32"/>
  <c r="M13" i="39" s="1"/>
  <c r="C13" i="32"/>
  <c r="L13" i="39" s="1"/>
  <c r="B13" i="32"/>
  <c r="K13" i="39" s="1"/>
  <c r="G12" i="32"/>
  <c r="P12" i="39" s="1"/>
  <c r="F12" i="32"/>
  <c r="O12" i="39" s="1"/>
  <c r="D12" i="32"/>
  <c r="M12" i="39" s="1"/>
  <c r="C12" i="32"/>
  <c r="L12" i="39" s="1"/>
  <c r="B12" i="32"/>
  <c r="K12" i="39" s="1"/>
  <c r="G11" i="32"/>
  <c r="P11" i="39" s="1"/>
  <c r="F11" i="32"/>
  <c r="O11" i="39" s="1"/>
  <c r="D11" i="32"/>
  <c r="M11" i="39" s="1"/>
  <c r="C11" i="32"/>
  <c r="L11" i="39" s="1"/>
  <c r="B11" i="32"/>
  <c r="K11" i="39" s="1"/>
  <c r="G10" i="32"/>
  <c r="P10" i="39" s="1"/>
  <c r="F10" i="32"/>
  <c r="O10" i="39" s="1"/>
  <c r="D10" i="32"/>
  <c r="M10" i="39" s="1"/>
  <c r="C10" i="32"/>
  <c r="L10" i="39" s="1"/>
  <c r="B10" i="32"/>
  <c r="K10" i="39" s="1"/>
  <c r="G9" i="32"/>
  <c r="P9" i="39" s="1"/>
  <c r="F9" i="32"/>
  <c r="O9" i="39" s="1"/>
  <c r="D9" i="32"/>
  <c r="M9" i="39" s="1"/>
  <c r="C9" i="32"/>
  <c r="L9" i="39" s="1"/>
  <c r="B9" i="32"/>
  <c r="K9" i="39" s="1"/>
  <c r="G8" i="32"/>
  <c r="P8" i="39" s="1"/>
  <c r="F8" i="32"/>
  <c r="O8" i="39" s="1"/>
  <c r="D8" i="32"/>
  <c r="M8" i="39" s="1"/>
  <c r="C8" i="32"/>
  <c r="L8" i="39" s="1"/>
  <c r="B8" i="32"/>
  <c r="K8" i="39" s="1"/>
  <c r="G7" i="32"/>
  <c r="P7" i="39" s="1"/>
  <c r="F7" i="32"/>
  <c r="O7" i="39" s="1"/>
  <c r="D7" i="32"/>
  <c r="M7" i="39" s="1"/>
  <c r="C7" i="32"/>
  <c r="L7" i="39" s="1"/>
  <c r="B7" i="32"/>
  <c r="K7" i="39" s="1"/>
  <c r="G6" i="32"/>
  <c r="P6" i="39" s="1"/>
  <c r="F6" i="32"/>
  <c r="O6" i="39" s="1"/>
  <c r="D6" i="32"/>
  <c r="M6" i="39" s="1"/>
  <c r="C6" i="32"/>
  <c r="L6" i="39" s="1"/>
  <c r="B6" i="32"/>
  <c r="G5" i="32"/>
  <c r="P5" i="39" s="1"/>
  <c r="F5" i="32"/>
  <c r="O5" i="39" s="1"/>
  <c r="D5" i="32"/>
  <c r="M5" i="39" s="1"/>
  <c r="C5" i="32"/>
  <c r="L5" i="39" s="1"/>
  <c r="B5" i="32"/>
  <c r="K5" i="39" s="1"/>
  <c r="G4" i="32"/>
  <c r="P4" i="39" s="1"/>
  <c r="F4" i="32"/>
  <c r="O4" i="39" s="1"/>
  <c r="D4" i="32"/>
  <c r="M4" i="39" s="1"/>
  <c r="C4" i="32"/>
  <c r="L4" i="39" s="1"/>
  <c r="B4" i="32"/>
  <c r="K4" i="39" s="1"/>
  <c r="G3" i="32"/>
  <c r="P3" i="39" s="1"/>
  <c r="F3" i="32"/>
  <c r="O3" i="39" s="1"/>
  <c r="D3" i="32"/>
  <c r="M3" i="39" s="1"/>
  <c r="C3" i="32"/>
  <c r="L3" i="39" s="1"/>
  <c r="B3" i="32"/>
  <c r="K3" i="39" s="1"/>
  <c r="E142" i="33" l="1"/>
  <c r="E142" i="32"/>
  <c r="N142" i="39" s="1"/>
  <c r="B215" i="32"/>
  <c r="K63" i="39"/>
  <c r="B217" i="32"/>
  <c r="K87" i="39"/>
  <c r="B219" i="32"/>
  <c r="K111" i="39"/>
  <c r="K123" i="39"/>
  <c r="B220" i="32"/>
  <c r="C221" i="32" s="1"/>
  <c r="D221" i="32" s="1"/>
  <c r="B211" i="32"/>
  <c r="K15" i="39"/>
  <c r="B212" i="32"/>
  <c r="K27" i="39"/>
  <c r="B214" i="32"/>
  <c r="K51" i="39"/>
  <c r="B216" i="32"/>
  <c r="K75" i="39"/>
  <c r="B218" i="32"/>
  <c r="K99" i="39"/>
  <c r="B210" i="32"/>
  <c r="K6" i="39"/>
  <c r="B213" i="32"/>
  <c r="K42" i="39"/>
  <c r="T39" i="39"/>
  <c r="T123" i="39"/>
  <c r="C221" i="33"/>
  <c r="D221" i="33" s="1"/>
  <c r="E143" i="19"/>
  <c r="E142" i="39"/>
  <c r="E142" i="28"/>
  <c r="E142" i="23"/>
  <c r="E142" i="27"/>
  <c r="E142" i="26"/>
  <c r="E142" i="22"/>
  <c r="O89" i="38"/>
  <c r="R27" i="11"/>
  <c r="E221" i="33"/>
  <c r="C215" i="32" l="1"/>
  <c r="D215" i="32" s="1"/>
  <c r="E216" i="32"/>
  <c r="E221" i="32"/>
  <c r="E143" i="33"/>
  <c r="E143" i="32"/>
  <c r="N143" i="39" s="1"/>
  <c r="C214" i="32"/>
  <c r="D214" i="32" s="1"/>
  <c r="C216" i="32"/>
  <c r="D216" i="32" s="1"/>
  <c r="C212" i="32"/>
  <c r="D212" i="32" s="1"/>
  <c r="E212" i="32"/>
  <c r="C219" i="33"/>
  <c r="D219" i="33" s="1"/>
  <c r="C213" i="33"/>
  <c r="D213" i="33" s="1"/>
  <c r="C217" i="32"/>
  <c r="D217" i="32" s="1"/>
  <c r="E215" i="32"/>
  <c r="E211" i="32"/>
  <c r="E217" i="32"/>
  <c r="C217" i="33"/>
  <c r="D217" i="33" s="1"/>
  <c r="E214" i="32"/>
  <c r="C218" i="32"/>
  <c r="D218" i="32" s="1"/>
  <c r="E219" i="32"/>
  <c r="E213" i="32"/>
  <c r="C214" i="33"/>
  <c r="D214" i="33" s="1"/>
  <c r="C211" i="32"/>
  <c r="D211" i="32" s="1"/>
  <c r="E218" i="32"/>
  <c r="C213" i="32"/>
  <c r="D213" i="32" s="1"/>
  <c r="C219" i="32"/>
  <c r="D219" i="32" s="1"/>
  <c r="E143" i="39"/>
  <c r="E143" i="28"/>
  <c r="E143" i="23"/>
  <c r="E143" i="27"/>
  <c r="E143" i="26"/>
  <c r="E143" i="22"/>
  <c r="C211" i="33"/>
  <c r="D211" i="33" s="1"/>
  <c r="C215" i="33"/>
  <c r="D215" i="33" s="1"/>
  <c r="C212" i="33"/>
  <c r="D212" i="33" s="1"/>
  <c r="C216" i="33"/>
  <c r="D216" i="33" s="1"/>
  <c r="C218" i="33"/>
  <c r="D218" i="33" s="1"/>
  <c r="E218" i="33"/>
  <c r="E214" i="33"/>
  <c r="E211" i="33"/>
  <c r="E219" i="33"/>
  <c r="E217" i="33"/>
  <c r="E215" i="33"/>
  <c r="E213" i="33"/>
  <c r="E216" i="33"/>
  <c r="E212" i="33"/>
  <c r="E144" i="32" l="1"/>
  <c r="N144" i="39" s="1"/>
  <c r="E144" i="33"/>
  <c r="E144" i="39"/>
  <c r="E144" i="27"/>
  <c r="E144" i="28"/>
  <c r="E144" i="23"/>
  <c r="E144" i="26"/>
  <c r="E144" i="22"/>
  <c r="B219" i="21"/>
  <c r="I16" i="9" s="1"/>
  <c r="B218" i="21"/>
  <c r="I15" i="9" s="1"/>
  <c r="B217" i="21"/>
  <c r="C218" i="21" s="1"/>
  <c r="D218" i="21" s="1"/>
  <c r="B216" i="21"/>
  <c r="B215" i="21"/>
  <c r="C216" i="21" s="1"/>
  <c r="D216" i="21" s="1"/>
  <c r="B214" i="21"/>
  <c r="B213" i="21"/>
  <c r="C214" i="21" s="1"/>
  <c r="D214" i="21" s="1"/>
  <c r="B212" i="21"/>
  <c r="I9" i="9" s="1"/>
  <c r="B211" i="21"/>
  <c r="I8" i="9" s="1"/>
  <c r="B210" i="21"/>
  <c r="B219" i="22"/>
  <c r="J16" i="9" s="1"/>
  <c r="C218" i="22"/>
  <c r="D218" i="22" s="1"/>
  <c r="B218" i="22"/>
  <c r="J15" i="9" s="1"/>
  <c r="B217" i="22"/>
  <c r="C217" i="22" s="1"/>
  <c r="D217" i="22" s="1"/>
  <c r="C216" i="22"/>
  <c r="D216" i="22" s="1"/>
  <c r="B216" i="22"/>
  <c r="B215" i="22"/>
  <c r="C215" i="22" s="1"/>
  <c r="D215" i="22" s="1"/>
  <c r="C214" i="22"/>
  <c r="D214" i="22" s="1"/>
  <c r="B214" i="22"/>
  <c r="B213" i="22"/>
  <c r="C213" i="22" s="1"/>
  <c r="D213" i="22" s="1"/>
  <c r="C212" i="22"/>
  <c r="D212" i="22" s="1"/>
  <c r="B212" i="22"/>
  <c r="B211" i="22"/>
  <c r="B210" i="22"/>
  <c r="C219" i="26"/>
  <c r="D219" i="26" s="1"/>
  <c r="B219" i="26"/>
  <c r="L16" i="9" s="1"/>
  <c r="B218" i="26"/>
  <c r="L15" i="9" s="1"/>
  <c r="E217" i="26"/>
  <c r="B217" i="26"/>
  <c r="E216" i="26"/>
  <c r="C216" i="26"/>
  <c r="D216" i="26" s="1"/>
  <c r="B216" i="26"/>
  <c r="C217" i="26" s="1"/>
  <c r="D217" i="26" s="1"/>
  <c r="B215" i="26"/>
  <c r="C215" i="26" s="1"/>
  <c r="D215" i="26" s="1"/>
  <c r="B214" i="26"/>
  <c r="B213" i="26"/>
  <c r="C213" i="26" s="1"/>
  <c r="D213" i="26" s="1"/>
  <c r="B212" i="26"/>
  <c r="E212" i="26" s="1"/>
  <c r="C211" i="26"/>
  <c r="D211" i="26" s="1"/>
  <c r="B211" i="26"/>
  <c r="B210" i="26"/>
  <c r="E221" i="26" s="1"/>
  <c r="C219" i="23"/>
  <c r="D219" i="23" s="1"/>
  <c r="B219" i="23"/>
  <c r="K16" i="9" s="1"/>
  <c r="B218" i="23"/>
  <c r="K15" i="9" s="1"/>
  <c r="B217" i="23"/>
  <c r="B216" i="23"/>
  <c r="C217" i="23" s="1"/>
  <c r="D217" i="23" s="1"/>
  <c r="B215" i="23"/>
  <c r="C215" i="23" s="1"/>
  <c r="D215" i="23" s="1"/>
  <c r="B214" i="23"/>
  <c r="B213" i="23"/>
  <c r="C214" i="23" s="1"/>
  <c r="D214" i="23" s="1"/>
  <c r="B212" i="23"/>
  <c r="C212" i="23" s="1"/>
  <c r="D212" i="23" s="1"/>
  <c r="B211" i="23"/>
  <c r="C211" i="23" s="1"/>
  <c r="D211" i="23" s="1"/>
  <c r="B210" i="23"/>
  <c r="E221" i="23" s="1"/>
  <c r="B219" i="27"/>
  <c r="M16" i="9" s="1"/>
  <c r="C218" i="27"/>
  <c r="D218" i="27" s="1"/>
  <c r="B218" i="27"/>
  <c r="M15" i="9" s="1"/>
  <c r="B217" i="27"/>
  <c r="C217" i="27" s="1"/>
  <c r="D217" i="27" s="1"/>
  <c r="B216" i="27"/>
  <c r="B215" i="27"/>
  <c r="C215" i="27" s="1"/>
  <c r="D215" i="27" s="1"/>
  <c r="B214" i="27"/>
  <c r="B213" i="27"/>
  <c r="C214" i="27" s="1"/>
  <c r="D214" i="27" s="1"/>
  <c r="B212" i="27"/>
  <c r="B211" i="27"/>
  <c r="C212" i="27" s="1"/>
  <c r="D212" i="27" s="1"/>
  <c r="B210" i="27"/>
  <c r="E221" i="27" s="1"/>
  <c r="B219" i="28"/>
  <c r="O16" i="9" s="1"/>
  <c r="C218" i="28"/>
  <c r="D218" i="28" s="1"/>
  <c r="B218" i="28"/>
  <c r="O15" i="9" s="1"/>
  <c r="B217" i="28"/>
  <c r="C217" i="28" s="1"/>
  <c r="D217" i="28" s="1"/>
  <c r="C216" i="28"/>
  <c r="D216" i="28" s="1"/>
  <c r="B216" i="28"/>
  <c r="B215" i="28"/>
  <c r="C215" i="28" s="1"/>
  <c r="D215" i="28" s="1"/>
  <c r="C214" i="28"/>
  <c r="D214" i="28" s="1"/>
  <c r="B214" i="28"/>
  <c r="B213" i="28"/>
  <c r="B212" i="28"/>
  <c r="C212" i="28" s="1"/>
  <c r="D212" i="28" s="1"/>
  <c r="B211" i="28"/>
  <c r="B210" i="28"/>
  <c r="B219" i="20"/>
  <c r="H16" i="9" s="1"/>
  <c r="B218" i="20"/>
  <c r="H15" i="9" s="1"/>
  <c r="E217" i="20"/>
  <c r="B217" i="20"/>
  <c r="C218" i="20" s="1"/>
  <c r="D218" i="20" s="1"/>
  <c r="B216" i="20"/>
  <c r="C216" i="20" s="1"/>
  <c r="D216" i="20" s="1"/>
  <c r="B215" i="20"/>
  <c r="B214" i="20"/>
  <c r="C215" i="20" s="1"/>
  <c r="D215" i="20" s="1"/>
  <c r="B213" i="20"/>
  <c r="C213" i="20" s="1"/>
  <c r="D213" i="20" s="1"/>
  <c r="E212" i="20"/>
  <c r="B212" i="20"/>
  <c r="B211" i="20"/>
  <c r="C212" i="20" s="1"/>
  <c r="D212" i="20" s="1"/>
  <c r="B210" i="20"/>
  <c r="E221" i="20" s="1"/>
  <c r="F123" i="28"/>
  <c r="G123" i="28"/>
  <c r="F123" i="27"/>
  <c r="G123" i="27"/>
  <c r="F123" i="21"/>
  <c r="G123" i="21"/>
  <c r="G206" i="21"/>
  <c r="F206" i="21"/>
  <c r="G205" i="21"/>
  <c r="F205" i="21"/>
  <c r="G204" i="21"/>
  <c r="F204" i="21"/>
  <c r="G203" i="21"/>
  <c r="F203" i="21"/>
  <c r="G202" i="21"/>
  <c r="F202" i="21"/>
  <c r="G201" i="21"/>
  <c r="F201" i="21"/>
  <c r="G200" i="21"/>
  <c r="F200" i="21"/>
  <c r="G199" i="21"/>
  <c r="F199" i="21"/>
  <c r="G198" i="21"/>
  <c r="F198" i="21"/>
  <c r="G197" i="21"/>
  <c r="F197" i="21"/>
  <c r="G196" i="21"/>
  <c r="F196" i="21"/>
  <c r="G195" i="21"/>
  <c r="F195" i="21"/>
  <c r="G194" i="21"/>
  <c r="F194" i="21"/>
  <c r="G193" i="21"/>
  <c r="F193" i="21"/>
  <c r="G192" i="21"/>
  <c r="F192" i="21"/>
  <c r="G191" i="21"/>
  <c r="F191" i="21"/>
  <c r="G190" i="21"/>
  <c r="F190" i="21"/>
  <c r="G189" i="21"/>
  <c r="F189" i="21"/>
  <c r="G188" i="21"/>
  <c r="F188" i="21"/>
  <c r="G187" i="21"/>
  <c r="F187" i="21"/>
  <c r="G186" i="21"/>
  <c r="F186" i="21"/>
  <c r="G185" i="21"/>
  <c r="F185" i="21"/>
  <c r="G184" i="21"/>
  <c r="F184" i="21"/>
  <c r="G183" i="21"/>
  <c r="F183" i="21"/>
  <c r="G182" i="21"/>
  <c r="F182" i="21"/>
  <c r="G181" i="21"/>
  <c r="F181" i="21"/>
  <c r="G180" i="21"/>
  <c r="F180" i="21"/>
  <c r="G179" i="21"/>
  <c r="F179" i="21"/>
  <c r="G178" i="21"/>
  <c r="F178" i="21"/>
  <c r="G177" i="21"/>
  <c r="F177" i="21"/>
  <c r="G176" i="21"/>
  <c r="F176" i="21"/>
  <c r="G175" i="21"/>
  <c r="F175" i="21"/>
  <c r="G174" i="21"/>
  <c r="F174" i="21"/>
  <c r="G173" i="21"/>
  <c r="F173" i="21"/>
  <c r="G172" i="21"/>
  <c r="F172" i="21"/>
  <c r="G171" i="21"/>
  <c r="F171" i="21"/>
  <c r="G170" i="21"/>
  <c r="F170" i="21"/>
  <c r="G169" i="21"/>
  <c r="F169" i="21"/>
  <c r="G168" i="21"/>
  <c r="F168" i="21"/>
  <c r="G167" i="21"/>
  <c r="F167" i="21"/>
  <c r="G166" i="21"/>
  <c r="F166" i="21"/>
  <c r="G165" i="21"/>
  <c r="F165" i="21"/>
  <c r="G164" i="21"/>
  <c r="F164" i="21"/>
  <c r="G163" i="21"/>
  <c r="F163" i="21"/>
  <c r="G162" i="21"/>
  <c r="F162" i="21"/>
  <c r="G161" i="21"/>
  <c r="F161" i="21"/>
  <c r="G160" i="21"/>
  <c r="F160" i="21"/>
  <c r="G159" i="21"/>
  <c r="F159" i="21"/>
  <c r="G158" i="21"/>
  <c r="F158" i="21"/>
  <c r="G157" i="21"/>
  <c r="F157" i="21"/>
  <c r="G156" i="21"/>
  <c r="F156" i="21"/>
  <c r="G155" i="21"/>
  <c r="F155" i="21"/>
  <c r="G154" i="21"/>
  <c r="F154" i="21"/>
  <c r="G153" i="21"/>
  <c r="F153" i="21"/>
  <c r="G152" i="21"/>
  <c r="F152" i="21"/>
  <c r="G151" i="21"/>
  <c r="F151" i="21"/>
  <c r="G150" i="21"/>
  <c r="F150" i="21"/>
  <c r="G149" i="21"/>
  <c r="F149" i="21"/>
  <c r="G148" i="21"/>
  <c r="F148" i="21"/>
  <c r="G147" i="21"/>
  <c r="F147" i="21"/>
  <c r="G146" i="21"/>
  <c r="F146" i="21"/>
  <c r="G145" i="21"/>
  <c r="F145" i="21"/>
  <c r="G144" i="21"/>
  <c r="F144" i="21"/>
  <c r="G143" i="21"/>
  <c r="F143" i="21"/>
  <c r="G142" i="21"/>
  <c r="F142" i="21"/>
  <c r="G141" i="21"/>
  <c r="F141" i="21"/>
  <c r="G140" i="21"/>
  <c r="F140" i="21"/>
  <c r="G139" i="21"/>
  <c r="F139" i="21"/>
  <c r="G138" i="21"/>
  <c r="F138" i="21"/>
  <c r="G137" i="21"/>
  <c r="F137" i="21"/>
  <c r="G136" i="21"/>
  <c r="F136" i="21"/>
  <c r="G135" i="21"/>
  <c r="F135" i="21"/>
  <c r="G133" i="21"/>
  <c r="F133" i="21"/>
  <c r="G132" i="21"/>
  <c r="F132" i="21"/>
  <c r="G131" i="21"/>
  <c r="F131" i="21"/>
  <c r="G130" i="21"/>
  <c r="F130" i="21"/>
  <c r="G129" i="21"/>
  <c r="F129" i="21"/>
  <c r="G128" i="21"/>
  <c r="F128" i="21"/>
  <c r="G127" i="21"/>
  <c r="F127" i="21"/>
  <c r="G126" i="21"/>
  <c r="F126" i="21"/>
  <c r="G125" i="21"/>
  <c r="F125" i="21"/>
  <c r="G124" i="21"/>
  <c r="F124" i="21"/>
  <c r="G122" i="21"/>
  <c r="F122" i="21"/>
  <c r="G121" i="21"/>
  <c r="F121" i="21"/>
  <c r="G120" i="21"/>
  <c r="F120" i="21"/>
  <c r="G119" i="21"/>
  <c r="F119" i="21"/>
  <c r="G118" i="21"/>
  <c r="F118" i="21"/>
  <c r="G117" i="21"/>
  <c r="F117" i="21"/>
  <c r="G116" i="21"/>
  <c r="F116" i="21"/>
  <c r="G115" i="21"/>
  <c r="F115" i="21"/>
  <c r="G114" i="21"/>
  <c r="F114" i="21"/>
  <c r="G113" i="21"/>
  <c r="F113" i="21"/>
  <c r="G112" i="21"/>
  <c r="F112" i="21"/>
  <c r="G111" i="21"/>
  <c r="F111" i="21"/>
  <c r="G110" i="21"/>
  <c r="F110" i="21"/>
  <c r="G109" i="21"/>
  <c r="F109" i="21"/>
  <c r="G108" i="21"/>
  <c r="F108" i="21"/>
  <c r="G107" i="21"/>
  <c r="F107" i="21"/>
  <c r="G106" i="21"/>
  <c r="F106" i="2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6" i="21"/>
  <c r="F86" i="21"/>
  <c r="G85" i="21"/>
  <c r="F85" i="21"/>
  <c r="G84" i="21"/>
  <c r="F84" i="21"/>
  <c r="G83" i="21"/>
  <c r="F83" i="21"/>
  <c r="G82" i="21"/>
  <c r="F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70" i="21"/>
  <c r="F70" i="21"/>
  <c r="G69" i="21"/>
  <c r="F69" i="21"/>
  <c r="G68" i="21"/>
  <c r="F68" i="21"/>
  <c r="G67" i="21"/>
  <c r="F67" i="21"/>
  <c r="G66" i="21"/>
  <c r="F66" i="21"/>
  <c r="G65" i="21"/>
  <c r="F65" i="21"/>
  <c r="G64" i="21"/>
  <c r="F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6" i="21"/>
  <c r="F56" i="21"/>
  <c r="G55" i="21"/>
  <c r="F55" i="21"/>
  <c r="G54" i="21"/>
  <c r="F54" i="21"/>
  <c r="G53" i="21"/>
  <c r="F53" i="21"/>
  <c r="G52" i="21"/>
  <c r="F52" i="21"/>
  <c r="G51" i="21"/>
  <c r="F51" i="21"/>
  <c r="G50" i="21"/>
  <c r="F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8" i="21"/>
  <c r="F38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G206" i="22"/>
  <c r="F206" i="22"/>
  <c r="G205" i="22"/>
  <c r="F205" i="22"/>
  <c r="G204" i="22"/>
  <c r="F204" i="22"/>
  <c r="G203" i="22"/>
  <c r="F203" i="22"/>
  <c r="G202" i="22"/>
  <c r="F202" i="22"/>
  <c r="G201" i="22"/>
  <c r="F201" i="22"/>
  <c r="G200" i="22"/>
  <c r="F200" i="22"/>
  <c r="G199" i="22"/>
  <c r="F199" i="22"/>
  <c r="G198" i="22"/>
  <c r="F198" i="22"/>
  <c r="G197" i="22"/>
  <c r="F197" i="22"/>
  <c r="G196" i="22"/>
  <c r="F196" i="22"/>
  <c r="G195" i="22"/>
  <c r="F195" i="22"/>
  <c r="G194" i="22"/>
  <c r="F194" i="22"/>
  <c r="G193" i="22"/>
  <c r="F193" i="22"/>
  <c r="G192" i="22"/>
  <c r="F192" i="22"/>
  <c r="G191" i="22"/>
  <c r="F191" i="22"/>
  <c r="G190" i="22"/>
  <c r="F190" i="22"/>
  <c r="G189" i="22"/>
  <c r="F189" i="22"/>
  <c r="G188" i="22"/>
  <c r="F188" i="22"/>
  <c r="G187" i="22"/>
  <c r="F187" i="22"/>
  <c r="G186" i="22"/>
  <c r="F186" i="22"/>
  <c r="G185" i="22"/>
  <c r="F185" i="22"/>
  <c r="G184" i="22"/>
  <c r="F184" i="22"/>
  <c r="G183" i="22"/>
  <c r="F183" i="22"/>
  <c r="G182" i="22"/>
  <c r="F182" i="22"/>
  <c r="G181" i="22"/>
  <c r="F181" i="22"/>
  <c r="G180" i="22"/>
  <c r="F180" i="22"/>
  <c r="G179" i="22"/>
  <c r="F179" i="22"/>
  <c r="G178" i="22"/>
  <c r="F178" i="22"/>
  <c r="G177" i="22"/>
  <c r="F177" i="22"/>
  <c r="G176" i="22"/>
  <c r="F176" i="22"/>
  <c r="G175" i="22"/>
  <c r="F175" i="22"/>
  <c r="G174" i="22"/>
  <c r="F174" i="22"/>
  <c r="G173" i="22"/>
  <c r="F173" i="22"/>
  <c r="G172" i="22"/>
  <c r="F172" i="22"/>
  <c r="G171" i="22"/>
  <c r="F171" i="22"/>
  <c r="G170" i="22"/>
  <c r="F170" i="22"/>
  <c r="G169" i="22"/>
  <c r="F169" i="22"/>
  <c r="G168" i="22"/>
  <c r="F168" i="22"/>
  <c r="G167" i="22"/>
  <c r="F167" i="22"/>
  <c r="G166" i="22"/>
  <c r="F166" i="22"/>
  <c r="G165" i="22"/>
  <c r="F165" i="22"/>
  <c r="G164" i="22"/>
  <c r="F164" i="22"/>
  <c r="G163" i="22"/>
  <c r="F163" i="22"/>
  <c r="G162" i="22"/>
  <c r="F162" i="22"/>
  <c r="G161" i="22"/>
  <c r="F161" i="22"/>
  <c r="G160" i="22"/>
  <c r="F160" i="22"/>
  <c r="G159" i="22"/>
  <c r="F159" i="22"/>
  <c r="G158" i="22"/>
  <c r="F158" i="22"/>
  <c r="G157" i="22"/>
  <c r="F157" i="22"/>
  <c r="G156" i="22"/>
  <c r="F156" i="22"/>
  <c r="G155" i="22"/>
  <c r="F155" i="22"/>
  <c r="G154" i="22"/>
  <c r="F154" i="22"/>
  <c r="G153" i="22"/>
  <c r="F153" i="22"/>
  <c r="G152" i="22"/>
  <c r="F152" i="22"/>
  <c r="G151" i="22"/>
  <c r="F151" i="22"/>
  <c r="G150" i="22"/>
  <c r="F150" i="22"/>
  <c r="G149" i="22"/>
  <c r="F149" i="22"/>
  <c r="G148" i="22"/>
  <c r="F148" i="22"/>
  <c r="G147" i="22"/>
  <c r="F147" i="22"/>
  <c r="G146" i="22"/>
  <c r="F146" i="22"/>
  <c r="G145" i="22"/>
  <c r="F145" i="22"/>
  <c r="G144" i="22"/>
  <c r="F144" i="22"/>
  <c r="G143" i="22"/>
  <c r="F143" i="22"/>
  <c r="G142" i="22"/>
  <c r="F142" i="22"/>
  <c r="G141" i="22"/>
  <c r="F141" i="22"/>
  <c r="G140" i="22"/>
  <c r="F140" i="22"/>
  <c r="G139" i="22"/>
  <c r="F139" i="22"/>
  <c r="G138" i="22"/>
  <c r="F138" i="22"/>
  <c r="G137" i="22"/>
  <c r="F137" i="22"/>
  <c r="G136" i="22"/>
  <c r="F136" i="22"/>
  <c r="G135" i="22"/>
  <c r="F135" i="22"/>
  <c r="G133" i="22"/>
  <c r="F133" i="22"/>
  <c r="G132" i="22"/>
  <c r="F132" i="22"/>
  <c r="G131" i="22"/>
  <c r="F131" i="22"/>
  <c r="G130" i="22"/>
  <c r="F130" i="22"/>
  <c r="G129" i="22"/>
  <c r="F129" i="22"/>
  <c r="G128" i="22"/>
  <c r="F128" i="22"/>
  <c r="G127" i="22"/>
  <c r="F127" i="22"/>
  <c r="G126" i="22"/>
  <c r="F126" i="22"/>
  <c r="G125" i="22"/>
  <c r="F125" i="22"/>
  <c r="G124" i="22"/>
  <c r="F124" i="22"/>
  <c r="G123" i="22"/>
  <c r="F123" i="22"/>
  <c r="G122" i="22"/>
  <c r="F122" i="22"/>
  <c r="G121" i="22"/>
  <c r="F121" i="22"/>
  <c r="G120" i="22"/>
  <c r="F120" i="22"/>
  <c r="G119" i="22"/>
  <c r="F119" i="22"/>
  <c r="G118" i="22"/>
  <c r="F118" i="22"/>
  <c r="G117" i="22"/>
  <c r="F117" i="22"/>
  <c r="G116" i="22"/>
  <c r="F116" i="22"/>
  <c r="G115" i="22"/>
  <c r="F115" i="22"/>
  <c r="G114" i="22"/>
  <c r="F114" i="22"/>
  <c r="G113" i="22"/>
  <c r="F113" i="22"/>
  <c r="G112" i="22"/>
  <c r="F112" i="22"/>
  <c r="G111" i="22"/>
  <c r="F111" i="22"/>
  <c r="G110" i="22"/>
  <c r="F110" i="22"/>
  <c r="G109" i="22"/>
  <c r="F109" i="22"/>
  <c r="G108" i="22"/>
  <c r="F108" i="22"/>
  <c r="G107" i="22"/>
  <c r="F107" i="22"/>
  <c r="G106" i="22"/>
  <c r="F106" i="22"/>
  <c r="G105" i="22"/>
  <c r="F105" i="22"/>
  <c r="G104" i="22"/>
  <c r="F104" i="22"/>
  <c r="G103" i="22"/>
  <c r="F103" i="22"/>
  <c r="G102" i="22"/>
  <c r="F102" i="22"/>
  <c r="G101" i="22"/>
  <c r="F101" i="22"/>
  <c r="G100" i="22"/>
  <c r="F100" i="22"/>
  <c r="G99" i="22"/>
  <c r="F99" i="22"/>
  <c r="G98" i="22"/>
  <c r="F98" i="22"/>
  <c r="G97" i="22"/>
  <c r="F97" i="22"/>
  <c r="G96" i="22"/>
  <c r="F96" i="22"/>
  <c r="G95" i="22"/>
  <c r="F95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G86" i="22"/>
  <c r="F86" i="22"/>
  <c r="G85" i="22"/>
  <c r="F85" i="22"/>
  <c r="G84" i="22"/>
  <c r="F84" i="22"/>
  <c r="G83" i="22"/>
  <c r="F83" i="22"/>
  <c r="G82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7" i="26"/>
  <c r="F167" i="26"/>
  <c r="G166" i="26"/>
  <c r="F166" i="26"/>
  <c r="G165" i="26"/>
  <c r="F165" i="26"/>
  <c r="G164" i="26"/>
  <c r="F164" i="26"/>
  <c r="G163" i="26"/>
  <c r="F163" i="26"/>
  <c r="G162" i="26"/>
  <c r="F162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G5" i="26"/>
  <c r="F5" i="26"/>
  <c r="G4" i="26"/>
  <c r="F4" i="26"/>
  <c r="G206" i="23"/>
  <c r="F206" i="23"/>
  <c r="G205" i="23"/>
  <c r="F205" i="23"/>
  <c r="G204" i="23"/>
  <c r="F204" i="23"/>
  <c r="G203" i="23"/>
  <c r="F203" i="23"/>
  <c r="G202" i="23"/>
  <c r="F202" i="23"/>
  <c r="G201" i="23"/>
  <c r="F201" i="23"/>
  <c r="G200" i="23"/>
  <c r="F200" i="23"/>
  <c r="G199" i="23"/>
  <c r="F199" i="23"/>
  <c r="G198" i="23"/>
  <c r="F198" i="23"/>
  <c r="G197" i="23"/>
  <c r="F197" i="23"/>
  <c r="G196" i="23"/>
  <c r="F196" i="23"/>
  <c r="G195" i="23"/>
  <c r="F195" i="23"/>
  <c r="G194" i="23"/>
  <c r="F194" i="23"/>
  <c r="G193" i="23"/>
  <c r="F193" i="23"/>
  <c r="G192" i="23"/>
  <c r="F192" i="23"/>
  <c r="G191" i="23"/>
  <c r="F191" i="23"/>
  <c r="G190" i="23"/>
  <c r="F190" i="23"/>
  <c r="G189" i="23"/>
  <c r="F189" i="23"/>
  <c r="G188" i="23"/>
  <c r="F188" i="23"/>
  <c r="G187" i="23"/>
  <c r="F187" i="23"/>
  <c r="G186" i="23"/>
  <c r="F186" i="23"/>
  <c r="G185" i="23"/>
  <c r="F185" i="23"/>
  <c r="G184" i="23"/>
  <c r="F184" i="23"/>
  <c r="G183" i="23"/>
  <c r="F183" i="23"/>
  <c r="G182" i="23"/>
  <c r="F182" i="23"/>
  <c r="G181" i="23"/>
  <c r="F181" i="23"/>
  <c r="G180" i="23"/>
  <c r="F180" i="23"/>
  <c r="G179" i="23"/>
  <c r="F179" i="23"/>
  <c r="G178" i="23"/>
  <c r="F178" i="23"/>
  <c r="G177" i="23"/>
  <c r="F177" i="23"/>
  <c r="G176" i="23"/>
  <c r="F176" i="23"/>
  <c r="G175" i="23"/>
  <c r="F175" i="23"/>
  <c r="G174" i="23"/>
  <c r="F174" i="23"/>
  <c r="G173" i="23"/>
  <c r="F173" i="23"/>
  <c r="G172" i="23"/>
  <c r="F172" i="23"/>
  <c r="G171" i="23"/>
  <c r="F171" i="23"/>
  <c r="G170" i="23"/>
  <c r="F170" i="23"/>
  <c r="G169" i="23"/>
  <c r="F169" i="23"/>
  <c r="G168" i="23"/>
  <c r="F168" i="23"/>
  <c r="G167" i="23"/>
  <c r="F167" i="23"/>
  <c r="G166" i="23"/>
  <c r="F166" i="23"/>
  <c r="G165" i="23"/>
  <c r="F165" i="23"/>
  <c r="G164" i="23"/>
  <c r="F164" i="23"/>
  <c r="G163" i="23"/>
  <c r="F163" i="23"/>
  <c r="G162" i="23"/>
  <c r="F162" i="23"/>
  <c r="G161" i="23"/>
  <c r="F161" i="23"/>
  <c r="G160" i="23"/>
  <c r="F160" i="23"/>
  <c r="G159" i="23"/>
  <c r="F159" i="23"/>
  <c r="G158" i="23"/>
  <c r="F158" i="23"/>
  <c r="G157" i="23"/>
  <c r="F157" i="23"/>
  <c r="G156" i="23"/>
  <c r="F156" i="23"/>
  <c r="G155" i="23"/>
  <c r="F155" i="23"/>
  <c r="G154" i="23"/>
  <c r="F154" i="23"/>
  <c r="G153" i="23"/>
  <c r="F153" i="23"/>
  <c r="G152" i="23"/>
  <c r="F152" i="23"/>
  <c r="G151" i="23"/>
  <c r="F151" i="23"/>
  <c r="G150" i="23"/>
  <c r="F150" i="23"/>
  <c r="G149" i="23"/>
  <c r="F149" i="23"/>
  <c r="G148" i="23"/>
  <c r="F148" i="23"/>
  <c r="G147" i="23"/>
  <c r="F147" i="23"/>
  <c r="G146" i="23"/>
  <c r="F146" i="23"/>
  <c r="G145" i="23"/>
  <c r="F145" i="23"/>
  <c r="G144" i="23"/>
  <c r="F144" i="23"/>
  <c r="G143" i="23"/>
  <c r="F143" i="23"/>
  <c r="G142" i="23"/>
  <c r="F142" i="23"/>
  <c r="G141" i="23"/>
  <c r="F141" i="23"/>
  <c r="G140" i="23"/>
  <c r="F140" i="23"/>
  <c r="G139" i="23"/>
  <c r="F139" i="23"/>
  <c r="G138" i="23"/>
  <c r="F138" i="23"/>
  <c r="G137" i="23"/>
  <c r="F137" i="23"/>
  <c r="G136" i="23"/>
  <c r="F136" i="23"/>
  <c r="G135" i="23"/>
  <c r="F135" i="23"/>
  <c r="G133" i="23"/>
  <c r="F133" i="23"/>
  <c r="G132" i="23"/>
  <c r="F132" i="23"/>
  <c r="G131" i="23"/>
  <c r="F131" i="23"/>
  <c r="G130" i="23"/>
  <c r="F130" i="23"/>
  <c r="G129" i="23"/>
  <c r="F129" i="23"/>
  <c r="G128" i="23"/>
  <c r="F128" i="23"/>
  <c r="G127" i="23"/>
  <c r="F127" i="23"/>
  <c r="G126" i="23"/>
  <c r="F126" i="23"/>
  <c r="G125" i="23"/>
  <c r="F125" i="23"/>
  <c r="G124" i="23"/>
  <c r="F124" i="23"/>
  <c r="G123" i="23"/>
  <c r="F123" i="23"/>
  <c r="G122" i="23"/>
  <c r="F122" i="23"/>
  <c r="G121" i="23"/>
  <c r="F121" i="23"/>
  <c r="G120" i="23"/>
  <c r="F120" i="23"/>
  <c r="G119" i="23"/>
  <c r="F119" i="23"/>
  <c r="G118" i="23"/>
  <c r="F118" i="23"/>
  <c r="G117" i="23"/>
  <c r="F117" i="23"/>
  <c r="G116" i="23"/>
  <c r="F116" i="23"/>
  <c r="G115" i="23"/>
  <c r="F115" i="23"/>
  <c r="G114" i="23"/>
  <c r="F114" i="23"/>
  <c r="G113" i="23"/>
  <c r="F113" i="23"/>
  <c r="G112" i="23"/>
  <c r="F112" i="23"/>
  <c r="G111" i="23"/>
  <c r="F111" i="23"/>
  <c r="G110" i="23"/>
  <c r="F110" i="23"/>
  <c r="G109" i="23"/>
  <c r="F109" i="23"/>
  <c r="G108" i="23"/>
  <c r="F108" i="23"/>
  <c r="G107" i="23"/>
  <c r="F107" i="23"/>
  <c r="G106" i="23"/>
  <c r="F106" i="23"/>
  <c r="G105" i="23"/>
  <c r="F105" i="23"/>
  <c r="G104" i="23"/>
  <c r="F104" i="23"/>
  <c r="G103" i="23"/>
  <c r="F103" i="23"/>
  <c r="G102" i="23"/>
  <c r="F102" i="23"/>
  <c r="G101" i="23"/>
  <c r="F101" i="23"/>
  <c r="G100" i="23"/>
  <c r="F100" i="23"/>
  <c r="G99" i="23"/>
  <c r="F99" i="23"/>
  <c r="G98" i="23"/>
  <c r="F98" i="23"/>
  <c r="G97" i="23"/>
  <c r="F97" i="23"/>
  <c r="G96" i="23"/>
  <c r="F96" i="23"/>
  <c r="G95" i="23"/>
  <c r="F95" i="23"/>
  <c r="G94" i="23"/>
  <c r="F94" i="23"/>
  <c r="G93" i="23"/>
  <c r="F93" i="23"/>
  <c r="G92" i="23"/>
  <c r="F92" i="23"/>
  <c r="G91" i="23"/>
  <c r="F91" i="23"/>
  <c r="G90" i="23"/>
  <c r="F90" i="23"/>
  <c r="G89" i="23"/>
  <c r="F89" i="23"/>
  <c r="G88" i="23"/>
  <c r="F88" i="23"/>
  <c r="G87" i="23"/>
  <c r="F87" i="23"/>
  <c r="G86" i="23"/>
  <c r="F86" i="23"/>
  <c r="G85" i="23"/>
  <c r="F85" i="23"/>
  <c r="G84" i="23"/>
  <c r="F84" i="23"/>
  <c r="G83" i="23"/>
  <c r="F83" i="23"/>
  <c r="G82" i="23"/>
  <c r="F82" i="23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G72" i="23"/>
  <c r="F72" i="23"/>
  <c r="G71" i="23"/>
  <c r="F71" i="23"/>
  <c r="G70" i="23"/>
  <c r="F70" i="23"/>
  <c r="G69" i="23"/>
  <c r="F69" i="23"/>
  <c r="G68" i="23"/>
  <c r="F68" i="23"/>
  <c r="G67" i="23"/>
  <c r="F67" i="23"/>
  <c r="G66" i="23"/>
  <c r="F66" i="23"/>
  <c r="G65" i="23"/>
  <c r="F65" i="23"/>
  <c r="G64" i="23"/>
  <c r="F64" i="23"/>
  <c r="G63" i="23"/>
  <c r="F63" i="23"/>
  <c r="G62" i="23"/>
  <c r="F62" i="23"/>
  <c r="G61" i="23"/>
  <c r="F61" i="23"/>
  <c r="G60" i="23"/>
  <c r="F60" i="23"/>
  <c r="G59" i="23"/>
  <c r="F59" i="23"/>
  <c r="G58" i="23"/>
  <c r="F58" i="23"/>
  <c r="G57" i="23"/>
  <c r="F57" i="23"/>
  <c r="G56" i="23"/>
  <c r="F56" i="23"/>
  <c r="G55" i="23"/>
  <c r="F55" i="23"/>
  <c r="G54" i="23"/>
  <c r="F54" i="23"/>
  <c r="G53" i="23"/>
  <c r="F53" i="23"/>
  <c r="G52" i="23"/>
  <c r="F52" i="23"/>
  <c r="G51" i="23"/>
  <c r="F51" i="23"/>
  <c r="G50" i="23"/>
  <c r="F50" i="23"/>
  <c r="G49" i="23"/>
  <c r="F49" i="23"/>
  <c r="G48" i="23"/>
  <c r="F48" i="23"/>
  <c r="G47" i="23"/>
  <c r="F47" i="23"/>
  <c r="G46" i="23"/>
  <c r="F46" i="23"/>
  <c r="G45" i="23"/>
  <c r="F45" i="23"/>
  <c r="G44" i="23"/>
  <c r="F44" i="23"/>
  <c r="G43" i="23"/>
  <c r="F43" i="23"/>
  <c r="G42" i="23"/>
  <c r="F42" i="23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F32" i="23"/>
  <c r="G31" i="23"/>
  <c r="F31" i="23"/>
  <c r="G30" i="23"/>
  <c r="F30" i="23"/>
  <c r="G29" i="23"/>
  <c r="F29" i="23"/>
  <c r="G28" i="23"/>
  <c r="F28" i="23"/>
  <c r="G27" i="23"/>
  <c r="F27" i="23"/>
  <c r="G26" i="23"/>
  <c r="F26" i="23"/>
  <c r="G25" i="23"/>
  <c r="F25" i="23"/>
  <c r="G24" i="23"/>
  <c r="F24" i="23"/>
  <c r="G23" i="23"/>
  <c r="F23" i="23"/>
  <c r="G22" i="23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G5" i="23"/>
  <c r="F5" i="23"/>
  <c r="G4" i="23"/>
  <c r="F4" i="23"/>
  <c r="G206" i="27"/>
  <c r="F206" i="27"/>
  <c r="G205" i="27"/>
  <c r="F205" i="27"/>
  <c r="G204" i="27"/>
  <c r="F204" i="27"/>
  <c r="G203" i="27"/>
  <c r="F203" i="27"/>
  <c r="G202" i="27"/>
  <c r="F202" i="27"/>
  <c r="G201" i="27"/>
  <c r="F201" i="27"/>
  <c r="G200" i="27"/>
  <c r="F200" i="27"/>
  <c r="G199" i="27"/>
  <c r="F199" i="27"/>
  <c r="G198" i="27"/>
  <c r="F198" i="27"/>
  <c r="G197" i="27"/>
  <c r="F197" i="27"/>
  <c r="G196" i="27"/>
  <c r="F196" i="27"/>
  <c r="G195" i="27"/>
  <c r="F195" i="27"/>
  <c r="G194" i="27"/>
  <c r="F194" i="27"/>
  <c r="G193" i="27"/>
  <c r="F193" i="27"/>
  <c r="G192" i="27"/>
  <c r="F192" i="27"/>
  <c r="G191" i="27"/>
  <c r="F191" i="27"/>
  <c r="G190" i="27"/>
  <c r="F190" i="27"/>
  <c r="G189" i="27"/>
  <c r="F189" i="27"/>
  <c r="G188" i="27"/>
  <c r="F188" i="27"/>
  <c r="G187" i="27"/>
  <c r="F187" i="27"/>
  <c r="G186" i="27"/>
  <c r="F186" i="27"/>
  <c r="G185" i="27"/>
  <c r="F185" i="27"/>
  <c r="G184" i="27"/>
  <c r="F184" i="27"/>
  <c r="G183" i="27"/>
  <c r="F183" i="27"/>
  <c r="G182" i="27"/>
  <c r="F182" i="27"/>
  <c r="G181" i="27"/>
  <c r="F181" i="27"/>
  <c r="G180" i="27"/>
  <c r="F180" i="27"/>
  <c r="G179" i="27"/>
  <c r="F179" i="27"/>
  <c r="G178" i="27"/>
  <c r="F178" i="27"/>
  <c r="G177" i="27"/>
  <c r="F177" i="27"/>
  <c r="G176" i="27"/>
  <c r="F176" i="27"/>
  <c r="G175" i="27"/>
  <c r="F175" i="27"/>
  <c r="G174" i="27"/>
  <c r="F174" i="27"/>
  <c r="G173" i="27"/>
  <c r="F173" i="27"/>
  <c r="G172" i="27"/>
  <c r="F172" i="27"/>
  <c r="G171" i="27"/>
  <c r="F171" i="27"/>
  <c r="G170" i="27"/>
  <c r="F170" i="27"/>
  <c r="G169" i="27"/>
  <c r="F169" i="27"/>
  <c r="G168" i="27"/>
  <c r="F168" i="27"/>
  <c r="G167" i="27"/>
  <c r="F167" i="27"/>
  <c r="G166" i="27"/>
  <c r="F166" i="27"/>
  <c r="G165" i="27"/>
  <c r="F165" i="27"/>
  <c r="G164" i="27"/>
  <c r="F164" i="27"/>
  <c r="G163" i="27"/>
  <c r="F163" i="27"/>
  <c r="G162" i="27"/>
  <c r="F162" i="27"/>
  <c r="G161" i="27"/>
  <c r="F161" i="27"/>
  <c r="G160" i="27"/>
  <c r="F160" i="27"/>
  <c r="G159" i="27"/>
  <c r="F159" i="27"/>
  <c r="G158" i="27"/>
  <c r="F158" i="27"/>
  <c r="G157" i="27"/>
  <c r="F157" i="27"/>
  <c r="G156" i="27"/>
  <c r="F156" i="27"/>
  <c r="G155" i="27"/>
  <c r="F155" i="27"/>
  <c r="G154" i="27"/>
  <c r="F154" i="27"/>
  <c r="G153" i="27"/>
  <c r="F153" i="27"/>
  <c r="G152" i="27"/>
  <c r="F152" i="27"/>
  <c r="G151" i="27"/>
  <c r="F151" i="27"/>
  <c r="G150" i="27"/>
  <c r="F150" i="27"/>
  <c r="G149" i="27"/>
  <c r="F149" i="27"/>
  <c r="G148" i="27"/>
  <c r="F148" i="27"/>
  <c r="G147" i="27"/>
  <c r="F147" i="27"/>
  <c r="G146" i="27"/>
  <c r="F146" i="27"/>
  <c r="G145" i="27"/>
  <c r="F145" i="27"/>
  <c r="G144" i="27"/>
  <c r="F144" i="27"/>
  <c r="G143" i="27"/>
  <c r="F143" i="27"/>
  <c r="G142" i="27"/>
  <c r="F142" i="27"/>
  <c r="G141" i="27"/>
  <c r="F141" i="27"/>
  <c r="G140" i="27"/>
  <c r="F140" i="27"/>
  <c r="G139" i="27"/>
  <c r="F139" i="27"/>
  <c r="G138" i="27"/>
  <c r="F138" i="27"/>
  <c r="G137" i="27"/>
  <c r="F137" i="27"/>
  <c r="G136" i="27"/>
  <c r="F136" i="27"/>
  <c r="G133" i="27"/>
  <c r="F133" i="27"/>
  <c r="G132" i="27"/>
  <c r="F132" i="27"/>
  <c r="G131" i="27"/>
  <c r="F131" i="27"/>
  <c r="G130" i="27"/>
  <c r="F130" i="27"/>
  <c r="G129" i="27"/>
  <c r="F129" i="27"/>
  <c r="G128" i="27"/>
  <c r="F128" i="27"/>
  <c r="G127" i="27"/>
  <c r="F127" i="27"/>
  <c r="G126" i="27"/>
  <c r="F126" i="27"/>
  <c r="G125" i="27"/>
  <c r="F125" i="27"/>
  <c r="G124" i="27"/>
  <c r="F124" i="27"/>
  <c r="G122" i="27"/>
  <c r="F122" i="27"/>
  <c r="G121" i="27"/>
  <c r="F121" i="27"/>
  <c r="G120" i="27"/>
  <c r="F120" i="27"/>
  <c r="G119" i="27"/>
  <c r="F119" i="27"/>
  <c r="G118" i="27"/>
  <c r="F118" i="27"/>
  <c r="G117" i="27"/>
  <c r="F117" i="27"/>
  <c r="G116" i="27"/>
  <c r="F116" i="27"/>
  <c r="G115" i="27"/>
  <c r="F115" i="27"/>
  <c r="G114" i="27"/>
  <c r="F114" i="27"/>
  <c r="G113" i="27"/>
  <c r="F113" i="27"/>
  <c r="G112" i="27"/>
  <c r="F112" i="27"/>
  <c r="G111" i="27"/>
  <c r="F111" i="27"/>
  <c r="G110" i="27"/>
  <c r="F110" i="27"/>
  <c r="G109" i="27"/>
  <c r="F109" i="27"/>
  <c r="G108" i="27"/>
  <c r="F108" i="27"/>
  <c r="G107" i="27"/>
  <c r="F107" i="27"/>
  <c r="G106" i="27"/>
  <c r="F106" i="27"/>
  <c r="G105" i="27"/>
  <c r="F105" i="27"/>
  <c r="G104" i="27"/>
  <c r="F104" i="27"/>
  <c r="G103" i="27"/>
  <c r="F103" i="27"/>
  <c r="G102" i="27"/>
  <c r="F102" i="27"/>
  <c r="G101" i="27"/>
  <c r="F101" i="27"/>
  <c r="G100" i="27"/>
  <c r="F100" i="27"/>
  <c r="G99" i="27"/>
  <c r="F99" i="27"/>
  <c r="G98" i="27"/>
  <c r="F98" i="27"/>
  <c r="G97" i="27"/>
  <c r="F97" i="27"/>
  <c r="G96" i="27"/>
  <c r="F96" i="27"/>
  <c r="G95" i="27"/>
  <c r="F95" i="27"/>
  <c r="G94" i="27"/>
  <c r="F94" i="27"/>
  <c r="G93" i="27"/>
  <c r="F93" i="27"/>
  <c r="G92" i="27"/>
  <c r="F92" i="27"/>
  <c r="G91" i="27"/>
  <c r="F91" i="27"/>
  <c r="G90" i="27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G69" i="27"/>
  <c r="F69" i="27"/>
  <c r="G68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5" i="27"/>
  <c r="F5" i="27"/>
  <c r="G4" i="27"/>
  <c r="F4" i="27"/>
  <c r="G206" i="28"/>
  <c r="F206" i="28"/>
  <c r="G205" i="28"/>
  <c r="F205" i="28"/>
  <c r="G204" i="28"/>
  <c r="F204" i="28"/>
  <c r="G203" i="28"/>
  <c r="F203" i="28"/>
  <c r="G202" i="28"/>
  <c r="F202" i="28"/>
  <c r="G201" i="28"/>
  <c r="F201" i="28"/>
  <c r="G200" i="28"/>
  <c r="F200" i="28"/>
  <c r="G199" i="28"/>
  <c r="F199" i="28"/>
  <c r="G198" i="28"/>
  <c r="F198" i="28"/>
  <c r="G197" i="28"/>
  <c r="F197" i="28"/>
  <c r="G196" i="28"/>
  <c r="F196" i="28"/>
  <c r="G195" i="28"/>
  <c r="F195" i="28"/>
  <c r="G194" i="28"/>
  <c r="F194" i="28"/>
  <c r="G193" i="28"/>
  <c r="F193" i="28"/>
  <c r="G192" i="28"/>
  <c r="F192" i="28"/>
  <c r="G191" i="28"/>
  <c r="F191" i="28"/>
  <c r="G190" i="28"/>
  <c r="F190" i="28"/>
  <c r="G189" i="28"/>
  <c r="F189" i="28"/>
  <c r="G188" i="28"/>
  <c r="F188" i="28"/>
  <c r="G187" i="28"/>
  <c r="F187" i="28"/>
  <c r="G186" i="28"/>
  <c r="F186" i="28"/>
  <c r="G185" i="28"/>
  <c r="F185" i="28"/>
  <c r="G184" i="28"/>
  <c r="F184" i="28"/>
  <c r="G183" i="28"/>
  <c r="F183" i="28"/>
  <c r="G182" i="28"/>
  <c r="F182" i="28"/>
  <c r="G181" i="28"/>
  <c r="F181" i="28"/>
  <c r="G180" i="28"/>
  <c r="F180" i="28"/>
  <c r="G179" i="28"/>
  <c r="F179" i="28"/>
  <c r="G178" i="28"/>
  <c r="F178" i="28"/>
  <c r="G177" i="28"/>
  <c r="F177" i="28"/>
  <c r="G176" i="28"/>
  <c r="F176" i="28"/>
  <c r="G175" i="28"/>
  <c r="F175" i="28"/>
  <c r="G174" i="28"/>
  <c r="F174" i="28"/>
  <c r="G173" i="28"/>
  <c r="F173" i="28"/>
  <c r="G172" i="28"/>
  <c r="F172" i="28"/>
  <c r="G171" i="28"/>
  <c r="F171" i="28"/>
  <c r="G170" i="28"/>
  <c r="F170" i="28"/>
  <c r="G169" i="28"/>
  <c r="F169" i="28"/>
  <c r="G168" i="28"/>
  <c r="F168" i="28"/>
  <c r="G167" i="28"/>
  <c r="F167" i="28"/>
  <c r="G166" i="28"/>
  <c r="F166" i="28"/>
  <c r="G165" i="28"/>
  <c r="F165" i="28"/>
  <c r="G164" i="28"/>
  <c r="F164" i="28"/>
  <c r="G163" i="28"/>
  <c r="F163" i="28"/>
  <c r="G162" i="28"/>
  <c r="F162" i="28"/>
  <c r="G161" i="28"/>
  <c r="F161" i="28"/>
  <c r="G160" i="28"/>
  <c r="F160" i="28"/>
  <c r="G159" i="28"/>
  <c r="F159" i="28"/>
  <c r="G158" i="28"/>
  <c r="F158" i="28"/>
  <c r="G157" i="28"/>
  <c r="F157" i="28"/>
  <c r="G156" i="28"/>
  <c r="F156" i="28"/>
  <c r="G155" i="28"/>
  <c r="F155" i="28"/>
  <c r="G154" i="28"/>
  <c r="F154" i="28"/>
  <c r="G153" i="28"/>
  <c r="F153" i="28"/>
  <c r="G152" i="28"/>
  <c r="F152" i="28"/>
  <c r="G151" i="28"/>
  <c r="F151" i="28"/>
  <c r="G150" i="28"/>
  <c r="F150" i="28"/>
  <c r="G149" i="28"/>
  <c r="F149" i="28"/>
  <c r="G148" i="28"/>
  <c r="F148" i="28"/>
  <c r="G147" i="28"/>
  <c r="F147" i="28"/>
  <c r="G146" i="28"/>
  <c r="F146" i="28"/>
  <c r="G145" i="28"/>
  <c r="F145" i="28"/>
  <c r="G144" i="28"/>
  <c r="F144" i="28"/>
  <c r="G143" i="28"/>
  <c r="F143" i="28"/>
  <c r="G142" i="28"/>
  <c r="F142" i="28"/>
  <c r="G141" i="28"/>
  <c r="F141" i="28"/>
  <c r="G140" i="28"/>
  <c r="F140" i="28"/>
  <c r="G139" i="28"/>
  <c r="F139" i="28"/>
  <c r="G138" i="28"/>
  <c r="F138" i="28"/>
  <c r="G137" i="28"/>
  <c r="F137" i="28"/>
  <c r="G136" i="28"/>
  <c r="F136" i="28"/>
  <c r="G135" i="28"/>
  <c r="F135" i="28"/>
  <c r="G133" i="28"/>
  <c r="F133" i="28"/>
  <c r="G132" i="28"/>
  <c r="F132" i="28"/>
  <c r="G131" i="28"/>
  <c r="F131" i="28"/>
  <c r="G130" i="28"/>
  <c r="F130" i="28"/>
  <c r="G129" i="28"/>
  <c r="F129" i="28"/>
  <c r="G128" i="28"/>
  <c r="F128" i="28"/>
  <c r="G127" i="28"/>
  <c r="F127" i="28"/>
  <c r="G126" i="28"/>
  <c r="F126" i="28"/>
  <c r="G125" i="28"/>
  <c r="F125" i="28"/>
  <c r="G124" i="28"/>
  <c r="F124" i="28"/>
  <c r="G122" i="28"/>
  <c r="F122" i="28"/>
  <c r="G121" i="28"/>
  <c r="F121" i="28"/>
  <c r="G120" i="28"/>
  <c r="F120" i="28"/>
  <c r="G119" i="28"/>
  <c r="F119" i="28"/>
  <c r="G118" i="28"/>
  <c r="F118" i="28"/>
  <c r="G117" i="28"/>
  <c r="F117" i="28"/>
  <c r="G116" i="28"/>
  <c r="F116" i="28"/>
  <c r="G115" i="28"/>
  <c r="F115" i="28"/>
  <c r="G114" i="28"/>
  <c r="F114" i="28"/>
  <c r="G113" i="28"/>
  <c r="F113" i="28"/>
  <c r="G112" i="28"/>
  <c r="F112" i="28"/>
  <c r="G111" i="28"/>
  <c r="F111" i="28"/>
  <c r="G110" i="28"/>
  <c r="F110" i="28"/>
  <c r="G109" i="28"/>
  <c r="F109" i="28"/>
  <c r="G108" i="28"/>
  <c r="F108" i="28"/>
  <c r="G107" i="28"/>
  <c r="F107" i="28"/>
  <c r="G106" i="28"/>
  <c r="F106" i="28"/>
  <c r="G105" i="28"/>
  <c r="F105" i="28"/>
  <c r="G104" i="28"/>
  <c r="F104" i="28"/>
  <c r="G103" i="28"/>
  <c r="F103" i="28"/>
  <c r="G102" i="28"/>
  <c r="F102" i="28"/>
  <c r="G101" i="28"/>
  <c r="F101" i="28"/>
  <c r="G100" i="28"/>
  <c r="F100" i="28"/>
  <c r="G99" i="28"/>
  <c r="F99" i="28"/>
  <c r="G98" i="28"/>
  <c r="F98" i="28"/>
  <c r="G97" i="28"/>
  <c r="F97" i="28"/>
  <c r="G96" i="28"/>
  <c r="F96" i="28"/>
  <c r="G95" i="28"/>
  <c r="F95" i="28"/>
  <c r="G94" i="28"/>
  <c r="F94" i="28"/>
  <c r="G93" i="28"/>
  <c r="F93" i="28"/>
  <c r="G92" i="28"/>
  <c r="F92" i="28"/>
  <c r="G91" i="28"/>
  <c r="F91" i="28"/>
  <c r="G90" i="28"/>
  <c r="F90" i="28"/>
  <c r="G89" i="28"/>
  <c r="F89" i="28"/>
  <c r="G88" i="28"/>
  <c r="F88" i="28"/>
  <c r="G87" i="28"/>
  <c r="F87" i="28"/>
  <c r="G86" i="28"/>
  <c r="F86" i="28"/>
  <c r="G85" i="28"/>
  <c r="F85" i="28"/>
  <c r="G84" i="28"/>
  <c r="F84" i="28"/>
  <c r="G83" i="28"/>
  <c r="F83" i="28"/>
  <c r="G82" i="28"/>
  <c r="F82" i="28"/>
  <c r="G81" i="28"/>
  <c r="F81" i="28"/>
  <c r="G80" i="28"/>
  <c r="F80" i="28"/>
  <c r="G79" i="28"/>
  <c r="F79" i="28"/>
  <c r="G78" i="28"/>
  <c r="F78" i="28"/>
  <c r="G77" i="28"/>
  <c r="F77" i="28"/>
  <c r="G76" i="28"/>
  <c r="F76" i="28"/>
  <c r="G75" i="28"/>
  <c r="F75" i="28"/>
  <c r="G74" i="28"/>
  <c r="F74" i="28"/>
  <c r="G73" i="28"/>
  <c r="F73" i="28"/>
  <c r="G72" i="28"/>
  <c r="F72" i="28"/>
  <c r="G71" i="28"/>
  <c r="F71" i="28"/>
  <c r="G70" i="28"/>
  <c r="F70" i="28"/>
  <c r="G69" i="28"/>
  <c r="F69" i="28"/>
  <c r="G68" i="28"/>
  <c r="F68" i="28"/>
  <c r="G67" i="28"/>
  <c r="F67" i="28"/>
  <c r="G66" i="28"/>
  <c r="F66" i="28"/>
  <c r="G65" i="28"/>
  <c r="F65" i="28"/>
  <c r="G64" i="28"/>
  <c r="F64" i="28"/>
  <c r="G63" i="28"/>
  <c r="F63" i="28"/>
  <c r="G62" i="28"/>
  <c r="F62" i="28"/>
  <c r="G61" i="28"/>
  <c r="F61" i="28"/>
  <c r="G60" i="28"/>
  <c r="F60" i="28"/>
  <c r="G59" i="28"/>
  <c r="F59" i="28"/>
  <c r="G58" i="28"/>
  <c r="F58" i="28"/>
  <c r="G57" i="28"/>
  <c r="F57" i="28"/>
  <c r="G56" i="28"/>
  <c r="F56" i="28"/>
  <c r="G55" i="28"/>
  <c r="F55" i="28"/>
  <c r="G54" i="28"/>
  <c r="F54" i="28"/>
  <c r="G53" i="28"/>
  <c r="F53" i="28"/>
  <c r="G52" i="28"/>
  <c r="F52" i="28"/>
  <c r="G51" i="28"/>
  <c r="F51" i="28"/>
  <c r="G50" i="28"/>
  <c r="F50" i="28"/>
  <c r="G49" i="28"/>
  <c r="F49" i="28"/>
  <c r="G48" i="28"/>
  <c r="F48" i="28"/>
  <c r="G47" i="28"/>
  <c r="F47" i="28"/>
  <c r="G46" i="28"/>
  <c r="F46" i="28"/>
  <c r="G45" i="28"/>
  <c r="F45" i="28"/>
  <c r="G44" i="28"/>
  <c r="F44" i="28"/>
  <c r="G43" i="28"/>
  <c r="F43" i="28"/>
  <c r="G42" i="28"/>
  <c r="F42" i="28"/>
  <c r="G41" i="28"/>
  <c r="F41" i="28"/>
  <c r="G40" i="28"/>
  <c r="F40" i="28"/>
  <c r="G39" i="28"/>
  <c r="F39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G27" i="28"/>
  <c r="F27" i="28"/>
  <c r="G26" i="28"/>
  <c r="F26" i="28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G15" i="28"/>
  <c r="F15" i="28"/>
  <c r="G14" i="28"/>
  <c r="F14" i="28"/>
  <c r="G13" i="28"/>
  <c r="F13" i="28"/>
  <c r="G12" i="28"/>
  <c r="F12" i="28"/>
  <c r="G11" i="28"/>
  <c r="F11" i="28"/>
  <c r="G10" i="28"/>
  <c r="F10" i="28"/>
  <c r="G9" i="28"/>
  <c r="F9" i="28"/>
  <c r="G8" i="28"/>
  <c r="F8" i="28"/>
  <c r="G7" i="28"/>
  <c r="F7" i="28"/>
  <c r="G6" i="28"/>
  <c r="F6" i="28"/>
  <c r="G5" i="28"/>
  <c r="F5" i="28"/>
  <c r="G4" i="28"/>
  <c r="F4" i="28"/>
  <c r="G206" i="20"/>
  <c r="F206" i="20"/>
  <c r="G205" i="20"/>
  <c r="F205" i="20"/>
  <c r="G204" i="20"/>
  <c r="F204" i="20"/>
  <c r="G203" i="20"/>
  <c r="F203" i="20"/>
  <c r="G202" i="20"/>
  <c r="F202" i="20"/>
  <c r="G201" i="20"/>
  <c r="F201" i="20"/>
  <c r="G200" i="20"/>
  <c r="F200" i="20"/>
  <c r="G199" i="20"/>
  <c r="F199" i="20"/>
  <c r="G198" i="20"/>
  <c r="F198" i="20"/>
  <c r="G197" i="20"/>
  <c r="F197" i="20"/>
  <c r="G196" i="20"/>
  <c r="F196" i="20"/>
  <c r="G195" i="20"/>
  <c r="F195" i="20"/>
  <c r="G194" i="20"/>
  <c r="F194" i="20"/>
  <c r="G193" i="20"/>
  <c r="F193" i="20"/>
  <c r="G192" i="20"/>
  <c r="F192" i="20"/>
  <c r="G191" i="20"/>
  <c r="F191" i="20"/>
  <c r="G190" i="20"/>
  <c r="F190" i="20"/>
  <c r="G189" i="20"/>
  <c r="F189" i="20"/>
  <c r="G188" i="20"/>
  <c r="F188" i="20"/>
  <c r="G187" i="20"/>
  <c r="F187" i="20"/>
  <c r="G186" i="20"/>
  <c r="F186" i="20"/>
  <c r="G185" i="20"/>
  <c r="F185" i="20"/>
  <c r="G184" i="20"/>
  <c r="F184" i="20"/>
  <c r="G183" i="20"/>
  <c r="F183" i="20"/>
  <c r="G182" i="20"/>
  <c r="F182" i="20"/>
  <c r="G181" i="20"/>
  <c r="F181" i="20"/>
  <c r="G180" i="20"/>
  <c r="F180" i="20"/>
  <c r="G179" i="20"/>
  <c r="F179" i="20"/>
  <c r="G178" i="20"/>
  <c r="F178" i="20"/>
  <c r="G177" i="20"/>
  <c r="F177" i="20"/>
  <c r="G176" i="20"/>
  <c r="F176" i="20"/>
  <c r="G175" i="20"/>
  <c r="F175" i="20"/>
  <c r="G174" i="20"/>
  <c r="F174" i="20"/>
  <c r="G173" i="20"/>
  <c r="F173" i="20"/>
  <c r="G172" i="20"/>
  <c r="F172" i="20"/>
  <c r="G171" i="20"/>
  <c r="F171" i="20"/>
  <c r="G170" i="20"/>
  <c r="F170" i="20"/>
  <c r="G169" i="20"/>
  <c r="F169" i="20"/>
  <c r="G168" i="20"/>
  <c r="F168" i="20"/>
  <c r="G167" i="20"/>
  <c r="F167" i="20"/>
  <c r="G166" i="20"/>
  <c r="F166" i="20"/>
  <c r="G165" i="20"/>
  <c r="F165" i="20"/>
  <c r="G164" i="20"/>
  <c r="F164" i="20"/>
  <c r="G163" i="20"/>
  <c r="F163" i="20"/>
  <c r="G162" i="20"/>
  <c r="F162" i="20"/>
  <c r="G161" i="20"/>
  <c r="F161" i="20"/>
  <c r="G160" i="20"/>
  <c r="F160" i="20"/>
  <c r="G159" i="20"/>
  <c r="F159" i="20"/>
  <c r="G158" i="20"/>
  <c r="F158" i="20"/>
  <c r="G157" i="20"/>
  <c r="F157" i="20"/>
  <c r="G156" i="20"/>
  <c r="F156" i="20"/>
  <c r="G155" i="20"/>
  <c r="F155" i="20"/>
  <c r="G154" i="20"/>
  <c r="F154" i="20"/>
  <c r="G153" i="20"/>
  <c r="F153" i="20"/>
  <c r="G152" i="20"/>
  <c r="F152" i="20"/>
  <c r="G151" i="20"/>
  <c r="F151" i="20"/>
  <c r="G150" i="20"/>
  <c r="F150" i="20"/>
  <c r="G149" i="20"/>
  <c r="F149" i="20"/>
  <c r="G148" i="20"/>
  <c r="F148" i="20"/>
  <c r="G147" i="20"/>
  <c r="F147" i="20"/>
  <c r="G146" i="20"/>
  <c r="F146" i="20"/>
  <c r="G145" i="20"/>
  <c r="F145" i="20"/>
  <c r="G144" i="20"/>
  <c r="F144" i="20"/>
  <c r="G143" i="20"/>
  <c r="F143" i="20"/>
  <c r="G142" i="20"/>
  <c r="F142" i="20"/>
  <c r="G141" i="20"/>
  <c r="F141" i="20"/>
  <c r="G140" i="20"/>
  <c r="F140" i="20"/>
  <c r="G139" i="20"/>
  <c r="F139" i="20"/>
  <c r="G138" i="20"/>
  <c r="F138" i="20"/>
  <c r="G137" i="20"/>
  <c r="F137" i="20"/>
  <c r="G136" i="20"/>
  <c r="F136" i="20"/>
  <c r="G135" i="20"/>
  <c r="F135" i="20"/>
  <c r="G134" i="20"/>
  <c r="F134" i="20"/>
  <c r="G133" i="20"/>
  <c r="F133" i="20"/>
  <c r="G132" i="20"/>
  <c r="F132" i="20"/>
  <c r="G131" i="20"/>
  <c r="F131" i="20"/>
  <c r="G130" i="20"/>
  <c r="F130" i="20"/>
  <c r="G129" i="20"/>
  <c r="F129" i="20"/>
  <c r="G128" i="20"/>
  <c r="F128" i="20"/>
  <c r="G127" i="20"/>
  <c r="F127" i="20"/>
  <c r="G126" i="20"/>
  <c r="F126" i="20"/>
  <c r="G125" i="20"/>
  <c r="F125" i="20"/>
  <c r="G124" i="20"/>
  <c r="F124" i="20"/>
  <c r="G123" i="20"/>
  <c r="F123" i="20"/>
  <c r="G122" i="20"/>
  <c r="F122" i="20"/>
  <c r="G121" i="20"/>
  <c r="F121" i="20"/>
  <c r="G120" i="20"/>
  <c r="F120" i="20"/>
  <c r="G119" i="20"/>
  <c r="F119" i="20"/>
  <c r="G118" i="20"/>
  <c r="F118" i="20"/>
  <c r="G117" i="20"/>
  <c r="F117" i="20"/>
  <c r="G116" i="20"/>
  <c r="F116" i="20"/>
  <c r="G115" i="20"/>
  <c r="F115" i="20"/>
  <c r="G114" i="20"/>
  <c r="F114" i="20"/>
  <c r="G113" i="20"/>
  <c r="F113" i="20"/>
  <c r="G112" i="20"/>
  <c r="F112" i="20"/>
  <c r="G111" i="20"/>
  <c r="F111" i="20"/>
  <c r="G110" i="20"/>
  <c r="F110" i="20"/>
  <c r="G109" i="20"/>
  <c r="F109" i="20"/>
  <c r="G108" i="20"/>
  <c r="F108" i="20"/>
  <c r="G107" i="20"/>
  <c r="F107" i="20"/>
  <c r="G106" i="20"/>
  <c r="F106" i="20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99" i="20"/>
  <c r="F99" i="20"/>
  <c r="G98" i="20"/>
  <c r="F98" i="20"/>
  <c r="G97" i="20"/>
  <c r="F97" i="20"/>
  <c r="G96" i="20"/>
  <c r="F96" i="20"/>
  <c r="G95" i="20"/>
  <c r="F95" i="20"/>
  <c r="G94" i="20"/>
  <c r="F94" i="20"/>
  <c r="G93" i="20"/>
  <c r="F93" i="20"/>
  <c r="G92" i="20"/>
  <c r="F92" i="20"/>
  <c r="G91" i="20"/>
  <c r="F91" i="20"/>
  <c r="G90" i="20"/>
  <c r="F90" i="20"/>
  <c r="G89" i="20"/>
  <c r="F89" i="20"/>
  <c r="G88" i="20"/>
  <c r="F88" i="20"/>
  <c r="G87" i="20"/>
  <c r="F87" i="20"/>
  <c r="G86" i="20"/>
  <c r="F86" i="20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5" i="20"/>
  <c r="F5" i="20"/>
  <c r="G4" i="20"/>
  <c r="F4" i="20"/>
  <c r="G3" i="21"/>
  <c r="G3" i="22"/>
  <c r="G3" i="26"/>
  <c r="G3" i="23"/>
  <c r="G3" i="27"/>
  <c r="G3" i="28"/>
  <c r="G3" i="20"/>
  <c r="F3" i="21"/>
  <c r="F3" i="22"/>
  <c r="F3" i="26"/>
  <c r="F3" i="23"/>
  <c r="F3" i="27"/>
  <c r="F3" i="28"/>
  <c r="F3" i="20"/>
  <c r="D98" i="20"/>
  <c r="C98" i="20"/>
  <c r="D97" i="20"/>
  <c r="C97" i="20"/>
  <c r="D96" i="20"/>
  <c r="C96" i="20"/>
  <c r="D95" i="20"/>
  <c r="C95" i="20"/>
  <c r="D94" i="20"/>
  <c r="C94" i="20"/>
  <c r="D93" i="20"/>
  <c r="C93" i="20"/>
  <c r="D92" i="20"/>
  <c r="C92" i="20"/>
  <c r="D91" i="20"/>
  <c r="C91" i="20"/>
  <c r="D90" i="20"/>
  <c r="C90" i="20"/>
  <c r="D89" i="20"/>
  <c r="C89" i="20"/>
  <c r="D88" i="20"/>
  <c r="C88" i="20"/>
  <c r="D87" i="20"/>
  <c r="C87" i="20"/>
  <c r="D86" i="20"/>
  <c r="C86" i="20"/>
  <c r="D85" i="20"/>
  <c r="C85" i="20"/>
  <c r="D84" i="20"/>
  <c r="C84" i="20"/>
  <c r="D83" i="20"/>
  <c r="C83" i="20"/>
  <c r="D82" i="20"/>
  <c r="C82" i="20"/>
  <c r="D81" i="20"/>
  <c r="C81" i="20"/>
  <c r="D80" i="20"/>
  <c r="C80" i="20"/>
  <c r="D79" i="20"/>
  <c r="C79" i="20"/>
  <c r="D78" i="20"/>
  <c r="C78" i="20"/>
  <c r="D77" i="20"/>
  <c r="C77" i="20"/>
  <c r="D76" i="20"/>
  <c r="C76" i="20"/>
  <c r="D75" i="20"/>
  <c r="C75" i="20"/>
  <c r="D74" i="20"/>
  <c r="C74" i="20"/>
  <c r="D73" i="20"/>
  <c r="C73" i="20"/>
  <c r="D72" i="20"/>
  <c r="C72" i="20"/>
  <c r="D71" i="20"/>
  <c r="C71" i="20"/>
  <c r="D70" i="20"/>
  <c r="C70" i="20"/>
  <c r="D69" i="20"/>
  <c r="C69" i="20"/>
  <c r="D68" i="20"/>
  <c r="C68" i="20"/>
  <c r="D67" i="20"/>
  <c r="C67" i="20"/>
  <c r="D66" i="20"/>
  <c r="C66" i="20"/>
  <c r="D65" i="20"/>
  <c r="C65" i="20"/>
  <c r="D64" i="20"/>
  <c r="C64" i="20"/>
  <c r="D63" i="20"/>
  <c r="C63" i="20"/>
  <c r="D62" i="20"/>
  <c r="C62" i="20"/>
  <c r="D61" i="20"/>
  <c r="C61" i="20"/>
  <c r="D60" i="20"/>
  <c r="C60" i="20"/>
  <c r="D59" i="20"/>
  <c r="C59" i="20"/>
  <c r="D58" i="20"/>
  <c r="C58" i="20"/>
  <c r="D57" i="20"/>
  <c r="C57" i="20"/>
  <c r="D56" i="20"/>
  <c r="C56" i="20"/>
  <c r="D55" i="20"/>
  <c r="C55" i="20"/>
  <c r="D54" i="20"/>
  <c r="C54" i="20"/>
  <c r="D53" i="20"/>
  <c r="C53" i="20"/>
  <c r="D52" i="20"/>
  <c r="C52" i="20"/>
  <c r="D51" i="20"/>
  <c r="C51" i="20"/>
  <c r="D50" i="20"/>
  <c r="C50" i="20"/>
  <c r="D49" i="20"/>
  <c r="C49" i="20"/>
  <c r="D48" i="20"/>
  <c r="C48" i="20"/>
  <c r="D47" i="20"/>
  <c r="C47" i="20"/>
  <c r="D46" i="20"/>
  <c r="C46" i="20"/>
  <c r="D45" i="20"/>
  <c r="C45" i="20"/>
  <c r="D44" i="20"/>
  <c r="C44" i="20"/>
  <c r="D43" i="20"/>
  <c r="C43" i="20"/>
  <c r="D42" i="20"/>
  <c r="C42" i="20"/>
  <c r="D41" i="20"/>
  <c r="C41" i="20"/>
  <c r="D40" i="20"/>
  <c r="C40" i="20"/>
  <c r="D39" i="20"/>
  <c r="C39" i="20"/>
  <c r="D38" i="20"/>
  <c r="C38" i="20"/>
  <c r="D37" i="20"/>
  <c r="C37" i="20"/>
  <c r="D36" i="20"/>
  <c r="C36" i="20"/>
  <c r="D35" i="20"/>
  <c r="C35" i="20"/>
  <c r="D34" i="20"/>
  <c r="C34" i="20"/>
  <c r="D33" i="20"/>
  <c r="C33" i="20"/>
  <c r="D32" i="20"/>
  <c r="C32" i="20"/>
  <c r="D31" i="20"/>
  <c r="C31" i="20"/>
  <c r="D30" i="20"/>
  <c r="C30" i="20"/>
  <c r="D29" i="20"/>
  <c r="C29" i="20"/>
  <c r="D28" i="20"/>
  <c r="C28" i="20"/>
  <c r="D27" i="20"/>
  <c r="C27" i="20"/>
  <c r="D26" i="20"/>
  <c r="C26" i="20"/>
  <c r="D25" i="20"/>
  <c r="C25" i="20"/>
  <c r="D24" i="20"/>
  <c r="C24" i="20"/>
  <c r="D23" i="20"/>
  <c r="C23" i="20"/>
  <c r="D22" i="20"/>
  <c r="C22" i="20"/>
  <c r="D21" i="20"/>
  <c r="C21" i="20"/>
  <c r="D20" i="20"/>
  <c r="C20" i="20"/>
  <c r="D19" i="20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D3" i="20"/>
  <c r="C3" i="20"/>
  <c r="D98" i="21"/>
  <c r="C98" i="21"/>
  <c r="D97" i="21"/>
  <c r="C97" i="21"/>
  <c r="D96" i="21"/>
  <c r="C96" i="21"/>
  <c r="D95" i="21"/>
  <c r="C95" i="21"/>
  <c r="D94" i="21"/>
  <c r="C94" i="21"/>
  <c r="D93" i="21"/>
  <c r="C93" i="21"/>
  <c r="D92" i="21"/>
  <c r="C92" i="21"/>
  <c r="D91" i="21"/>
  <c r="C91" i="21"/>
  <c r="D90" i="21"/>
  <c r="C90" i="21"/>
  <c r="D89" i="21"/>
  <c r="C89" i="21"/>
  <c r="D88" i="21"/>
  <c r="C88" i="21"/>
  <c r="D87" i="21"/>
  <c r="C87" i="21"/>
  <c r="D86" i="21"/>
  <c r="C86" i="21"/>
  <c r="D85" i="21"/>
  <c r="C85" i="21"/>
  <c r="D84" i="21"/>
  <c r="C84" i="21"/>
  <c r="D83" i="21"/>
  <c r="C83" i="21"/>
  <c r="D82" i="21"/>
  <c r="C82" i="21"/>
  <c r="D81" i="21"/>
  <c r="C81" i="21"/>
  <c r="D80" i="21"/>
  <c r="C80" i="21"/>
  <c r="D79" i="21"/>
  <c r="C79" i="21"/>
  <c r="D78" i="21"/>
  <c r="C78" i="21"/>
  <c r="D77" i="21"/>
  <c r="C77" i="21"/>
  <c r="D76" i="21"/>
  <c r="C76" i="21"/>
  <c r="D75" i="21"/>
  <c r="C75" i="21"/>
  <c r="D74" i="21"/>
  <c r="C74" i="21"/>
  <c r="D73" i="21"/>
  <c r="C73" i="21"/>
  <c r="D72" i="21"/>
  <c r="C72" i="21"/>
  <c r="D71" i="21"/>
  <c r="C71" i="21"/>
  <c r="D70" i="21"/>
  <c r="C70" i="21"/>
  <c r="D69" i="21"/>
  <c r="C69" i="21"/>
  <c r="D68" i="21"/>
  <c r="C68" i="21"/>
  <c r="D67" i="21"/>
  <c r="C67" i="21"/>
  <c r="D66" i="21"/>
  <c r="C66" i="21"/>
  <c r="D65" i="21"/>
  <c r="C65" i="21"/>
  <c r="D64" i="21"/>
  <c r="C64" i="21"/>
  <c r="D63" i="21"/>
  <c r="C63" i="21"/>
  <c r="D62" i="21"/>
  <c r="C62" i="21"/>
  <c r="D61" i="21"/>
  <c r="C61" i="21"/>
  <c r="D60" i="21"/>
  <c r="C60" i="21"/>
  <c r="D59" i="21"/>
  <c r="C59" i="21"/>
  <c r="D58" i="21"/>
  <c r="C58" i="21"/>
  <c r="D57" i="21"/>
  <c r="C57" i="21"/>
  <c r="D56" i="21"/>
  <c r="C56" i="21"/>
  <c r="D55" i="21"/>
  <c r="C55" i="21"/>
  <c r="D54" i="21"/>
  <c r="C54" i="21"/>
  <c r="D53" i="21"/>
  <c r="C53" i="21"/>
  <c r="D52" i="21"/>
  <c r="C52" i="21"/>
  <c r="D51" i="21"/>
  <c r="C51" i="21"/>
  <c r="D50" i="21"/>
  <c r="C50" i="21"/>
  <c r="D49" i="21"/>
  <c r="C49" i="21"/>
  <c r="D48" i="21"/>
  <c r="C48" i="21"/>
  <c r="D47" i="21"/>
  <c r="C47" i="21"/>
  <c r="D46" i="21"/>
  <c r="C46" i="21"/>
  <c r="D45" i="21"/>
  <c r="C45" i="21"/>
  <c r="D44" i="21"/>
  <c r="C44" i="21"/>
  <c r="D43" i="21"/>
  <c r="C43" i="21"/>
  <c r="D42" i="21"/>
  <c r="C42" i="21"/>
  <c r="D41" i="21"/>
  <c r="C41" i="21"/>
  <c r="D40" i="21"/>
  <c r="C40" i="21"/>
  <c r="D39" i="21"/>
  <c r="C39" i="21"/>
  <c r="D38" i="21"/>
  <c r="C38" i="21"/>
  <c r="D37" i="21"/>
  <c r="C37" i="21"/>
  <c r="D36" i="21"/>
  <c r="C36" i="21"/>
  <c r="D35" i="21"/>
  <c r="C35" i="21"/>
  <c r="D34" i="21"/>
  <c r="C34" i="21"/>
  <c r="D33" i="21"/>
  <c r="C33" i="21"/>
  <c r="D32" i="21"/>
  <c r="C32" i="21"/>
  <c r="D31" i="21"/>
  <c r="C31" i="21"/>
  <c r="D30" i="21"/>
  <c r="C30" i="21"/>
  <c r="D29" i="21"/>
  <c r="C29" i="21"/>
  <c r="D28" i="21"/>
  <c r="C28" i="21"/>
  <c r="D27" i="21"/>
  <c r="C27" i="21"/>
  <c r="D26" i="21"/>
  <c r="C26" i="21"/>
  <c r="D25" i="21"/>
  <c r="C25" i="21"/>
  <c r="D24" i="21"/>
  <c r="C24" i="21"/>
  <c r="D23" i="21"/>
  <c r="C23" i="21"/>
  <c r="D22" i="21"/>
  <c r="C22" i="2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D13" i="21"/>
  <c r="C13" i="21"/>
  <c r="D12" i="21"/>
  <c r="C12" i="21"/>
  <c r="D11" i="21"/>
  <c r="C11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D3" i="21"/>
  <c r="C3" i="21"/>
  <c r="D98" i="22"/>
  <c r="C98" i="22"/>
  <c r="D97" i="22"/>
  <c r="C97" i="22"/>
  <c r="D96" i="22"/>
  <c r="C96" i="22"/>
  <c r="D95" i="22"/>
  <c r="C95" i="22"/>
  <c r="D94" i="22"/>
  <c r="C94" i="22"/>
  <c r="D93" i="22"/>
  <c r="C93" i="22"/>
  <c r="D92" i="22"/>
  <c r="C92" i="22"/>
  <c r="D91" i="22"/>
  <c r="C91" i="22"/>
  <c r="D90" i="22"/>
  <c r="C90" i="22"/>
  <c r="D89" i="22"/>
  <c r="C89" i="22"/>
  <c r="D88" i="22"/>
  <c r="C88" i="22"/>
  <c r="D87" i="22"/>
  <c r="C87" i="22"/>
  <c r="D86" i="22"/>
  <c r="C86" i="22"/>
  <c r="D85" i="22"/>
  <c r="C85" i="22"/>
  <c r="D84" i="22"/>
  <c r="C84" i="22"/>
  <c r="D83" i="22"/>
  <c r="C83" i="22"/>
  <c r="D82" i="22"/>
  <c r="C82" i="22"/>
  <c r="D81" i="22"/>
  <c r="C81" i="22"/>
  <c r="D80" i="22"/>
  <c r="C80" i="22"/>
  <c r="D79" i="22"/>
  <c r="C79" i="22"/>
  <c r="D78" i="22"/>
  <c r="C78" i="22"/>
  <c r="D77" i="22"/>
  <c r="C77" i="22"/>
  <c r="D76" i="22"/>
  <c r="C76" i="22"/>
  <c r="D75" i="22"/>
  <c r="C75" i="22"/>
  <c r="D74" i="22"/>
  <c r="C74" i="22"/>
  <c r="D73" i="22"/>
  <c r="C73" i="22"/>
  <c r="D72" i="22"/>
  <c r="C72" i="22"/>
  <c r="D71" i="22"/>
  <c r="C71" i="22"/>
  <c r="D70" i="22"/>
  <c r="C70" i="22"/>
  <c r="D69" i="22"/>
  <c r="C69" i="22"/>
  <c r="D68" i="22"/>
  <c r="C68" i="22"/>
  <c r="D67" i="22"/>
  <c r="C67" i="22"/>
  <c r="D66" i="22"/>
  <c r="C66" i="22"/>
  <c r="D65" i="22"/>
  <c r="C65" i="22"/>
  <c r="D64" i="22"/>
  <c r="C64" i="22"/>
  <c r="D63" i="22"/>
  <c r="C63" i="22"/>
  <c r="D62" i="22"/>
  <c r="C62" i="22"/>
  <c r="D61" i="22"/>
  <c r="C61" i="22"/>
  <c r="D60" i="22"/>
  <c r="C60" i="22"/>
  <c r="D59" i="22"/>
  <c r="C59" i="22"/>
  <c r="D58" i="22"/>
  <c r="C58" i="22"/>
  <c r="D57" i="22"/>
  <c r="C57" i="22"/>
  <c r="D56" i="22"/>
  <c r="C56" i="22"/>
  <c r="D55" i="22"/>
  <c r="C55" i="22"/>
  <c r="D54" i="22"/>
  <c r="C54" i="22"/>
  <c r="D53" i="22"/>
  <c r="C53" i="22"/>
  <c r="D52" i="22"/>
  <c r="C52" i="22"/>
  <c r="D51" i="22"/>
  <c r="C51" i="22"/>
  <c r="D50" i="22"/>
  <c r="C50" i="22"/>
  <c r="D49" i="22"/>
  <c r="C49" i="22"/>
  <c r="D48" i="22"/>
  <c r="C48" i="22"/>
  <c r="D47" i="22"/>
  <c r="C47" i="22"/>
  <c r="D46" i="22"/>
  <c r="C46" i="22"/>
  <c r="D45" i="22"/>
  <c r="C45" i="22"/>
  <c r="D44" i="22"/>
  <c r="C44" i="22"/>
  <c r="D43" i="22"/>
  <c r="C43" i="22"/>
  <c r="D42" i="22"/>
  <c r="C42" i="22"/>
  <c r="D41" i="22"/>
  <c r="C41" i="22"/>
  <c r="D40" i="22"/>
  <c r="C40" i="22"/>
  <c r="D39" i="22"/>
  <c r="C39" i="22"/>
  <c r="D38" i="22"/>
  <c r="C38" i="22"/>
  <c r="D37" i="22"/>
  <c r="C37" i="22"/>
  <c r="D36" i="22"/>
  <c r="C36" i="22"/>
  <c r="D35" i="22"/>
  <c r="C35" i="22"/>
  <c r="D34" i="22"/>
  <c r="C34" i="22"/>
  <c r="D33" i="22"/>
  <c r="C33" i="22"/>
  <c r="D32" i="22"/>
  <c r="C32" i="22"/>
  <c r="D31" i="22"/>
  <c r="C31" i="22"/>
  <c r="D30" i="22"/>
  <c r="C30" i="22"/>
  <c r="D29" i="22"/>
  <c r="C29" i="22"/>
  <c r="D28" i="22"/>
  <c r="C28" i="22"/>
  <c r="D27" i="22"/>
  <c r="C27" i="22"/>
  <c r="D26" i="22"/>
  <c r="C26" i="22"/>
  <c r="D25" i="22"/>
  <c r="C25" i="22"/>
  <c r="D24" i="22"/>
  <c r="C24" i="22"/>
  <c r="D23" i="22"/>
  <c r="C23" i="22"/>
  <c r="D22" i="22"/>
  <c r="C22" i="22"/>
  <c r="D21" i="22"/>
  <c r="C21" i="22"/>
  <c r="D20" i="22"/>
  <c r="C20" i="22"/>
  <c r="D19" i="22"/>
  <c r="C19" i="22"/>
  <c r="D18" i="22"/>
  <c r="C18" i="22"/>
  <c r="D17" i="22"/>
  <c r="C17" i="22"/>
  <c r="D16" i="22"/>
  <c r="C16" i="22"/>
  <c r="D15" i="22"/>
  <c r="C15" i="22"/>
  <c r="D14" i="22"/>
  <c r="C14" i="22"/>
  <c r="D13" i="22"/>
  <c r="C13" i="22"/>
  <c r="D12" i="22"/>
  <c r="C12" i="22"/>
  <c r="D11" i="22"/>
  <c r="C11" i="22"/>
  <c r="D10" i="22"/>
  <c r="C10" i="22"/>
  <c r="D9" i="22"/>
  <c r="C9" i="22"/>
  <c r="D8" i="22"/>
  <c r="C8" i="22"/>
  <c r="D7" i="22"/>
  <c r="C7" i="22"/>
  <c r="D6" i="22"/>
  <c r="C6" i="22"/>
  <c r="D5" i="22"/>
  <c r="C5" i="22"/>
  <c r="D4" i="22"/>
  <c r="C4" i="22"/>
  <c r="D3" i="22"/>
  <c r="C3" i="22"/>
  <c r="D98" i="26"/>
  <c r="C98" i="26"/>
  <c r="D97" i="26"/>
  <c r="C97" i="26"/>
  <c r="D96" i="26"/>
  <c r="C96" i="26"/>
  <c r="D95" i="26"/>
  <c r="C95" i="26"/>
  <c r="D94" i="26"/>
  <c r="C94" i="26"/>
  <c r="D93" i="26"/>
  <c r="C93" i="26"/>
  <c r="D92" i="26"/>
  <c r="C92" i="26"/>
  <c r="D91" i="26"/>
  <c r="C91" i="26"/>
  <c r="D90" i="26"/>
  <c r="C90" i="26"/>
  <c r="D89" i="26"/>
  <c r="C89" i="26"/>
  <c r="D88" i="26"/>
  <c r="C88" i="26"/>
  <c r="D87" i="26"/>
  <c r="C87" i="26"/>
  <c r="D86" i="26"/>
  <c r="C86" i="26"/>
  <c r="D85" i="26"/>
  <c r="C85" i="26"/>
  <c r="D84" i="26"/>
  <c r="C84" i="26"/>
  <c r="D83" i="26"/>
  <c r="C83" i="26"/>
  <c r="D82" i="26"/>
  <c r="C82" i="26"/>
  <c r="D81" i="26"/>
  <c r="C81" i="26"/>
  <c r="D80" i="26"/>
  <c r="C80" i="26"/>
  <c r="D79" i="26"/>
  <c r="C79" i="26"/>
  <c r="D78" i="26"/>
  <c r="C78" i="26"/>
  <c r="D77" i="26"/>
  <c r="C77" i="26"/>
  <c r="D76" i="26"/>
  <c r="C76" i="26"/>
  <c r="D75" i="26"/>
  <c r="C75" i="26"/>
  <c r="D74" i="26"/>
  <c r="C74" i="26"/>
  <c r="D73" i="26"/>
  <c r="C73" i="26"/>
  <c r="D72" i="26"/>
  <c r="C72" i="26"/>
  <c r="D71" i="26"/>
  <c r="C71" i="26"/>
  <c r="D70" i="26"/>
  <c r="C70" i="26"/>
  <c r="D69" i="26"/>
  <c r="C69" i="26"/>
  <c r="D68" i="26"/>
  <c r="C68" i="26"/>
  <c r="D67" i="26"/>
  <c r="C67" i="26"/>
  <c r="D66" i="26"/>
  <c r="C66" i="26"/>
  <c r="D65" i="26"/>
  <c r="C65" i="26"/>
  <c r="D64" i="26"/>
  <c r="C64" i="26"/>
  <c r="D63" i="26"/>
  <c r="C63" i="26"/>
  <c r="D62" i="26"/>
  <c r="C62" i="26"/>
  <c r="D61" i="26"/>
  <c r="C61" i="26"/>
  <c r="D60" i="26"/>
  <c r="C60" i="26"/>
  <c r="D59" i="26"/>
  <c r="C59" i="26"/>
  <c r="D58" i="26"/>
  <c r="C58" i="26"/>
  <c r="D57" i="26"/>
  <c r="C57" i="26"/>
  <c r="D56" i="26"/>
  <c r="C56" i="26"/>
  <c r="D55" i="26"/>
  <c r="C55" i="26"/>
  <c r="D54" i="26"/>
  <c r="C54" i="26"/>
  <c r="D53" i="26"/>
  <c r="C53" i="26"/>
  <c r="D52" i="26"/>
  <c r="C52" i="26"/>
  <c r="D51" i="26"/>
  <c r="C51" i="26"/>
  <c r="D50" i="26"/>
  <c r="C50" i="26"/>
  <c r="D49" i="26"/>
  <c r="C49" i="26"/>
  <c r="D48" i="26"/>
  <c r="C48" i="26"/>
  <c r="D47" i="26"/>
  <c r="C47" i="26"/>
  <c r="D46" i="26"/>
  <c r="C46" i="26"/>
  <c r="D45" i="26"/>
  <c r="C45" i="26"/>
  <c r="D44" i="26"/>
  <c r="C44" i="26"/>
  <c r="D43" i="26"/>
  <c r="C43" i="26"/>
  <c r="D42" i="26"/>
  <c r="C42" i="26"/>
  <c r="D41" i="26"/>
  <c r="C41" i="26"/>
  <c r="D40" i="26"/>
  <c r="C40" i="26"/>
  <c r="D39" i="26"/>
  <c r="C39" i="26"/>
  <c r="D38" i="26"/>
  <c r="C38" i="26"/>
  <c r="D37" i="26"/>
  <c r="C37" i="26"/>
  <c r="D36" i="26"/>
  <c r="C36" i="26"/>
  <c r="D35" i="26"/>
  <c r="C35" i="26"/>
  <c r="D34" i="26"/>
  <c r="C34" i="26"/>
  <c r="D33" i="26"/>
  <c r="C33" i="26"/>
  <c r="D32" i="26"/>
  <c r="C32" i="26"/>
  <c r="D31" i="26"/>
  <c r="C31" i="26"/>
  <c r="D30" i="26"/>
  <c r="C30" i="26"/>
  <c r="D29" i="26"/>
  <c r="C29" i="26"/>
  <c r="D28" i="26"/>
  <c r="C28" i="26"/>
  <c r="D27" i="26"/>
  <c r="C27" i="26"/>
  <c r="D26" i="26"/>
  <c r="C26" i="26"/>
  <c r="D25" i="26"/>
  <c r="C25" i="26"/>
  <c r="D24" i="26"/>
  <c r="C24" i="26"/>
  <c r="D23" i="26"/>
  <c r="C23" i="26"/>
  <c r="D22" i="26"/>
  <c r="C22" i="26"/>
  <c r="D21" i="26"/>
  <c r="C21" i="26"/>
  <c r="D20" i="26"/>
  <c r="C20" i="26"/>
  <c r="D19" i="26"/>
  <c r="C19" i="26"/>
  <c r="D18" i="26"/>
  <c r="C18" i="26"/>
  <c r="D17" i="26"/>
  <c r="C17" i="26"/>
  <c r="D16" i="26"/>
  <c r="C16" i="26"/>
  <c r="D15" i="26"/>
  <c r="C15" i="26"/>
  <c r="D14" i="26"/>
  <c r="C14" i="26"/>
  <c r="D13" i="26"/>
  <c r="C13" i="26"/>
  <c r="D12" i="26"/>
  <c r="C12" i="26"/>
  <c r="D11" i="26"/>
  <c r="C11" i="26"/>
  <c r="D10" i="26"/>
  <c r="C10" i="26"/>
  <c r="D9" i="26"/>
  <c r="C9" i="26"/>
  <c r="D8" i="26"/>
  <c r="C8" i="26"/>
  <c r="D7" i="26"/>
  <c r="C7" i="26"/>
  <c r="D6" i="26"/>
  <c r="C6" i="26"/>
  <c r="D5" i="26"/>
  <c r="C5" i="26"/>
  <c r="D4" i="26"/>
  <c r="C4" i="26"/>
  <c r="D3" i="26"/>
  <c r="C3" i="26"/>
  <c r="D98" i="23"/>
  <c r="C98" i="23"/>
  <c r="D97" i="23"/>
  <c r="C97" i="23"/>
  <c r="D96" i="23"/>
  <c r="C96" i="23"/>
  <c r="D95" i="23"/>
  <c r="C95" i="23"/>
  <c r="D94" i="23"/>
  <c r="C94" i="23"/>
  <c r="D93" i="23"/>
  <c r="C93" i="23"/>
  <c r="D92" i="23"/>
  <c r="C92" i="23"/>
  <c r="D91" i="23"/>
  <c r="C91" i="23"/>
  <c r="D90" i="23"/>
  <c r="C90" i="23"/>
  <c r="D89" i="23"/>
  <c r="C89" i="23"/>
  <c r="D88" i="23"/>
  <c r="C88" i="23"/>
  <c r="D87" i="23"/>
  <c r="C87" i="23"/>
  <c r="D86" i="23"/>
  <c r="C86" i="23"/>
  <c r="D85" i="23"/>
  <c r="C85" i="23"/>
  <c r="D84" i="23"/>
  <c r="C84" i="23"/>
  <c r="D83" i="23"/>
  <c r="C83" i="23"/>
  <c r="D82" i="23"/>
  <c r="C82" i="23"/>
  <c r="D81" i="23"/>
  <c r="C81" i="23"/>
  <c r="D80" i="23"/>
  <c r="C80" i="23"/>
  <c r="D79" i="23"/>
  <c r="C79" i="23"/>
  <c r="D78" i="23"/>
  <c r="C78" i="23"/>
  <c r="D77" i="23"/>
  <c r="C77" i="23"/>
  <c r="D76" i="23"/>
  <c r="C76" i="23"/>
  <c r="D75" i="23"/>
  <c r="C75" i="23"/>
  <c r="D74" i="23"/>
  <c r="C74" i="23"/>
  <c r="D73" i="23"/>
  <c r="C73" i="23"/>
  <c r="D72" i="23"/>
  <c r="C72" i="23"/>
  <c r="D71" i="23"/>
  <c r="C71" i="23"/>
  <c r="D70" i="23"/>
  <c r="C70" i="23"/>
  <c r="D69" i="23"/>
  <c r="C69" i="23"/>
  <c r="D68" i="23"/>
  <c r="C68" i="23"/>
  <c r="D67" i="23"/>
  <c r="C67" i="23"/>
  <c r="D66" i="23"/>
  <c r="C66" i="23"/>
  <c r="D65" i="23"/>
  <c r="C65" i="23"/>
  <c r="D64" i="23"/>
  <c r="C64" i="23"/>
  <c r="D63" i="23"/>
  <c r="C63" i="23"/>
  <c r="D62" i="23"/>
  <c r="C62" i="23"/>
  <c r="D61" i="23"/>
  <c r="C61" i="23"/>
  <c r="D60" i="23"/>
  <c r="C60" i="23"/>
  <c r="D59" i="23"/>
  <c r="C59" i="23"/>
  <c r="D58" i="23"/>
  <c r="C58" i="23"/>
  <c r="D57" i="23"/>
  <c r="C57" i="23"/>
  <c r="D56" i="23"/>
  <c r="C56" i="23"/>
  <c r="D55" i="23"/>
  <c r="C55" i="23"/>
  <c r="D54" i="23"/>
  <c r="C54" i="23"/>
  <c r="D53" i="23"/>
  <c r="C53" i="23"/>
  <c r="D52" i="23"/>
  <c r="C52" i="23"/>
  <c r="D51" i="23"/>
  <c r="C51" i="23"/>
  <c r="D50" i="23"/>
  <c r="C50" i="23"/>
  <c r="D49" i="23"/>
  <c r="C49" i="23"/>
  <c r="D48" i="23"/>
  <c r="C48" i="23"/>
  <c r="D47" i="23"/>
  <c r="C47" i="23"/>
  <c r="D46" i="23"/>
  <c r="C46" i="23"/>
  <c r="D45" i="23"/>
  <c r="C45" i="23"/>
  <c r="D44" i="23"/>
  <c r="C44" i="23"/>
  <c r="D43" i="23"/>
  <c r="C43" i="23"/>
  <c r="D42" i="23"/>
  <c r="C42" i="23"/>
  <c r="D41" i="23"/>
  <c r="C41" i="23"/>
  <c r="D40" i="23"/>
  <c r="C40" i="23"/>
  <c r="D39" i="23"/>
  <c r="C39" i="23"/>
  <c r="D38" i="23"/>
  <c r="C38" i="23"/>
  <c r="D37" i="23"/>
  <c r="C37" i="23"/>
  <c r="D36" i="23"/>
  <c r="C36" i="23"/>
  <c r="D35" i="23"/>
  <c r="C35" i="23"/>
  <c r="D34" i="23"/>
  <c r="C34" i="23"/>
  <c r="D33" i="23"/>
  <c r="C33" i="23"/>
  <c r="D32" i="23"/>
  <c r="C32" i="23"/>
  <c r="D31" i="23"/>
  <c r="C31" i="23"/>
  <c r="D30" i="23"/>
  <c r="C30" i="23"/>
  <c r="D29" i="23"/>
  <c r="C29" i="23"/>
  <c r="D28" i="23"/>
  <c r="C28" i="23"/>
  <c r="D27" i="23"/>
  <c r="C27" i="23"/>
  <c r="D26" i="23"/>
  <c r="C26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D16" i="23"/>
  <c r="C16" i="23"/>
  <c r="D15" i="23"/>
  <c r="C15" i="23"/>
  <c r="D14" i="23"/>
  <c r="C14" i="23"/>
  <c r="D13" i="23"/>
  <c r="C13" i="23"/>
  <c r="D12" i="23"/>
  <c r="C12" i="23"/>
  <c r="D11" i="23"/>
  <c r="C11" i="23"/>
  <c r="D10" i="23"/>
  <c r="C10" i="23"/>
  <c r="D9" i="23"/>
  <c r="C9" i="23"/>
  <c r="D8" i="23"/>
  <c r="C8" i="23"/>
  <c r="D7" i="23"/>
  <c r="C7" i="23"/>
  <c r="D6" i="23"/>
  <c r="C6" i="23"/>
  <c r="D5" i="23"/>
  <c r="C5" i="23"/>
  <c r="D4" i="23"/>
  <c r="C4" i="23"/>
  <c r="D3" i="23"/>
  <c r="C3" i="23"/>
  <c r="D98" i="27"/>
  <c r="C98" i="27"/>
  <c r="D97" i="27"/>
  <c r="C97" i="27"/>
  <c r="D96" i="27"/>
  <c r="C96" i="27"/>
  <c r="D95" i="27"/>
  <c r="C95" i="27"/>
  <c r="D94" i="27"/>
  <c r="C94" i="27"/>
  <c r="D93" i="27"/>
  <c r="C93" i="27"/>
  <c r="D92" i="27"/>
  <c r="C92" i="27"/>
  <c r="D91" i="27"/>
  <c r="C91" i="27"/>
  <c r="D90" i="27"/>
  <c r="C90" i="27"/>
  <c r="D89" i="27"/>
  <c r="C89" i="27"/>
  <c r="D88" i="27"/>
  <c r="C88" i="27"/>
  <c r="D87" i="27"/>
  <c r="C87" i="27"/>
  <c r="D86" i="27"/>
  <c r="C86" i="27"/>
  <c r="D85" i="27"/>
  <c r="C85" i="27"/>
  <c r="D84" i="27"/>
  <c r="C84" i="27"/>
  <c r="D83" i="27"/>
  <c r="C83" i="27"/>
  <c r="D82" i="27"/>
  <c r="C82" i="27"/>
  <c r="D81" i="27"/>
  <c r="C81" i="27"/>
  <c r="D80" i="27"/>
  <c r="C80" i="27"/>
  <c r="D79" i="27"/>
  <c r="C79" i="27"/>
  <c r="D78" i="27"/>
  <c r="C78" i="27"/>
  <c r="D77" i="27"/>
  <c r="C77" i="27"/>
  <c r="D76" i="27"/>
  <c r="C76" i="27"/>
  <c r="D75" i="27"/>
  <c r="C75" i="27"/>
  <c r="D74" i="27"/>
  <c r="C74" i="27"/>
  <c r="D73" i="27"/>
  <c r="C73" i="27"/>
  <c r="D72" i="27"/>
  <c r="C72" i="27"/>
  <c r="D71" i="27"/>
  <c r="C71" i="27"/>
  <c r="D70" i="27"/>
  <c r="C70" i="27"/>
  <c r="D69" i="27"/>
  <c r="C69" i="27"/>
  <c r="D68" i="27"/>
  <c r="C68" i="27"/>
  <c r="D67" i="27"/>
  <c r="C67" i="27"/>
  <c r="D66" i="27"/>
  <c r="C66" i="27"/>
  <c r="D65" i="27"/>
  <c r="C65" i="27"/>
  <c r="D64" i="27"/>
  <c r="C64" i="27"/>
  <c r="D63" i="27"/>
  <c r="C63" i="27"/>
  <c r="D62" i="27"/>
  <c r="C62" i="27"/>
  <c r="D61" i="27"/>
  <c r="C61" i="27"/>
  <c r="D60" i="27"/>
  <c r="C60" i="27"/>
  <c r="D59" i="27"/>
  <c r="C59" i="27"/>
  <c r="D58" i="27"/>
  <c r="C58" i="27"/>
  <c r="D57" i="27"/>
  <c r="C57" i="27"/>
  <c r="D56" i="27"/>
  <c r="C56" i="27"/>
  <c r="D55" i="27"/>
  <c r="C55" i="27"/>
  <c r="D54" i="27"/>
  <c r="C54" i="27"/>
  <c r="D53" i="27"/>
  <c r="C53" i="27"/>
  <c r="D52" i="27"/>
  <c r="C52" i="27"/>
  <c r="D51" i="27"/>
  <c r="C51" i="27"/>
  <c r="D50" i="27"/>
  <c r="C50" i="27"/>
  <c r="D49" i="27"/>
  <c r="C49" i="27"/>
  <c r="D48" i="27"/>
  <c r="C48" i="27"/>
  <c r="D47" i="27"/>
  <c r="C47" i="27"/>
  <c r="D46" i="27"/>
  <c r="C46" i="27"/>
  <c r="D45" i="27"/>
  <c r="C45" i="27"/>
  <c r="D44" i="27"/>
  <c r="C44" i="27"/>
  <c r="D43" i="27"/>
  <c r="C43" i="27"/>
  <c r="D42" i="27"/>
  <c r="C42" i="27"/>
  <c r="D41" i="27"/>
  <c r="C41" i="27"/>
  <c r="D40" i="27"/>
  <c r="C40" i="27"/>
  <c r="D39" i="27"/>
  <c r="C39" i="27"/>
  <c r="D38" i="27"/>
  <c r="C38" i="27"/>
  <c r="D37" i="27"/>
  <c r="C37" i="27"/>
  <c r="D36" i="27"/>
  <c r="C36" i="27"/>
  <c r="D35" i="27"/>
  <c r="C35" i="27"/>
  <c r="D34" i="27"/>
  <c r="C34" i="27"/>
  <c r="D33" i="27"/>
  <c r="C33" i="27"/>
  <c r="D32" i="27"/>
  <c r="C32" i="27"/>
  <c r="D31" i="27"/>
  <c r="C31" i="27"/>
  <c r="D30" i="27"/>
  <c r="C30" i="27"/>
  <c r="D29" i="27"/>
  <c r="C29" i="27"/>
  <c r="D28" i="27"/>
  <c r="C28" i="27"/>
  <c r="D27" i="27"/>
  <c r="C27" i="27"/>
  <c r="D26" i="27"/>
  <c r="C26" i="27"/>
  <c r="D25" i="27"/>
  <c r="C25" i="27"/>
  <c r="D24" i="27"/>
  <c r="C24" i="27"/>
  <c r="D23" i="27"/>
  <c r="C23" i="27"/>
  <c r="D22" i="27"/>
  <c r="C22" i="27"/>
  <c r="D21" i="27"/>
  <c r="C21" i="27"/>
  <c r="D20" i="27"/>
  <c r="C20" i="27"/>
  <c r="D19" i="27"/>
  <c r="C19" i="27"/>
  <c r="D18" i="27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D7" i="27"/>
  <c r="C7" i="27"/>
  <c r="D6" i="27"/>
  <c r="C6" i="27"/>
  <c r="D5" i="27"/>
  <c r="C5" i="27"/>
  <c r="D4" i="27"/>
  <c r="C4" i="27"/>
  <c r="D3" i="27"/>
  <c r="C3" i="27"/>
  <c r="D98" i="28"/>
  <c r="C98" i="28"/>
  <c r="D97" i="28"/>
  <c r="C97" i="28"/>
  <c r="D96" i="28"/>
  <c r="C96" i="28"/>
  <c r="D95" i="28"/>
  <c r="C95" i="28"/>
  <c r="D94" i="28"/>
  <c r="C94" i="28"/>
  <c r="D93" i="28"/>
  <c r="C93" i="28"/>
  <c r="D92" i="28"/>
  <c r="C92" i="28"/>
  <c r="D91" i="28"/>
  <c r="C91" i="28"/>
  <c r="D90" i="28"/>
  <c r="C90" i="28"/>
  <c r="D89" i="28"/>
  <c r="C89" i="28"/>
  <c r="D88" i="28"/>
  <c r="C88" i="28"/>
  <c r="D87" i="28"/>
  <c r="C87" i="28"/>
  <c r="D86" i="28"/>
  <c r="C86" i="28"/>
  <c r="D85" i="28"/>
  <c r="C85" i="28"/>
  <c r="D84" i="28"/>
  <c r="C84" i="28"/>
  <c r="D83" i="28"/>
  <c r="C83" i="28"/>
  <c r="D82" i="28"/>
  <c r="C82" i="28"/>
  <c r="D81" i="28"/>
  <c r="C81" i="28"/>
  <c r="D80" i="28"/>
  <c r="C80" i="28"/>
  <c r="D79" i="28"/>
  <c r="C79" i="28"/>
  <c r="D78" i="28"/>
  <c r="C78" i="28"/>
  <c r="D77" i="28"/>
  <c r="C77" i="28"/>
  <c r="D76" i="28"/>
  <c r="C76" i="28"/>
  <c r="D75" i="28"/>
  <c r="C75" i="28"/>
  <c r="D74" i="28"/>
  <c r="C74" i="28"/>
  <c r="D73" i="28"/>
  <c r="C73" i="28"/>
  <c r="D72" i="28"/>
  <c r="C72" i="28"/>
  <c r="D71" i="28"/>
  <c r="C71" i="28"/>
  <c r="D70" i="28"/>
  <c r="C70" i="28"/>
  <c r="D69" i="28"/>
  <c r="C69" i="28"/>
  <c r="D68" i="28"/>
  <c r="C68" i="28"/>
  <c r="D67" i="28"/>
  <c r="C67" i="28"/>
  <c r="D66" i="28"/>
  <c r="C66" i="28"/>
  <c r="D65" i="28"/>
  <c r="C65" i="28"/>
  <c r="D64" i="28"/>
  <c r="C64" i="28"/>
  <c r="D63" i="28"/>
  <c r="C63" i="28"/>
  <c r="D62" i="28"/>
  <c r="C62" i="28"/>
  <c r="D61" i="28"/>
  <c r="C61" i="28"/>
  <c r="D60" i="28"/>
  <c r="C60" i="28"/>
  <c r="D59" i="28"/>
  <c r="C59" i="28"/>
  <c r="D58" i="28"/>
  <c r="C58" i="28"/>
  <c r="D57" i="28"/>
  <c r="C57" i="28"/>
  <c r="D56" i="28"/>
  <c r="C56" i="28"/>
  <c r="D55" i="28"/>
  <c r="C55" i="28"/>
  <c r="D54" i="28"/>
  <c r="C54" i="28"/>
  <c r="D53" i="28"/>
  <c r="C53" i="28"/>
  <c r="D52" i="28"/>
  <c r="C52" i="28"/>
  <c r="D51" i="28"/>
  <c r="C51" i="28"/>
  <c r="D50" i="28"/>
  <c r="C50" i="28"/>
  <c r="D49" i="28"/>
  <c r="C49" i="28"/>
  <c r="D48" i="28"/>
  <c r="C48" i="28"/>
  <c r="D47" i="28"/>
  <c r="C47" i="28"/>
  <c r="D46" i="28"/>
  <c r="C46" i="28"/>
  <c r="D45" i="28"/>
  <c r="C45" i="28"/>
  <c r="D44" i="28"/>
  <c r="C44" i="28"/>
  <c r="D43" i="28"/>
  <c r="C43" i="28"/>
  <c r="D42" i="28"/>
  <c r="C42" i="28"/>
  <c r="D41" i="28"/>
  <c r="C41" i="28"/>
  <c r="D40" i="28"/>
  <c r="C40" i="28"/>
  <c r="D39" i="28"/>
  <c r="C39" i="28"/>
  <c r="D38" i="28"/>
  <c r="C38" i="28"/>
  <c r="D37" i="28"/>
  <c r="C37" i="28"/>
  <c r="D36" i="28"/>
  <c r="C36" i="28"/>
  <c r="D35" i="28"/>
  <c r="C35" i="28"/>
  <c r="D34" i="28"/>
  <c r="C34" i="28"/>
  <c r="D33" i="28"/>
  <c r="C33" i="28"/>
  <c r="D32" i="28"/>
  <c r="C32" i="28"/>
  <c r="D31" i="28"/>
  <c r="C31" i="28"/>
  <c r="D30" i="28"/>
  <c r="C30" i="28"/>
  <c r="D29" i="28"/>
  <c r="C29" i="28"/>
  <c r="D28" i="28"/>
  <c r="C28" i="28"/>
  <c r="D27" i="28"/>
  <c r="C27" i="28"/>
  <c r="D26" i="28"/>
  <c r="C26" i="28"/>
  <c r="D25" i="28"/>
  <c r="C25" i="28"/>
  <c r="D24" i="28"/>
  <c r="C24" i="28"/>
  <c r="D23" i="28"/>
  <c r="C23" i="28"/>
  <c r="D22" i="28"/>
  <c r="C22" i="28"/>
  <c r="D21" i="28"/>
  <c r="C21" i="28"/>
  <c r="D20" i="28"/>
  <c r="C20" i="28"/>
  <c r="D19" i="28"/>
  <c r="C19" i="28"/>
  <c r="D18" i="28"/>
  <c r="C18" i="28"/>
  <c r="D17" i="28"/>
  <c r="C17" i="28"/>
  <c r="D16" i="28"/>
  <c r="C16" i="28"/>
  <c r="D15" i="28"/>
  <c r="C15" i="28"/>
  <c r="D14" i="28"/>
  <c r="C14" i="28"/>
  <c r="D13" i="28"/>
  <c r="C13" i="28"/>
  <c r="D12" i="28"/>
  <c r="C12" i="28"/>
  <c r="D11" i="28"/>
  <c r="C11" i="28"/>
  <c r="D10" i="28"/>
  <c r="C10" i="28"/>
  <c r="D9" i="28"/>
  <c r="C9" i="28"/>
  <c r="D8" i="28"/>
  <c r="C8" i="28"/>
  <c r="D7" i="28"/>
  <c r="C7" i="28"/>
  <c r="D6" i="28"/>
  <c r="C6" i="28"/>
  <c r="D5" i="28"/>
  <c r="C5" i="28"/>
  <c r="D4" i="28"/>
  <c r="C4" i="28"/>
  <c r="D3" i="28"/>
  <c r="C3" i="28"/>
  <c r="C217" i="20" l="1"/>
  <c r="D217" i="20" s="1"/>
  <c r="H39" i="9"/>
  <c r="P16" i="9"/>
  <c r="G16" i="9"/>
  <c r="B76" i="37"/>
  <c r="C216" i="27"/>
  <c r="D216" i="27" s="1"/>
  <c r="C213" i="23"/>
  <c r="D213" i="23" s="1"/>
  <c r="C216" i="23"/>
  <c r="D216" i="23" s="1"/>
  <c r="E217" i="23"/>
  <c r="C214" i="26"/>
  <c r="D214" i="26" s="1"/>
  <c r="C68" i="37"/>
  <c r="I31" i="9"/>
  <c r="I39" i="9"/>
  <c r="C76" i="37"/>
  <c r="C211" i="20"/>
  <c r="D211" i="20" s="1"/>
  <c r="C214" i="20"/>
  <c r="D214" i="20" s="1"/>
  <c r="C219" i="20"/>
  <c r="D219" i="20" s="1"/>
  <c r="I76" i="37"/>
  <c r="O39" i="9"/>
  <c r="E211" i="27"/>
  <c r="C213" i="27"/>
  <c r="D213" i="27" s="1"/>
  <c r="E189" i="37"/>
  <c r="G76" i="37"/>
  <c r="E169" i="37" s="1"/>
  <c r="E34" i="18"/>
  <c r="M39" i="9"/>
  <c r="E213" i="23"/>
  <c r="E216" i="23"/>
  <c r="C188" i="37"/>
  <c r="E75" i="37"/>
  <c r="C168" i="37" s="1"/>
  <c r="C33" i="18"/>
  <c r="K38" i="9"/>
  <c r="E219" i="23"/>
  <c r="F75" i="37"/>
  <c r="D168" i="37" s="1"/>
  <c r="D188" i="37" s="1"/>
  <c r="L38" i="9"/>
  <c r="D33" i="18"/>
  <c r="E216" i="22"/>
  <c r="E221" i="22"/>
  <c r="B34" i="18"/>
  <c r="H34" i="18"/>
  <c r="D76" i="37"/>
  <c r="B169" i="37" s="1"/>
  <c r="J39" i="9"/>
  <c r="C211" i="21"/>
  <c r="D211" i="21" s="1"/>
  <c r="C213" i="21"/>
  <c r="D213" i="21" s="1"/>
  <c r="C215" i="21"/>
  <c r="D215" i="21" s="1"/>
  <c r="C217" i="21"/>
  <c r="D217" i="21" s="1"/>
  <c r="C219" i="21"/>
  <c r="D219" i="21" s="1"/>
  <c r="E216" i="20"/>
  <c r="B75" i="37"/>
  <c r="P15" i="9"/>
  <c r="H38" i="9"/>
  <c r="G15" i="9"/>
  <c r="C219" i="28"/>
  <c r="D219" i="28" s="1"/>
  <c r="E215" i="27"/>
  <c r="C219" i="27"/>
  <c r="D219" i="27" s="1"/>
  <c r="E212" i="23"/>
  <c r="E215" i="23"/>
  <c r="C218" i="23"/>
  <c r="D218" i="23" s="1"/>
  <c r="C212" i="26"/>
  <c r="D212" i="26" s="1"/>
  <c r="E213" i="26"/>
  <c r="C218" i="26"/>
  <c r="D218" i="26" s="1"/>
  <c r="C219" i="22"/>
  <c r="D219" i="22" s="1"/>
  <c r="C69" i="37"/>
  <c r="I32" i="9"/>
  <c r="C75" i="37"/>
  <c r="I38" i="9"/>
  <c r="E213" i="20"/>
  <c r="O38" i="9"/>
  <c r="I75" i="37"/>
  <c r="M38" i="9"/>
  <c r="G75" i="37"/>
  <c r="E168" i="37" s="1"/>
  <c r="E188" i="37" s="1"/>
  <c r="E33" i="18"/>
  <c r="E219" i="27"/>
  <c r="E211" i="23"/>
  <c r="K39" i="9"/>
  <c r="E76" i="37"/>
  <c r="C169" i="37" s="1"/>
  <c r="C189" i="37" s="1"/>
  <c r="C34" i="18"/>
  <c r="D189" i="37"/>
  <c r="F76" i="37"/>
  <c r="D169" i="37" s="1"/>
  <c r="L39" i="9"/>
  <c r="L57" i="9" s="1"/>
  <c r="D34" i="18"/>
  <c r="B33" i="18"/>
  <c r="H33" i="18"/>
  <c r="D75" i="37"/>
  <c r="B168" i="37" s="1"/>
  <c r="J38" i="9"/>
  <c r="E221" i="21"/>
  <c r="I7" i="9"/>
  <c r="C67" i="37" s="1"/>
  <c r="C212" i="21"/>
  <c r="D212" i="21" s="1"/>
  <c r="I3" i="28"/>
  <c r="I5" i="28"/>
  <c r="I7" i="28"/>
  <c r="I9" i="28"/>
  <c r="I11" i="28"/>
  <c r="I13" i="28"/>
  <c r="I15" i="28"/>
  <c r="I17" i="28"/>
  <c r="I19" i="28"/>
  <c r="I21" i="28"/>
  <c r="I23" i="28"/>
  <c r="I25" i="28"/>
  <c r="I27" i="28"/>
  <c r="I29" i="28"/>
  <c r="I31" i="28"/>
  <c r="I33" i="28"/>
  <c r="I35" i="28"/>
  <c r="I37" i="28"/>
  <c r="I39" i="28"/>
  <c r="I41" i="28"/>
  <c r="I43" i="28"/>
  <c r="I45" i="28"/>
  <c r="I47" i="28"/>
  <c r="I49" i="28"/>
  <c r="I51" i="28"/>
  <c r="I53" i="28"/>
  <c r="I55" i="28"/>
  <c r="I57" i="28"/>
  <c r="I59" i="28"/>
  <c r="I61" i="28"/>
  <c r="I63" i="28"/>
  <c r="I65" i="28"/>
  <c r="I67" i="28"/>
  <c r="I69" i="28"/>
  <c r="I71" i="28"/>
  <c r="I73" i="28"/>
  <c r="I75" i="28"/>
  <c r="I77" i="28"/>
  <c r="I79" i="28"/>
  <c r="I81" i="28"/>
  <c r="I83" i="28"/>
  <c r="I85" i="28"/>
  <c r="I87" i="28"/>
  <c r="I89" i="28"/>
  <c r="I91" i="28"/>
  <c r="I93" i="28"/>
  <c r="I95" i="28"/>
  <c r="I97" i="28"/>
  <c r="I3" i="27"/>
  <c r="I5" i="27"/>
  <c r="I7" i="27"/>
  <c r="I9" i="27"/>
  <c r="I11" i="27"/>
  <c r="I13" i="27"/>
  <c r="I15" i="27"/>
  <c r="I17" i="27"/>
  <c r="I19" i="27"/>
  <c r="I21" i="27"/>
  <c r="I23" i="27"/>
  <c r="I25" i="27"/>
  <c r="I27" i="27"/>
  <c r="I29" i="27"/>
  <c r="I31" i="27"/>
  <c r="I33" i="27"/>
  <c r="I35" i="27"/>
  <c r="I37" i="27"/>
  <c r="I39" i="27"/>
  <c r="I41" i="27"/>
  <c r="I43" i="27"/>
  <c r="I45" i="27"/>
  <c r="I47" i="27"/>
  <c r="I49" i="27"/>
  <c r="I51" i="27"/>
  <c r="I53" i="27"/>
  <c r="I55" i="27"/>
  <c r="I57" i="27"/>
  <c r="I59" i="27"/>
  <c r="I61" i="27"/>
  <c r="I63" i="27"/>
  <c r="I4" i="27"/>
  <c r="I6" i="27"/>
  <c r="I8" i="27"/>
  <c r="I10" i="27"/>
  <c r="I12" i="27"/>
  <c r="I14" i="27"/>
  <c r="I16" i="27"/>
  <c r="I18" i="27"/>
  <c r="I20" i="27"/>
  <c r="I22" i="27"/>
  <c r="I24" i="27"/>
  <c r="I26" i="27"/>
  <c r="I28" i="27"/>
  <c r="I30" i="27"/>
  <c r="I32" i="27"/>
  <c r="I34" i="27"/>
  <c r="I36" i="27"/>
  <c r="I38" i="27"/>
  <c r="I40" i="27"/>
  <c r="I42" i="27"/>
  <c r="I44" i="27"/>
  <c r="I46" i="27"/>
  <c r="I48" i="27"/>
  <c r="I50" i="27"/>
  <c r="I52" i="27"/>
  <c r="I54" i="27"/>
  <c r="I56" i="27"/>
  <c r="I58" i="27"/>
  <c r="I60" i="27"/>
  <c r="I62" i="27"/>
  <c r="I65" i="27"/>
  <c r="I67" i="27"/>
  <c r="I69" i="27"/>
  <c r="I71" i="27"/>
  <c r="I73" i="27"/>
  <c r="I75" i="27"/>
  <c r="I77" i="27"/>
  <c r="I79" i="27"/>
  <c r="I81" i="27"/>
  <c r="I83" i="27"/>
  <c r="I85" i="27"/>
  <c r="I87" i="27"/>
  <c r="I89" i="27"/>
  <c r="I91" i="27"/>
  <c r="I93" i="27"/>
  <c r="I95" i="27"/>
  <c r="I97" i="27"/>
  <c r="I3" i="23"/>
  <c r="I5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3" i="26"/>
  <c r="I5" i="26"/>
  <c r="I7" i="26"/>
  <c r="I9" i="26"/>
  <c r="I11" i="26"/>
  <c r="I13" i="26"/>
  <c r="I15" i="26"/>
  <c r="I17" i="26"/>
  <c r="I19" i="26"/>
  <c r="I21" i="26"/>
  <c r="I23" i="26"/>
  <c r="I64" i="27"/>
  <c r="I66" i="27"/>
  <c r="I68" i="27"/>
  <c r="I70" i="27"/>
  <c r="I72" i="27"/>
  <c r="I74" i="27"/>
  <c r="I76" i="27"/>
  <c r="I78" i="27"/>
  <c r="I80" i="27"/>
  <c r="I82" i="27"/>
  <c r="I84" i="27"/>
  <c r="I86" i="27"/>
  <c r="I88" i="27"/>
  <c r="I90" i="27"/>
  <c r="I92" i="27"/>
  <c r="I94" i="27"/>
  <c r="I96" i="27"/>
  <c r="I98" i="27"/>
  <c r="I4" i="23"/>
  <c r="I6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4" i="26"/>
  <c r="I6" i="26"/>
  <c r="I8" i="26"/>
  <c r="I10" i="26"/>
  <c r="I12" i="26"/>
  <c r="I14" i="26"/>
  <c r="I16" i="26"/>
  <c r="I18" i="26"/>
  <c r="I20" i="26"/>
  <c r="I22" i="26"/>
  <c r="I24" i="26"/>
  <c r="I26" i="26"/>
  <c r="I28" i="26"/>
  <c r="I30" i="26"/>
  <c r="I32" i="26"/>
  <c r="I34" i="26"/>
  <c r="I36" i="26"/>
  <c r="I38" i="26"/>
  <c r="I40" i="26"/>
  <c r="I25" i="26"/>
  <c r="I27" i="26"/>
  <c r="I29" i="26"/>
  <c r="I31" i="26"/>
  <c r="I33" i="26"/>
  <c r="I35" i="26"/>
  <c r="I37" i="26"/>
  <c r="I39" i="26"/>
  <c r="I41" i="26"/>
  <c r="I43" i="26"/>
  <c r="I45" i="26"/>
  <c r="I47" i="26"/>
  <c r="I49" i="26"/>
  <c r="I51" i="26"/>
  <c r="I53" i="26"/>
  <c r="I55" i="26"/>
  <c r="I57" i="26"/>
  <c r="I59" i="26"/>
  <c r="I61" i="26"/>
  <c r="I63" i="26"/>
  <c r="I65" i="26"/>
  <c r="I67" i="26"/>
  <c r="I69" i="26"/>
  <c r="I71" i="26"/>
  <c r="I73" i="26"/>
  <c r="I75" i="26"/>
  <c r="I77" i="26"/>
  <c r="I79" i="26"/>
  <c r="I81" i="26"/>
  <c r="I83" i="26"/>
  <c r="I85" i="26"/>
  <c r="I87" i="26"/>
  <c r="I89" i="26"/>
  <c r="I91" i="26"/>
  <c r="I93" i="26"/>
  <c r="I95" i="26"/>
  <c r="I97" i="26"/>
  <c r="I3" i="22"/>
  <c r="I5" i="22"/>
  <c r="I7" i="22"/>
  <c r="I9" i="22"/>
  <c r="I11" i="22"/>
  <c r="I13" i="22"/>
  <c r="I15" i="22"/>
  <c r="I17" i="22"/>
  <c r="I19" i="22"/>
  <c r="I21" i="22"/>
  <c r="I23" i="22"/>
  <c r="I25" i="22"/>
  <c r="I27" i="22"/>
  <c r="I29" i="22"/>
  <c r="I31" i="22"/>
  <c r="I33" i="22"/>
  <c r="I35" i="22"/>
  <c r="I37" i="22"/>
  <c r="I39" i="22"/>
  <c r="I41" i="22"/>
  <c r="I43" i="22"/>
  <c r="I45" i="22"/>
  <c r="I47" i="22"/>
  <c r="I49" i="22"/>
  <c r="I51" i="22"/>
  <c r="I53" i="22"/>
  <c r="I55" i="22"/>
  <c r="I57" i="22"/>
  <c r="I59" i="22"/>
  <c r="I61" i="22"/>
  <c r="I63" i="22"/>
  <c r="I65" i="22"/>
  <c r="I67" i="22"/>
  <c r="I69" i="22"/>
  <c r="I71" i="22"/>
  <c r="I73" i="22"/>
  <c r="I75" i="22"/>
  <c r="I77" i="22"/>
  <c r="I79" i="22"/>
  <c r="I81" i="22"/>
  <c r="I83" i="22"/>
  <c r="I85" i="22"/>
  <c r="I87" i="22"/>
  <c r="I89" i="22"/>
  <c r="I91" i="22"/>
  <c r="I93" i="22"/>
  <c r="I95" i="22"/>
  <c r="I97" i="22"/>
  <c r="I42" i="26"/>
  <c r="I44" i="26"/>
  <c r="I46" i="26"/>
  <c r="I48" i="26"/>
  <c r="I50" i="26"/>
  <c r="I52" i="26"/>
  <c r="I54" i="26"/>
  <c r="I56" i="26"/>
  <c r="I58" i="26"/>
  <c r="I60" i="26"/>
  <c r="I62" i="26"/>
  <c r="I64" i="26"/>
  <c r="I66" i="26"/>
  <c r="I68" i="26"/>
  <c r="I70" i="26"/>
  <c r="I72" i="26"/>
  <c r="I74" i="26"/>
  <c r="I76" i="26"/>
  <c r="I78" i="26"/>
  <c r="I80" i="26"/>
  <c r="I82" i="26"/>
  <c r="I84" i="26"/>
  <c r="I86" i="26"/>
  <c r="I88" i="26"/>
  <c r="I90" i="26"/>
  <c r="I92" i="26"/>
  <c r="I94" i="26"/>
  <c r="I96" i="26"/>
  <c r="I98" i="26"/>
  <c r="I4" i="22"/>
  <c r="I6" i="22"/>
  <c r="I8" i="22"/>
  <c r="I10" i="22"/>
  <c r="I12" i="22"/>
  <c r="I14" i="22"/>
  <c r="I16" i="22"/>
  <c r="I18" i="22"/>
  <c r="I20" i="22"/>
  <c r="I22" i="22"/>
  <c r="I24" i="22"/>
  <c r="I26" i="22"/>
  <c r="I28" i="22"/>
  <c r="I30" i="22"/>
  <c r="I32" i="22"/>
  <c r="I34" i="22"/>
  <c r="I36" i="22"/>
  <c r="I38" i="22"/>
  <c r="I40" i="22"/>
  <c r="I42" i="22"/>
  <c r="I44" i="22"/>
  <c r="I46" i="22"/>
  <c r="I48" i="22"/>
  <c r="I50" i="22"/>
  <c r="I52" i="22"/>
  <c r="I54" i="22"/>
  <c r="I56" i="22"/>
  <c r="I58" i="22"/>
  <c r="I60" i="22"/>
  <c r="I62" i="22"/>
  <c r="I64" i="22"/>
  <c r="I66" i="22"/>
  <c r="I68" i="22"/>
  <c r="I70" i="22"/>
  <c r="I72" i="22"/>
  <c r="I74" i="22"/>
  <c r="I76" i="22"/>
  <c r="I78" i="22"/>
  <c r="I80" i="22"/>
  <c r="I82" i="22"/>
  <c r="I84" i="22"/>
  <c r="I86" i="22"/>
  <c r="I88" i="22"/>
  <c r="I90" i="22"/>
  <c r="I92" i="22"/>
  <c r="I94" i="22"/>
  <c r="I96" i="22"/>
  <c r="I98" i="22"/>
  <c r="I6" i="28"/>
  <c r="I10" i="28"/>
  <c r="I14" i="28"/>
  <c r="I18" i="28"/>
  <c r="I22" i="28"/>
  <c r="I26" i="28"/>
  <c r="I32" i="28"/>
  <c r="I36" i="28"/>
  <c r="I38" i="28"/>
  <c r="I42" i="28"/>
  <c r="I46" i="28"/>
  <c r="I50" i="28"/>
  <c r="I54" i="28"/>
  <c r="I58" i="28"/>
  <c r="I62" i="28"/>
  <c r="I66" i="28"/>
  <c r="I70" i="28"/>
  <c r="I72" i="28"/>
  <c r="I76" i="28"/>
  <c r="I82" i="28"/>
  <c r="I86" i="28"/>
  <c r="I88" i="28"/>
  <c r="I92" i="28"/>
  <c r="I96" i="28"/>
  <c r="I4" i="28"/>
  <c r="I8" i="28"/>
  <c r="I12" i="28"/>
  <c r="I16" i="28"/>
  <c r="I20" i="28"/>
  <c r="I24" i="28"/>
  <c r="I28" i="28"/>
  <c r="I30" i="28"/>
  <c r="I34" i="28"/>
  <c r="I40" i="28"/>
  <c r="I44" i="28"/>
  <c r="I48" i="28"/>
  <c r="I52" i="28"/>
  <c r="I56" i="28"/>
  <c r="I60" i="28"/>
  <c r="I64" i="28"/>
  <c r="I68" i="28"/>
  <c r="I74" i="28"/>
  <c r="I78" i="28"/>
  <c r="I80" i="28"/>
  <c r="I84" i="28"/>
  <c r="I90" i="28"/>
  <c r="I94" i="28"/>
  <c r="I98" i="28"/>
  <c r="E221" i="28"/>
  <c r="E217" i="28"/>
  <c r="E215" i="28"/>
  <c r="E218" i="28"/>
  <c r="E220" i="28"/>
  <c r="E216" i="28"/>
  <c r="E219" i="28"/>
  <c r="E214" i="28"/>
  <c r="C213" i="28"/>
  <c r="D213" i="28" s="1"/>
  <c r="E145" i="33"/>
  <c r="E145" i="32"/>
  <c r="E145" i="39"/>
  <c r="E145" i="27"/>
  <c r="E145" i="26"/>
  <c r="E145" i="28"/>
  <c r="E145" i="23"/>
  <c r="E145" i="22"/>
  <c r="N145" i="39"/>
  <c r="E213" i="28"/>
  <c r="E214" i="27"/>
  <c r="E218" i="27"/>
  <c r="E213" i="22"/>
  <c r="E211" i="20"/>
  <c r="E215" i="20"/>
  <c r="E219" i="20"/>
  <c r="C211" i="28"/>
  <c r="D211" i="28" s="1"/>
  <c r="E212" i="28"/>
  <c r="E213" i="27"/>
  <c r="E217" i="27"/>
  <c r="E214" i="23"/>
  <c r="E218" i="23"/>
  <c r="E211" i="26"/>
  <c r="E215" i="26"/>
  <c r="E219" i="26"/>
  <c r="C211" i="22"/>
  <c r="D211" i="22" s="1"/>
  <c r="E212" i="22"/>
  <c r="E219" i="22"/>
  <c r="E218" i="22"/>
  <c r="E217" i="22"/>
  <c r="E214" i="22"/>
  <c r="E214" i="20"/>
  <c r="E218" i="20"/>
  <c r="E211" i="28"/>
  <c r="C211" i="27"/>
  <c r="D211" i="27" s="1"/>
  <c r="E212" i="27"/>
  <c r="E216" i="27"/>
  <c r="E214" i="26"/>
  <c r="E218" i="26"/>
  <c r="E211" i="22"/>
  <c r="E215" i="22"/>
  <c r="E211" i="21"/>
  <c r="E212" i="21"/>
  <c r="E213" i="21"/>
  <c r="E214" i="21"/>
  <c r="E215" i="21"/>
  <c r="E216" i="21"/>
  <c r="E217" i="21"/>
  <c r="E218" i="21"/>
  <c r="E219" i="21"/>
  <c r="K57" i="9" l="1"/>
  <c r="D103" i="37"/>
  <c r="J23" i="38"/>
  <c r="C97" i="37"/>
  <c r="D19" i="38"/>
  <c r="D19" i="11" s="1"/>
  <c r="G169" i="37"/>
  <c r="G189" i="37" s="1"/>
  <c r="B189" i="37"/>
  <c r="C95" i="37"/>
  <c r="B19" i="38"/>
  <c r="B19" i="11" s="1"/>
  <c r="E104" i="37"/>
  <c r="K28" i="38"/>
  <c r="J57" i="9"/>
  <c r="G104" i="37"/>
  <c r="K38" i="38"/>
  <c r="C96" i="37"/>
  <c r="C19" i="38"/>
  <c r="C19" i="11" s="1"/>
  <c r="G168" i="37"/>
  <c r="G188" i="37" s="1"/>
  <c r="B188" i="37"/>
  <c r="F104" i="37"/>
  <c r="K33" i="38"/>
  <c r="I103" i="37"/>
  <c r="J48" i="38"/>
  <c r="C103" i="37"/>
  <c r="J19" i="38"/>
  <c r="B103" i="37"/>
  <c r="J75" i="37"/>
  <c r="J15" i="38"/>
  <c r="D104" i="37"/>
  <c r="K23" i="38"/>
  <c r="F103" i="37"/>
  <c r="J33" i="38"/>
  <c r="I104" i="37"/>
  <c r="K48" i="38"/>
  <c r="C104" i="37"/>
  <c r="K19" i="38"/>
  <c r="H57" i="9"/>
  <c r="G103" i="37"/>
  <c r="J38" i="38"/>
  <c r="E103" i="37"/>
  <c r="J28" i="38"/>
  <c r="M57" i="9"/>
  <c r="I57" i="9"/>
  <c r="B104" i="37"/>
  <c r="K15" i="38"/>
  <c r="J76" i="37"/>
  <c r="E146" i="33"/>
  <c r="E146" i="32"/>
  <c r="N146" i="39" s="1"/>
  <c r="E146" i="39"/>
  <c r="E146" i="28"/>
  <c r="E146" i="23"/>
  <c r="E146" i="27"/>
  <c r="E146" i="26"/>
  <c r="E146" i="22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E3" i="36"/>
  <c r="K19" i="11" l="1"/>
  <c r="H81" i="38"/>
  <c r="J38" i="11"/>
  <c r="G100" i="38"/>
  <c r="J9" i="38"/>
  <c r="J103" i="37"/>
  <c r="G110" i="38"/>
  <c r="J48" i="11"/>
  <c r="G77" i="38"/>
  <c r="J15" i="11"/>
  <c r="J52" i="38"/>
  <c r="K9" i="38"/>
  <c r="J104" i="37"/>
  <c r="H110" i="38"/>
  <c r="K48" i="11"/>
  <c r="K23" i="11"/>
  <c r="H85" i="38"/>
  <c r="K38" i="11"/>
  <c r="H100" i="38"/>
  <c r="K28" i="11"/>
  <c r="H90" i="38"/>
  <c r="J23" i="11"/>
  <c r="G85" i="38"/>
  <c r="J33" i="11"/>
  <c r="G95" i="38"/>
  <c r="H77" i="38"/>
  <c r="K52" i="38"/>
  <c r="K15" i="11"/>
  <c r="K52" i="11" s="1"/>
  <c r="G90" i="38"/>
  <c r="J28" i="11"/>
  <c r="G81" i="38"/>
  <c r="J19" i="11"/>
  <c r="K33" i="11"/>
  <c r="H95" i="38"/>
  <c r="E148" i="21"/>
  <c r="E147" i="39"/>
  <c r="E147" i="28"/>
  <c r="E147" i="23"/>
  <c r="E147" i="27"/>
  <c r="E147" i="26"/>
  <c r="E147" i="22"/>
  <c r="N147" i="39"/>
  <c r="E7" i="33"/>
  <c r="H7" i="32"/>
  <c r="E31" i="33"/>
  <c r="H31" i="32"/>
  <c r="E43" i="33"/>
  <c r="H43" i="32"/>
  <c r="E67" i="33"/>
  <c r="H67" i="32"/>
  <c r="E103" i="33"/>
  <c r="W103" i="39" s="1"/>
  <c r="E115" i="33"/>
  <c r="W115" i="39" s="1"/>
  <c r="W139" i="39"/>
  <c r="E11" i="33"/>
  <c r="H11" i="32"/>
  <c r="H23" i="32"/>
  <c r="E23" i="33"/>
  <c r="E35" i="33"/>
  <c r="H35" i="32"/>
  <c r="H47" i="32"/>
  <c r="E47" i="33"/>
  <c r="E59" i="33"/>
  <c r="H59" i="32"/>
  <c r="E83" i="33"/>
  <c r="H83" i="32"/>
  <c r="H95" i="32"/>
  <c r="E95" i="33"/>
  <c r="E107" i="33"/>
  <c r="W107" i="39" s="1"/>
  <c r="E119" i="33"/>
  <c r="W119" i="39" s="1"/>
  <c r="E131" i="33"/>
  <c r="W131" i="39" s="1"/>
  <c r="W143" i="39"/>
  <c r="E14" i="33"/>
  <c r="H14" i="32"/>
  <c r="E26" i="33"/>
  <c r="H26" i="32"/>
  <c r="E38" i="33"/>
  <c r="H38" i="32"/>
  <c r="E50" i="33"/>
  <c r="H50" i="32"/>
  <c r="E62" i="33"/>
  <c r="H62" i="32"/>
  <c r="E74" i="33"/>
  <c r="H74" i="32"/>
  <c r="E86" i="33"/>
  <c r="H86" i="32"/>
  <c r="E98" i="33"/>
  <c r="H98" i="32"/>
  <c r="E110" i="33"/>
  <c r="W110" i="39" s="1"/>
  <c r="E122" i="33"/>
  <c r="W122" i="39" s="1"/>
  <c r="E134" i="33"/>
  <c r="W134" i="39" s="1"/>
  <c r="W146" i="39"/>
  <c r="E3" i="33"/>
  <c r="H15" i="32"/>
  <c r="Q15" i="39" s="1"/>
  <c r="E15" i="33"/>
  <c r="H27" i="32"/>
  <c r="Q27" i="39" s="1"/>
  <c r="E27" i="33"/>
  <c r="E39" i="33"/>
  <c r="H39" i="32"/>
  <c r="Q39" i="39" s="1"/>
  <c r="E51" i="33"/>
  <c r="H51" i="32"/>
  <c r="Q51" i="39" s="1"/>
  <c r="H63" i="32"/>
  <c r="Q63" i="39" s="1"/>
  <c r="E63" i="33"/>
  <c r="E75" i="33"/>
  <c r="H75" i="32"/>
  <c r="Q75" i="39" s="1"/>
  <c r="H87" i="32"/>
  <c r="Q87" i="39" s="1"/>
  <c r="E87" i="33"/>
  <c r="E99" i="33"/>
  <c r="W99" i="39" s="1"/>
  <c r="E111" i="33"/>
  <c r="W111" i="39" s="1"/>
  <c r="E123" i="33"/>
  <c r="W123" i="39" s="1"/>
  <c r="E123" i="21"/>
  <c r="W135" i="39"/>
  <c r="W147" i="39"/>
  <c r="H19" i="32"/>
  <c r="E19" i="33"/>
  <c r="H55" i="32"/>
  <c r="E55" i="33"/>
  <c r="H79" i="32"/>
  <c r="E79" i="33"/>
  <c r="E91" i="33"/>
  <c r="H91" i="32"/>
  <c r="E127" i="33"/>
  <c r="W127" i="39" s="1"/>
  <c r="H71" i="32"/>
  <c r="E71" i="33"/>
  <c r="E4" i="33"/>
  <c r="H4" i="32"/>
  <c r="E12" i="33"/>
  <c r="H12" i="32"/>
  <c r="E16" i="33"/>
  <c r="H16" i="32"/>
  <c r="J20" i="26"/>
  <c r="K20" i="26" s="1"/>
  <c r="E24" i="33"/>
  <c r="H24" i="32"/>
  <c r="E28" i="33"/>
  <c r="H28" i="32"/>
  <c r="H36" i="32"/>
  <c r="E36" i="33"/>
  <c r="E40" i="33"/>
  <c r="H40" i="32"/>
  <c r="E48" i="33"/>
  <c r="H48" i="32"/>
  <c r="E52" i="33"/>
  <c r="H52" i="32"/>
  <c r="E60" i="33"/>
  <c r="H60" i="32"/>
  <c r="E64" i="33"/>
  <c r="H64" i="32"/>
  <c r="E72" i="33"/>
  <c r="H72" i="32"/>
  <c r="E76" i="33"/>
  <c r="H76" i="32"/>
  <c r="E84" i="33"/>
  <c r="H84" i="32"/>
  <c r="E88" i="33"/>
  <c r="H88" i="32"/>
  <c r="E96" i="33"/>
  <c r="H96" i="32"/>
  <c r="E100" i="33"/>
  <c r="W100" i="39" s="1"/>
  <c r="E108" i="33"/>
  <c r="W108" i="39" s="1"/>
  <c r="E112" i="33"/>
  <c r="W112" i="39" s="1"/>
  <c r="E120" i="33"/>
  <c r="W120" i="39" s="1"/>
  <c r="E124" i="33"/>
  <c r="W124" i="39" s="1"/>
  <c r="E132" i="33"/>
  <c r="W132" i="39" s="1"/>
  <c r="W136" i="39"/>
  <c r="W144" i="39"/>
  <c r="E5" i="33"/>
  <c r="H5" i="32"/>
  <c r="E9" i="21"/>
  <c r="I9" i="21" s="1"/>
  <c r="H13" i="32"/>
  <c r="E13" i="33"/>
  <c r="H17" i="32"/>
  <c r="E17" i="33"/>
  <c r="H25" i="32"/>
  <c r="E25" i="33"/>
  <c r="H29" i="32"/>
  <c r="E29" i="33"/>
  <c r="E37" i="33"/>
  <c r="H37" i="32"/>
  <c r="E41" i="33"/>
  <c r="H41" i="32"/>
  <c r="H49" i="32"/>
  <c r="E49" i="33"/>
  <c r="E53" i="33"/>
  <c r="H53" i="32"/>
  <c r="E61" i="33"/>
  <c r="H61" i="32"/>
  <c r="H65" i="32"/>
  <c r="E65" i="33"/>
  <c r="H73" i="32"/>
  <c r="E73" i="33"/>
  <c r="E77" i="33"/>
  <c r="H77" i="32"/>
  <c r="E85" i="33"/>
  <c r="H85" i="32"/>
  <c r="H89" i="32"/>
  <c r="E89" i="33"/>
  <c r="H97" i="32"/>
  <c r="E97" i="33"/>
  <c r="E101" i="33"/>
  <c r="W101" i="39" s="1"/>
  <c r="E109" i="33"/>
  <c r="W109" i="39" s="1"/>
  <c r="E113" i="33"/>
  <c r="W113" i="39" s="1"/>
  <c r="E121" i="33"/>
  <c r="W121" i="39" s="1"/>
  <c r="E125" i="33"/>
  <c r="W125" i="39" s="1"/>
  <c r="E133" i="33"/>
  <c r="W133" i="39" s="1"/>
  <c r="W137" i="39"/>
  <c r="W145" i="39"/>
  <c r="J10" i="27"/>
  <c r="K10" i="27" s="1"/>
  <c r="J42" i="23"/>
  <c r="K42" i="23" s="1"/>
  <c r="J58" i="23"/>
  <c r="K58" i="23" s="1"/>
  <c r="J90" i="27"/>
  <c r="K90" i="27" s="1"/>
  <c r="E130" i="21"/>
  <c r="E138" i="21"/>
  <c r="H11" i="19"/>
  <c r="H11" i="39" s="1"/>
  <c r="E11" i="21"/>
  <c r="I11" i="21" s="1"/>
  <c r="J11" i="22"/>
  <c r="K11" i="22" s="1"/>
  <c r="J11" i="23"/>
  <c r="K11" i="23" s="1"/>
  <c r="J11" i="27"/>
  <c r="K11" i="27" s="1"/>
  <c r="E11" i="20"/>
  <c r="I11" i="20" s="1"/>
  <c r="J11" i="26"/>
  <c r="K11" i="26" s="1"/>
  <c r="J11" i="28"/>
  <c r="K11" i="28" s="1"/>
  <c r="H15" i="19"/>
  <c r="H15" i="39" s="1"/>
  <c r="E15" i="21"/>
  <c r="I15" i="21" s="1"/>
  <c r="E15" i="20"/>
  <c r="I15" i="20" s="1"/>
  <c r="H27" i="19"/>
  <c r="H27" i="39" s="1"/>
  <c r="E27" i="21"/>
  <c r="I27" i="21" s="1"/>
  <c r="E27" i="20"/>
  <c r="I27" i="20" s="1"/>
  <c r="H43" i="19"/>
  <c r="H43" i="39" s="1"/>
  <c r="E43" i="21"/>
  <c r="I43" i="21" s="1"/>
  <c r="J43" i="23"/>
  <c r="K43" i="23" s="1"/>
  <c r="J43" i="22"/>
  <c r="K43" i="22" s="1"/>
  <c r="J43" i="27"/>
  <c r="K43" i="27" s="1"/>
  <c r="E43" i="20"/>
  <c r="I43" i="20" s="1"/>
  <c r="J43" i="26"/>
  <c r="K43" i="26" s="1"/>
  <c r="J43" i="28"/>
  <c r="K43" i="28" s="1"/>
  <c r="H55" i="19"/>
  <c r="H55" i="39" s="1"/>
  <c r="E55" i="21"/>
  <c r="I55" i="21" s="1"/>
  <c r="J55" i="23"/>
  <c r="K55" i="23" s="1"/>
  <c r="J55" i="27"/>
  <c r="K55" i="27" s="1"/>
  <c r="J55" i="26"/>
  <c r="K55" i="26" s="1"/>
  <c r="J55" i="22"/>
  <c r="K55" i="22" s="1"/>
  <c r="J55" i="28"/>
  <c r="K55" i="28" s="1"/>
  <c r="E55" i="20"/>
  <c r="I55" i="20" s="1"/>
  <c r="H67" i="19"/>
  <c r="H67" i="39" s="1"/>
  <c r="E67" i="21"/>
  <c r="I67" i="21" s="1"/>
  <c r="J67" i="23"/>
  <c r="K67" i="23" s="1"/>
  <c r="J67" i="22"/>
  <c r="K67" i="22" s="1"/>
  <c r="J67" i="27"/>
  <c r="K67" i="27" s="1"/>
  <c r="J67" i="28"/>
  <c r="K67" i="28" s="1"/>
  <c r="E67" i="20"/>
  <c r="I67" i="20" s="1"/>
  <c r="J67" i="26"/>
  <c r="K67" i="26" s="1"/>
  <c r="H79" i="19"/>
  <c r="H79" i="39" s="1"/>
  <c r="J79" i="22"/>
  <c r="K79" i="22" s="1"/>
  <c r="J79" i="23"/>
  <c r="K79" i="23" s="1"/>
  <c r="J79" i="27"/>
  <c r="K79" i="27" s="1"/>
  <c r="J79" i="26"/>
  <c r="K79" i="26" s="1"/>
  <c r="E79" i="21"/>
  <c r="I79" i="21" s="1"/>
  <c r="E79" i="20"/>
  <c r="I79" i="20" s="1"/>
  <c r="J79" i="28"/>
  <c r="K79" i="28" s="1"/>
  <c r="H95" i="19"/>
  <c r="H95" i="39" s="1"/>
  <c r="J95" i="22"/>
  <c r="K95" i="22" s="1"/>
  <c r="E95" i="21"/>
  <c r="I95" i="21" s="1"/>
  <c r="J95" i="23"/>
  <c r="K95" i="23" s="1"/>
  <c r="J95" i="27"/>
  <c r="K95" i="27" s="1"/>
  <c r="J95" i="26"/>
  <c r="K95" i="26" s="1"/>
  <c r="E95" i="20"/>
  <c r="I95" i="20" s="1"/>
  <c r="J95" i="28"/>
  <c r="K95" i="28" s="1"/>
  <c r="E107" i="21"/>
  <c r="E107" i="20"/>
  <c r="E115" i="21"/>
  <c r="E115" i="20"/>
  <c r="E123" i="20"/>
  <c r="E135" i="21"/>
  <c r="E135" i="20"/>
  <c r="E143" i="20"/>
  <c r="E143" i="21"/>
  <c r="H4" i="19"/>
  <c r="H4" i="39" s="1"/>
  <c r="E4" i="21"/>
  <c r="I4" i="21" s="1"/>
  <c r="J4" i="26"/>
  <c r="K4" i="26" s="1"/>
  <c r="J4" i="23"/>
  <c r="K4" i="23" s="1"/>
  <c r="J4" i="22"/>
  <c r="K4" i="22" s="1"/>
  <c r="J4" i="28"/>
  <c r="K4" i="28" s="1"/>
  <c r="J4" i="27"/>
  <c r="K4" i="27" s="1"/>
  <c r="E4" i="20"/>
  <c r="I4" i="20" s="1"/>
  <c r="H8" i="19"/>
  <c r="H8" i="39" s="1"/>
  <c r="E8" i="21"/>
  <c r="I8" i="21" s="1"/>
  <c r="J8" i="23"/>
  <c r="K8" i="23" s="1"/>
  <c r="J8" i="27"/>
  <c r="K8" i="27" s="1"/>
  <c r="H12" i="19"/>
  <c r="H12" i="39" s="1"/>
  <c r="E12" i="21"/>
  <c r="I12" i="21" s="1"/>
  <c r="J12" i="26"/>
  <c r="K12" i="26" s="1"/>
  <c r="J12" i="22"/>
  <c r="K12" i="22" s="1"/>
  <c r="J12" i="23"/>
  <c r="K12" i="23" s="1"/>
  <c r="J12" i="27"/>
  <c r="K12" i="27" s="1"/>
  <c r="J12" i="28"/>
  <c r="K12" i="28" s="1"/>
  <c r="E12" i="20"/>
  <c r="I12" i="20" s="1"/>
  <c r="H16" i="19"/>
  <c r="H16" i="39" s="1"/>
  <c r="E16" i="21"/>
  <c r="I16" i="21" s="1"/>
  <c r="J16" i="26"/>
  <c r="K16" i="26" s="1"/>
  <c r="J16" i="23"/>
  <c r="K16" i="23" s="1"/>
  <c r="J16" i="22"/>
  <c r="K16" i="22" s="1"/>
  <c r="J16" i="28"/>
  <c r="K16" i="28" s="1"/>
  <c r="J16" i="27"/>
  <c r="K16" i="27" s="1"/>
  <c r="E16" i="20"/>
  <c r="I16" i="20" s="1"/>
  <c r="E20" i="21"/>
  <c r="I20" i="21" s="1"/>
  <c r="E20" i="20"/>
  <c r="I20" i="20" s="1"/>
  <c r="H24" i="19"/>
  <c r="H24" i="39" s="1"/>
  <c r="E24" i="21"/>
  <c r="I24" i="21" s="1"/>
  <c r="J24" i="22"/>
  <c r="K24" i="22" s="1"/>
  <c r="J24" i="26"/>
  <c r="K24" i="26" s="1"/>
  <c r="J24" i="23"/>
  <c r="K24" i="23" s="1"/>
  <c r="J24" i="27"/>
  <c r="K24" i="27" s="1"/>
  <c r="J24" i="28"/>
  <c r="K24" i="28" s="1"/>
  <c r="E24" i="20"/>
  <c r="I24" i="20" s="1"/>
  <c r="H28" i="19"/>
  <c r="H28" i="39" s="1"/>
  <c r="E28" i="21"/>
  <c r="I28" i="21" s="1"/>
  <c r="J28" i="26"/>
  <c r="K28" i="26" s="1"/>
  <c r="J28" i="23"/>
  <c r="K28" i="23" s="1"/>
  <c r="J28" i="22"/>
  <c r="K28" i="22" s="1"/>
  <c r="J28" i="27"/>
  <c r="K28" i="27" s="1"/>
  <c r="E28" i="20"/>
  <c r="I28" i="20" s="1"/>
  <c r="J28" i="28"/>
  <c r="K28" i="28" s="1"/>
  <c r="H32" i="19"/>
  <c r="H32" i="39" s="1"/>
  <c r="E32" i="21"/>
  <c r="I32" i="21" s="1"/>
  <c r="J32" i="22"/>
  <c r="K32" i="22" s="1"/>
  <c r="J32" i="26"/>
  <c r="K32" i="26" s="1"/>
  <c r="J32" i="23"/>
  <c r="K32" i="23" s="1"/>
  <c r="J32" i="27"/>
  <c r="K32" i="27" s="1"/>
  <c r="J32" i="28"/>
  <c r="K32" i="28" s="1"/>
  <c r="E32" i="20"/>
  <c r="I32" i="20" s="1"/>
  <c r="H36" i="19"/>
  <c r="H36" i="39" s="1"/>
  <c r="E36" i="21"/>
  <c r="I36" i="21" s="1"/>
  <c r="J36" i="26"/>
  <c r="K36" i="26" s="1"/>
  <c r="J36" i="23"/>
  <c r="K36" i="23" s="1"/>
  <c r="J36" i="22"/>
  <c r="K36" i="22" s="1"/>
  <c r="J36" i="28"/>
  <c r="K36" i="28" s="1"/>
  <c r="E36" i="20"/>
  <c r="I36" i="20" s="1"/>
  <c r="J36" i="27"/>
  <c r="K36" i="27" s="1"/>
  <c r="H40" i="19"/>
  <c r="H40" i="39" s="1"/>
  <c r="E40" i="21"/>
  <c r="I40" i="21" s="1"/>
  <c r="J40" i="22"/>
  <c r="K40" i="22" s="1"/>
  <c r="J40" i="26"/>
  <c r="K40" i="26" s="1"/>
  <c r="J40" i="23"/>
  <c r="K40" i="23" s="1"/>
  <c r="J40" i="28"/>
  <c r="K40" i="28" s="1"/>
  <c r="E40" i="20"/>
  <c r="I40" i="20" s="1"/>
  <c r="J40" i="27"/>
  <c r="K40" i="27" s="1"/>
  <c r="H44" i="19"/>
  <c r="H44" i="39" s="1"/>
  <c r="E44" i="21"/>
  <c r="I44" i="21" s="1"/>
  <c r="J44" i="26"/>
  <c r="K44" i="26" s="1"/>
  <c r="J44" i="23"/>
  <c r="K44" i="23" s="1"/>
  <c r="J44" i="22"/>
  <c r="K44" i="22" s="1"/>
  <c r="J44" i="27"/>
  <c r="K44" i="27" s="1"/>
  <c r="J44" i="28"/>
  <c r="K44" i="28" s="1"/>
  <c r="E44" i="20"/>
  <c r="I44" i="20" s="1"/>
  <c r="H48" i="19"/>
  <c r="H48" i="39" s="1"/>
  <c r="E48" i="21"/>
  <c r="I48" i="21" s="1"/>
  <c r="J48" i="22"/>
  <c r="K48" i="22" s="1"/>
  <c r="J48" i="26"/>
  <c r="K48" i="26" s="1"/>
  <c r="J48" i="23"/>
  <c r="K48" i="23" s="1"/>
  <c r="J48" i="27"/>
  <c r="K48" i="27" s="1"/>
  <c r="J48" i="28"/>
  <c r="K48" i="28" s="1"/>
  <c r="E48" i="20"/>
  <c r="I48" i="20" s="1"/>
  <c r="H52" i="19"/>
  <c r="H52" i="39" s="1"/>
  <c r="E52" i="21"/>
  <c r="I52" i="21" s="1"/>
  <c r="J52" i="26"/>
  <c r="K52" i="26" s="1"/>
  <c r="J52" i="23"/>
  <c r="K52" i="23" s="1"/>
  <c r="J52" i="22"/>
  <c r="K52" i="22" s="1"/>
  <c r="J52" i="27"/>
  <c r="K52" i="27" s="1"/>
  <c r="J52" i="28"/>
  <c r="K52" i="28" s="1"/>
  <c r="E52" i="20"/>
  <c r="I52" i="20" s="1"/>
  <c r="H56" i="19"/>
  <c r="H56" i="39" s="1"/>
  <c r="E56" i="21"/>
  <c r="I56" i="21" s="1"/>
  <c r="J56" i="23"/>
  <c r="K56" i="23" s="1"/>
  <c r="J56" i="28"/>
  <c r="K56" i="28" s="1"/>
  <c r="H60" i="19"/>
  <c r="H60" i="39" s="1"/>
  <c r="E60" i="21"/>
  <c r="I60" i="21" s="1"/>
  <c r="J60" i="26"/>
  <c r="K60" i="26" s="1"/>
  <c r="J60" i="23"/>
  <c r="K60" i="23" s="1"/>
  <c r="J60" i="22"/>
  <c r="K60" i="22" s="1"/>
  <c r="J60" i="27"/>
  <c r="K60" i="27" s="1"/>
  <c r="E60" i="20"/>
  <c r="I60" i="20" s="1"/>
  <c r="J60" i="28"/>
  <c r="K60" i="28" s="1"/>
  <c r="H64" i="19"/>
  <c r="H64" i="39" s="1"/>
  <c r="E64" i="21"/>
  <c r="I64" i="21" s="1"/>
  <c r="J64" i="22"/>
  <c r="K64" i="22" s="1"/>
  <c r="J64" i="26"/>
  <c r="K64" i="26" s="1"/>
  <c r="J64" i="23"/>
  <c r="K64" i="23" s="1"/>
  <c r="J64" i="27"/>
  <c r="K64" i="27" s="1"/>
  <c r="J64" i="28"/>
  <c r="K64" i="28" s="1"/>
  <c r="E64" i="20"/>
  <c r="I64" i="20" s="1"/>
  <c r="E68" i="21"/>
  <c r="I68" i="21" s="1"/>
  <c r="J68" i="27"/>
  <c r="K68" i="27" s="1"/>
  <c r="H72" i="19"/>
  <c r="H72" i="39" s="1"/>
  <c r="E72" i="21"/>
  <c r="I72" i="21" s="1"/>
  <c r="J72" i="22"/>
  <c r="K72" i="22" s="1"/>
  <c r="J72" i="26"/>
  <c r="K72" i="26" s="1"/>
  <c r="J72" i="23"/>
  <c r="K72" i="23" s="1"/>
  <c r="J72" i="27"/>
  <c r="K72" i="27" s="1"/>
  <c r="J72" i="28"/>
  <c r="K72" i="28" s="1"/>
  <c r="E72" i="20"/>
  <c r="I72" i="20" s="1"/>
  <c r="H76" i="19"/>
  <c r="H76" i="39" s="1"/>
  <c r="E76" i="21"/>
  <c r="I76" i="21" s="1"/>
  <c r="J76" i="22"/>
  <c r="K76" i="22" s="1"/>
  <c r="J76" i="26"/>
  <c r="K76" i="26" s="1"/>
  <c r="J76" i="23"/>
  <c r="K76" i="23" s="1"/>
  <c r="J76" i="28"/>
  <c r="K76" i="28" s="1"/>
  <c r="E76" i="20"/>
  <c r="I76" i="20" s="1"/>
  <c r="J76" i="27"/>
  <c r="K76" i="27" s="1"/>
  <c r="H80" i="19"/>
  <c r="H80" i="39" s="1"/>
  <c r="E80" i="21"/>
  <c r="I80" i="21" s="1"/>
  <c r="J80" i="22"/>
  <c r="K80" i="22" s="1"/>
  <c r="J80" i="26"/>
  <c r="K80" i="26" s="1"/>
  <c r="J80" i="23"/>
  <c r="K80" i="23" s="1"/>
  <c r="J80" i="27"/>
  <c r="K80" i="27" s="1"/>
  <c r="J80" i="28"/>
  <c r="K80" i="28" s="1"/>
  <c r="E80" i="20"/>
  <c r="I80" i="20" s="1"/>
  <c r="H84" i="19"/>
  <c r="H84" i="39" s="1"/>
  <c r="E84" i="21"/>
  <c r="I84" i="21" s="1"/>
  <c r="J84" i="22"/>
  <c r="K84" i="22" s="1"/>
  <c r="J84" i="26"/>
  <c r="K84" i="26" s="1"/>
  <c r="J84" i="23"/>
  <c r="K84" i="23" s="1"/>
  <c r="J84" i="28"/>
  <c r="K84" i="28" s="1"/>
  <c r="E84" i="20"/>
  <c r="I84" i="20" s="1"/>
  <c r="J84" i="27"/>
  <c r="K84" i="27" s="1"/>
  <c r="H88" i="19"/>
  <c r="H88" i="39" s="1"/>
  <c r="E88" i="21"/>
  <c r="I88" i="21" s="1"/>
  <c r="J88" i="22"/>
  <c r="K88" i="22" s="1"/>
  <c r="J88" i="26"/>
  <c r="K88" i="26" s="1"/>
  <c r="J88" i="23"/>
  <c r="K88" i="23" s="1"/>
  <c r="J88" i="27"/>
  <c r="K88" i="27" s="1"/>
  <c r="J88" i="28"/>
  <c r="K88" i="28" s="1"/>
  <c r="E88" i="20"/>
  <c r="I88" i="20" s="1"/>
  <c r="H92" i="19"/>
  <c r="H92" i="39" s="1"/>
  <c r="E92" i="21"/>
  <c r="I92" i="21" s="1"/>
  <c r="J92" i="22"/>
  <c r="K92" i="22" s="1"/>
  <c r="J92" i="26"/>
  <c r="K92" i="26" s="1"/>
  <c r="J92" i="23"/>
  <c r="K92" i="23" s="1"/>
  <c r="E92" i="20"/>
  <c r="I92" i="20" s="1"/>
  <c r="J92" i="27"/>
  <c r="K92" i="27" s="1"/>
  <c r="J92" i="28"/>
  <c r="K92" i="28" s="1"/>
  <c r="H96" i="19"/>
  <c r="H96" i="39" s="1"/>
  <c r="E96" i="21"/>
  <c r="I96" i="21" s="1"/>
  <c r="J96" i="26"/>
  <c r="K96" i="26" s="1"/>
  <c r="J96" i="22"/>
  <c r="K96" i="22" s="1"/>
  <c r="J96" i="23"/>
  <c r="K96" i="23" s="1"/>
  <c r="J96" i="27"/>
  <c r="K96" i="27" s="1"/>
  <c r="E96" i="20"/>
  <c r="I96" i="20" s="1"/>
  <c r="J96" i="28"/>
  <c r="K96" i="28" s="1"/>
  <c r="E100" i="21"/>
  <c r="E100" i="20"/>
  <c r="E108" i="21"/>
  <c r="E108" i="20"/>
  <c r="E112" i="21"/>
  <c r="E112" i="20"/>
  <c r="E120" i="21"/>
  <c r="E120" i="20"/>
  <c r="E124" i="21"/>
  <c r="E124" i="20"/>
  <c r="E128" i="21"/>
  <c r="E128" i="20"/>
  <c r="E132" i="21"/>
  <c r="E132" i="20"/>
  <c r="E136" i="21"/>
  <c r="E136" i="20"/>
  <c r="E140" i="21"/>
  <c r="E140" i="20"/>
  <c r="E144" i="21"/>
  <c r="E144" i="20"/>
  <c r="H3" i="19"/>
  <c r="H3" i="39" s="1"/>
  <c r="E3" i="21"/>
  <c r="I3" i="21" s="1"/>
  <c r="E3" i="20"/>
  <c r="I3" i="20" s="1"/>
  <c r="H23" i="19"/>
  <c r="H23" i="39" s="1"/>
  <c r="E23" i="21"/>
  <c r="I23" i="21" s="1"/>
  <c r="J23" i="23"/>
  <c r="K23" i="23" s="1"/>
  <c r="J23" i="26"/>
  <c r="K23" i="26" s="1"/>
  <c r="J23" i="28"/>
  <c r="K23" i="28" s="1"/>
  <c r="E23" i="20"/>
  <c r="I23" i="20" s="1"/>
  <c r="J23" i="27"/>
  <c r="K23" i="27" s="1"/>
  <c r="J23" i="22"/>
  <c r="K23" i="22" s="1"/>
  <c r="H35" i="19"/>
  <c r="H35" i="39" s="1"/>
  <c r="E35" i="21"/>
  <c r="I35" i="21" s="1"/>
  <c r="J35" i="23"/>
  <c r="K35" i="23" s="1"/>
  <c r="J35" i="22"/>
  <c r="K35" i="22" s="1"/>
  <c r="J35" i="27"/>
  <c r="K35" i="27" s="1"/>
  <c r="J35" i="28"/>
  <c r="K35" i="28" s="1"/>
  <c r="E35" i="20"/>
  <c r="I35" i="20" s="1"/>
  <c r="J35" i="26"/>
  <c r="K35" i="26" s="1"/>
  <c r="H47" i="19"/>
  <c r="H47" i="39" s="1"/>
  <c r="J47" i="23"/>
  <c r="K47" i="23" s="1"/>
  <c r="E47" i="21"/>
  <c r="I47" i="21" s="1"/>
  <c r="J47" i="27"/>
  <c r="K47" i="27" s="1"/>
  <c r="J47" i="22"/>
  <c r="K47" i="22" s="1"/>
  <c r="J47" i="26"/>
  <c r="K47" i="26" s="1"/>
  <c r="E47" i="20"/>
  <c r="I47" i="20" s="1"/>
  <c r="J47" i="28"/>
  <c r="K47" i="28" s="1"/>
  <c r="H59" i="19"/>
  <c r="H59" i="39" s="1"/>
  <c r="E59" i="21"/>
  <c r="I59" i="21" s="1"/>
  <c r="J59" i="23"/>
  <c r="K59" i="23" s="1"/>
  <c r="J59" i="22"/>
  <c r="K59" i="22" s="1"/>
  <c r="J59" i="27"/>
  <c r="K59" i="27" s="1"/>
  <c r="J59" i="26"/>
  <c r="K59" i="26" s="1"/>
  <c r="E59" i="20"/>
  <c r="I59" i="20" s="1"/>
  <c r="J59" i="28"/>
  <c r="K59" i="28" s="1"/>
  <c r="H75" i="19"/>
  <c r="H75" i="39" s="1"/>
  <c r="E75" i="21"/>
  <c r="I75" i="21" s="1"/>
  <c r="E75" i="20"/>
  <c r="I75" i="20" s="1"/>
  <c r="H87" i="19"/>
  <c r="H87" i="39" s="1"/>
  <c r="E87" i="21"/>
  <c r="I87" i="21" s="1"/>
  <c r="E87" i="20"/>
  <c r="I87" i="20" s="1"/>
  <c r="E103" i="21"/>
  <c r="E103" i="20"/>
  <c r="E119" i="21"/>
  <c r="E119" i="20"/>
  <c r="E127" i="21"/>
  <c r="E127" i="20"/>
  <c r="E139" i="21"/>
  <c r="E139" i="20"/>
  <c r="E147" i="21"/>
  <c r="E147" i="20"/>
  <c r="H5" i="19"/>
  <c r="H5" i="39" s="1"/>
  <c r="J5" i="22"/>
  <c r="K5" i="22" s="1"/>
  <c r="E5" i="21"/>
  <c r="I5" i="21" s="1"/>
  <c r="J5" i="26"/>
  <c r="K5" i="26" s="1"/>
  <c r="J5" i="28"/>
  <c r="K5" i="28" s="1"/>
  <c r="J5" i="23"/>
  <c r="K5" i="23" s="1"/>
  <c r="J5" i="27"/>
  <c r="K5" i="27" s="1"/>
  <c r="E5" i="20"/>
  <c r="I5" i="20" s="1"/>
  <c r="H9" i="19"/>
  <c r="H9" i="39" s="1"/>
  <c r="J9" i="26"/>
  <c r="K9" i="26" s="1"/>
  <c r="J9" i="28"/>
  <c r="K9" i="28" s="1"/>
  <c r="E9" i="20"/>
  <c r="I9" i="20" s="1"/>
  <c r="H13" i="19"/>
  <c r="H13" i="39" s="1"/>
  <c r="E13" i="21"/>
  <c r="I13" i="21" s="1"/>
  <c r="J13" i="22"/>
  <c r="K13" i="22" s="1"/>
  <c r="J13" i="26"/>
  <c r="K13" i="26" s="1"/>
  <c r="J13" i="28"/>
  <c r="K13" i="28" s="1"/>
  <c r="J13" i="23"/>
  <c r="K13" i="23" s="1"/>
  <c r="J13" i="27"/>
  <c r="K13" i="27" s="1"/>
  <c r="E13" i="20"/>
  <c r="I13" i="20" s="1"/>
  <c r="H17" i="19"/>
  <c r="H17" i="39" s="1"/>
  <c r="J17" i="22"/>
  <c r="K17" i="22" s="1"/>
  <c r="E17" i="21"/>
  <c r="I17" i="21" s="1"/>
  <c r="J17" i="26"/>
  <c r="K17" i="26" s="1"/>
  <c r="J17" i="28"/>
  <c r="K17" i="28" s="1"/>
  <c r="J17" i="23"/>
  <c r="K17" i="23" s="1"/>
  <c r="J17" i="27"/>
  <c r="K17" i="27" s="1"/>
  <c r="E17" i="20"/>
  <c r="I17" i="20" s="1"/>
  <c r="H21" i="19"/>
  <c r="H21" i="39" s="1"/>
  <c r="J21" i="28"/>
  <c r="K21" i="28" s="1"/>
  <c r="H25" i="19"/>
  <c r="H25" i="39" s="1"/>
  <c r="E25" i="21"/>
  <c r="I25" i="21" s="1"/>
  <c r="J25" i="22"/>
  <c r="K25" i="22" s="1"/>
  <c r="J25" i="26"/>
  <c r="K25" i="26" s="1"/>
  <c r="J25" i="28"/>
  <c r="K25" i="28" s="1"/>
  <c r="J25" i="23"/>
  <c r="K25" i="23" s="1"/>
  <c r="J25" i="27"/>
  <c r="K25" i="27" s="1"/>
  <c r="E25" i="20"/>
  <c r="I25" i="20" s="1"/>
  <c r="H29" i="19"/>
  <c r="H29" i="39" s="1"/>
  <c r="E29" i="21"/>
  <c r="I29" i="21" s="1"/>
  <c r="J29" i="22"/>
  <c r="K29" i="22" s="1"/>
  <c r="J29" i="26"/>
  <c r="K29" i="26" s="1"/>
  <c r="J29" i="27"/>
  <c r="K29" i="27" s="1"/>
  <c r="J29" i="28"/>
  <c r="K29" i="28" s="1"/>
  <c r="E29" i="20"/>
  <c r="I29" i="20" s="1"/>
  <c r="J29" i="23"/>
  <c r="K29" i="23" s="1"/>
  <c r="H33" i="19"/>
  <c r="H33" i="39" s="1"/>
  <c r="J33" i="22"/>
  <c r="K33" i="22" s="1"/>
  <c r="E33" i="21"/>
  <c r="I33" i="21" s="1"/>
  <c r="J33" i="26"/>
  <c r="K33" i="26" s="1"/>
  <c r="J33" i="28"/>
  <c r="K33" i="28" s="1"/>
  <c r="J33" i="23"/>
  <c r="K33" i="23" s="1"/>
  <c r="J33" i="27"/>
  <c r="K33" i="27" s="1"/>
  <c r="E33" i="20"/>
  <c r="I33" i="20" s="1"/>
  <c r="H37" i="19"/>
  <c r="H37" i="39" s="1"/>
  <c r="J37" i="22"/>
  <c r="K37" i="22" s="1"/>
  <c r="J37" i="26"/>
  <c r="K37" i="26" s="1"/>
  <c r="E37" i="21"/>
  <c r="I37" i="21" s="1"/>
  <c r="J37" i="28"/>
  <c r="K37" i="28" s="1"/>
  <c r="J37" i="23"/>
  <c r="K37" i="23" s="1"/>
  <c r="E37" i="20"/>
  <c r="I37" i="20" s="1"/>
  <c r="J37" i="27"/>
  <c r="K37" i="27" s="1"/>
  <c r="H41" i="19"/>
  <c r="H41" i="39" s="1"/>
  <c r="E41" i="21"/>
  <c r="I41" i="21" s="1"/>
  <c r="J41" i="22"/>
  <c r="K41" i="22" s="1"/>
  <c r="J41" i="26"/>
  <c r="K41" i="26" s="1"/>
  <c r="J41" i="28"/>
  <c r="K41" i="28" s="1"/>
  <c r="J41" i="27"/>
  <c r="K41" i="27" s="1"/>
  <c r="J41" i="23"/>
  <c r="K41" i="23" s="1"/>
  <c r="E41" i="20"/>
  <c r="I41" i="20" s="1"/>
  <c r="H45" i="19"/>
  <c r="H45" i="39" s="1"/>
  <c r="E45" i="21"/>
  <c r="I45" i="21" s="1"/>
  <c r="J45" i="22"/>
  <c r="K45" i="22" s="1"/>
  <c r="J45" i="26"/>
  <c r="K45" i="26" s="1"/>
  <c r="J45" i="27"/>
  <c r="K45" i="27" s="1"/>
  <c r="J45" i="28"/>
  <c r="K45" i="28" s="1"/>
  <c r="J45" i="23"/>
  <c r="K45" i="23" s="1"/>
  <c r="E45" i="20"/>
  <c r="I45" i="20" s="1"/>
  <c r="H49" i="19"/>
  <c r="H49" i="39" s="1"/>
  <c r="J49" i="22"/>
  <c r="K49" i="22" s="1"/>
  <c r="E49" i="21"/>
  <c r="I49" i="21" s="1"/>
  <c r="J49" i="26"/>
  <c r="K49" i="26" s="1"/>
  <c r="J49" i="28"/>
  <c r="K49" i="28" s="1"/>
  <c r="J49" i="27"/>
  <c r="K49" i="27" s="1"/>
  <c r="J49" i="23"/>
  <c r="K49" i="23" s="1"/>
  <c r="E49" i="20"/>
  <c r="I49" i="20" s="1"/>
  <c r="H53" i="19"/>
  <c r="H53" i="39" s="1"/>
  <c r="J53" i="22"/>
  <c r="K53" i="22" s="1"/>
  <c r="J53" i="26"/>
  <c r="K53" i="26" s="1"/>
  <c r="J53" i="28"/>
  <c r="K53" i="28" s="1"/>
  <c r="E53" i="21"/>
  <c r="I53" i="21" s="1"/>
  <c r="E53" i="20"/>
  <c r="I53" i="20" s="1"/>
  <c r="J53" i="27"/>
  <c r="K53" i="27" s="1"/>
  <c r="J53" i="23"/>
  <c r="K53" i="23" s="1"/>
  <c r="H57" i="19"/>
  <c r="H57" i="39" s="1"/>
  <c r="J57" i="26"/>
  <c r="K57" i="26" s="1"/>
  <c r="J57" i="28"/>
  <c r="K57" i="28" s="1"/>
  <c r="E57" i="20"/>
  <c r="I57" i="20" s="1"/>
  <c r="H61" i="19"/>
  <c r="H61" i="39" s="1"/>
  <c r="E61" i="21"/>
  <c r="I61" i="21" s="1"/>
  <c r="J61" i="22"/>
  <c r="K61" i="22" s="1"/>
  <c r="J61" i="26"/>
  <c r="K61" i="26" s="1"/>
  <c r="J61" i="27"/>
  <c r="K61" i="27" s="1"/>
  <c r="J61" i="28"/>
  <c r="K61" i="28" s="1"/>
  <c r="J61" i="23"/>
  <c r="K61" i="23" s="1"/>
  <c r="E61" i="20"/>
  <c r="I61" i="20" s="1"/>
  <c r="H65" i="19"/>
  <c r="H65" i="39" s="1"/>
  <c r="J65" i="22"/>
  <c r="K65" i="22" s="1"/>
  <c r="E65" i="21"/>
  <c r="I65" i="21" s="1"/>
  <c r="J65" i="26"/>
  <c r="K65" i="26" s="1"/>
  <c r="J65" i="28"/>
  <c r="K65" i="28" s="1"/>
  <c r="J65" i="27"/>
  <c r="K65" i="27" s="1"/>
  <c r="J65" i="23"/>
  <c r="K65" i="23" s="1"/>
  <c r="E65" i="20"/>
  <c r="I65" i="20" s="1"/>
  <c r="H69" i="19"/>
  <c r="H69" i="39" s="1"/>
  <c r="J69" i="28"/>
  <c r="K69" i="28" s="1"/>
  <c r="H73" i="19"/>
  <c r="H73" i="39" s="1"/>
  <c r="E73" i="21"/>
  <c r="I73" i="21" s="1"/>
  <c r="J73" i="22"/>
  <c r="K73" i="22" s="1"/>
  <c r="J73" i="26"/>
  <c r="K73" i="26" s="1"/>
  <c r="J73" i="28"/>
  <c r="K73" i="28" s="1"/>
  <c r="J73" i="23"/>
  <c r="K73" i="23" s="1"/>
  <c r="J73" i="27"/>
  <c r="K73" i="27" s="1"/>
  <c r="E73" i="20"/>
  <c r="I73" i="20" s="1"/>
  <c r="H77" i="19"/>
  <c r="H77" i="39" s="1"/>
  <c r="E77" i="21"/>
  <c r="I77" i="21" s="1"/>
  <c r="J77" i="26"/>
  <c r="K77" i="26" s="1"/>
  <c r="J77" i="27"/>
  <c r="K77" i="27" s="1"/>
  <c r="J77" i="28"/>
  <c r="K77" i="28" s="1"/>
  <c r="J77" i="23"/>
  <c r="K77" i="23" s="1"/>
  <c r="J77" i="22"/>
  <c r="K77" i="22" s="1"/>
  <c r="E77" i="20"/>
  <c r="I77" i="20" s="1"/>
  <c r="H81" i="19"/>
  <c r="H81" i="39" s="1"/>
  <c r="J81" i="22"/>
  <c r="K81" i="22" s="1"/>
  <c r="E81" i="21"/>
  <c r="I81" i="21" s="1"/>
  <c r="J81" i="26"/>
  <c r="K81" i="26" s="1"/>
  <c r="J81" i="28"/>
  <c r="K81" i="28" s="1"/>
  <c r="J81" i="23"/>
  <c r="K81" i="23" s="1"/>
  <c r="J81" i="27"/>
  <c r="K81" i="27" s="1"/>
  <c r="E81" i="20"/>
  <c r="I81" i="20" s="1"/>
  <c r="H85" i="19"/>
  <c r="H85" i="39" s="1"/>
  <c r="J85" i="22"/>
  <c r="K85" i="22" s="1"/>
  <c r="E85" i="21"/>
  <c r="I85" i="21" s="1"/>
  <c r="J85" i="26"/>
  <c r="K85" i="26" s="1"/>
  <c r="J85" i="28"/>
  <c r="K85" i="28" s="1"/>
  <c r="J85" i="27"/>
  <c r="K85" i="27" s="1"/>
  <c r="J85" i="23"/>
  <c r="K85" i="23" s="1"/>
  <c r="E85" i="20"/>
  <c r="I85" i="20" s="1"/>
  <c r="H89" i="19"/>
  <c r="H89" i="39" s="1"/>
  <c r="E89" i="21"/>
  <c r="I89" i="21" s="1"/>
  <c r="J89" i="22"/>
  <c r="K89" i="22" s="1"/>
  <c r="J89" i="26"/>
  <c r="K89" i="26" s="1"/>
  <c r="J89" i="28"/>
  <c r="K89" i="28" s="1"/>
  <c r="J89" i="23"/>
  <c r="K89" i="23" s="1"/>
  <c r="J89" i="27"/>
  <c r="K89" i="27" s="1"/>
  <c r="E89" i="20"/>
  <c r="I89" i="20" s="1"/>
  <c r="H93" i="19"/>
  <c r="H93" i="39" s="1"/>
  <c r="E93" i="21"/>
  <c r="I93" i="21" s="1"/>
  <c r="J93" i="22"/>
  <c r="K93" i="22" s="1"/>
  <c r="J93" i="26"/>
  <c r="K93" i="26" s="1"/>
  <c r="J93" i="27"/>
  <c r="K93" i="27" s="1"/>
  <c r="J93" i="28"/>
  <c r="K93" i="28" s="1"/>
  <c r="E93" i="20"/>
  <c r="I93" i="20" s="1"/>
  <c r="J93" i="23"/>
  <c r="K93" i="23" s="1"/>
  <c r="H97" i="19"/>
  <c r="H97" i="39" s="1"/>
  <c r="J97" i="22"/>
  <c r="K97" i="22" s="1"/>
  <c r="E97" i="21"/>
  <c r="I97" i="21" s="1"/>
  <c r="J97" i="26"/>
  <c r="K97" i="26" s="1"/>
  <c r="J97" i="28"/>
  <c r="K97" i="28" s="1"/>
  <c r="E97" i="20"/>
  <c r="I97" i="20" s="1"/>
  <c r="J97" i="23"/>
  <c r="K97" i="23" s="1"/>
  <c r="J97" i="27"/>
  <c r="K97" i="27" s="1"/>
  <c r="E101" i="21"/>
  <c r="E101" i="20"/>
  <c r="E105" i="21"/>
  <c r="E105" i="20"/>
  <c r="E109" i="21"/>
  <c r="E109" i="20"/>
  <c r="E113" i="21"/>
  <c r="E113" i="20"/>
  <c r="E117" i="20"/>
  <c r="E121" i="21"/>
  <c r="E121" i="20"/>
  <c r="E125" i="21"/>
  <c r="E125" i="20"/>
  <c r="E129" i="21"/>
  <c r="E129" i="20"/>
  <c r="E133" i="21"/>
  <c r="E133" i="20"/>
  <c r="E137" i="21"/>
  <c r="E137" i="20"/>
  <c r="E141" i="21"/>
  <c r="E141" i="20"/>
  <c r="E145" i="21"/>
  <c r="E145" i="20"/>
  <c r="H7" i="19"/>
  <c r="H7" i="39" s="1"/>
  <c r="E7" i="21"/>
  <c r="I7" i="21" s="1"/>
  <c r="J7" i="23"/>
  <c r="K7" i="23" s="1"/>
  <c r="J7" i="26"/>
  <c r="K7" i="26" s="1"/>
  <c r="J7" i="28"/>
  <c r="K7" i="28" s="1"/>
  <c r="E7" i="20"/>
  <c r="I7" i="20" s="1"/>
  <c r="J7" i="27"/>
  <c r="K7" i="27" s="1"/>
  <c r="J7" i="22"/>
  <c r="K7" i="22" s="1"/>
  <c r="H19" i="19"/>
  <c r="H19" i="39" s="1"/>
  <c r="E19" i="21"/>
  <c r="I19" i="21" s="1"/>
  <c r="J19" i="23"/>
  <c r="K19" i="23" s="1"/>
  <c r="J19" i="22"/>
  <c r="K19" i="22" s="1"/>
  <c r="J19" i="26"/>
  <c r="K19" i="26" s="1"/>
  <c r="J19" i="28"/>
  <c r="K19" i="28" s="1"/>
  <c r="E19" i="20"/>
  <c r="I19" i="20" s="1"/>
  <c r="J19" i="27"/>
  <c r="K19" i="27" s="1"/>
  <c r="H31" i="19"/>
  <c r="H31" i="39" s="1"/>
  <c r="E31" i="21"/>
  <c r="I31" i="21" s="1"/>
  <c r="J31" i="23"/>
  <c r="K31" i="23" s="1"/>
  <c r="J31" i="27"/>
  <c r="K31" i="27" s="1"/>
  <c r="J31" i="26"/>
  <c r="K31" i="26" s="1"/>
  <c r="E31" i="20"/>
  <c r="I31" i="20" s="1"/>
  <c r="J31" i="22"/>
  <c r="K31" i="22" s="1"/>
  <c r="J31" i="28"/>
  <c r="K31" i="28" s="1"/>
  <c r="H39" i="19"/>
  <c r="H39" i="39" s="1"/>
  <c r="E39" i="21"/>
  <c r="I39" i="21" s="1"/>
  <c r="E39" i="20"/>
  <c r="I39" i="20" s="1"/>
  <c r="H51" i="19"/>
  <c r="H51" i="39" s="1"/>
  <c r="E51" i="21"/>
  <c r="I51" i="21" s="1"/>
  <c r="E51" i="20"/>
  <c r="I51" i="20" s="1"/>
  <c r="H63" i="19"/>
  <c r="H63" i="39" s="1"/>
  <c r="E63" i="21"/>
  <c r="I63" i="21" s="1"/>
  <c r="E63" i="20"/>
  <c r="I63" i="20" s="1"/>
  <c r="H71" i="19"/>
  <c r="H71" i="39" s="1"/>
  <c r="J71" i="22"/>
  <c r="K71" i="22" s="1"/>
  <c r="E71" i="21"/>
  <c r="I71" i="21" s="1"/>
  <c r="J71" i="23"/>
  <c r="K71" i="23" s="1"/>
  <c r="J71" i="27"/>
  <c r="K71" i="27" s="1"/>
  <c r="J71" i="26"/>
  <c r="K71" i="26" s="1"/>
  <c r="J71" i="28"/>
  <c r="K71" i="28" s="1"/>
  <c r="E71" i="20"/>
  <c r="I71" i="20" s="1"/>
  <c r="H83" i="19"/>
  <c r="H83" i="39" s="1"/>
  <c r="J83" i="22"/>
  <c r="K83" i="22" s="1"/>
  <c r="E83" i="21"/>
  <c r="I83" i="21" s="1"/>
  <c r="J83" i="23"/>
  <c r="K83" i="23" s="1"/>
  <c r="J83" i="27"/>
  <c r="K83" i="27" s="1"/>
  <c r="J83" i="26"/>
  <c r="K83" i="26" s="1"/>
  <c r="J83" i="28"/>
  <c r="K83" i="28" s="1"/>
  <c r="E83" i="20"/>
  <c r="I83" i="20" s="1"/>
  <c r="H91" i="19"/>
  <c r="H91" i="39" s="1"/>
  <c r="J91" i="22"/>
  <c r="K91" i="22" s="1"/>
  <c r="E91" i="21"/>
  <c r="I91" i="21" s="1"/>
  <c r="J91" i="23"/>
  <c r="K91" i="23" s="1"/>
  <c r="J91" i="27"/>
  <c r="K91" i="27" s="1"/>
  <c r="J91" i="26"/>
  <c r="K91" i="26" s="1"/>
  <c r="E91" i="20"/>
  <c r="I91" i="20" s="1"/>
  <c r="J91" i="28"/>
  <c r="K91" i="28" s="1"/>
  <c r="E99" i="21"/>
  <c r="E99" i="20"/>
  <c r="E111" i="21"/>
  <c r="E111" i="20"/>
  <c r="E131" i="21"/>
  <c r="E131" i="20"/>
  <c r="H6" i="19"/>
  <c r="H6" i="39" s="1"/>
  <c r="E6" i="21"/>
  <c r="I6" i="21" s="1"/>
  <c r="J6" i="22"/>
  <c r="K6" i="22" s="1"/>
  <c r="J6" i="27"/>
  <c r="K6" i="27" s="1"/>
  <c r="J6" i="28"/>
  <c r="K6" i="28" s="1"/>
  <c r="E6" i="20"/>
  <c r="I6" i="20" s="1"/>
  <c r="J6" i="23"/>
  <c r="K6" i="23" s="1"/>
  <c r="J6" i="26"/>
  <c r="K6" i="26" s="1"/>
  <c r="E10" i="21"/>
  <c r="I10" i="21" s="1"/>
  <c r="J10" i="23"/>
  <c r="K10" i="23" s="1"/>
  <c r="J10" i="28"/>
  <c r="K10" i="28" s="1"/>
  <c r="J10" i="26"/>
  <c r="K10" i="26" s="1"/>
  <c r="H14" i="19"/>
  <c r="H14" i="39" s="1"/>
  <c r="E14" i="21"/>
  <c r="I14" i="21" s="1"/>
  <c r="J14" i="22"/>
  <c r="K14" i="22" s="1"/>
  <c r="J14" i="27"/>
  <c r="K14" i="27" s="1"/>
  <c r="J14" i="26"/>
  <c r="K14" i="26" s="1"/>
  <c r="E14" i="20"/>
  <c r="I14" i="20" s="1"/>
  <c r="J14" i="23"/>
  <c r="K14" i="23" s="1"/>
  <c r="J14" i="28"/>
  <c r="K14" i="28" s="1"/>
  <c r="J18" i="22"/>
  <c r="K18" i="22" s="1"/>
  <c r="J18" i="28"/>
  <c r="K18" i="28" s="1"/>
  <c r="H22" i="19"/>
  <c r="H22" i="39" s="1"/>
  <c r="E22" i="21"/>
  <c r="I22" i="21" s="1"/>
  <c r="J22" i="22"/>
  <c r="K22" i="22" s="1"/>
  <c r="J22" i="27"/>
  <c r="K22" i="27" s="1"/>
  <c r="J22" i="28"/>
  <c r="K22" i="28" s="1"/>
  <c r="E22" i="20"/>
  <c r="I22" i="20" s="1"/>
  <c r="J22" i="26"/>
  <c r="K22" i="26" s="1"/>
  <c r="J22" i="23"/>
  <c r="K22" i="23" s="1"/>
  <c r="H26" i="19"/>
  <c r="H26" i="39" s="1"/>
  <c r="E26" i="21"/>
  <c r="I26" i="21" s="1"/>
  <c r="J26" i="22"/>
  <c r="K26" i="22" s="1"/>
  <c r="J26" i="23"/>
  <c r="K26" i="23" s="1"/>
  <c r="J26" i="27"/>
  <c r="K26" i="27" s="1"/>
  <c r="J26" i="26"/>
  <c r="K26" i="26" s="1"/>
  <c r="E26" i="20"/>
  <c r="I26" i="20" s="1"/>
  <c r="J26" i="28"/>
  <c r="K26" i="28" s="1"/>
  <c r="H30" i="19"/>
  <c r="H30" i="39" s="1"/>
  <c r="E30" i="21"/>
  <c r="I30" i="21" s="1"/>
  <c r="J30" i="22"/>
  <c r="K30" i="22" s="1"/>
  <c r="J30" i="23"/>
  <c r="K30" i="23" s="1"/>
  <c r="E30" i="20"/>
  <c r="I30" i="20" s="1"/>
  <c r="J30" i="27"/>
  <c r="K30" i="27" s="1"/>
  <c r="J30" i="28"/>
  <c r="K30" i="28" s="1"/>
  <c r="J30" i="26"/>
  <c r="K30" i="26" s="1"/>
  <c r="J34" i="22"/>
  <c r="K34" i="22" s="1"/>
  <c r="E34" i="21"/>
  <c r="I34" i="21" s="1"/>
  <c r="J34" i="26"/>
  <c r="K34" i="26" s="1"/>
  <c r="J34" i="27"/>
  <c r="K34" i="27" s="1"/>
  <c r="H38" i="19"/>
  <c r="H38" i="39" s="1"/>
  <c r="E38" i="21"/>
  <c r="I38" i="21" s="1"/>
  <c r="J38" i="22"/>
  <c r="K38" i="22" s="1"/>
  <c r="J38" i="27"/>
  <c r="K38" i="27" s="1"/>
  <c r="J38" i="28"/>
  <c r="K38" i="28" s="1"/>
  <c r="E38" i="20"/>
  <c r="I38" i="20" s="1"/>
  <c r="J38" i="23"/>
  <c r="K38" i="23" s="1"/>
  <c r="J38" i="26"/>
  <c r="K38" i="26" s="1"/>
  <c r="J42" i="22"/>
  <c r="K42" i="22" s="1"/>
  <c r="J42" i="28"/>
  <c r="K42" i="28" s="1"/>
  <c r="H46" i="19"/>
  <c r="H46" i="39" s="1"/>
  <c r="E46" i="21"/>
  <c r="I46" i="21" s="1"/>
  <c r="J46" i="22"/>
  <c r="K46" i="22" s="1"/>
  <c r="J46" i="26"/>
  <c r="K46" i="26" s="1"/>
  <c r="J46" i="27"/>
  <c r="K46" i="27" s="1"/>
  <c r="E46" i="20"/>
  <c r="I46" i="20" s="1"/>
  <c r="J46" i="28"/>
  <c r="K46" i="28" s="1"/>
  <c r="J46" i="23"/>
  <c r="K46" i="23" s="1"/>
  <c r="H50" i="19"/>
  <c r="H50" i="39" s="1"/>
  <c r="J50" i="22"/>
  <c r="K50" i="22" s="1"/>
  <c r="E50" i="21"/>
  <c r="I50" i="21" s="1"/>
  <c r="J50" i="23"/>
  <c r="K50" i="23" s="1"/>
  <c r="E50" i="20"/>
  <c r="I50" i="20" s="1"/>
  <c r="J50" i="26"/>
  <c r="K50" i="26" s="1"/>
  <c r="J50" i="28"/>
  <c r="K50" i="28" s="1"/>
  <c r="J50" i="27"/>
  <c r="K50" i="27" s="1"/>
  <c r="H54" i="19"/>
  <c r="H54" i="39" s="1"/>
  <c r="E54" i="21"/>
  <c r="I54" i="21" s="1"/>
  <c r="J54" i="22"/>
  <c r="K54" i="22" s="1"/>
  <c r="J54" i="28"/>
  <c r="K54" i="28" s="1"/>
  <c r="E54" i="20"/>
  <c r="I54" i="20" s="1"/>
  <c r="J54" i="26"/>
  <c r="K54" i="26" s="1"/>
  <c r="J54" i="23"/>
  <c r="K54" i="23" s="1"/>
  <c r="J54" i="27"/>
  <c r="K54" i="27" s="1"/>
  <c r="E58" i="21"/>
  <c r="I58" i="21" s="1"/>
  <c r="J58" i="22"/>
  <c r="K58" i="22" s="1"/>
  <c r="J58" i="26"/>
  <c r="K58" i="26" s="1"/>
  <c r="E58" i="20"/>
  <c r="I58" i="20" s="1"/>
  <c r="H62" i="19"/>
  <c r="H62" i="39" s="1"/>
  <c r="E62" i="21"/>
  <c r="I62" i="21" s="1"/>
  <c r="J62" i="22"/>
  <c r="K62" i="22" s="1"/>
  <c r="J62" i="23"/>
  <c r="K62" i="23" s="1"/>
  <c r="E62" i="20"/>
  <c r="I62" i="20" s="1"/>
  <c r="J62" i="26"/>
  <c r="K62" i="26" s="1"/>
  <c r="J62" i="27"/>
  <c r="K62" i="27" s="1"/>
  <c r="J62" i="28"/>
  <c r="K62" i="28" s="1"/>
  <c r="E66" i="21"/>
  <c r="I66" i="21" s="1"/>
  <c r="J66" i="27"/>
  <c r="K66" i="27" s="1"/>
  <c r="H70" i="19"/>
  <c r="H70" i="39" s="1"/>
  <c r="E70" i="21"/>
  <c r="I70" i="21" s="1"/>
  <c r="J70" i="22"/>
  <c r="K70" i="22" s="1"/>
  <c r="J70" i="28"/>
  <c r="K70" i="28" s="1"/>
  <c r="E70" i="20"/>
  <c r="I70" i="20" s="1"/>
  <c r="J70" i="23"/>
  <c r="K70" i="23" s="1"/>
  <c r="J70" i="27"/>
  <c r="K70" i="27" s="1"/>
  <c r="J70" i="26"/>
  <c r="K70" i="26" s="1"/>
  <c r="H74" i="19"/>
  <c r="H74" i="39" s="1"/>
  <c r="E74" i="21"/>
  <c r="I74" i="21" s="1"/>
  <c r="J74" i="22"/>
  <c r="K74" i="22" s="1"/>
  <c r="J74" i="23"/>
  <c r="K74" i="23" s="1"/>
  <c r="J74" i="27"/>
  <c r="K74" i="27" s="1"/>
  <c r="E74" i="20"/>
  <c r="I74" i="20" s="1"/>
  <c r="J74" i="28"/>
  <c r="K74" i="28" s="1"/>
  <c r="J74" i="26"/>
  <c r="K74" i="26" s="1"/>
  <c r="H78" i="19"/>
  <c r="H78" i="39" s="1"/>
  <c r="J78" i="22"/>
  <c r="K78" i="22" s="1"/>
  <c r="E78" i="21"/>
  <c r="I78" i="21" s="1"/>
  <c r="J78" i="26"/>
  <c r="K78" i="26" s="1"/>
  <c r="E78" i="20"/>
  <c r="I78" i="20" s="1"/>
  <c r="J78" i="23"/>
  <c r="K78" i="23" s="1"/>
  <c r="J78" i="27"/>
  <c r="K78" i="27" s="1"/>
  <c r="J78" i="28"/>
  <c r="K78" i="28" s="1"/>
  <c r="J82" i="22"/>
  <c r="K82" i="22" s="1"/>
  <c r="E82" i="21"/>
  <c r="I82" i="21" s="1"/>
  <c r="E82" i="20"/>
  <c r="I82" i="20" s="1"/>
  <c r="J82" i="28"/>
  <c r="K82" i="28" s="1"/>
  <c r="H86" i="19"/>
  <c r="H86" i="39" s="1"/>
  <c r="E86" i="21"/>
  <c r="I86" i="21" s="1"/>
  <c r="J86" i="22"/>
  <c r="K86" i="22" s="1"/>
  <c r="J86" i="28"/>
  <c r="K86" i="28" s="1"/>
  <c r="E86" i="20"/>
  <c r="I86" i="20" s="1"/>
  <c r="J86" i="26"/>
  <c r="K86" i="26" s="1"/>
  <c r="J86" i="27"/>
  <c r="K86" i="27" s="1"/>
  <c r="J86" i="23"/>
  <c r="K86" i="23" s="1"/>
  <c r="J90" i="23"/>
  <c r="K90" i="23" s="1"/>
  <c r="J90" i="28"/>
  <c r="K90" i="28" s="1"/>
  <c r="H94" i="19"/>
  <c r="H94" i="39" s="1"/>
  <c r="J94" i="22"/>
  <c r="K94" i="22" s="1"/>
  <c r="E94" i="21"/>
  <c r="I94" i="21" s="1"/>
  <c r="J94" i="23"/>
  <c r="K94" i="23" s="1"/>
  <c r="E94" i="20"/>
  <c r="I94" i="20" s="1"/>
  <c r="J94" i="27"/>
  <c r="K94" i="27" s="1"/>
  <c r="J94" i="28"/>
  <c r="K94" i="28" s="1"/>
  <c r="J94" i="26"/>
  <c r="K94" i="26" s="1"/>
  <c r="H98" i="19"/>
  <c r="H98" i="39" s="1"/>
  <c r="J98" i="22"/>
  <c r="K98" i="22" s="1"/>
  <c r="E98" i="21"/>
  <c r="I98" i="21" s="1"/>
  <c r="J98" i="23"/>
  <c r="K98" i="23" s="1"/>
  <c r="J98" i="26"/>
  <c r="K98" i="26" s="1"/>
  <c r="E98" i="20"/>
  <c r="I98" i="20" s="1"/>
  <c r="J98" i="27"/>
  <c r="K98" i="27" s="1"/>
  <c r="J98" i="28"/>
  <c r="K98" i="28" s="1"/>
  <c r="E102" i="21"/>
  <c r="E102" i="20"/>
  <c r="E110" i="21"/>
  <c r="E110" i="20"/>
  <c r="E114" i="21"/>
  <c r="E118" i="21"/>
  <c r="E118" i="20"/>
  <c r="E122" i="21"/>
  <c r="E122" i="20"/>
  <c r="E126" i="21"/>
  <c r="E126" i="20"/>
  <c r="E130" i="20"/>
  <c r="E134" i="20"/>
  <c r="E142" i="21"/>
  <c r="E142" i="20"/>
  <c r="E146" i="21"/>
  <c r="E146" i="20"/>
  <c r="B219" i="19"/>
  <c r="B218" i="19"/>
  <c r="G114" i="38" l="1"/>
  <c r="H72" i="38"/>
  <c r="K9" i="11"/>
  <c r="K57" i="38"/>
  <c r="K57" i="11" s="1"/>
  <c r="K62" i="11" s="1"/>
  <c r="H114" i="38"/>
  <c r="J52" i="11"/>
  <c r="J57" i="38"/>
  <c r="J57" i="11" s="1"/>
  <c r="G72" i="38"/>
  <c r="J9" i="11"/>
  <c r="E148" i="20"/>
  <c r="W148" i="39"/>
  <c r="C15" i="34"/>
  <c r="F15" i="9"/>
  <c r="C16" i="34"/>
  <c r="F16" i="9"/>
  <c r="J98" i="21"/>
  <c r="K98" i="21" s="1"/>
  <c r="J86" i="20"/>
  <c r="K86" i="20" s="1"/>
  <c r="J30" i="20"/>
  <c r="K30" i="20" s="1"/>
  <c r="J91" i="21"/>
  <c r="K91" i="21" s="1"/>
  <c r="J89" i="20"/>
  <c r="K89" i="20" s="1"/>
  <c r="J85" i="20"/>
  <c r="K85" i="20" s="1"/>
  <c r="J81" i="20"/>
  <c r="K81" i="20" s="1"/>
  <c r="J77" i="20"/>
  <c r="K77" i="20" s="1"/>
  <c r="J73" i="20"/>
  <c r="K73" i="20" s="1"/>
  <c r="J61" i="21"/>
  <c r="K61" i="21" s="1"/>
  <c r="J53" i="20"/>
  <c r="K53" i="20" s="1"/>
  <c r="J45" i="21"/>
  <c r="K45" i="21" s="1"/>
  <c r="J41" i="21"/>
  <c r="K41" i="21" s="1"/>
  <c r="J29" i="21"/>
  <c r="K29" i="21" s="1"/>
  <c r="J25" i="21"/>
  <c r="K25" i="21" s="1"/>
  <c r="J17" i="20"/>
  <c r="K17" i="20" s="1"/>
  <c r="J13" i="20"/>
  <c r="K13" i="20" s="1"/>
  <c r="J9" i="20"/>
  <c r="K9" i="20" s="1"/>
  <c r="J5" i="20"/>
  <c r="K5" i="20" s="1"/>
  <c r="J59" i="21"/>
  <c r="K59" i="21" s="1"/>
  <c r="J35" i="21"/>
  <c r="K35" i="21" s="1"/>
  <c r="J23" i="20"/>
  <c r="K23" i="20" s="1"/>
  <c r="J23" i="21"/>
  <c r="K23" i="21" s="1"/>
  <c r="J60" i="20"/>
  <c r="K60" i="20" s="1"/>
  <c r="J40" i="20"/>
  <c r="K40" i="20" s="1"/>
  <c r="J36" i="20"/>
  <c r="K36" i="20" s="1"/>
  <c r="J28" i="20"/>
  <c r="K28" i="20" s="1"/>
  <c r="J20" i="21"/>
  <c r="K20" i="21" s="1"/>
  <c r="J55" i="20"/>
  <c r="K55" i="20" s="1"/>
  <c r="J11" i="20"/>
  <c r="K11" i="20" s="1"/>
  <c r="J11" i="21"/>
  <c r="K11" i="21" s="1"/>
  <c r="H89" i="33"/>
  <c r="W89" i="39"/>
  <c r="I77" i="32"/>
  <c r="J77" i="32" s="1"/>
  <c r="Q77" i="39"/>
  <c r="H65" i="33"/>
  <c r="W65" i="39"/>
  <c r="I53" i="32"/>
  <c r="J53" i="32" s="1"/>
  <c r="Q53" i="39"/>
  <c r="I41" i="32"/>
  <c r="J41" i="32" s="1"/>
  <c r="Q41" i="39"/>
  <c r="H29" i="33"/>
  <c r="W29" i="39"/>
  <c r="H17" i="33"/>
  <c r="W17" i="39"/>
  <c r="J9" i="21"/>
  <c r="K9" i="21" s="1"/>
  <c r="H96" i="33"/>
  <c r="W96" i="39"/>
  <c r="H84" i="33"/>
  <c r="W84" i="39"/>
  <c r="H72" i="33"/>
  <c r="W72" i="39"/>
  <c r="H60" i="33"/>
  <c r="W60" i="39"/>
  <c r="H48" i="33"/>
  <c r="W48" i="39"/>
  <c r="I36" i="32"/>
  <c r="J36" i="32" s="1"/>
  <c r="Q36" i="39"/>
  <c r="H24" i="33"/>
  <c r="W24" i="39"/>
  <c r="I12" i="32"/>
  <c r="J12" i="32" s="1"/>
  <c r="Q12" i="39"/>
  <c r="H71" i="33"/>
  <c r="W71" i="39"/>
  <c r="H91" i="33"/>
  <c r="W91" i="39"/>
  <c r="I55" i="32"/>
  <c r="J55" i="32" s="1"/>
  <c r="Q55" i="39"/>
  <c r="H87" i="33"/>
  <c r="Z87" i="39" s="1"/>
  <c r="W87" i="39"/>
  <c r="H63" i="33"/>
  <c r="Z63" i="39" s="1"/>
  <c r="W63" i="39"/>
  <c r="H15" i="33"/>
  <c r="Z15" i="39" s="1"/>
  <c r="W15" i="39"/>
  <c r="H98" i="33"/>
  <c r="W98" i="39"/>
  <c r="H74" i="33"/>
  <c r="W74" i="39"/>
  <c r="H50" i="33"/>
  <c r="W50" i="39"/>
  <c r="H26" i="33"/>
  <c r="W26" i="39"/>
  <c r="I95" i="32"/>
  <c r="J95" i="32" s="1"/>
  <c r="Q95" i="39"/>
  <c r="H59" i="33"/>
  <c r="W59" i="39"/>
  <c r="H35" i="33"/>
  <c r="W35" i="39"/>
  <c r="H11" i="33"/>
  <c r="W11" i="39"/>
  <c r="I67" i="32"/>
  <c r="J67" i="32" s="1"/>
  <c r="Q67" i="39"/>
  <c r="I31" i="32"/>
  <c r="J31" i="32" s="1"/>
  <c r="Q31" i="39"/>
  <c r="J98" i="20"/>
  <c r="K98" i="20" s="1"/>
  <c r="J62" i="21"/>
  <c r="K62" i="21" s="1"/>
  <c r="J54" i="21"/>
  <c r="K54" i="21" s="1"/>
  <c r="J46" i="20"/>
  <c r="K46" i="20" s="1"/>
  <c r="J46" i="21"/>
  <c r="K46" i="21" s="1"/>
  <c r="J14" i="20"/>
  <c r="K14" i="20" s="1"/>
  <c r="J14" i="21"/>
  <c r="K14" i="21" s="1"/>
  <c r="J6" i="20"/>
  <c r="K6" i="20" s="1"/>
  <c r="J6" i="21"/>
  <c r="K6" i="21" s="1"/>
  <c r="J19" i="20"/>
  <c r="K19" i="20" s="1"/>
  <c r="J97" i="21"/>
  <c r="K97" i="21" s="1"/>
  <c r="J93" i="20"/>
  <c r="K93" i="20" s="1"/>
  <c r="J85" i="21"/>
  <c r="K85" i="21" s="1"/>
  <c r="J81" i="21"/>
  <c r="K81" i="21" s="1"/>
  <c r="J53" i="21"/>
  <c r="K53" i="21" s="1"/>
  <c r="J17" i="21"/>
  <c r="K17" i="21" s="1"/>
  <c r="J5" i="21"/>
  <c r="K5" i="21" s="1"/>
  <c r="J88" i="20"/>
  <c r="K88" i="20" s="1"/>
  <c r="J80" i="20"/>
  <c r="K80" i="20" s="1"/>
  <c r="J72" i="20"/>
  <c r="K72" i="20" s="1"/>
  <c r="J64" i="21"/>
  <c r="K64" i="21" s="1"/>
  <c r="J60" i="21"/>
  <c r="K60" i="21" s="1"/>
  <c r="J56" i="21"/>
  <c r="K56" i="21" s="1"/>
  <c r="J52" i="21"/>
  <c r="K52" i="21" s="1"/>
  <c r="J48" i="21"/>
  <c r="K48" i="21" s="1"/>
  <c r="J44" i="21"/>
  <c r="K44" i="21" s="1"/>
  <c r="J40" i="21"/>
  <c r="K40" i="21" s="1"/>
  <c r="J36" i="21"/>
  <c r="K36" i="21" s="1"/>
  <c r="J32" i="21"/>
  <c r="K32" i="21" s="1"/>
  <c r="J28" i="21"/>
  <c r="K28" i="21" s="1"/>
  <c r="J24" i="21"/>
  <c r="K24" i="21" s="1"/>
  <c r="J16" i="20"/>
  <c r="K16" i="20" s="1"/>
  <c r="J12" i="20"/>
  <c r="K12" i="20" s="1"/>
  <c r="J4" i="20"/>
  <c r="K4" i="20" s="1"/>
  <c r="J95" i="20"/>
  <c r="K95" i="20" s="1"/>
  <c r="J95" i="21"/>
  <c r="K95" i="21" s="1"/>
  <c r="J79" i="20"/>
  <c r="K79" i="20" s="1"/>
  <c r="J67" i="20"/>
  <c r="K67" i="20" s="1"/>
  <c r="I89" i="32"/>
  <c r="J89" i="32" s="1"/>
  <c r="Q89" i="39"/>
  <c r="H77" i="33"/>
  <c r="W77" i="39"/>
  <c r="I65" i="32"/>
  <c r="J65" i="32" s="1"/>
  <c r="Q65" i="39"/>
  <c r="H53" i="33"/>
  <c r="W53" i="39"/>
  <c r="H41" i="33"/>
  <c r="W41" i="39"/>
  <c r="I29" i="32"/>
  <c r="J29" i="32" s="1"/>
  <c r="Q29" i="39"/>
  <c r="I17" i="32"/>
  <c r="J17" i="32" s="1"/>
  <c r="Q17" i="39"/>
  <c r="I5" i="32"/>
  <c r="J5" i="32" s="1"/>
  <c r="Q5" i="39"/>
  <c r="I88" i="32"/>
  <c r="J88" i="32" s="1"/>
  <c r="Q88" i="39"/>
  <c r="I76" i="32"/>
  <c r="J76" i="32" s="1"/>
  <c r="Q76" i="39"/>
  <c r="I64" i="32"/>
  <c r="J64" i="32" s="1"/>
  <c r="Q64" i="39"/>
  <c r="I52" i="32"/>
  <c r="J52" i="32" s="1"/>
  <c r="Q52" i="39"/>
  <c r="I40" i="32"/>
  <c r="J40" i="32" s="1"/>
  <c r="Q40" i="39"/>
  <c r="I28" i="32"/>
  <c r="J28" i="32" s="1"/>
  <c r="Q28" i="39"/>
  <c r="H12" i="33"/>
  <c r="W12" i="39"/>
  <c r="I71" i="32"/>
  <c r="J71" i="32" s="1"/>
  <c r="Q71" i="39"/>
  <c r="H79" i="33"/>
  <c r="W79" i="39"/>
  <c r="H19" i="33"/>
  <c r="W19" i="39"/>
  <c r="H39" i="33"/>
  <c r="Z39" i="39" s="1"/>
  <c r="W39" i="39"/>
  <c r="I86" i="32"/>
  <c r="J86" i="32" s="1"/>
  <c r="Q86" i="39"/>
  <c r="I62" i="32"/>
  <c r="J62" i="32" s="1"/>
  <c r="Q62" i="39"/>
  <c r="I38" i="32"/>
  <c r="J38" i="32" s="1"/>
  <c r="Q38" i="39"/>
  <c r="I14" i="32"/>
  <c r="J14" i="32" s="1"/>
  <c r="Q14" i="39"/>
  <c r="I83" i="32"/>
  <c r="J83" i="32" s="1"/>
  <c r="Q83" i="39"/>
  <c r="H47" i="33"/>
  <c r="W47" i="39"/>
  <c r="H23" i="33"/>
  <c r="W23" i="39"/>
  <c r="H67" i="33"/>
  <c r="W67" i="39"/>
  <c r="H31" i="33"/>
  <c r="W31" i="39"/>
  <c r="J94" i="21"/>
  <c r="K94" i="21" s="1"/>
  <c r="J78" i="20"/>
  <c r="K78" i="20" s="1"/>
  <c r="J70" i="20"/>
  <c r="K70" i="20" s="1"/>
  <c r="J50" i="21"/>
  <c r="K50" i="21" s="1"/>
  <c r="J91" i="20"/>
  <c r="K91" i="20" s="1"/>
  <c r="J83" i="21"/>
  <c r="K83" i="21" s="1"/>
  <c r="J71" i="21"/>
  <c r="K71" i="21" s="1"/>
  <c r="J94" i="20"/>
  <c r="K94" i="20" s="1"/>
  <c r="J82" i="20"/>
  <c r="K82" i="20" s="1"/>
  <c r="J78" i="21"/>
  <c r="K78" i="21" s="1"/>
  <c r="J66" i="21"/>
  <c r="K66" i="21" s="1"/>
  <c r="J62" i="20"/>
  <c r="K62" i="20" s="1"/>
  <c r="J58" i="21"/>
  <c r="K58" i="21" s="1"/>
  <c r="J54" i="20"/>
  <c r="K54" i="20" s="1"/>
  <c r="J50" i="20"/>
  <c r="K50" i="20" s="1"/>
  <c r="J26" i="20"/>
  <c r="K26" i="20" s="1"/>
  <c r="J10" i="21"/>
  <c r="K10" i="21" s="1"/>
  <c r="J31" i="20"/>
  <c r="K31" i="20" s="1"/>
  <c r="J31" i="21"/>
  <c r="K31" i="21" s="1"/>
  <c r="J19" i="21"/>
  <c r="K19" i="21" s="1"/>
  <c r="J7" i="20"/>
  <c r="K7" i="20" s="1"/>
  <c r="J7" i="21"/>
  <c r="K7" i="21" s="1"/>
  <c r="J97" i="20"/>
  <c r="K97" i="20" s="1"/>
  <c r="J93" i="21"/>
  <c r="K93" i="21" s="1"/>
  <c r="J89" i="21"/>
  <c r="K89" i="21" s="1"/>
  <c r="J77" i="21"/>
  <c r="K77" i="21" s="1"/>
  <c r="J73" i="21"/>
  <c r="K73" i="21" s="1"/>
  <c r="J65" i="20"/>
  <c r="K65" i="20" s="1"/>
  <c r="J61" i="20"/>
  <c r="K61" i="20" s="1"/>
  <c r="J57" i="20"/>
  <c r="K57" i="20" s="1"/>
  <c r="J49" i="20"/>
  <c r="K49" i="20" s="1"/>
  <c r="J45" i="20"/>
  <c r="K45" i="20" s="1"/>
  <c r="J41" i="20"/>
  <c r="K41" i="20" s="1"/>
  <c r="J37" i="21"/>
  <c r="K37" i="21" s="1"/>
  <c r="J33" i="20"/>
  <c r="K33" i="20" s="1"/>
  <c r="J25" i="20"/>
  <c r="K25" i="20" s="1"/>
  <c r="J13" i="21"/>
  <c r="K13" i="21" s="1"/>
  <c r="J96" i="20"/>
  <c r="K96" i="20" s="1"/>
  <c r="J84" i="20"/>
  <c r="K84" i="20" s="1"/>
  <c r="J76" i="20"/>
  <c r="K76" i="20" s="1"/>
  <c r="J68" i="21"/>
  <c r="K68" i="21" s="1"/>
  <c r="J79" i="21"/>
  <c r="K79" i="21" s="1"/>
  <c r="J67" i="21"/>
  <c r="K67" i="21" s="1"/>
  <c r="J55" i="21"/>
  <c r="K55" i="21" s="1"/>
  <c r="J43" i="20"/>
  <c r="K43" i="20" s="1"/>
  <c r="J43" i="21"/>
  <c r="K43" i="21" s="1"/>
  <c r="H97" i="33"/>
  <c r="W97" i="39"/>
  <c r="I85" i="32"/>
  <c r="J85" i="32" s="1"/>
  <c r="Q85" i="39"/>
  <c r="H73" i="33"/>
  <c r="W73" i="39"/>
  <c r="I61" i="32"/>
  <c r="J61" i="32" s="1"/>
  <c r="Q61" i="39"/>
  <c r="H49" i="33"/>
  <c r="W49" i="39"/>
  <c r="I37" i="32"/>
  <c r="J37" i="32" s="1"/>
  <c r="Q37" i="39"/>
  <c r="H25" i="33"/>
  <c r="W25" i="39"/>
  <c r="H13" i="33"/>
  <c r="W13" i="39"/>
  <c r="H5" i="33"/>
  <c r="W5" i="39"/>
  <c r="H88" i="33"/>
  <c r="W88" i="39"/>
  <c r="H76" i="33"/>
  <c r="W76" i="39"/>
  <c r="H64" i="33"/>
  <c r="W64" i="39"/>
  <c r="H52" i="33"/>
  <c r="W52" i="39"/>
  <c r="H40" i="33"/>
  <c r="W40" i="39"/>
  <c r="H28" i="33"/>
  <c r="W28" i="39"/>
  <c r="I16" i="32"/>
  <c r="J16" i="32" s="1"/>
  <c r="Q16" i="39"/>
  <c r="I4" i="32"/>
  <c r="J4" i="32" s="1"/>
  <c r="Q4" i="39"/>
  <c r="I79" i="32"/>
  <c r="J79" i="32" s="1"/>
  <c r="Q79" i="39"/>
  <c r="I19" i="32"/>
  <c r="J19" i="32" s="1"/>
  <c r="Q19" i="39"/>
  <c r="H27" i="33"/>
  <c r="Z27" i="39" s="1"/>
  <c r="W27" i="39"/>
  <c r="H3" i="33"/>
  <c r="Z3" i="39" s="1"/>
  <c r="W3" i="39"/>
  <c r="H86" i="33"/>
  <c r="W86" i="39"/>
  <c r="H62" i="33"/>
  <c r="W62" i="39"/>
  <c r="H38" i="33"/>
  <c r="W38" i="39"/>
  <c r="H14" i="33"/>
  <c r="W14" i="39"/>
  <c r="H83" i="33"/>
  <c r="W83" i="39"/>
  <c r="I47" i="32"/>
  <c r="J47" i="32" s="1"/>
  <c r="Q47" i="39"/>
  <c r="I23" i="32"/>
  <c r="J23" i="32" s="1"/>
  <c r="Q23" i="39"/>
  <c r="I43" i="32"/>
  <c r="J43" i="32" s="1"/>
  <c r="Q43" i="39"/>
  <c r="I7" i="32"/>
  <c r="J7" i="32" s="1"/>
  <c r="Q7" i="39"/>
  <c r="J86" i="21"/>
  <c r="K86" i="21" s="1"/>
  <c r="J82" i="21"/>
  <c r="K82" i="21" s="1"/>
  <c r="J74" i="20"/>
  <c r="K74" i="20" s="1"/>
  <c r="J74" i="21"/>
  <c r="K74" i="21" s="1"/>
  <c r="J70" i="21"/>
  <c r="K70" i="21" s="1"/>
  <c r="J58" i="20"/>
  <c r="K58" i="20" s="1"/>
  <c r="J38" i="20"/>
  <c r="K38" i="20" s="1"/>
  <c r="J38" i="21"/>
  <c r="K38" i="21" s="1"/>
  <c r="J34" i="21"/>
  <c r="K34" i="21" s="1"/>
  <c r="J30" i="21"/>
  <c r="K30" i="21" s="1"/>
  <c r="J26" i="21"/>
  <c r="K26" i="21" s="1"/>
  <c r="J22" i="20"/>
  <c r="K22" i="20" s="1"/>
  <c r="J22" i="21"/>
  <c r="K22" i="21" s="1"/>
  <c r="J83" i="20"/>
  <c r="K83" i="20" s="1"/>
  <c r="J71" i="20"/>
  <c r="K71" i="20" s="1"/>
  <c r="J65" i="21"/>
  <c r="K65" i="21" s="1"/>
  <c r="J49" i="21"/>
  <c r="K49" i="21" s="1"/>
  <c r="J37" i="20"/>
  <c r="K37" i="20" s="1"/>
  <c r="J33" i="21"/>
  <c r="K33" i="21" s="1"/>
  <c r="J29" i="20"/>
  <c r="K29" i="20" s="1"/>
  <c r="J59" i="20"/>
  <c r="K59" i="20" s="1"/>
  <c r="J47" i="20"/>
  <c r="K47" i="20" s="1"/>
  <c r="J47" i="21"/>
  <c r="K47" i="21" s="1"/>
  <c r="J35" i="20"/>
  <c r="K35" i="20" s="1"/>
  <c r="J96" i="21"/>
  <c r="K96" i="21" s="1"/>
  <c r="J92" i="20"/>
  <c r="K92" i="20" s="1"/>
  <c r="J92" i="21"/>
  <c r="K92" i="21" s="1"/>
  <c r="J88" i="21"/>
  <c r="K88" i="21" s="1"/>
  <c r="J84" i="21"/>
  <c r="K84" i="21" s="1"/>
  <c r="J80" i="21"/>
  <c r="K80" i="21" s="1"/>
  <c r="J72" i="21"/>
  <c r="K72" i="21" s="1"/>
  <c r="J64" i="20"/>
  <c r="K64" i="20" s="1"/>
  <c r="J52" i="20"/>
  <c r="K52" i="20" s="1"/>
  <c r="J48" i="20"/>
  <c r="K48" i="20" s="1"/>
  <c r="J44" i="20"/>
  <c r="K44" i="20" s="1"/>
  <c r="J32" i="20"/>
  <c r="K32" i="20" s="1"/>
  <c r="J24" i="20"/>
  <c r="K24" i="20" s="1"/>
  <c r="J20" i="20"/>
  <c r="K20" i="20" s="1"/>
  <c r="J16" i="21"/>
  <c r="K16" i="21" s="1"/>
  <c r="J12" i="21"/>
  <c r="K12" i="21" s="1"/>
  <c r="J8" i="21"/>
  <c r="K8" i="21" s="1"/>
  <c r="J4" i="21"/>
  <c r="K4" i="21" s="1"/>
  <c r="I97" i="32"/>
  <c r="J97" i="32" s="1"/>
  <c r="Q97" i="39"/>
  <c r="H85" i="33"/>
  <c r="W85" i="39"/>
  <c r="I73" i="32"/>
  <c r="J73" i="32" s="1"/>
  <c r="Q73" i="39"/>
  <c r="H61" i="33"/>
  <c r="W61" i="39"/>
  <c r="I49" i="32"/>
  <c r="J49" i="32" s="1"/>
  <c r="Q49" i="39"/>
  <c r="H37" i="33"/>
  <c r="W37" i="39"/>
  <c r="I25" i="32"/>
  <c r="J25" i="32" s="1"/>
  <c r="Q25" i="39"/>
  <c r="I13" i="32"/>
  <c r="J13" i="32" s="1"/>
  <c r="Q13" i="39"/>
  <c r="I96" i="32"/>
  <c r="J96" i="32" s="1"/>
  <c r="Q96" i="39"/>
  <c r="I84" i="32"/>
  <c r="J84" i="32" s="1"/>
  <c r="Q84" i="39"/>
  <c r="I72" i="32"/>
  <c r="J72" i="32" s="1"/>
  <c r="Q72" i="39"/>
  <c r="I60" i="32"/>
  <c r="J60" i="32" s="1"/>
  <c r="Q60" i="39"/>
  <c r="I48" i="32"/>
  <c r="J48" i="32" s="1"/>
  <c r="Q48" i="39"/>
  <c r="H36" i="33"/>
  <c r="W36" i="39"/>
  <c r="I24" i="32"/>
  <c r="J24" i="32" s="1"/>
  <c r="Q24" i="39"/>
  <c r="H16" i="33"/>
  <c r="W16" i="39"/>
  <c r="H4" i="33"/>
  <c r="W4" i="39"/>
  <c r="I91" i="32"/>
  <c r="J91" i="32" s="1"/>
  <c r="Q91" i="39"/>
  <c r="H55" i="33"/>
  <c r="W55" i="39"/>
  <c r="H75" i="33"/>
  <c r="Z75" i="39" s="1"/>
  <c r="W75" i="39"/>
  <c r="H51" i="33"/>
  <c r="Z51" i="39" s="1"/>
  <c r="W51" i="39"/>
  <c r="I98" i="32"/>
  <c r="J98" i="32" s="1"/>
  <c r="Q98" i="39"/>
  <c r="I74" i="32"/>
  <c r="J74" i="32" s="1"/>
  <c r="Q74" i="39"/>
  <c r="I50" i="32"/>
  <c r="J50" i="32" s="1"/>
  <c r="Q50" i="39"/>
  <c r="I26" i="32"/>
  <c r="J26" i="32" s="1"/>
  <c r="Q26" i="39"/>
  <c r="H95" i="33"/>
  <c r="W95" i="39"/>
  <c r="I59" i="32"/>
  <c r="J59" i="32" s="1"/>
  <c r="Q59" i="39"/>
  <c r="I35" i="32"/>
  <c r="J35" i="32" s="1"/>
  <c r="Q35" i="39"/>
  <c r="I11" i="32"/>
  <c r="J11" i="32" s="1"/>
  <c r="Q11" i="39"/>
  <c r="H43" i="33"/>
  <c r="W43" i="39"/>
  <c r="H7" i="33"/>
  <c r="W7" i="39"/>
  <c r="E148" i="39"/>
  <c r="E148" i="27"/>
  <c r="E148" i="22"/>
  <c r="E148" i="28"/>
  <c r="E148" i="26"/>
  <c r="E148" i="23"/>
  <c r="N148" i="39"/>
  <c r="J63" i="23"/>
  <c r="K63" i="23" s="1"/>
  <c r="J51" i="21"/>
  <c r="K51" i="21" s="1"/>
  <c r="J39" i="21"/>
  <c r="K39" i="21" s="1"/>
  <c r="J87" i="28"/>
  <c r="K87" i="28" s="1"/>
  <c r="I217" i="28"/>
  <c r="J217" i="28" s="1"/>
  <c r="K217" i="28" s="1"/>
  <c r="J75" i="26"/>
  <c r="K75" i="26" s="1"/>
  <c r="J3" i="20"/>
  <c r="K3" i="20" s="1"/>
  <c r="J27" i="21"/>
  <c r="K27" i="21" s="1"/>
  <c r="J15" i="23"/>
  <c r="K15" i="23" s="1"/>
  <c r="E114" i="33"/>
  <c r="W114" i="39" s="1"/>
  <c r="E66" i="33"/>
  <c r="H66" i="32"/>
  <c r="E18" i="33"/>
  <c r="H18" i="32"/>
  <c r="E69" i="33"/>
  <c r="H69" i="32"/>
  <c r="H21" i="32"/>
  <c r="E21" i="33"/>
  <c r="E116" i="33"/>
  <c r="W116" i="39" s="1"/>
  <c r="E68" i="33"/>
  <c r="H68" i="32"/>
  <c r="I63" i="32"/>
  <c r="J63" i="32" s="1"/>
  <c r="I15" i="32"/>
  <c r="J15" i="32" s="1"/>
  <c r="E138" i="20"/>
  <c r="E90" i="21"/>
  <c r="I90" i="21" s="1"/>
  <c r="J66" i="22"/>
  <c r="K66" i="22" s="1"/>
  <c r="E42" i="21"/>
  <c r="I42" i="21" s="1"/>
  <c r="E18" i="20"/>
  <c r="I18" i="20" s="1"/>
  <c r="E18" i="21"/>
  <c r="I18" i="21" s="1"/>
  <c r="J39" i="26"/>
  <c r="K39" i="26" s="1"/>
  <c r="E21" i="20"/>
  <c r="I21" i="20" s="1"/>
  <c r="J87" i="22"/>
  <c r="K87" i="22" s="1"/>
  <c r="J75" i="22"/>
  <c r="K75" i="22" s="1"/>
  <c r="I216" i="22"/>
  <c r="J216" i="22" s="1"/>
  <c r="K216" i="22" s="1"/>
  <c r="J3" i="23"/>
  <c r="K3" i="23" s="1"/>
  <c r="E116" i="20"/>
  <c r="J20" i="28"/>
  <c r="K20" i="28" s="1"/>
  <c r="H20" i="19"/>
  <c r="H20" i="39" s="1"/>
  <c r="J27" i="27"/>
  <c r="K27" i="27" s="1"/>
  <c r="I212" i="27"/>
  <c r="J212" i="27" s="1"/>
  <c r="K212" i="27" s="1"/>
  <c r="E106" i="33"/>
  <c r="W106" i="39" s="1"/>
  <c r="E82" i="33"/>
  <c r="H82" i="32"/>
  <c r="E34" i="33"/>
  <c r="H34" i="32"/>
  <c r="E105" i="33"/>
  <c r="W105" i="39" s="1"/>
  <c r="H57" i="32"/>
  <c r="E57" i="33"/>
  <c r="E104" i="33"/>
  <c r="W104" i="39" s="1"/>
  <c r="E56" i="33"/>
  <c r="H56" i="32"/>
  <c r="E8" i="33"/>
  <c r="H8" i="32"/>
  <c r="I75" i="32"/>
  <c r="J75" i="32" s="1"/>
  <c r="E106" i="21"/>
  <c r="J90" i="22"/>
  <c r="K90" i="22" s="1"/>
  <c r="J82" i="26"/>
  <c r="K82" i="26" s="1"/>
  <c r="J82" i="23"/>
  <c r="K82" i="23" s="1"/>
  <c r="J66" i="28"/>
  <c r="K66" i="28" s="1"/>
  <c r="J66" i="23"/>
  <c r="K66" i="23" s="1"/>
  <c r="J58" i="28"/>
  <c r="K58" i="28" s="1"/>
  <c r="J42" i="26"/>
  <c r="K42" i="26" s="1"/>
  <c r="J34" i="28"/>
  <c r="K34" i="28" s="1"/>
  <c r="J34" i="23"/>
  <c r="K34" i="23" s="1"/>
  <c r="J18" i="26"/>
  <c r="K18" i="26" s="1"/>
  <c r="J18" i="23"/>
  <c r="K18" i="23" s="1"/>
  <c r="J10" i="22"/>
  <c r="K10" i="22" s="1"/>
  <c r="J63" i="22"/>
  <c r="K63" i="22" s="1"/>
  <c r="J63" i="27"/>
  <c r="K63" i="27" s="1"/>
  <c r="J51" i="28"/>
  <c r="K51" i="28" s="1"/>
  <c r="J51" i="23"/>
  <c r="K51" i="23" s="1"/>
  <c r="J39" i="28"/>
  <c r="K39" i="28" s="1"/>
  <c r="I213" i="28"/>
  <c r="J213" i="28" s="1"/>
  <c r="K213" i="28" s="1"/>
  <c r="J39" i="23"/>
  <c r="K39" i="23" s="1"/>
  <c r="I213" i="23"/>
  <c r="J213" i="23" s="1"/>
  <c r="K213" i="23" s="1"/>
  <c r="J69" i="23"/>
  <c r="K69" i="23" s="1"/>
  <c r="J69" i="22"/>
  <c r="K69" i="22" s="1"/>
  <c r="J57" i="23"/>
  <c r="K57" i="23" s="1"/>
  <c r="E57" i="21"/>
  <c r="I57" i="21" s="1"/>
  <c r="J21" i="27"/>
  <c r="K21" i="27" s="1"/>
  <c r="J21" i="22"/>
  <c r="K21" i="22" s="1"/>
  <c r="J9" i="27"/>
  <c r="K9" i="27" s="1"/>
  <c r="J87" i="20"/>
  <c r="K87" i="20" s="1"/>
  <c r="J87" i="23"/>
  <c r="K87" i="23" s="1"/>
  <c r="I217" i="23"/>
  <c r="J217" i="23" s="1"/>
  <c r="K217" i="23" s="1"/>
  <c r="J75" i="28"/>
  <c r="K75" i="28" s="1"/>
  <c r="I216" i="28"/>
  <c r="J216" i="28" s="1"/>
  <c r="K216" i="28" s="1"/>
  <c r="J75" i="23"/>
  <c r="K75" i="23" s="1"/>
  <c r="J3" i="22"/>
  <c r="K3" i="22" s="1"/>
  <c r="J3" i="27"/>
  <c r="K3" i="27" s="1"/>
  <c r="J68" i="28"/>
  <c r="K68" i="28" s="1"/>
  <c r="J68" i="22"/>
  <c r="K68" i="22" s="1"/>
  <c r="E56" i="20"/>
  <c r="I56" i="20" s="1"/>
  <c r="J56" i="22"/>
  <c r="K56" i="22" s="1"/>
  <c r="J20" i="22"/>
  <c r="K20" i="22" s="1"/>
  <c r="J8" i="28"/>
  <c r="K8" i="28" s="1"/>
  <c r="J8" i="22"/>
  <c r="K8" i="22" s="1"/>
  <c r="J27" i="20"/>
  <c r="K27" i="20" s="1"/>
  <c r="J27" i="23"/>
  <c r="K27" i="23" s="1"/>
  <c r="J15" i="20"/>
  <c r="K15" i="20" s="1"/>
  <c r="J15" i="22"/>
  <c r="K15" i="22" s="1"/>
  <c r="W142" i="39"/>
  <c r="E118" i="33"/>
  <c r="W118" i="39" s="1"/>
  <c r="E94" i="33"/>
  <c r="H94" i="32"/>
  <c r="E70" i="33"/>
  <c r="H70" i="32"/>
  <c r="E46" i="33"/>
  <c r="H46" i="32"/>
  <c r="E22" i="33"/>
  <c r="H22" i="32"/>
  <c r="E129" i="33"/>
  <c r="W129" i="39" s="1"/>
  <c r="H81" i="32"/>
  <c r="E81" i="33"/>
  <c r="E33" i="33"/>
  <c r="H33" i="32"/>
  <c r="E128" i="33"/>
  <c r="W128" i="39" s="1"/>
  <c r="E80" i="33"/>
  <c r="H80" i="32"/>
  <c r="E32" i="33"/>
  <c r="H32" i="32"/>
  <c r="I39" i="32"/>
  <c r="J39" i="32" s="1"/>
  <c r="J63" i="20"/>
  <c r="K63" i="20" s="1"/>
  <c r="J51" i="26"/>
  <c r="K51" i="26" s="1"/>
  <c r="J39" i="22"/>
  <c r="K39" i="22" s="1"/>
  <c r="I213" i="22"/>
  <c r="J213" i="22" s="1"/>
  <c r="K213" i="22" s="1"/>
  <c r="J87" i="21"/>
  <c r="K87" i="21" s="1"/>
  <c r="J75" i="21"/>
  <c r="K75" i="21" s="1"/>
  <c r="J3" i="21"/>
  <c r="K3" i="21" s="1"/>
  <c r="J27" i="26"/>
  <c r="K27" i="26" s="1"/>
  <c r="I212" i="26"/>
  <c r="J212" i="26" s="1"/>
  <c r="K212" i="26" s="1"/>
  <c r="J15" i="27"/>
  <c r="K15" i="27" s="1"/>
  <c r="W138" i="39"/>
  <c r="E90" i="33"/>
  <c r="H90" i="32"/>
  <c r="E42" i="33"/>
  <c r="H42" i="32"/>
  <c r="E117" i="33"/>
  <c r="W117" i="39" s="1"/>
  <c r="E20" i="33"/>
  <c r="H20" i="32"/>
  <c r="I87" i="32"/>
  <c r="J87" i="32" s="1"/>
  <c r="E90" i="20"/>
  <c r="I90" i="20" s="1"/>
  <c r="J66" i="26"/>
  <c r="K66" i="26" s="1"/>
  <c r="E42" i="20"/>
  <c r="I42" i="20" s="1"/>
  <c r="J63" i="26"/>
  <c r="K63" i="26" s="1"/>
  <c r="J51" i="27"/>
  <c r="K51" i="27" s="1"/>
  <c r="E69" i="20"/>
  <c r="I69" i="20" s="1"/>
  <c r="J69" i="26"/>
  <c r="K69" i="26" s="1"/>
  <c r="J21" i="26"/>
  <c r="K21" i="26" s="1"/>
  <c r="J87" i="26"/>
  <c r="K87" i="26" s="1"/>
  <c r="J75" i="20"/>
  <c r="K75" i="20" s="1"/>
  <c r="J3" i="28"/>
  <c r="K3" i="28" s="1"/>
  <c r="E116" i="21"/>
  <c r="J68" i="23"/>
  <c r="K68" i="23" s="1"/>
  <c r="H68" i="19"/>
  <c r="H68" i="39" s="1"/>
  <c r="J15" i="26"/>
  <c r="K15" i="26" s="1"/>
  <c r="E130" i="33"/>
  <c r="W130" i="39" s="1"/>
  <c r="E58" i="33"/>
  <c r="H58" i="32"/>
  <c r="E10" i="33"/>
  <c r="H10" i="32"/>
  <c r="E9" i="33"/>
  <c r="H9" i="32"/>
  <c r="I51" i="32"/>
  <c r="J51" i="32" s="1"/>
  <c r="E114" i="20"/>
  <c r="E106" i="20"/>
  <c r="J90" i="26"/>
  <c r="K90" i="26" s="1"/>
  <c r="H90" i="19"/>
  <c r="H90" i="39" s="1"/>
  <c r="J82" i="27"/>
  <c r="K82" i="27" s="1"/>
  <c r="H82" i="19"/>
  <c r="H82" i="39" s="1"/>
  <c r="E66" i="20"/>
  <c r="I66" i="20" s="1"/>
  <c r="H66" i="19"/>
  <c r="H66" i="39" s="1"/>
  <c r="J58" i="27"/>
  <c r="K58" i="27" s="1"/>
  <c r="H58" i="19"/>
  <c r="H58" i="39" s="1"/>
  <c r="J42" i="27"/>
  <c r="K42" i="27" s="1"/>
  <c r="H42" i="19"/>
  <c r="H42" i="39" s="1"/>
  <c r="E34" i="20"/>
  <c r="I34" i="20" s="1"/>
  <c r="H34" i="19"/>
  <c r="H34" i="39" s="1"/>
  <c r="J18" i="27"/>
  <c r="K18" i="27" s="1"/>
  <c r="H18" i="19"/>
  <c r="H18" i="39" s="1"/>
  <c r="E10" i="20"/>
  <c r="I10" i="20" s="1"/>
  <c r="H10" i="19"/>
  <c r="H10" i="39" s="1"/>
  <c r="J63" i="28"/>
  <c r="K63" i="28" s="1"/>
  <c r="J63" i="21"/>
  <c r="K63" i="21" s="1"/>
  <c r="J51" i="20"/>
  <c r="K51" i="20" s="1"/>
  <c r="J51" i="22"/>
  <c r="K51" i="22" s="1"/>
  <c r="J39" i="20"/>
  <c r="K39" i="20" s="1"/>
  <c r="J39" i="27"/>
  <c r="K39" i="27" s="1"/>
  <c r="E117" i="21"/>
  <c r="J69" i="27"/>
  <c r="K69" i="27" s="1"/>
  <c r="E69" i="21"/>
  <c r="I69" i="21" s="1"/>
  <c r="J57" i="27"/>
  <c r="K57" i="27" s="1"/>
  <c r="J57" i="22"/>
  <c r="K57" i="22" s="1"/>
  <c r="J21" i="23"/>
  <c r="K21" i="23" s="1"/>
  <c r="E21" i="21"/>
  <c r="I21" i="21" s="1"/>
  <c r="J9" i="23"/>
  <c r="K9" i="23" s="1"/>
  <c r="J9" i="22"/>
  <c r="K9" i="22" s="1"/>
  <c r="J87" i="27"/>
  <c r="K87" i="27" s="1"/>
  <c r="I217" i="27"/>
  <c r="J217" i="27" s="1"/>
  <c r="K217" i="27" s="1"/>
  <c r="J75" i="27"/>
  <c r="K75" i="27" s="1"/>
  <c r="J3" i="26"/>
  <c r="K3" i="26" s="1"/>
  <c r="E104" i="20"/>
  <c r="E104" i="21"/>
  <c r="E68" i="20"/>
  <c r="I68" i="20" s="1"/>
  <c r="J68" i="26"/>
  <c r="K68" i="26" s="1"/>
  <c r="J56" i="27"/>
  <c r="K56" i="27" s="1"/>
  <c r="J56" i="26"/>
  <c r="K56" i="26" s="1"/>
  <c r="J20" i="27"/>
  <c r="K20" i="27" s="1"/>
  <c r="J20" i="23"/>
  <c r="K20" i="23" s="1"/>
  <c r="E8" i="20"/>
  <c r="I8" i="20" s="1"/>
  <c r="J8" i="26"/>
  <c r="K8" i="26" s="1"/>
  <c r="J27" i="28"/>
  <c r="K27" i="28" s="1"/>
  <c r="J27" i="22"/>
  <c r="K27" i="22" s="1"/>
  <c r="I212" i="22"/>
  <c r="J212" i="22" s="1"/>
  <c r="K212" i="22" s="1"/>
  <c r="J15" i="28"/>
  <c r="K15" i="28" s="1"/>
  <c r="J15" i="21"/>
  <c r="K15" i="21" s="1"/>
  <c r="E126" i="33"/>
  <c r="W126" i="39" s="1"/>
  <c r="E102" i="33"/>
  <c r="W102" i="39" s="1"/>
  <c r="E78" i="33"/>
  <c r="H78" i="32"/>
  <c r="E54" i="33"/>
  <c r="H54" i="32"/>
  <c r="E30" i="33"/>
  <c r="H30" i="32"/>
  <c r="E6" i="33"/>
  <c r="H6" i="32"/>
  <c r="W141" i="39"/>
  <c r="E93" i="33"/>
  <c r="H93" i="32"/>
  <c r="E45" i="33"/>
  <c r="H45" i="32"/>
  <c r="W140" i="39"/>
  <c r="E92" i="33"/>
  <c r="H92" i="32"/>
  <c r="H44" i="32"/>
  <c r="E44" i="33"/>
  <c r="I27" i="32"/>
  <c r="J27" i="32" s="1"/>
  <c r="J12" i="17"/>
  <c r="J11" i="17"/>
  <c r="I15" i="33" l="1"/>
  <c r="J15" i="33" s="1"/>
  <c r="J62" i="11"/>
  <c r="D12" i="30"/>
  <c r="K12" i="17"/>
  <c r="K13" i="17"/>
  <c r="P39" i="9"/>
  <c r="J62" i="38"/>
  <c r="P38" i="9"/>
  <c r="K62" i="38"/>
  <c r="B20" i="37"/>
  <c r="C6" i="37" s="1"/>
  <c r="K5" i="38"/>
  <c r="C35" i="34"/>
  <c r="I75" i="33"/>
  <c r="J75" i="33" s="1"/>
  <c r="I210" i="21"/>
  <c r="J210" i="21" s="1"/>
  <c r="K210" i="21" s="1"/>
  <c r="C34" i="34"/>
  <c r="J5" i="38"/>
  <c r="B19" i="37"/>
  <c r="I3" i="33"/>
  <c r="J3" i="33" s="1"/>
  <c r="I216" i="20"/>
  <c r="J216" i="20" s="1"/>
  <c r="K216" i="20" s="1"/>
  <c r="I63" i="33"/>
  <c r="J63" i="33" s="1"/>
  <c r="I212" i="21"/>
  <c r="J212" i="21" s="1"/>
  <c r="K212" i="21" s="1"/>
  <c r="I51" i="33"/>
  <c r="J51" i="33" s="1"/>
  <c r="I216" i="21"/>
  <c r="J216" i="21" s="1"/>
  <c r="K216" i="21" s="1"/>
  <c r="I39" i="33"/>
  <c r="J39" i="33" s="1"/>
  <c r="I87" i="33"/>
  <c r="J87" i="33" s="1"/>
  <c r="I27" i="33"/>
  <c r="J27" i="33" s="1"/>
  <c r="I58" i="32"/>
  <c r="J58" i="32" s="1"/>
  <c r="Q58" i="39"/>
  <c r="H20" i="33"/>
  <c r="W20" i="39"/>
  <c r="H42" i="33"/>
  <c r="W42" i="39"/>
  <c r="I81" i="32"/>
  <c r="J81" i="32" s="1"/>
  <c r="Q81" i="39"/>
  <c r="I70" i="32"/>
  <c r="J70" i="32" s="1"/>
  <c r="Q70" i="39"/>
  <c r="J56" i="20"/>
  <c r="K56" i="20" s="1"/>
  <c r="I82" i="32"/>
  <c r="J82" i="32" s="1"/>
  <c r="Q82" i="39"/>
  <c r="H21" i="33"/>
  <c r="W21" i="39"/>
  <c r="H66" i="33"/>
  <c r="W66" i="39"/>
  <c r="H44" i="33"/>
  <c r="W44" i="39"/>
  <c r="I93" i="32"/>
  <c r="J93" i="32" s="1"/>
  <c r="Q93" i="39"/>
  <c r="I6" i="32"/>
  <c r="J6" i="32" s="1"/>
  <c r="Q6" i="39"/>
  <c r="I54" i="32"/>
  <c r="J54" i="32" s="1"/>
  <c r="Q54" i="39"/>
  <c r="J8" i="20"/>
  <c r="K8" i="20" s="1"/>
  <c r="J10" i="20"/>
  <c r="K10" i="20" s="1"/>
  <c r="I212" i="20"/>
  <c r="J212" i="20" s="1"/>
  <c r="K212" i="20" s="1"/>
  <c r="H58" i="33"/>
  <c r="W58" i="39"/>
  <c r="I90" i="32"/>
  <c r="J90" i="32" s="1"/>
  <c r="Q90" i="39"/>
  <c r="I80" i="32"/>
  <c r="J80" i="32" s="1"/>
  <c r="Q80" i="39"/>
  <c r="I33" i="32"/>
  <c r="J33" i="32" s="1"/>
  <c r="Q33" i="39"/>
  <c r="H22" i="33"/>
  <c r="W22" i="39"/>
  <c r="H70" i="33"/>
  <c r="W70" i="39"/>
  <c r="I8" i="32"/>
  <c r="J8" i="32" s="1"/>
  <c r="Q8" i="39"/>
  <c r="H82" i="33"/>
  <c r="W82" i="39"/>
  <c r="J42" i="21"/>
  <c r="K42" i="21" s="1"/>
  <c r="I68" i="32"/>
  <c r="J68" i="32" s="1"/>
  <c r="Q68" i="39"/>
  <c r="I21" i="32"/>
  <c r="J21" i="32" s="1"/>
  <c r="Q21" i="39"/>
  <c r="I18" i="32"/>
  <c r="J18" i="32" s="1"/>
  <c r="Q18" i="39"/>
  <c r="E149" i="39"/>
  <c r="E149" i="27"/>
  <c r="E149" i="26"/>
  <c r="E149" i="28"/>
  <c r="E149" i="23"/>
  <c r="E149" i="22"/>
  <c r="N149" i="39"/>
  <c r="E149" i="20"/>
  <c r="W149" i="39"/>
  <c r="E149" i="21"/>
  <c r="I43" i="33"/>
  <c r="J43" i="33" s="1"/>
  <c r="Z43" i="39"/>
  <c r="I95" i="33"/>
  <c r="J95" i="33" s="1"/>
  <c r="Z95" i="39"/>
  <c r="I16" i="33"/>
  <c r="J16" i="33" s="1"/>
  <c r="Z16" i="39"/>
  <c r="I36" i="33"/>
  <c r="J36" i="33" s="1"/>
  <c r="Z36" i="39"/>
  <c r="I37" i="33"/>
  <c r="J37" i="33" s="1"/>
  <c r="Z37" i="39"/>
  <c r="I61" i="33"/>
  <c r="J61" i="33" s="1"/>
  <c r="Z61" i="39"/>
  <c r="I85" i="33"/>
  <c r="J85" i="33" s="1"/>
  <c r="Z85" i="39"/>
  <c r="J76" i="21"/>
  <c r="K76" i="21" s="1"/>
  <c r="I14" i="33"/>
  <c r="J14" i="33" s="1"/>
  <c r="Z14" i="39"/>
  <c r="I62" i="33"/>
  <c r="J62" i="33" s="1"/>
  <c r="Z62" i="39"/>
  <c r="I28" i="33"/>
  <c r="J28" i="33" s="1"/>
  <c r="Z28" i="39"/>
  <c r="I52" i="33"/>
  <c r="J52" i="33" s="1"/>
  <c r="Z52" i="39"/>
  <c r="I76" i="33"/>
  <c r="J76" i="33" s="1"/>
  <c r="Z76" i="39"/>
  <c r="I5" i="33"/>
  <c r="J5" i="33" s="1"/>
  <c r="Z5" i="39"/>
  <c r="I25" i="33"/>
  <c r="J25" i="33" s="1"/>
  <c r="Z25" i="39"/>
  <c r="I49" i="33"/>
  <c r="J49" i="33" s="1"/>
  <c r="Z49" i="39"/>
  <c r="I73" i="33"/>
  <c r="J73" i="33" s="1"/>
  <c r="Z73" i="39"/>
  <c r="I97" i="33"/>
  <c r="J97" i="33" s="1"/>
  <c r="Z97" i="39"/>
  <c r="I67" i="33"/>
  <c r="J67" i="33" s="1"/>
  <c r="Z67" i="39"/>
  <c r="I47" i="33"/>
  <c r="J47" i="33" s="1"/>
  <c r="Z47" i="39"/>
  <c r="I79" i="33"/>
  <c r="J79" i="33" s="1"/>
  <c r="Z79" i="39"/>
  <c r="I12" i="33"/>
  <c r="J12" i="33" s="1"/>
  <c r="Z12" i="39"/>
  <c r="I41" i="33"/>
  <c r="J41" i="33" s="1"/>
  <c r="Z41" i="39"/>
  <c r="I35" i="33"/>
  <c r="J35" i="33" s="1"/>
  <c r="Z35" i="39"/>
  <c r="I50" i="33"/>
  <c r="J50" i="33" s="1"/>
  <c r="Z50" i="39"/>
  <c r="I98" i="33"/>
  <c r="J98" i="33" s="1"/>
  <c r="Z98" i="39"/>
  <c r="I71" i="33"/>
  <c r="J71" i="33" s="1"/>
  <c r="Z71" i="39"/>
  <c r="I24" i="33"/>
  <c r="J24" i="33" s="1"/>
  <c r="Z24" i="39"/>
  <c r="I48" i="33"/>
  <c r="J48" i="33" s="1"/>
  <c r="Z48" i="39"/>
  <c r="I72" i="33"/>
  <c r="J72" i="33" s="1"/>
  <c r="Z72" i="39"/>
  <c r="I96" i="33"/>
  <c r="J96" i="33" s="1"/>
  <c r="Z96" i="39"/>
  <c r="I17" i="33"/>
  <c r="J17" i="33" s="1"/>
  <c r="Z17" i="39"/>
  <c r="I65" i="33"/>
  <c r="J65" i="33" s="1"/>
  <c r="Z65" i="39"/>
  <c r="I89" i="33"/>
  <c r="J89" i="33" s="1"/>
  <c r="Z89" i="39"/>
  <c r="H92" i="33"/>
  <c r="W92" i="39"/>
  <c r="H45" i="33"/>
  <c r="W45" i="39"/>
  <c r="H30" i="33"/>
  <c r="W30" i="39"/>
  <c r="H78" i="33"/>
  <c r="W78" i="39"/>
  <c r="H9" i="33"/>
  <c r="W9" i="39"/>
  <c r="J90" i="20"/>
  <c r="K90" i="20" s="1"/>
  <c r="H32" i="33"/>
  <c r="W32" i="39"/>
  <c r="I22" i="32"/>
  <c r="J22" i="32" s="1"/>
  <c r="Q22" i="39"/>
  <c r="H56" i="33"/>
  <c r="W56" i="39"/>
  <c r="I57" i="32"/>
  <c r="J57" i="32" s="1"/>
  <c r="Q57" i="39"/>
  <c r="J18" i="20"/>
  <c r="K18" i="20" s="1"/>
  <c r="I44" i="32"/>
  <c r="J44" i="32" s="1"/>
  <c r="Q44" i="39"/>
  <c r="H93" i="33"/>
  <c r="W93" i="39"/>
  <c r="H6" i="33"/>
  <c r="W6" i="39"/>
  <c r="H54" i="33"/>
  <c r="W54" i="39"/>
  <c r="J21" i="21"/>
  <c r="K21" i="21" s="1"/>
  <c r="I215" i="21"/>
  <c r="J215" i="21" s="1"/>
  <c r="K215" i="21" s="1"/>
  <c r="I10" i="32"/>
  <c r="J10" i="32" s="1"/>
  <c r="Q10" i="39"/>
  <c r="I213" i="20"/>
  <c r="J213" i="20" s="1"/>
  <c r="K213" i="20" s="1"/>
  <c r="H90" i="33"/>
  <c r="W90" i="39"/>
  <c r="H80" i="33"/>
  <c r="W80" i="39"/>
  <c r="H33" i="33"/>
  <c r="W33" i="39"/>
  <c r="I46" i="32"/>
  <c r="J46" i="32" s="1"/>
  <c r="Q46" i="39"/>
  <c r="I94" i="32"/>
  <c r="J94" i="32" s="1"/>
  <c r="Q94" i="39"/>
  <c r="H8" i="33"/>
  <c r="W8" i="39"/>
  <c r="I34" i="32"/>
  <c r="J34" i="32" s="1"/>
  <c r="Q34" i="39"/>
  <c r="J21" i="20"/>
  <c r="K21" i="20" s="1"/>
  <c r="H68" i="33"/>
  <c r="W68" i="39"/>
  <c r="I69" i="32"/>
  <c r="J69" i="32" s="1"/>
  <c r="Q69" i="39"/>
  <c r="H18" i="33"/>
  <c r="W18" i="39"/>
  <c r="I92" i="32"/>
  <c r="J92" i="32" s="1"/>
  <c r="Q92" i="39"/>
  <c r="I45" i="32"/>
  <c r="J45" i="32" s="1"/>
  <c r="Q45" i="39"/>
  <c r="I30" i="32"/>
  <c r="J30" i="32" s="1"/>
  <c r="Q30" i="39"/>
  <c r="I78" i="32"/>
  <c r="J78" i="32" s="1"/>
  <c r="Q78" i="39"/>
  <c r="J68" i="20"/>
  <c r="K68" i="20" s="1"/>
  <c r="J66" i="20"/>
  <c r="K66" i="20" s="1"/>
  <c r="I9" i="32"/>
  <c r="J9" i="32" s="1"/>
  <c r="Q9" i="39"/>
  <c r="H10" i="33"/>
  <c r="W10" i="39"/>
  <c r="J69" i="20"/>
  <c r="K69" i="20" s="1"/>
  <c r="I20" i="32"/>
  <c r="J20" i="32" s="1"/>
  <c r="Q20" i="39"/>
  <c r="I42" i="32"/>
  <c r="J42" i="32" s="1"/>
  <c r="Q42" i="39"/>
  <c r="I32" i="32"/>
  <c r="J32" i="32" s="1"/>
  <c r="Q32" i="39"/>
  <c r="H81" i="33"/>
  <c r="W81" i="39"/>
  <c r="H46" i="33"/>
  <c r="W46" i="39"/>
  <c r="H94" i="33"/>
  <c r="W94" i="39"/>
  <c r="J57" i="21"/>
  <c r="K57" i="21" s="1"/>
  <c r="I56" i="32"/>
  <c r="J56" i="32" s="1"/>
  <c r="Q56" i="39"/>
  <c r="H57" i="33"/>
  <c r="W57" i="39"/>
  <c r="H34" i="33"/>
  <c r="W34" i="39"/>
  <c r="J18" i="21"/>
  <c r="K18" i="21" s="1"/>
  <c r="I217" i="21"/>
  <c r="J217" i="21" s="1"/>
  <c r="K217" i="21" s="1"/>
  <c r="H69" i="33"/>
  <c r="W69" i="39"/>
  <c r="I66" i="32"/>
  <c r="J66" i="32" s="1"/>
  <c r="Q66" i="39"/>
  <c r="I7" i="33"/>
  <c r="J7" i="33" s="1"/>
  <c r="Z7" i="39"/>
  <c r="I55" i="33"/>
  <c r="J55" i="33" s="1"/>
  <c r="Z55" i="39"/>
  <c r="I4" i="33"/>
  <c r="J4" i="33" s="1"/>
  <c r="Z4" i="39"/>
  <c r="I83" i="33"/>
  <c r="J83" i="33" s="1"/>
  <c r="Z83" i="39"/>
  <c r="I38" i="33"/>
  <c r="J38" i="33" s="1"/>
  <c r="Z38" i="39"/>
  <c r="I86" i="33"/>
  <c r="J86" i="33" s="1"/>
  <c r="Z86" i="39"/>
  <c r="I40" i="33"/>
  <c r="J40" i="33" s="1"/>
  <c r="Z40" i="39"/>
  <c r="I64" i="33"/>
  <c r="J64" i="33" s="1"/>
  <c r="Z64" i="39"/>
  <c r="I88" i="33"/>
  <c r="J88" i="33" s="1"/>
  <c r="Z88" i="39"/>
  <c r="I13" i="33"/>
  <c r="J13" i="33" s="1"/>
  <c r="Z13" i="39"/>
  <c r="I31" i="33"/>
  <c r="J31" i="33" s="1"/>
  <c r="Z31" i="39"/>
  <c r="I23" i="33"/>
  <c r="J23" i="33" s="1"/>
  <c r="Z23" i="39"/>
  <c r="I19" i="33"/>
  <c r="J19" i="33" s="1"/>
  <c r="Z19" i="39"/>
  <c r="I53" i="33"/>
  <c r="J53" i="33" s="1"/>
  <c r="Z53" i="39"/>
  <c r="I77" i="33"/>
  <c r="J77" i="33" s="1"/>
  <c r="Z77" i="39"/>
  <c r="I11" i="33"/>
  <c r="J11" i="33" s="1"/>
  <c r="Z11" i="39"/>
  <c r="I59" i="33"/>
  <c r="J59" i="33" s="1"/>
  <c r="Z59" i="39"/>
  <c r="I26" i="33"/>
  <c r="J26" i="33" s="1"/>
  <c r="Z26" i="39"/>
  <c r="I74" i="33"/>
  <c r="J74" i="33" s="1"/>
  <c r="Z74" i="39"/>
  <c r="I91" i="33"/>
  <c r="J91" i="33" s="1"/>
  <c r="Z91" i="39"/>
  <c r="I60" i="33"/>
  <c r="J60" i="33" s="1"/>
  <c r="Z60" i="39"/>
  <c r="I84" i="33"/>
  <c r="J84" i="33" s="1"/>
  <c r="Z84" i="39"/>
  <c r="I29" i="33"/>
  <c r="J29" i="33" s="1"/>
  <c r="Z29" i="39"/>
  <c r="G39" i="9"/>
  <c r="G57" i="9" s="1"/>
  <c r="J31" i="17"/>
  <c r="J32" i="17"/>
  <c r="G38" i="9"/>
  <c r="I210" i="27"/>
  <c r="J210" i="27" s="1"/>
  <c r="K210" i="27" s="1"/>
  <c r="I216" i="23"/>
  <c r="J216" i="23" s="1"/>
  <c r="K216" i="23" s="1"/>
  <c r="I211" i="22"/>
  <c r="J211" i="22" s="1"/>
  <c r="K211" i="22" s="1"/>
  <c r="I212" i="23"/>
  <c r="J212" i="23" s="1"/>
  <c r="K212" i="23" s="1"/>
  <c r="I212" i="28"/>
  <c r="J212" i="28" s="1"/>
  <c r="K212" i="28" s="1"/>
  <c r="I215" i="28"/>
  <c r="J215" i="28" s="1"/>
  <c r="K215" i="28" s="1"/>
  <c r="H212" i="32"/>
  <c r="M212" i="32" s="1"/>
  <c r="O212" i="32" s="1"/>
  <c r="H217" i="32"/>
  <c r="M217" i="32" s="1"/>
  <c r="O217" i="32" s="1"/>
  <c r="H213" i="32"/>
  <c r="M213" i="32" s="1"/>
  <c r="O213" i="32" s="1"/>
  <c r="I211" i="28"/>
  <c r="J211" i="28" s="1"/>
  <c r="K211" i="28" s="1"/>
  <c r="I211" i="26"/>
  <c r="J211" i="26" s="1"/>
  <c r="K211" i="26" s="1"/>
  <c r="I214" i="28"/>
  <c r="J214" i="28" s="1"/>
  <c r="K214" i="28" s="1"/>
  <c r="I210" i="23"/>
  <c r="J210" i="23" s="1"/>
  <c r="K210" i="23" s="1"/>
  <c r="I217" i="22"/>
  <c r="J217" i="22" s="1"/>
  <c r="K217" i="22" s="1"/>
  <c r="D11" i="30"/>
  <c r="H215" i="32"/>
  <c r="M215" i="32" s="1"/>
  <c r="O215" i="32" s="1"/>
  <c r="I211" i="23"/>
  <c r="J211" i="23" s="1"/>
  <c r="K211" i="23" s="1"/>
  <c r="I210" i="26"/>
  <c r="J210" i="26" s="1"/>
  <c r="K210" i="26" s="1"/>
  <c r="I213" i="27"/>
  <c r="J213" i="27" s="1"/>
  <c r="K213" i="27" s="1"/>
  <c r="I214" i="22"/>
  <c r="J214" i="22" s="1"/>
  <c r="K214" i="22" s="1"/>
  <c r="H214" i="32"/>
  <c r="M214" i="32" s="1"/>
  <c r="O214" i="32" s="1"/>
  <c r="I210" i="28"/>
  <c r="J210" i="28" s="1"/>
  <c r="K210" i="28" s="1"/>
  <c r="I217" i="26"/>
  <c r="J217" i="26" s="1"/>
  <c r="K217" i="26" s="1"/>
  <c r="I214" i="23"/>
  <c r="J214" i="23" s="1"/>
  <c r="K214" i="23" s="1"/>
  <c r="I215" i="27"/>
  <c r="J215" i="27" s="1"/>
  <c r="K215" i="27" s="1"/>
  <c r="H211" i="32"/>
  <c r="M211" i="32" s="1"/>
  <c r="O211" i="32" s="1"/>
  <c r="I216" i="26"/>
  <c r="J216" i="26" s="1"/>
  <c r="K216" i="26" s="1"/>
  <c r="I215" i="23"/>
  <c r="J215" i="23" s="1"/>
  <c r="K215" i="23" s="1"/>
  <c r="I214" i="27"/>
  <c r="J214" i="27" s="1"/>
  <c r="K214" i="27" s="1"/>
  <c r="I213" i="26"/>
  <c r="J213" i="26" s="1"/>
  <c r="K213" i="26" s="1"/>
  <c r="I216" i="27"/>
  <c r="J216" i="27" s="1"/>
  <c r="K216" i="27" s="1"/>
  <c r="I215" i="22"/>
  <c r="J215" i="22" s="1"/>
  <c r="K215" i="22" s="1"/>
  <c r="H216" i="32"/>
  <c r="M216" i="32" s="1"/>
  <c r="O216" i="32" s="1"/>
  <c r="I215" i="26"/>
  <c r="J215" i="26" s="1"/>
  <c r="K215" i="26" s="1"/>
  <c r="I211" i="27"/>
  <c r="J211" i="27" s="1"/>
  <c r="K211" i="27" s="1"/>
  <c r="I214" i="26"/>
  <c r="J214" i="26" s="1"/>
  <c r="K214" i="26" s="1"/>
  <c r="I210" i="22"/>
  <c r="J210" i="22" s="1"/>
  <c r="K210" i="22" s="1"/>
  <c r="C133" i="39"/>
  <c r="C125" i="39"/>
  <c r="D133" i="39"/>
  <c r="D132" i="39"/>
  <c r="D131" i="39"/>
  <c r="D130" i="39"/>
  <c r="D129" i="39"/>
  <c r="D128" i="39"/>
  <c r="D127" i="39"/>
  <c r="D126" i="39"/>
  <c r="D125" i="39"/>
  <c r="D124" i="39"/>
  <c r="D123" i="39"/>
  <c r="C132" i="39"/>
  <c r="C131" i="39"/>
  <c r="C130" i="39"/>
  <c r="C129" i="39"/>
  <c r="C128" i="39"/>
  <c r="C127" i="39"/>
  <c r="C126" i="39"/>
  <c r="C124" i="39"/>
  <c r="C123" i="39"/>
  <c r="D122" i="39"/>
  <c r="D121" i="39"/>
  <c r="D120" i="39"/>
  <c r="D119" i="39"/>
  <c r="D118" i="39"/>
  <c r="D117" i="39"/>
  <c r="D116" i="39"/>
  <c r="D115" i="39"/>
  <c r="D114" i="39"/>
  <c r="D113" i="39"/>
  <c r="D112" i="39"/>
  <c r="D111" i="39"/>
  <c r="C114" i="39"/>
  <c r="C122" i="39"/>
  <c r="C121" i="39"/>
  <c r="C120" i="39"/>
  <c r="C119" i="39"/>
  <c r="C118" i="39"/>
  <c r="C117" i="39"/>
  <c r="C116" i="39"/>
  <c r="C115" i="39"/>
  <c r="C113" i="39"/>
  <c r="C112" i="39"/>
  <c r="C111" i="39"/>
  <c r="D110" i="39"/>
  <c r="D109" i="39"/>
  <c r="D108" i="39"/>
  <c r="D107" i="39"/>
  <c r="D106" i="39"/>
  <c r="D105" i="39"/>
  <c r="D104" i="39"/>
  <c r="D103" i="39"/>
  <c r="D102" i="39"/>
  <c r="D101" i="39"/>
  <c r="D100" i="39"/>
  <c r="D99" i="39"/>
  <c r="C99" i="39"/>
  <c r="C100" i="39"/>
  <c r="C101" i="39"/>
  <c r="C102" i="39"/>
  <c r="C103" i="39"/>
  <c r="C104" i="39"/>
  <c r="C105" i="39"/>
  <c r="C106" i="39"/>
  <c r="C107" i="39"/>
  <c r="C108" i="39"/>
  <c r="C109" i="39"/>
  <c r="C110" i="39"/>
  <c r="H214" i="33" l="1"/>
  <c r="M214" i="33" s="1"/>
  <c r="O214" i="33" s="1"/>
  <c r="I213" i="21"/>
  <c r="J213" i="21" s="1"/>
  <c r="K213" i="21" s="1"/>
  <c r="Q215" i="32"/>
  <c r="Q217" i="32"/>
  <c r="Q212" i="32"/>
  <c r="Q216" i="32"/>
  <c r="Q211" i="32"/>
  <c r="Q214" i="32"/>
  <c r="Q213" i="32"/>
  <c r="I214" i="21"/>
  <c r="J214" i="21" s="1"/>
  <c r="K214" i="21" s="1"/>
  <c r="H211" i="33"/>
  <c r="M211" i="33" s="1"/>
  <c r="O211" i="33" s="1"/>
  <c r="H215" i="33"/>
  <c r="M215" i="33" s="1"/>
  <c r="O215" i="33" s="1"/>
  <c r="H210" i="33"/>
  <c r="M210" i="33" s="1"/>
  <c r="O210" i="33" s="1"/>
  <c r="H212" i="33"/>
  <c r="M212" i="33" s="1"/>
  <c r="O212" i="33" s="1"/>
  <c r="H217" i="33"/>
  <c r="M217" i="33" s="1"/>
  <c r="O217" i="33" s="1"/>
  <c r="J5" i="11"/>
  <c r="G68" i="38"/>
  <c r="H68" i="38"/>
  <c r="K5" i="11"/>
  <c r="I214" i="20"/>
  <c r="J214" i="20" s="1"/>
  <c r="K214" i="20" s="1"/>
  <c r="D6" i="37"/>
  <c r="C20" i="37"/>
  <c r="D20" i="37" s="1"/>
  <c r="H213" i="33"/>
  <c r="M213" i="33" s="1"/>
  <c r="O213" i="33" s="1"/>
  <c r="H216" i="33"/>
  <c r="M216" i="33" s="1"/>
  <c r="O216" i="33" s="1"/>
  <c r="I217" i="20"/>
  <c r="J217" i="20" s="1"/>
  <c r="K217" i="20" s="1"/>
  <c r="I210" i="20"/>
  <c r="J210" i="20" s="1"/>
  <c r="K210" i="20" s="1"/>
  <c r="I211" i="20"/>
  <c r="J211" i="20" s="1"/>
  <c r="K211" i="20" s="1"/>
  <c r="J90" i="21"/>
  <c r="K90" i="21" s="1"/>
  <c r="I34" i="33"/>
  <c r="J34" i="33" s="1"/>
  <c r="Z34" i="39"/>
  <c r="I94" i="33"/>
  <c r="J94" i="33" s="1"/>
  <c r="Z94" i="39"/>
  <c r="I81" i="33"/>
  <c r="J81" i="33" s="1"/>
  <c r="Z81" i="39"/>
  <c r="I8" i="33"/>
  <c r="J8" i="33" s="1"/>
  <c r="Z8" i="39"/>
  <c r="I80" i="33"/>
  <c r="J80" i="33" s="1"/>
  <c r="Z80" i="39"/>
  <c r="J42" i="20"/>
  <c r="K42" i="20" s="1"/>
  <c r="J69" i="21"/>
  <c r="K69" i="21" s="1"/>
  <c r="I54" i="33"/>
  <c r="J54" i="33" s="1"/>
  <c r="Z54" i="39"/>
  <c r="I93" i="33"/>
  <c r="J93" i="33" s="1"/>
  <c r="Z93" i="39"/>
  <c r="I56" i="33"/>
  <c r="J56" i="33" s="1"/>
  <c r="Z56" i="39"/>
  <c r="I32" i="33"/>
  <c r="J32" i="33" s="1"/>
  <c r="Z32" i="39"/>
  <c r="I9" i="33"/>
  <c r="J9" i="33" s="1"/>
  <c r="Z9" i="39"/>
  <c r="I30" i="33"/>
  <c r="J30" i="33" s="1"/>
  <c r="Z30" i="39"/>
  <c r="I92" i="33"/>
  <c r="J92" i="33" s="1"/>
  <c r="Z92" i="39"/>
  <c r="I82" i="33"/>
  <c r="J82" i="33" s="1"/>
  <c r="Z82" i="39"/>
  <c r="I70" i="33"/>
  <c r="J70" i="33" s="1"/>
  <c r="Z70" i="39"/>
  <c r="J34" i="20"/>
  <c r="K34" i="20" s="1"/>
  <c r="I44" i="33"/>
  <c r="J44" i="33" s="1"/>
  <c r="Z44" i="39"/>
  <c r="I21" i="33"/>
  <c r="J21" i="33" s="1"/>
  <c r="Z21" i="39"/>
  <c r="I20" i="33"/>
  <c r="J20" i="33" s="1"/>
  <c r="Z20" i="39"/>
  <c r="I215" i="20"/>
  <c r="J215" i="20" s="1"/>
  <c r="K215" i="20" s="1"/>
  <c r="I211" i="21"/>
  <c r="J211" i="21" s="1"/>
  <c r="K211" i="21" s="1"/>
  <c r="I69" i="33"/>
  <c r="J69" i="33" s="1"/>
  <c r="Z69" i="39"/>
  <c r="I57" i="33"/>
  <c r="J57" i="33" s="1"/>
  <c r="Z57" i="39"/>
  <c r="I46" i="33"/>
  <c r="J46" i="33" s="1"/>
  <c r="Z46" i="39"/>
  <c r="I10" i="33"/>
  <c r="J10" i="33" s="1"/>
  <c r="Z10" i="39"/>
  <c r="I18" i="33"/>
  <c r="J18" i="33" s="1"/>
  <c r="Z18" i="39"/>
  <c r="I68" i="33"/>
  <c r="J68" i="33" s="1"/>
  <c r="Z68" i="39"/>
  <c r="I33" i="33"/>
  <c r="J33" i="33" s="1"/>
  <c r="Z33" i="39"/>
  <c r="I90" i="33"/>
  <c r="J90" i="33" s="1"/>
  <c r="Z90" i="39"/>
  <c r="I6" i="33"/>
  <c r="J6" i="33" s="1"/>
  <c r="Z6" i="39"/>
  <c r="I78" i="33"/>
  <c r="J78" i="33" s="1"/>
  <c r="Z78" i="39"/>
  <c r="I45" i="33"/>
  <c r="J45" i="33" s="1"/>
  <c r="Z45" i="39"/>
  <c r="E150" i="39"/>
  <c r="E150" i="28"/>
  <c r="E150" i="23"/>
  <c r="E150" i="27"/>
  <c r="E150" i="26"/>
  <c r="E150" i="22"/>
  <c r="N150" i="39"/>
  <c r="E150" i="21"/>
  <c r="E150" i="20"/>
  <c r="W150" i="39"/>
  <c r="I22" i="33"/>
  <c r="J22" i="33" s="1"/>
  <c r="Z22" i="39"/>
  <c r="I58" i="33"/>
  <c r="J58" i="33" s="1"/>
  <c r="Z58" i="39"/>
  <c r="I66" i="33"/>
  <c r="J66" i="33" s="1"/>
  <c r="Z66" i="39"/>
  <c r="I42" i="33"/>
  <c r="J42" i="33" s="1"/>
  <c r="Z42" i="39"/>
  <c r="I214" i="33"/>
  <c r="J214" i="33" s="1"/>
  <c r="J56" i="11"/>
  <c r="K56" i="11"/>
  <c r="H6" i="37"/>
  <c r="G20" i="37"/>
  <c r="H20" i="37" s="1"/>
  <c r="G21" i="37"/>
  <c r="H21" i="37" s="1"/>
  <c r="I211" i="32"/>
  <c r="J211" i="32" s="1"/>
  <c r="I217" i="32"/>
  <c r="J217" i="32" s="1"/>
  <c r="I213" i="32"/>
  <c r="J213" i="32" s="1"/>
  <c r="I214" i="32"/>
  <c r="J214" i="32" s="1"/>
  <c r="I215" i="32"/>
  <c r="J215" i="32" s="1"/>
  <c r="I212" i="32"/>
  <c r="J212" i="32" s="1"/>
  <c r="I216" i="32"/>
  <c r="J216" i="32" s="1"/>
  <c r="C103" i="33"/>
  <c r="U103" i="39" s="1"/>
  <c r="C103" i="32"/>
  <c r="L103" i="39" s="1"/>
  <c r="D106" i="33"/>
  <c r="V106" i="39" s="1"/>
  <c r="D106" i="32"/>
  <c r="M106" i="39" s="1"/>
  <c r="C115" i="33"/>
  <c r="U115" i="39" s="1"/>
  <c r="C115" i="32"/>
  <c r="L115" i="39" s="1"/>
  <c r="C114" i="33"/>
  <c r="U114" i="39" s="1"/>
  <c r="C114" i="32"/>
  <c r="L114" i="39" s="1"/>
  <c r="D118" i="33"/>
  <c r="V118" i="39" s="1"/>
  <c r="D118" i="32"/>
  <c r="M118" i="39" s="1"/>
  <c r="C127" i="33"/>
  <c r="U127" i="39" s="1"/>
  <c r="C127" i="32"/>
  <c r="D125" i="33"/>
  <c r="V125" i="39" s="1"/>
  <c r="D125" i="32"/>
  <c r="M125" i="39" s="1"/>
  <c r="D133" i="33"/>
  <c r="V133" i="39" s="1"/>
  <c r="D133" i="32"/>
  <c r="M133" i="39" s="1"/>
  <c r="C110" i="33"/>
  <c r="U110" i="39" s="1"/>
  <c r="C110" i="32"/>
  <c r="L110" i="39" s="1"/>
  <c r="C102" i="33"/>
  <c r="U102" i="39" s="1"/>
  <c r="C102" i="32"/>
  <c r="L102" i="39" s="1"/>
  <c r="D103" i="32"/>
  <c r="M103" i="39" s="1"/>
  <c r="D103" i="33"/>
  <c r="V103" i="39" s="1"/>
  <c r="C111" i="33"/>
  <c r="U111" i="39" s="1"/>
  <c r="C111" i="32"/>
  <c r="L111" i="39" s="1"/>
  <c r="C120" i="33"/>
  <c r="U120" i="39" s="1"/>
  <c r="C120" i="32"/>
  <c r="L120" i="39" s="1"/>
  <c r="D115" i="32"/>
  <c r="M115" i="39" s="1"/>
  <c r="D115" i="33"/>
  <c r="V115" i="39" s="1"/>
  <c r="C123" i="33"/>
  <c r="U123" i="39" s="1"/>
  <c r="C123" i="32"/>
  <c r="C123" i="21"/>
  <c r="C123" i="27"/>
  <c r="C123" i="28"/>
  <c r="C132" i="33"/>
  <c r="U132" i="39" s="1"/>
  <c r="C132" i="32"/>
  <c r="D130" i="33"/>
  <c r="V130" i="39" s="1"/>
  <c r="D130" i="32"/>
  <c r="M130" i="39" s="1"/>
  <c r="C108" i="33"/>
  <c r="U108" i="39" s="1"/>
  <c r="C108" i="32"/>
  <c r="L108" i="39" s="1"/>
  <c r="C104" i="33"/>
  <c r="U104" i="39" s="1"/>
  <c r="C104" i="32"/>
  <c r="L104" i="39" s="1"/>
  <c r="C100" i="33"/>
  <c r="U100" i="39" s="1"/>
  <c r="C100" i="32"/>
  <c r="L100" i="39" s="1"/>
  <c r="D101" i="32"/>
  <c r="M101" i="39" s="1"/>
  <c r="D101" i="33"/>
  <c r="V101" i="39" s="1"/>
  <c r="D105" i="33"/>
  <c r="V105" i="39" s="1"/>
  <c r="D105" i="32"/>
  <c r="M105" i="39" s="1"/>
  <c r="D109" i="33"/>
  <c r="V109" i="39" s="1"/>
  <c r="D109" i="32"/>
  <c r="M109" i="39" s="1"/>
  <c r="C113" i="33"/>
  <c r="U113" i="39" s="1"/>
  <c r="C113" i="32"/>
  <c r="L113" i="39" s="1"/>
  <c r="C118" i="33"/>
  <c r="U118" i="39" s="1"/>
  <c r="C118" i="32"/>
  <c r="L118" i="39" s="1"/>
  <c r="C122" i="33"/>
  <c r="U122" i="39" s="1"/>
  <c r="C122" i="32"/>
  <c r="L122" i="39" s="1"/>
  <c r="D113" i="32"/>
  <c r="M113" i="39" s="1"/>
  <c r="D113" i="33"/>
  <c r="V113" i="39" s="1"/>
  <c r="D117" i="33"/>
  <c r="V117" i="39" s="1"/>
  <c r="D117" i="32"/>
  <c r="M117" i="39" s="1"/>
  <c r="D121" i="33"/>
  <c r="V121" i="39" s="1"/>
  <c r="D121" i="32"/>
  <c r="M121" i="39" s="1"/>
  <c r="C126" i="33"/>
  <c r="U126" i="39" s="1"/>
  <c r="C126" i="32"/>
  <c r="C130" i="33"/>
  <c r="U130" i="39" s="1"/>
  <c r="C130" i="32"/>
  <c r="D124" i="33"/>
  <c r="V124" i="39" s="1"/>
  <c r="D124" i="32"/>
  <c r="M124" i="39" s="1"/>
  <c r="D128" i="33"/>
  <c r="V128" i="39" s="1"/>
  <c r="D128" i="32"/>
  <c r="M128" i="39" s="1"/>
  <c r="D132" i="33"/>
  <c r="V132" i="39" s="1"/>
  <c r="D132" i="32"/>
  <c r="M132" i="39" s="1"/>
  <c r="C107" i="33"/>
  <c r="U107" i="39" s="1"/>
  <c r="C107" i="32"/>
  <c r="L107" i="39" s="1"/>
  <c r="C99" i="33"/>
  <c r="U99" i="39" s="1"/>
  <c r="C99" i="32"/>
  <c r="L99" i="39" s="1"/>
  <c r="D102" i="33"/>
  <c r="V102" i="39" s="1"/>
  <c r="D102" i="32"/>
  <c r="M102" i="39" s="1"/>
  <c r="D110" i="33"/>
  <c r="V110" i="39" s="1"/>
  <c r="D110" i="32"/>
  <c r="M110" i="39" s="1"/>
  <c r="C119" i="33"/>
  <c r="U119" i="39" s="1"/>
  <c r="C119" i="32"/>
  <c r="L119" i="39" s="1"/>
  <c r="D114" i="33"/>
  <c r="V114" i="39" s="1"/>
  <c r="D114" i="32"/>
  <c r="M114" i="39" s="1"/>
  <c r="D122" i="33"/>
  <c r="V122" i="39" s="1"/>
  <c r="D122" i="32"/>
  <c r="M122" i="39" s="1"/>
  <c r="C131" i="33"/>
  <c r="U131" i="39" s="1"/>
  <c r="C131" i="32"/>
  <c r="D129" i="33"/>
  <c r="V129" i="39" s="1"/>
  <c r="D129" i="32"/>
  <c r="M129" i="39" s="1"/>
  <c r="C106" i="33"/>
  <c r="U106" i="39" s="1"/>
  <c r="C106" i="32"/>
  <c r="L106" i="39" s="1"/>
  <c r="D99" i="32"/>
  <c r="M99" i="39" s="1"/>
  <c r="D99" i="33"/>
  <c r="V99" i="39" s="1"/>
  <c r="D107" i="32"/>
  <c r="M107" i="39" s="1"/>
  <c r="D107" i="33"/>
  <c r="V107" i="39" s="1"/>
  <c r="C116" i="33"/>
  <c r="U116" i="39" s="1"/>
  <c r="C116" i="32"/>
  <c r="L116" i="39" s="1"/>
  <c r="D111" i="32"/>
  <c r="M111" i="39" s="1"/>
  <c r="D111" i="33"/>
  <c r="D119" i="32"/>
  <c r="M119" i="39" s="1"/>
  <c r="D119" i="33"/>
  <c r="V119" i="39" s="1"/>
  <c r="C128" i="33"/>
  <c r="U128" i="39" s="1"/>
  <c r="C128" i="32"/>
  <c r="D126" i="33"/>
  <c r="V126" i="39" s="1"/>
  <c r="D126" i="32"/>
  <c r="M126" i="39" s="1"/>
  <c r="C125" i="32"/>
  <c r="C125" i="33"/>
  <c r="U125" i="39" s="1"/>
  <c r="C109" i="33"/>
  <c r="U109" i="39" s="1"/>
  <c r="C109" i="32"/>
  <c r="L109" i="39" s="1"/>
  <c r="C105" i="32"/>
  <c r="L105" i="39" s="1"/>
  <c r="C105" i="33"/>
  <c r="U105" i="39" s="1"/>
  <c r="C101" i="33"/>
  <c r="U101" i="39" s="1"/>
  <c r="C101" i="32"/>
  <c r="L101" i="39" s="1"/>
  <c r="D100" i="33"/>
  <c r="V100" i="39" s="1"/>
  <c r="D100" i="32"/>
  <c r="M100" i="39" s="1"/>
  <c r="D104" i="33"/>
  <c r="V104" i="39" s="1"/>
  <c r="D104" i="32"/>
  <c r="M104" i="39" s="1"/>
  <c r="D108" i="33"/>
  <c r="V108" i="39" s="1"/>
  <c r="D108" i="32"/>
  <c r="M108" i="39" s="1"/>
  <c r="C112" i="33"/>
  <c r="U112" i="39" s="1"/>
  <c r="C112" i="32"/>
  <c r="L112" i="39" s="1"/>
  <c r="C117" i="32"/>
  <c r="L117" i="39" s="1"/>
  <c r="C117" i="33"/>
  <c r="U117" i="39" s="1"/>
  <c r="C121" i="33"/>
  <c r="U121" i="39" s="1"/>
  <c r="C121" i="32"/>
  <c r="L121" i="39" s="1"/>
  <c r="D112" i="33"/>
  <c r="V112" i="39" s="1"/>
  <c r="D112" i="32"/>
  <c r="M112" i="39" s="1"/>
  <c r="D116" i="33"/>
  <c r="V116" i="39" s="1"/>
  <c r="D116" i="32"/>
  <c r="M116" i="39" s="1"/>
  <c r="D120" i="33"/>
  <c r="V120" i="39" s="1"/>
  <c r="D120" i="32"/>
  <c r="M120" i="39" s="1"/>
  <c r="C124" i="33"/>
  <c r="U124" i="39" s="1"/>
  <c r="C124" i="32"/>
  <c r="C129" i="32"/>
  <c r="C129" i="33"/>
  <c r="U129" i="39" s="1"/>
  <c r="D123" i="32"/>
  <c r="M123" i="39" s="1"/>
  <c r="D123" i="33"/>
  <c r="V123" i="39" s="1"/>
  <c r="D123" i="27"/>
  <c r="D123" i="28"/>
  <c r="D123" i="21"/>
  <c r="D127" i="32"/>
  <c r="M127" i="39" s="1"/>
  <c r="D127" i="33"/>
  <c r="V127" i="39" s="1"/>
  <c r="D131" i="32"/>
  <c r="M131" i="39" s="1"/>
  <c r="D131" i="33"/>
  <c r="V131" i="39" s="1"/>
  <c r="C133" i="33"/>
  <c r="U133" i="39" s="1"/>
  <c r="C133" i="32"/>
  <c r="C104" i="20"/>
  <c r="C104" i="21"/>
  <c r="C104" i="22"/>
  <c r="C104" i="26"/>
  <c r="C104" i="23"/>
  <c r="C104" i="27"/>
  <c r="C104" i="28"/>
  <c r="D109" i="21"/>
  <c r="D109" i="26"/>
  <c r="D109" i="23"/>
  <c r="D109" i="27"/>
  <c r="D109" i="22"/>
  <c r="D109" i="20"/>
  <c r="D109" i="28"/>
  <c r="C122" i="20"/>
  <c r="C122" i="21"/>
  <c r="C122" i="22"/>
  <c r="I122" i="22" s="1"/>
  <c r="C122" i="28"/>
  <c r="C122" i="23"/>
  <c r="C122" i="27"/>
  <c r="C122" i="26"/>
  <c r="D121" i="22"/>
  <c r="D121" i="26"/>
  <c r="D121" i="23"/>
  <c r="D121" i="27"/>
  <c r="D121" i="21"/>
  <c r="D121" i="20"/>
  <c r="D121" i="28"/>
  <c r="D124" i="20"/>
  <c r="D124" i="22"/>
  <c r="D124" i="21"/>
  <c r="D124" i="26"/>
  <c r="D124" i="28"/>
  <c r="D124" i="23"/>
  <c r="D124" i="27"/>
  <c r="H107" i="19"/>
  <c r="H107" i="39" s="1"/>
  <c r="C107" i="21"/>
  <c r="C107" i="26"/>
  <c r="C107" i="23"/>
  <c r="C107" i="27"/>
  <c r="C107" i="28"/>
  <c r="I107" i="28" s="1"/>
  <c r="C107" i="20"/>
  <c r="C107" i="22"/>
  <c r="H103" i="19"/>
  <c r="H103" i="39" s="1"/>
  <c r="C103" i="22"/>
  <c r="C103" i="26"/>
  <c r="C103" i="23"/>
  <c r="C103" i="27"/>
  <c r="C103" i="28"/>
  <c r="C103" i="20"/>
  <c r="C103" i="21"/>
  <c r="H99" i="19"/>
  <c r="H99" i="39" s="1"/>
  <c r="C99" i="21"/>
  <c r="C99" i="26"/>
  <c r="C99" i="23"/>
  <c r="C99" i="27"/>
  <c r="C99" i="28"/>
  <c r="I99" i="28" s="1"/>
  <c r="C99" i="20"/>
  <c r="C99" i="22"/>
  <c r="D102" i="20"/>
  <c r="D102" i="22"/>
  <c r="D102" i="21"/>
  <c r="D102" i="26"/>
  <c r="D102" i="23"/>
  <c r="D102" i="27"/>
  <c r="D102" i="28"/>
  <c r="D106" i="20"/>
  <c r="D106" i="21"/>
  <c r="D106" i="22"/>
  <c r="D106" i="26"/>
  <c r="D106" i="23"/>
  <c r="D106" i="27"/>
  <c r="D106" i="28"/>
  <c r="D110" i="20"/>
  <c r="D110" i="22"/>
  <c r="D110" i="26"/>
  <c r="D110" i="23"/>
  <c r="D110" i="27"/>
  <c r="D110" i="28"/>
  <c r="D110" i="21"/>
  <c r="H115" i="19"/>
  <c r="H115" i="39" s="1"/>
  <c r="C115" i="21"/>
  <c r="C115" i="26"/>
  <c r="C115" i="23"/>
  <c r="C115" i="27"/>
  <c r="C115" i="28"/>
  <c r="C115" i="20"/>
  <c r="C115" i="22"/>
  <c r="H119" i="19"/>
  <c r="H119" i="39" s="1"/>
  <c r="C119" i="22"/>
  <c r="C119" i="26"/>
  <c r="C119" i="23"/>
  <c r="C119" i="27"/>
  <c r="I119" i="27" s="1"/>
  <c r="C119" i="28"/>
  <c r="C119" i="20"/>
  <c r="C119" i="21"/>
  <c r="H114" i="19"/>
  <c r="H114" i="39" s="1"/>
  <c r="C114" i="20"/>
  <c r="C114" i="21"/>
  <c r="C114" i="22"/>
  <c r="C114" i="28"/>
  <c r="I114" i="28" s="1"/>
  <c r="C114" i="23"/>
  <c r="C114" i="27"/>
  <c r="C114" i="26"/>
  <c r="D114" i="20"/>
  <c r="D114" i="21"/>
  <c r="D114" i="26"/>
  <c r="D114" i="22"/>
  <c r="D114" i="23"/>
  <c r="D114" i="27"/>
  <c r="D114" i="28"/>
  <c r="D118" i="20"/>
  <c r="D118" i="22"/>
  <c r="D118" i="26"/>
  <c r="D118" i="21"/>
  <c r="D118" i="23"/>
  <c r="D118" i="27"/>
  <c r="D118" i="28"/>
  <c r="D122" i="20"/>
  <c r="D122" i="21"/>
  <c r="D122" i="26"/>
  <c r="D122" i="23"/>
  <c r="D122" i="27"/>
  <c r="D122" i="22"/>
  <c r="D122" i="28"/>
  <c r="H127" i="19"/>
  <c r="C127" i="22"/>
  <c r="C127" i="26"/>
  <c r="C127" i="23"/>
  <c r="I127" i="23" s="1"/>
  <c r="C127" i="27"/>
  <c r="C127" i="28"/>
  <c r="C127" i="20"/>
  <c r="C127" i="21"/>
  <c r="I127" i="21" s="1"/>
  <c r="H131" i="19"/>
  <c r="C131" i="21"/>
  <c r="C131" i="26"/>
  <c r="C131" i="23"/>
  <c r="I131" i="23" s="1"/>
  <c r="C131" i="27"/>
  <c r="C131" i="28"/>
  <c r="C131" i="20"/>
  <c r="C131" i="22"/>
  <c r="D125" i="21"/>
  <c r="D125" i="26"/>
  <c r="D125" i="23"/>
  <c r="D125" i="27"/>
  <c r="D125" i="22"/>
  <c r="D125" i="20"/>
  <c r="D125" i="28"/>
  <c r="D129" i="22"/>
  <c r="D129" i="26"/>
  <c r="D129" i="23"/>
  <c r="D129" i="27"/>
  <c r="D129" i="21"/>
  <c r="D129" i="28"/>
  <c r="D129" i="20"/>
  <c r="D133" i="21"/>
  <c r="D133" i="26"/>
  <c r="D133" i="23"/>
  <c r="D133" i="27"/>
  <c r="D133" i="22"/>
  <c r="D133" i="20"/>
  <c r="D133" i="28"/>
  <c r="D101" i="21"/>
  <c r="D101" i="26"/>
  <c r="D101" i="23"/>
  <c r="D101" i="27"/>
  <c r="D101" i="22"/>
  <c r="D101" i="20"/>
  <c r="D101" i="28"/>
  <c r="C118" i="20"/>
  <c r="C118" i="21"/>
  <c r="I118" i="21" s="1"/>
  <c r="C118" i="22"/>
  <c r="C118" i="27"/>
  <c r="I118" i="27" s="1"/>
  <c r="C118" i="28"/>
  <c r="I118" i="28" s="1"/>
  <c r="C118" i="26"/>
  <c r="C118" i="23"/>
  <c r="I118" i="23" s="1"/>
  <c r="D117" i="21"/>
  <c r="D117" i="26"/>
  <c r="D117" i="23"/>
  <c r="D117" i="27"/>
  <c r="D117" i="22"/>
  <c r="D117" i="20"/>
  <c r="D117" i="28"/>
  <c r="C130" i="20"/>
  <c r="C130" i="21"/>
  <c r="C130" i="22"/>
  <c r="C130" i="28"/>
  <c r="C130" i="27"/>
  <c r="C130" i="26"/>
  <c r="C130" i="23"/>
  <c r="D132" i="20"/>
  <c r="D132" i="22"/>
  <c r="D132" i="21"/>
  <c r="D132" i="26"/>
  <c r="D132" i="28"/>
  <c r="D132" i="23"/>
  <c r="D132" i="27"/>
  <c r="C102" i="20"/>
  <c r="C102" i="21"/>
  <c r="C102" i="22"/>
  <c r="C102" i="26"/>
  <c r="I102" i="26" s="1"/>
  <c r="C102" i="27"/>
  <c r="C102" i="28"/>
  <c r="C102" i="23"/>
  <c r="I102" i="23" s="1"/>
  <c r="D99" i="26"/>
  <c r="D99" i="23"/>
  <c r="D99" i="27"/>
  <c r="D99" i="20"/>
  <c r="D99" i="22"/>
  <c r="D99" i="21"/>
  <c r="D99" i="28"/>
  <c r="D103" i="26"/>
  <c r="D103" i="23"/>
  <c r="D103" i="27"/>
  <c r="D103" i="20"/>
  <c r="D103" i="21"/>
  <c r="D103" i="28"/>
  <c r="D103" i="22"/>
  <c r="D107" i="26"/>
  <c r="D107" i="23"/>
  <c r="D107" i="27"/>
  <c r="D107" i="20"/>
  <c r="D107" i="22"/>
  <c r="D107" i="28"/>
  <c r="D107" i="21"/>
  <c r="H111" i="19"/>
  <c r="H111" i="39" s="1"/>
  <c r="C111" i="22"/>
  <c r="C111" i="26"/>
  <c r="C111" i="23"/>
  <c r="C111" i="27"/>
  <c r="C111" i="28"/>
  <c r="C111" i="20"/>
  <c r="C111" i="21"/>
  <c r="I111" i="21" s="1"/>
  <c r="C116" i="20"/>
  <c r="C116" i="21"/>
  <c r="C116" i="22"/>
  <c r="C116" i="23"/>
  <c r="I116" i="23" s="1"/>
  <c r="C116" i="27"/>
  <c r="C116" i="26"/>
  <c r="C116" i="28"/>
  <c r="C120" i="20"/>
  <c r="C120" i="21"/>
  <c r="C120" i="22"/>
  <c r="C120" i="26"/>
  <c r="C120" i="23"/>
  <c r="C120" i="27"/>
  <c r="C120" i="28"/>
  <c r="D111" i="26"/>
  <c r="D111" i="23"/>
  <c r="D111" i="27"/>
  <c r="D111" i="20"/>
  <c r="D111" i="21"/>
  <c r="D111" i="28"/>
  <c r="D111" i="22"/>
  <c r="D115" i="26"/>
  <c r="D115" i="23"/>
  <c r="D115" i="27"/>
  <c r="D115" i="20"/>
  <c r="D115" i="22"/>
  <c r="D115" i="21"/>
  <c r="D115" i="28"/>
  <c r="D119" i="26"/>
  <c r="D119" i="23"/>
  <c r="D119" i="27"/>
  <c r="D119" i="20"/>
  <c r="D119" i="21"/>
  <c r="D119" i="28"/>
  <c r="D119" i="22"/>
  <c r="C123" i="26"/>
  <c r="I123" i="26" s="1"/>
  <c r="C123" i="23"/>
  <c r="C123" i="20"/>
  <c r="C123" i="22"/>
  <c r="H128" i="19"/>
  <c r="C128" i="20"/>
  <c r="C128" i="21"/>
  <c r="C128" i="22"/>
  <c r="C128" i="26"/>
  <c r="I128" i="26" s="1"/>
  <c r="C128" i="23"/>
  <c r="C128" i="27"/>
  <c r="C128" i="28"/>
  <c r="H132" i="19"/>
  <c r="C132" i="20"/>
  <c r="I132" i="20" s="1"/>
  <c r="C132" i="21"/>
  <c r="C132" i="22"/>
  <c r="I132" i="22" s="1"/>
  <c r="C132" i="23"/>
  <c r="I132" i="23" s="1"/>
  <c r="C132" i="27"/>
  <c r="C132" i="28"/>
  <c r="I132" i="28" s="1"/>
  <c r="C132" i="26"/>
  <c r="D126" i="20"/>
  <c r="D126" i="22"/>
  <c r="D126" i="26"/>
  <c r="D126" i="21"/>
  <c r="D126" i="23"/>
  <c r="D126" i="27"/>
  <c r="D126" i="28"/>
  <c r="D130" i="20"/>
  <c r="D130" i="21"/>
  <c r="D130" i="26"/>
  <c r="D130" i="23"/>
  <c r="D130" i="27"/>
  <c r="D130" i="22"/>
  <c r="D130" i="28"/>
  <c r="C125" i="20"/>
  <c r="I125" i="20" s="1"/>
  <c r="C125" i="21"/>
  <c r="C125" i="26"/>
  <c r="I125" i="26" s="1"/>
  <c r="C125" i="23"/>
  <c r="C125" i="27"/>
  <c r="C125" i="28"/>
  <c r="I125" i="28" s="1"/>
  <c r="C125" i="22"/>
  <c r="C108" i="20"/>
  <c r="C108" i="21"/>
  <c r="C108" i="22"/>
  <c r="C108" i="26"/>
  <c r="I108" i="26" s="1"/>
  <c r="C108" i="23"/>
  <c r="C108" i="27"/>
  <c r="C108" i="28"/>
  <c r="C100" i="20"/>
  <c r="C100" i="21"/>
  <c r="C100" i="22"/>
  <c r="C100" i="26"/>
  <c r="C100" i="23"/>
  <c r="C100" i="27"/>
  <c r="C100" i="28"/>
  <c r="D105" i="22"/>
  <c r="D105" i="26"/>
  <c r="D105" i="23"/>
  <c r="D105" i="27"/>
  <c r="D105" i="21"/>
  <c r="D105" i="20"/>
  <c r="D105" i="28"/>
  <c r="H113" i="19"/>
  <c r="H113" i="39" s="1"/>
  <c r="C113" i="20"/>
  <c r="C113" i="22"/>
  <c r="I113" i="22" s="1"/>
  <c r="C113" i="26"/>
  <c r="C113" i="23"/>
  <c r="C113" i="27"/>
  <c r="C113" i="28"/>
  <c r="I113" i="28" s="1"/>
  <c r="C113" i="21"/>
  <c r="D113" i="22"/>
  <c r="D113" i="26"/>
  <c r="D113" i="23"/>
  <c r="D113" i="27"/>
  <c r="D113" i="21"/>
  <c r="D113" i="28"/>
  <c r="D113" i="20"/>
  <c r="C126" i="20"/>
  <c r="C126" i="21"/>
  <c r="C126" i="22"/>
  <c r="C126" i="23"/>
  <c r="I126" i="23" s="1"/>
  <c r="C126" i="26"/>
  <c r="I126" i="26" s="1"/>
  <c r="C126" i="27"/>
  <c r="C126" i="28"/>
  <c r="I126" i="28" s="1"/>
  <c r="D128" i="20"/>
  <c r="D128" i="21"/>
  <c r="D128" i="22"/>
  <c r="D128" i="26"/>
  <c r="D128" i="28"/>
  <c r="D128" i="23"/>
  <c r="D128" i="27"/>
  <c r="C110" i="20"/>
  <c r="C110" i="21"/>
  <c r="I110" i="21" s="1"/>
  <c r="C110" i="22"/>
  <c r="I110" i="22" s="1"/>
  <c r="C110" i="23"/>
  <c r="C110" i="28"/>
  <c r="I110" i="28" s="1"/>
  <c r="C110" i="26"/>
  <c r="I110" i="26" s="1"/>
  <c r="C110" i="27"/>
  <c r="I110" i="27" s="1"/>
  <c r="C106" i="20"/>
  <c r="I106" i="20" s="1"/>
  <c r="C106" i="21"/>
  <c r="I106" i="21" s="1"/>
  <c r="C106" i="22"/>
  <c r="I106" i="22" s="1"/>
  <c r="C106" i="28"/>
  <c r="C106" i="26"/>
  <c r="C106" i="23"/>
  <c r="I106" i="23" s="1"/>
  <c r="C106" i="27"/>
  <c r="I106" i="27" s="1"/>
  <c r="H109" i="19"/>
  <c r="H109" i="39" s="1"/>
  <c r="C109" i="20"/>
  <c r="C109" i="21"/>
  <c r="I109" i="21" s="1"/>
  <c r="C109" i="26"/>
  <c r="I109" i="26" s="1"/>
  <c r="C109" i="23"/>
  <c r="I109" i="23" s="1"/>
  <c r="C109" i="27"/>
  <c r="I109" i="27" s="1"/>
  <c r="C109" i="28"/>
  <c r="C109" i="22"/>
  <c r="I109" i="22" s="1"/>
  <c r="H105" i="19"/>
  <c r="H105" i="39" s="1"/>
  <c r="C105" i="20"/>
  <c r="C105" i="22"/>
  <c r="I105" i="22" s="1"/>
  <c r="C105" i="26"/>
  <c r="I105" i="26" s="1"/>
  <c r="C105" i="23"/>
  <c r="I105" i="23" s="1"/>
  <c r="C105" i="27"/>
  <c r="I105" i="27" s="1"/>
  <c r="C105" i="28"/>
  <c r="C105" i="21"/>
  <c r="I105" i="21" s="1"/>
  <c r="H101" i="19"/>
  <c r="H101" i="39" s="1"/>
  <c r="C101" i="20"/>
  <c r="C101" i="21"/>
  <c r="I101" i="21" s="1"/>
  <c r="C101" i="26"/>
  <c r="I101" i="26" s="1"/>
  <c r="C101" i="23"/>
  <c r="C101" i="27"/>
  <c r="C101" i="28"/>
  <c r="C101" i="22"/>
  <c r="I101" i="22" s="1"/>
  <c r="D100" i="20"/>
  <c r="D100" i="22"/>
  <c r="D100" i="21"/>
  <c r="D100" i="28"/>
  <c r="D100" i="23"/>
  <c r="D100" i="26"/>
  <c r="D100" i="27"/>
  <c r="D104" i="20"/>
  <c r="D104" i="21"/>
  <c r="D104" i="22"/>
  <c r="D104" i="28"/>
  <c r="D104" i="26"/>
  <c r="D104" i="23"/>
  <c r="D104" i="27"/>
  <c r="D108" i="20"/>
  <c r="D108" i="22"/>
  <c r="D108" i="21"/>
  <c r="D108" i="28"/>
  <c r="D108" i="26"/>
  <c r="D108" i="27"/>
  <c r="D108" i="23"/>
  <c r="H112" i="19"/>
  <c r="H112" i="39" s="1"/>
  <c r="C112" i="20"/>
  <c r="C112" i="21"/>
  <c r="I112" i="21" s="1"/>
  <c r="C112" i="22"/>
  <c r="C112" i="26"/>
  <c r="C112" i="23"/>
  <c r="C112" i="27"/>
  <c r="C112" i="28"/>
  <c r="H117" i="19"/>
  <c r="H117" i="39" s="1"/>
  <c r="C117" i="20"/>
  <c r="C117" i="21"/>
  <c r="I117" i="21" s="1"/>
  <c r="C117" i="26"/>
  <c r="I117" i="26" s="1"/>
  <c r="C117" i="23"/>
  <c r="I117" i="23" s="1"/>
  <c r="C117" i="27"/>
  <c r="I117" i="27" s="1"/>
  <c r="C117" i="28"/>
  <c r="I117" i="28" s="1"/>
  <c r="C117" i="22"/>
  <c r="H121" i="19"/>
  <c r="H121" i="39" s="1"/>
  <c r="C121" i="20"/>
  <c r="I121" i="20" s="1"/>
  <c r="C121" i="22"/>
  <c r="C121" i="26"/>
  <c r="I121" i="26" s="1"/>
  <c r="C121" i="23"/>
  <c r="I121" i="23" s="1"/>
  <c r="C121" i="27"/>
  <c r="C121" i="28"/>
  <c r="I121" i="28" s="1"/>
  <c r="C121" i="21"/>
  <c r="I121" i="21" s="1"/>
  <c r="D112" i="20"/>
  <c r="D112" i="21"/>
  <c r="D112" i="22"/>
  <c r="D112" i="26"/>
  <c r="D112" i="23"/>
  <c r="D112" i="28"/>
  <c r="D112" i="27"/>
  <c r="D116" i="20"/>
  <c r="D116" i="22"/>
  <c r="D116" i="21"/>
  <c r="D116" i="26"/>
  <c r="D116" i="28"/>
  <c r="D116" i="23"/>
  <c r="D116" i="27"/>
  <c r="D120" i="20"/>
  <c r="D120" i="21"/>
  <c r="D120" i="22"/>
  <c r="D120" i="26"/>
  <c r="D120" i="23"/>
  <c r="D120" i="27"/>
  <c r="D120" i="28"/>
  <c r="H124" i="19"/>
  <c r="C124" i="20"/>
  <c r="I124" i="20" s="1"/>
  <c r="C124" i="21"/>
  <c r="I124" i="21" s="1"/>
  <c r="C124" i="22"/>
  <c r="C124" i="23"/>
  <c r="C124" i="27"/>
  <c r="I124" i="27" s="1"/>
  <c r="C124" i="28"/>
  <c r="C124" i="26"/>
  <c r="I124" i="26" s="1"/>
  <c r="C129" i="20"/>
  <c r="I129" i="20" s="1"/>
  <c r="C129" i="22"/>
  <c r="I129" i="22" s="1"/>
  <c r="C129" i="26"/>
  <c r="I129" i="26" s="1"/>
  <c r="C129" i="23"/>
  <c r="I129" i="23" s="1"/>
  <c r="C129" i="27"/>
  <c r="I129" i="27" s="1"/>
  <c r="C129" i="28"/>
  <c r="C129" i="21"/>
  <c r="D123" i="26"/>
  <c r="D123" i="23"/>
  <c r="D123" i="20"/>
  <c r="D123" i="22"/>
  <c r="D127" i="26"/>
  <c r="D127" i="23"/>
  <c r="D127" i="27"/>
  <c r="D127" i="20"/>
  <c r="D127" i="21"/>
  <c r="D127" i="22"/>
  <c r="D127" i="28"/>
  <c r="D131" i="26"/>
  <c r="D131" i="23"/>
  <c r="D131" i="27"/>
  <c r="D131" i="20"/>
  <c r="D131" i="22"/>
  <c r="D131" i="28"/>
  <c r="D131" i="21"/>
  <c r="C133" i="20"/>
  <c r="I133" i="20" s="1"/>
  <c r="C133" i="21"/>
  <c r="I133" i="21" s="1"/>
  <c r="C133" i="26"/>
  <c r="C133" i="23"/>
  <c r="C133" i="27"/>
  <c r="I133" i="27" s="1"/>
  <c r="C133" i="28"/>
  <c r="I133" i="28" s="1"/>
  <c r="C133" i="22"/>
  <c r="I133" i="22" s="1"/>
  <c r="H116" i="19"/>
  <c r="H116" i="39" s="1"/>
  <c r="H120" i="19"/>
  <c r="H120" i="39" s="1"/>
  <c r="H123" i="39"/>
  <c r="H108" i="19"/>
  <c r="H108" i="39" s="1"/>
  <c r="H104" i="19"/>
  <c r="H104" i="39" s="1"/>
  <c r="H106" i="19"/>
  <c r="H106" i="39" s="1"/>
  <c r="H125" i="19"/>
  <c r="H129" i="19"/>
  <c r="H133" i="19"/>
  <c r="H110" i="19"/>
  <c r="H110" i="39" s="1"/>
  <c r="H102" i="19"/>
  <c r="H102" i="39" s="1"/>
  <c r="H100" i="19"/>
  <c r="H100" i="39" s="1"/>
  <c r="H118" i="19"/>
  <c r="H118" i="39" s="1"/>
  <c r="H122" i="19"/>
  <c r="H122" i="39" s="1"/>
  <c r="H126" i="19"/>
  <c r="H130" i="19"/>
  <c r="I101" i="20" l="1"/>
  <c r="I126" i="21"/>
  <c r="I129" i="21"/>
  <c r="I124" i="28"/>
  <c r="I117" i="22"/>
  <c r="I112" i="28"/>
  <c r="I112" i="22"/>
  <c r="I101" i="23"/>
  <c r="J101" i="23" s="1"/>
  <c r="K101" i="23" s="1"/>
  <c r="I106" i="28"/>
  <c r="I126" i="20"/>
  <c r="I113" i="21"/>
  <c r="I113" i="26"/>
  <c r="J113" i="26" s="1"/>
  <c r="K113" i="26" s="1"/>
  <c r="I100" i="27"/>
  <c r="I100" i="21"/>
  <c r="I108" i="20"/>
  <c r="I125" i="23"/>
  <c r="J125" i="23" s="1"/>
  <c r="K125" i="23" s="1"/>
  <c r="I132" i="27"/>
  <c r="I128" i="20"/>
  <c r="I123" i="23"/>
  <c r="I116" i="27"/>
  <c r="J116" i="27" s="1"/>
  <c r="K116" i="27" s="1"/>
  <c r="I102" i="27"/>
  <c r="I102" i="20"/>
  <c r="I130" i="23"/>
  <c r="I130" i="22"/>
  <c r="J130" i="22" s="1"/>
  <c r="K130" i="22" s="1"/>
  <c r="I118" i="20"/>
  <c r="I131" i="27"/>
  <c r="I127" i="27"/>
  <c r="I114" i="23"/>
  <c r="I114" i="20"/>
  <c r="I119" i="28"/>
  <c r="I119" i="22"/>
  <c r="I115" i="28"/>
  <c r="I115" i="21"/>
  <c r="I99" i="20"/>
  <c r="I99" i="26"/>
  <c r="I103" i="20"/>
  <c r="J103" i="20" s="1"/>
  <c r="K103" i="20" s="1"/>
  <c r="I103" i="26"/>
  <c r="I107" i="26"/>
  <c r="I122" i="28"/>
  <c r="I104" i="27"/>
  <c r="J104" i="27" s="1"/>
  <c r="K104" i="27" s="1"/>
  <c r="I123" i="27"/>
  <c r="I128" i="23"/>
  <c r="I111" i="27"/>
  <c r="I100" i="23"/>
  <c r="J100" i="23" s="1"/>
  <c r="K100" i="23" s="1"/>
  <c r="I125" i="22"/>
  <c r="J125" i="22" s="1"/>
  <c r="K125" i="22" s="1"/>
  <c r="I120" i="23"/>
  <c r="I120" i="20"/>
  <c r="J120" i="20" s="1"/>
  <c r="K120" i="20" s="1"/>
  <c r="I130" i="21"/>
  <c r="J130" i="21" s="1"/>
  <c r="K130" i="21" s="1"/>
  <c r="I131" i="22"/>
  <c r="J131" i="22" s="1"/>
  <c r="K131" i="22" s="1"/>
  <c r="I103" i="28"/>
  <c r="I103" i="22"/>
  <c r="I107" i="21"/>
  <c r="J107" i="21" s="1"/>
  <c r="K107" i="21" s="1"/>
  <c r="I122" i="26"/>
  <c r="I104" i="20"/>
  <c r="E31" i="34"/>
  <c r="I133" i="23"/>
  <c r="J133" i="23" s="1"/>
  <c r="K133" i="23" s="1"/>
  <c r="I124" i="23"/>
  <c r="I121" i="27"/>
  <c r="J121" i="27" s="1"/>
  <c r="K121" i="27" s="1"/>
  <c r="I117" i="20"/>
  <c r="J117" i="20" s="1"/>
  <c r="K117" i="20" s="1"/>
  <c r="I112" i="23"/>
  <c r="J112" i="23" s="1"/>
  <c r="K112" i="23" s="1"/>
  <c r="I112" i="20"/>
  <c r="I101" i="28"/>
  <c r="I105" i="28"/>
  <c r="J105" i="28" s="1"/>
  <c r="K105" i="28" s="1"/>
  <c r="I109" i="28"/>
  <c r="J109" i="28" s="1"/>
  <c r="K109" i="28" s="1"/>
  <c r="I110" i="20"/>
  <c r="I126" i="22"/>
  <c r="J126" i="22" s="1"/>
  <c r="K126" i="22" s="1"/>
  <c r="I113" i="27"/>
  <c r="J113" i="27" s="1"/>
  <c r="K113" i="27" s="1"/>
  <c r="I113" i="20"/>
  <c r="J113" i="20" s="1"/>
  <c r="K113" i="20" s="1"/>
  <c r="I100" i="26"/>
  <c r="I108" i="28"/>
  <c r="I108" i="22"/>
  <c r="J108" i="22" s="1"/>
  <c r="K108" i="22" s="1"/>
  <c r="I125" i="21"/>
  <c r="J125" i="21" s="1"/>
  <c r="K125" i="21" s="1"/>
  <c r="I132" i="26"/>
  <c r="I128" i="28"/>
  <c r="I128" i="22"/>
  <c r="J128" i="22" s="1"/>
  <c r="K128" i="22" s="1"/>
  <c r="I123" i="22"/>
  <c r="J123" i="22" s="1"/>
  <c r="K123" i="22" s="1"/>
  <c r="I120" i="26"/>
  <c r="I116" i="28"/>
  <c r="I116" i="22"/>
  <c r="J116" i="22" s="1"/>
  <c r="K116" i="22" s="1"/>
  <c r="I111" i="20"/>
  <c r="J111" i="20" s="1"/>
  <c r="K111" i="20" s="1"/>
  <c r="I111" i="26"/>
  <c r="I102" i="22"/>
  <c r="J102" i="22" s="1"/>
  <c r="K102" i="22" s="1"/>
  <c r="I130" i="27"/>
  <c r="J130" i="27" s="1"/>
  <c r="K130" i="27" s="1"/>
  <c r="I130" i="20"/>
  <c r="J130" i="20" s="1"/>
  <c r="K130" i="20" s="1"/>
  <c r="I118" i="22"/>
  <c r="I131" i="20"/>
  <c r="J131" i="20" s="1"/>
  <c r="K131" i="20" s="1"/>
  <c r="I131" i="26"/>
  <c r="J131" i="26" s="1"/>
  <c r="K131" i="26" s="1"/>
  <c r="I127" i="20"/>
  <c r="I127" i="26"/>
  <c r="I114" i="26"/>
  <c r="I114" i="22"/>
  <c r="J114" i="22" s="1"/>
  <c r="K114" i="22" s="1"/>
  <c r="I119" i="21"/>
  <c r="J119" i="21" s="1"/>
  <c r="K119" i="21" s="1"/>
  <c r="I119" i="23"/>
  <c r="I115" i="22"/>
  <c r="J115" i="22" s="1"/>
  <c r="K115" i="22" s="1"/>
  <c r="I115" i="23"/>
  <c r="J115" i="23" s="1"/>
  <c r="K115" i="23" s="1"/>
  <c r="I99" i="27"/>
  <c r="I103" i="27"/>
  <c r="I107" i="27"/>
  <c r="J107" i="27" s="1"/>
  <c r="K107" i="27" s="1"/>
  <c r="I122" i="27"/>
  <c r="J122" i="27" s="1"/>
  <c r="K122" i="27" s="1"/>
  <c r="I122" i="21"/>
  <c r="J122" i="21" s="1"/>
  <c r="K122" i="21" s="1"/>
  <c r="I104" i="26"/>
  <c r="I108" i="23"/>
  <c r="J108" i="23" s="1"/>
  <c r="K108" i="23" s="1"/>
  <c r="I120" i="27"/>
  <c r="J120" i="27" s="1"/>
  <c r="K120" i="27" s="1"/>
  <c r="I120" i="21"/>
  <c r="J120" i="21" s="1"/>
  <c r="K120" i="21" s="1"/>
  <c r="I116" i="20"/>
  <c r="I107" i="20"/>
  <c r="I104" i="21"/>
  <c r="J104" i="21" s="1"/>
  <c r="K104" i="21" s="1"/>
  <c r="I129" i="28"/>
  <c r="I121" i="22"/>
  <c r="I112" i="27"/>
  <c r="I100" i="20"/>
  <c r="J100" i="20" s="1"/>
  <c r="K100" i="20" s="1"/>
  <c r="I111" i="23"/>
  <c r="I130" i="26"/>
  <c r="I115" i="27"/>
  <c r="J115" i="27" s="1"/>
  <c r="K115" i="27" s="1"/>
  <c r="I99" i="21"/>
  <c r="J99" i="21" s="1"/>
  <c r="K99" i="21" s="1"/>
  <c r="I104" i="23"/>
  <c r="J104" i="23" s="1"/>
  <c r="K104" i="23" s="1"/>
  <c r="I123" i="21"/>
  <c r="E29" i="34"/>
  <c r="E27" i="34"/>
  <c r="E28" i="34"/>
  <c r="I133" i="26"/>
  <c r="J133" i="26" s="1"/>
  <c r="K133" i="26" s="1"/>
  <c r="I124" i="22"/>
  <c r="I112" i="26"/>
  <c r="I101" i="27"/>
  <c r="J101" i="27" s="1"/>
  <c r="K101" i="27" s="1"/>
  <c r="I105" i="20"/>
  <c r="J105" i="20" s="1"/>
  <c r="K105" i="20" s="1"/>
  <c r="I109" i="20"/>
  <c r="I106" i="26"/>
  <c r="I110" i="23"/>
  <c r="J110" i="23" s="1"/>
  <c r="K110" i="23" s="1"/>
  <c r="I126" i="27"/>
  <c r="J126" i="27" s="1"/>
  <c r="K126" i="27" s="1"/>
  <c r="I113" i="23"/>
  <c r="I100" i="28"/>
  <c r="I100" i="22"/>
  <c r="J100" i="22" s="1"/>
  <c r="K100" i="22" s="1"/>
  <c r="I108" i="27"/>
  <c r="J108" i="27" s="1"/>
  <c r="K108" i="27" s="1"/>
  <c r="I108" i="21"/>
  <c r="I125" i="27"/>
  <c r="I132" i="21"/>
  <c r="J132" i="21" s="1"/>
  <c r="K132" i="21" s="1"/>
  <c r="I128" i="27"/>
  <c r="J128" i="27" s="1"/>
  <c r="K128" i="27" s="1"/>
  <c r="I128" i="21"/>
  <c r="I123" i="20"/>
  <c r="J123" i="20" s="1"/>
  <c r="K123" i="20" s="1"/>
  <c r="I120" i="28"/>
  <c r="J120" i="28" s="1"/>
  <c r="K120" i="28" s="1"/>
  <c r="I120" i="22"/>
  <c r="J120" i="22" s="1"/>
  <c r="K120" i="22" s="1"/>
  <c r="I116" i="26"/>
  <c r="I116" i="21"/>
  <c r="J116" i="21" s="1"/>
  <c r="K116" i="21" s="1"/>
  <c r="I111" i="28"/>
  <c r="J111" i="28" s="1"/>
  <c r="K111" i="28" s="1"/>
  <c r="I111" i="22"/>
  <c r="J111" i="22" s="1"/>
  <c r="K111" i="22" s="1"/>
  <c r="I102" i="28"/>
  <c r="I102" i="21"/>
  <c r="J102" i="21" s="1"/>
  <c r="K102" i="21" s="1"/>
  <c r="I130" i="28"/>
  <c r="J130" i="28" s="1"/>
  <c r="K130" i="28" s="1"/>
  <c r="I118" i="26"/>
  <c r="J118" i="26" s="1"/>
  <c r="K118" i="26" s="1"/>
  <c r="I131" i="28"/>
  <c r="I131" i="21"/>
  <c r="I127" i="28"/>
  <c r="J127" i="28" s="1"/>
  <c r="K127" i="28" s="1"/>
  <c r="I127" i="22"/>
  <c r="J127" i="22" s="1"/>
  <c r="K127" i="22" s="1"/>
  <c r="I114" i="27"/>
  <c r="I114" i="21"/>
  <c r="I119" i="20"/>
  <c r="J119" i="20" s="1"/>
  <c r="K119" i="20" s="1"/>
  <c r="I119" i="26"/>
  <c r="J119" i="26" s="1"/>
  <c r="K119" i="26" s="1"/>
  <c r="I115" i="20"/>
  <c r="I115" i="26"/>
  <c r="I99" i="22"/>
  <c r="I99" i="23"/>
  <c r="I103" i="21"/>
  <c r="I103" i="23"/>
  <c r="J103" i="23" s="1"/>
  <c r="K103" i="23" s="1"/>
  <c r="I107" i="22"/>
  <c r="J107" i="22" s="1"/>
  <c r="K107" i="22" s="1"/>
  <c r="I107" i="23"/>
  <c r="J107" i="23" s="1"/>
  <c r="K107" i="23" s="1"/>
  <c r="I122" i="23"/>
  <c r="I122" i="20"/>
  <c r="J122" i="20" s="1"/>
  <c r="K122" i="20" s="1"/>
  <c r="I104" i="28"/>
  <c r="J104" i="28" s="1"/>
  <c r="K104" i="28" s="1"/>
  <c r="I104" i="22"/>
  <c r="J104" i="22" s="1"/>
  <c r="K104" i="22" s="1"/>
  <c r="I123" i="28"/>
  <c r="E30" i="34"/>
  <c r="E32" i="34"/>
  <c r="E33" i="34"/>
  <c r="F30" i="34"/>
  <c r="I212" i="33"/>
  <c r="J212" i="33" s="1"/>
  <c r="J106" i="23"/>
  <c r="K106" i="23" s="1"/>
  <c r="J110" i="28"/>
  <c r="K110" i="28" s="1"/>
  <c r="I215" i="33"/>
  <c r="J215" i="33" s="1"/>
  <c r="J114" i="26"/>
  <c r="K114" i="26" s="1"/>
  <c r="I217" i="33"/>
  <c r="J217" i="33" s="1"/>
  <c r="I213" i="33"/>
  <c r="J213" i="33" s="1"/>
  <c r="J133" i="27"/>
  <c r="K133" i="27" s="1"/>
  <c r="J124" i="27"/>
  <c r="K124" i="27" s="1"/>
  <c r="J121" i="28"/>
  <c r="K121" i="28" s="1"/>
  <c r="J117" i="28"/>
  <c r="K117" i="28" s="1"/>
  <c r="J101" i="22"/>
  <c r="K101" i="22" s="1"/>
  <c r="J101" i="26"/>
  <c r="K101" i="26" s="1"/>
  <c r="J105" i="21"/>
  <c r="K105" i="21" s="1"/>
  <c r="J106" i="27"/>
  <c r="K106" i="27" s="1"/>
  <c r="J110" i="26"/>
  <c r="K110" i="26" s="1"/>
  <c r="J110" i="21"/>
  <c r="K110" i="21" s="1"/>
  <c r="J113" i="28"/>
  <c r="K113" i="28" s="1"/>
  <c r="J113" i="22"/>
  <c r="K113" i="22" s="1"/>
  <c r="J108" i="26"/>
  <c r="K108" i="26" s="1"/>
  <c r="J125" i="26"/>
  <c r="K125" i="26" s="1"/>
  <c r="J123" i="26"/>
  <c r="K123" i="26" s="1"/>
  <c r="J116" i="23"/>
  <c r="K116" i="23" s="1"/>
  <c r="J102" i="26"/>
  <c r="K102" i="26" s="1"/>
  <c r="J99" i="28"/>
  <c r="K99" i="28" s="1"/>
  <c r="I211" i="33"/>
  <c r="J211" i="33" s="1"/>
  <c r="I210" i="33"/>
  <c r="J210" i="33" s="1"/>
  <c r="J131" i="23"/>
  <c r="K131" i="23" s="1"/>
  <c r="J127" i="21"/>
  <c r="K127" i="21" s="1"/>
  <c r="J127" i="23"/>
  <c r="K127" i="23" s="1"/>
  <c r="J119" i="27"/>
  <c r="K119" i="27" s="1"/>
  <c r="J107" i="28"/>
  <c r="K107" i="28" s="1"/>
  <c r="J122" i="22"/>
  <c r="K122" i="22" s="1"/>
  <c r="J126" i="26"/>
  <c r="K126" i="26" s="1"/>
  <c r="J132" i="20"/>
  <c r="K132" i="20" s="1"/>
  <c r="I216" i="33"/>
  <c r="J216" i="33" s="1"/>
  <c r="J130" i="26"/>
  <c r="K130" i="26" s="1"/>
  <c r="J124" i="22"/>
  <c r="K124" i="22" s="1"/>
  <c r="J106" i="26"/>
  <c r="K106" i="26" s="1"/>
  <c r="J102" i="28"/>
  <c r="K102" i="28" s="1"/>
  <c r="J129" i="28"/>
  <c r="K129" i="28" s="1"/>
  <c r="J103" i="22"/>
  <c r="K103" i="22" s="1"/>
  <c r="J123" i="21"/>
  <c r="K123" i="21" s="1"/>
  <c r="J124" i="23"/>
  <c r="K124" i="23" s="1"/>
  <c r="J110" i="20"/>
  <c r="K110" i="20" s="1"/>
  <c r="J100" i="26"/>
  <c r="K100" i="26" s="1"/>
  <c r="J108" i="28"/>
  <c r="K108" i="28" s="1"/>
  <c r="J132" i="26"/>
  <c r="K132" i="26" s="1"/>
  <c r="J116" i="28"/>
  <c r="K116" i="28" s="1"/>
  <c r="J127" i="20"/>
  <c r="K127" i="20" s="1"/>
  <c r="J127" i="26"/>
  <c r="K127" i="26" s="1"/>
  <c r="J119" i="23"/>
  <c r="K119" i="23" s="1"/>
  <c r="J103" i="27"/>
  <c r="K103" i="27" s="1"/>
  <c r="J133" i="20"/>
  <c r="K133" i="20" s="1"/>
  <c r="J129" i="22"/>
  <c r="K129" i="22" s="1"/>
  <c r="J121" i="22"/>
  <c r="K121" i="22" s="1"/>
  <c r="J117" i="21"/>
  <c r="K117" i="21" s="1"/>
  <c r="J112" i="27"/>
  <c r="K112" i="27" s="1"/>
  <c r="J120" i="23"/>
  <c r="K120" i="23" s="1"/>
  <c r="J122" i="26"/>
  <c r="K122" i="26" s="1"/>
  <c r="L128" i="39"/>
  <c r="J129" i="27"/>
  <c r="K129" i="27" s="1"/>
  <c r="J112" i="20"/>
  <c r="K112" i="20" s="1"/>
  <c r="J101" i="28"/>
  <c r="K101" i="28" s="1"/>
  <c r="J105" i="22"/>
  <c r="K105" i="22" s="1"/>
  <c r="J126" i="28"/>
  <c r="K126" i="28" s="1"/>
  <c r="J120" i="26"/>
  <c r="K120" i="26" s="1"/>
  <c r="J118" i="22"/>
  <c r="K118" i="22" s="1"/>
  <c r="L125" i="39"/>
  <c r="L123" i="39"/>
  <c r="J133" i="22"/>
  <c r="K133" i="22" s="1"/>
  <c r="J129" i="23"/>
  <c r="K129" i="23" s="1"/>
  <c r="J124" i="26"/>
  <c r="K124" i="26" s="1"/>
  <c r="J121" i="23"/>
  <c r="K121" i="23" s="1"/>
  <c r="J117" i="23"/>
  <c r="K117" i="23" s="1"/>
  <c r="J112" i="26"/>
  <c r="K112" i="26" s="1"/>
  <c r="J101" i="20"/>
  <c r="K101" i="20" s="1"/>
  <c r="J105" i="27"/>
  <c r="K105" i="27" s="1"/>
  <c r="J109" i="20"/>
  <c r="K109" i="20" s="1"/>
  <c r="J126" i="21"/>
  <c r="K126" i="21" s="1"/>
  <c r="J113" i="23"/>
  <c r="K113" i="23" s="1"/>
  <c r="J100" i="28"/>
  <c r="K100" i="28" s="1"/>
  <c r="J108" i="21"/>
  <c r="K108" i="21" s="1"/>
  <c r="J125" i="27"/>
  <c r="K125" i="27" s="1"/>
  <c r="J125" i="20"/>
  <c r="K125" i="20" s="1"/>
  <c r="J132" i="28"/>
  <c r="K132" i="28" s="1"/>
  <c r="J128" i="21"/>
  <c r="K128" i="21" s="1"/>
  <c r="J116" i="26"/>
  <c r="K116" i="26" s="1"/>
  <c r="J118" i="21"/>
  <c r="K118" i="21" s="1"/>
  <c r="J131" i="28"/>
  <c r="K131" i="28" s="1"/>
  <c r="J131" i="21"/>
  <c r="K131" i="21" s="1"/>
  <c r="J114" i="27"/>
  <c r="K114" i="27" s="1"/>
  <c r="J114" i="21"/>
  <c r="K114" i="21" s="1"/>
  <c r="J115" i="20"/>
  <c r="K115" i="20" s="1"/>
  <c r="J115" i="26"/>
  <c r="K115" i="26" s="1"/>
  <c r="J103" i="21"/>
  <c r="K103" i="21" s="1"/>
  <c r="J122" i="23"/>
  <c r="K122" i="23" s="1"/>
  <c r="L124" i="39"/>
  <c r="L130" i="39"/>
  <c r="J123" i="28"/>
  <c r="K123" i="28" s="1"/>
  <c r="J105" i="26"/>
  <c r="K105" i="26" s="1"/>
  <c r="J126" i="23"/>
  <c r="K126" i="23" s="1"/>
  <c r="J118" i="27"/>
  <c r="K118" i="27" s="1"/>
  <c r="J114" i="28"/>
  <c r="K114" i="28" s="1"/>
  <c r="J103" i="28"/>
  <c r="K103" i="28" s="1"/>
  <c r="J104" i="20"/>
  <c r="K104" i="20" s="1"/>
  <c r="H111" i="33"/>
  <c r="Z111" i="39" s="1"/>
  <c r="V111" i="39"/>
  <c r="L131" i="39"/>
  <c r="L126" i="39"/>
  <c r="L132" i="39"/>
  <c r="J129" i="20"/>
  <c r="K129" i="20" s="1"/>
  <c r="J117" i="27"/>
  <c r="K117" i="27" s="1"/>
  <c r="J125" i="28"/>
  <c r="K125" i="28" s="1"/>
  <c r="J132" i="22"/>
  <c r="K132" i="22" s="1"/>
  <c r="J128" i="28"/>
  <c r="K128" i="28" s="1"/>
  <c r="J118" i="23"/>
  <c r="K118" i="23" s="1"/>
  <c r="J104" i="26"/>
  <c r="K104" i="26" s="1"/>
  <c r="L133" i="39"/>
  <c r="L129" i="39"/>
  <c r="J133" i="28"/>
  <c r="K133" i="28" s="1"/>
  <c r="J133" i="21"/>
  <c r="K133" i="21" s="1"/>
  <c r="J129" i="21"/>
  <c r="K129" i="21" s="1"/>
  <c r="J129" i="26"/>
  <c r="K129" i="26" s="1"/>
  <c r="J124" i="28"/>
  <c r="K124" i="28" s="1"/>
  <c r="J124" i="21"/>
  <c r="K124" i="21" s="1"/>
  <c r="J121" i="26"/>
  <c r="K121" i="26" s="1"/>
  <c r="J117" i="22"/>
  <c r="K117" i="22" s="1"/>
  <c r="J117" i="26"/>
  <c r="K117" i="26" s="1"/>
  <c r="J112" i="28"/>
  <c r="K112" i="28" s="1"/>
  <c r="J112" i="22"/>
  <c r="K112" i="22" s="1"/>
  <c r="J105" i="23"/>
  <c r="K105" i="23" s="1"/>
  <c r="J106" i="28"/>
  <c r="K106" i="28" s="1"/>
  <c r="J110" i="22"/>
  <c r="K110" i="22" s="1"/>
  <c r="J126" i="20"/>
  <c r="K126" i="20" s="1"/>
  <c r="J113" i="21"/>
  <c r="K113" i="21" s="1"/>
  <c r="J100" i="27"/>
  <c r="K100" i="27" s="1"/>
  <c r="J100" i="21"/>
  <c r="K100" i="21" s="1"/>
  <c r="J108" i="20"/>
  <c r="K108" i="20" s="1"/>
  <c r="J132" i="27"/>
  <c r="K132" i="27" s="1"/>
  <c r="J128" i="23"/>
  <c r="K128" i="23" s="1"/>
  <c r="J128" i="20"/>
  <c r="K128" i="20" s="1"/>
  <c r="J123" i="23"/>
  <c r="K123" i="23" s="1"/>
  <c r="J116" i="20"/>
  <c r="K116" i="20" s="1"/>
  <c r="J102" i="27"/>
  <c r="K102" i="27" s="1"/>
  <c r="J102" i="20"/>
  <c r="K102" i="20" s="1"/>
  <c r="J130" i="23"/>
  <c r="K130" i="23" s="1"/>
  <c r="J118" i="28"/>
  <c r="K118" i="28" s="1"/>
  <c r="J118" i="20"/>
  <c r="K118" i="20" s="1"/>
  <c r="J131" i="27"/>
  <c r="K131" i="27" s="1"/>
  <c r="J127" i="27"/>
  <c r="K127" i="27" s="1"/>
  <c r="J114" i="23"/>
  <c r="K114" i="23" s="1"/>
  <c r="J114" i="20"/>
  <c r="K114" i="20" s="1"/>
  <c r="J119" i="28"/>
  <c r="K119" i="28" s="1"/>
  <c r="J119" i="22"/>
  <c r="K119" i="22" s="1"/>
  <c r="J115" i="28"/>
  <c r="K115" i="28" s="1"/>
  <c r="J115" i="21"/>
  <c r="K115" i="21" s="1"/>
  <c r="J103" i="26"/>
  <c r="K103" i="26" s="1"/>
  <c r="J107" i="20"/>
  <c r="K107" i="20" s="1"/>
  <c r="J107" i="26"/>
  <c r="K107" i="26" s="1"/>
  <c r="J122" i="28"/>
  <c r="K122" i="28" s="1"/>
  <c r="J123" i="27"/>
  <c r="K123" i="27" s="1"/>
  <c r="L127" i="39"/>
  <c r="E151" i="39"/>
  <c r="E151" i="28"/>
  <c r="E151" i="23"/>
  <c r="E151" i="27"/>
  <c r="E151" i="26"/>
  <c r="E151" i="22"/>
  <c r="N151" i="39"/>
  <c r="E151" i="21"/>
  <c r="E151" i="20"/>
  <c r="W151" i="39"/>
  <c r="J101" i="21"/>
  <c r="K101" i="21" s="1"/>
  <c r="J109" i="21"/>
  <c r="K109" i="21" s="1"/>
  <c r="J106" i="21"/>
  <c r="K106" i="21" s="1"/>
  <c r="J102" i="23"/>
  <c r="K102" i="23" s="1"/>
  <c r="I132" i="19"/>
  <c r="J132" i="19" s="1"/>
  <c r="H132" i="39"/>
  <c r="I124" i="19"/>
  <c r="J124" i="19" s="1"/>
  <c r="H124" i="39"/>
  <c r="I130" i="19"/>
  <c r="J130" i="19" s="1"/>
  <c r="H130" i="39"/>
  <c r="I129" i="19"/>
  <c r="J129" i="19" s="1"/>
  <c r="H129" i="39"/>
  <c r="I128" i="19"/>
  <c r="J128" i="19" s="1"/>
  <c r="H128" i="39"/>
  <c r="I133" i="19"/>
  <c r="J133" i="19" s="1"/>
  <c r="H133" i="39"/>
  <c r="I126" i="19"/>
  <c r="J126" i="19" s="1"/>
  <c r="H126" i="39"/>
  <c r="I125" i="19"/>
  <c r="J125" i="19" s="1"/>
  <c r="H125" i="39"/>
  <c r="I131" i="19"/>
  <c r="J131" i="19" s="1"/>
  <c r="H131" i="39"/>
  <c r="I127" i="19"/>
  <c r="J127" i="19" s="1"/>
  <c r="H127" i="39"/>
  <c r="H119" i="33"/>
  <c r="J121" i="20"/>
  <c r="K121" i="20" s="1"/>
  <c r="H101" i="33"/>
  <c r="J109" i="27"/>
  <c r="K109" i="27" s="1"/>
  <c r="J106" i="20"/>
  <c r="K106" i="20" s="1"/>
  <c r="H117" i="32"/>
  <c r="H105" i="32"/>
  <c r="H120" i="32"/>
  <c r="H103" i="33"/>
  <c r="H110" i="32"/>
  <c r="H115" i="32"/>
  <c r="H106" i="32"/>
  <c r="H110" i="33"/>
  <c r="H116" i="33"/>
  <c r="H107" i="33"/>
  <c r="H120" i="33"/>
  <c r="H108" i="33"/>
  <c r="H118" i="33"/>
  <c r="H109" i="33"/>
  <c r="J121" i="21"/>
  <c r="K121" i="21" s="1"/>
  <c r="J109" i="23"/>
  <c r="K109" i="23" s="1"/>
  <c r="J110" i="27"/>
  <c r="K110" i="27" s="1"/>
  <c r="H121" i="32"/>
  <c r="H112" i="32"/>
  <c r="H109" i="32"/>
  <c r="H99" i="33"/>
  <c r="H107" i="32"/>
  <c r="H113" i="32"/>
  <c r="H100" i="32"/>
  <c r="H108" i="32"/>
  <c r="H114" i="33"/>
  <c r="H119" i="32"/>
  <c r="H126" i="32"/>
  <c r="H124" i="33"/>
  <c r="H101" i="32"/>
  <c r="H128" i="33"/>
  <c r="H126" i="33"/>
  <c r="H122" i="32"/>
  <c r="H103" i="32"/>
  <c r="J124" i="20"/>
  <c r="K124" i="20" s="1"/>
  <c r="J112" i="21"/>
  <c r="K112" i="21" s="1"/>
  <c r="J109" i="22"/>
  <c r="K109" i="22" s="1"/>
  <c r="J109" i="26"/>
  <c r="K109" i="26" s="1"/>
  <c r="J106" i="22"/>
  <c r="K106" i="22" s="1"/>
  <c r="J132" i="23"/>
  <c r="K132" i="23" s="1"/>
  <c r="J128" i="26"/>
  <c r="K128" i="26" s="1"/>
  <c r="H117" i="33"/>
  <c r="H125" i="33"/>
  <c r="H116" i="32"/>
  <c r="H121" i="33"/>
  <c r="H118" i="32"/>
  <c r="H104" i="32"/>
  <c r="H123" i="32"/>
  <c r="Q123" i="39" s="1"/>
  <c r="H102" i="33"/>
  <c r="H114" i="32"/>
  <c r="H124" i="32"/>
  <c r="H125" i="32"/>
  <c r="H128" i="32"/>
  <c r="H123" i="33"/>
  <c r="Z123" i="39" s="1"/>
  <c r="H133" i="32"/>
  <c r="H129" i="33"/>
  <c r="H131" i="32"/>
  <c r="H130" i="32"/>
  <c r="H132" i="32"/>
  <c r="H133" i="33"/>
  <c r="H127" i="33"/>
  <c r="H129" i="32"/>
  <c r="H112" i="33"/>
  <c r="H104" i="33"/>
  <c r="H106" i="33"/>
  <c r="H131" i="33"/>
  <c r="H99" i="32"/>
  <c r="Q99" i="39" s="1"/>
  <c r="H130" i="33"/>
  <c r="H122" i="33"/>
  <c r="H113" i="33"/>
  <c r="H105" i="33"/>
  <c r="H100" i="33"/>
  <c r="H132" i="33"/>
  <c r="H111" i="32"/>
  <c r="Q111" i="39" s="1"/>
  <c r="H102" i="32"/>
  <c r="H127" i="32"/>
  <c r="H115" i="33"/>
  <c r="F27" i="34" l="1"/>
  <c r="F28" i="34"/>
  <c r="F29" i="34"/>
  <c r="F32" i="34"/>
  <c r="F33" i="34"/>
  <c r="F26" i="34"/>
  <c r="F31" i="34"/>
  <c r="L138" i="39"/>
  <c r="L136" i="39"/>
  <c r="L135" i="39"/>
  <c r="L139" i="39"/>
  <c r="L145" i="39"/>
  <c r="L144" i="39"/>
  <c r="L143" i="39"/>
  <c r="L141" i="39"/>
  <c r="L146" i="39"/>
  <c r="L140" i="39"/>
  <c r="I111" i="33"/>
  <c r="J111" i="33" s="1"/>
  <c r="L142" i="39"/>
  <c r="L137" i="39"/>
  <c r="I113" i="33"/>
  <c r="J113" i="33" s="1"/>
  <c r="Z113" i="39"/>
  <c r="I104" i="32"/>
  <c r="J104" i="32" s="1"/>
  <c r="Q104" i="39"/>
  <c r="I121" i="32"/>
  <c r="J121" i="32" s="1"/>
  <c r="Q121" i="39"/>
  <c r="I122" i="33"/>
  <c r="J122" i="33" s="1"/>
  <c r="Z122" i="39"/>
  <c r="I124" i="32"/>
  <c r="J124" i="32" s="1"/>
  <c r="Q124" i="39"/>
  <c r="I114" i="32"/>
  <c r="J114" i="32" s="1"/>
  <c r="Q114" i="39"/>
  <c r="I118" i="32"/>
  <c r="J118" i="32" s="1"/>
  <c r="Q118" i="39"/>
  <c r="I117" i="33"/>
  <c r="J117" i="33" s="1"/>
  <c r="Z117" i="39"/>
  <c r="I122" i="32"/>
  <c r="J122" i="32" s="1"/>
  <c r="Q122" i="39"/>
  <c r="I124" i="33"/>
  <c r="J124" i="33" s="1"/>
  <c r="Z124" i="39"/>
  <c r="I126" i="32"/>
  <c r="J126" i="32" s="1"/>
  <c r="Q126" i="39"/>
  <c r="I108" i="32"/>
  <c r="J108" i="32" s="1"/>
  <c r="Q108" i="39"/>
  <c r="I99" i="33"/>
  <c r="J99" i="33" s="1"/>
  <c r="Z99" i="39"/>
  <c r="I109" i="33"/>
  <c r="J109" i="33" s="1"/>
  <c r="Z109" i="39"/>
  <c r="I115" i="32"/>
  <c r="J115" i="32" s="1"/>
  <c r="Q115" i="39"/>
  <c r="I105" i="32"/>
  <c r="J105" i="32" s="1"/>
  <c r="Q105" i="39"/>
  <c r="I131" i="33"/>
  <c r="J131" i="33" s="1"/>
  <c r="Z131" i="39"/>
  <c r="I101" i="32"/>
  <c r="J101" i="32" s="1"/>
  <c r="Q101" i="39"/>
  <c r="I114" i="33"/>
  <c r="J114" i="33" s="1"/>
  <c r="Z114" i="39"/>
  <c r="I120" i="33"/>
  <c r="J120" i="33" s="1"/>
  <c r="Z120" i="39"/>
  <c r="I106" i="32"/>
  <c r="J106" i="32" s="1"/>
  <c r="Q106" i="39"/>
  <c r="I127" i="32"/>
  <c r="J127" i="32" s="1"/>
  <c r="Q127" i="39"/>
  <c r="I127" i="33"/>
  <c r="J127" i="33" s="1"/>
  <c r="Z127" i="39"/>
  <c r="I102" i="32"/>
  <c r="J102" i="32" s="1"/>
  <c r="Q102" i="39"/>
  <c r="I133" i="33"/>
  <c r="J133" i="33" s="1"/>
  <c r="Z133" i="39"/>
  <c r="I132" i="32"/>
  <c r="J132" i="32" s="1"/>
  <c r="Q132" i="39"/>
  <c r="I102" i="33"/>
  <c r="J102" i="33" s="1"/>
  <c r="Z102" i="39"/>
  <c r="I121" i="33"/>
  <c r="J121" i="33" s="1"/>
  <c r="Z121" i="39"/>
  <c r="I126" i="33"/>
  <c r="J126" i="33" s="1"/>
  <c r="Z126" i="39"/>
  <c r="I119" i="32"/>
  <c r="J119" i="32" s="1"/>
  <c r="Q119" i="39"/>
  <c r="I100" i="32"/>
  <c r="J100" i="32" s="1"/>
  <c r="Q100" i="39"/>
  <c r="I109" i="32"/>
  <c r="J109" i="32" s="1"/>
  <c r="Q109" i="39"/>
  <c r="I118" i="33"/>
  <c r="J118" i="33" s="1"/>
  <c r="Z118" i="39"/>
  <c r="I116" i="33"/>
  <c r="J116" i="33" s="1"/>
  <c r="Z116" i="39"/>
  <c r="I110" i="32"/>
  <c r="J110" i="32" s="1"/>
  <c r="Q110" i="39"/>
  <c r="I117" i="32"/>
  <c r="J117" i="32" s="1"/>
  <c r="Q117" i="39"/>
  <c r="I119" i="33"/>
  <c r="J119" i="33" s="1"/>
  <c r="Z119" i="39"/>
  <c r="I115" i="33"/>
  <c r="J115" i="33" s="1"/>
  <c r="Z115" i="39"/>
  <c r="I129" i="32"/>
  <c r="J129" i="32" s="1"/>
  <c r="Q129" i="39"/>
  <c r="I131" i="32"/>
  <c r="J131" i="32" s="1"/>
  <c r="Q131" i="39"/>
  <c r="I125" i="32"/>
  <c r="J125" i="32" s="1"/>
  <c r="Q125" i="39"/>
  <c r="I125" i="33"/>
  <c r="J125" i="33" s="1"/>
  <c r="Z125" i="39"/>
  <c r="I103" i="32"/>
  <c r="J103" i="32" s="1"/>
  <c r="Q103" i="39"/>
  <c r="I107" i="32"/>
  <c r="J107" i="32" s="1"/>
  <c r="Q107" i="39"/>
  <c r="I120" i="32"/>
  <c r="J120" i="32" s="1"/>
  <c r="Q120" i="39"/>
  <c r="I101" i="33"/>
  <c r="J101" i="33" s="1"/>
  <c r="Z101" i="39"/>
  <c r="I132" i="33"/>
  <c r="J132" i="33" s="1"/>
  <c r="Z132" i="39"/>
  <c r="I106" i="33"/>
  <c r="J106" i="33" s="1"/>
  <c r="Z106" i="39"/>
  <c r="I100" i="33"/>
  <c r="J100" i="33" s="1"/>
  <c r="Z100" i="39"/>
  <c r="I130" i="33"/>
  <c r="J130" i="33" s="1"/>
  <c r="Z130" i="39"/>
  <c r="I104" i="33"/>
  <c r="J104" i="33" s="1"/>
  <c r="Z104" i="39"/>
  <c r="I129" i="33"/>
  <c r="J129" i="33" s="1"/>
  <c r="Z129" i="39"/>
  <c r="I105" i="33"/>
  <c r="J105" i="33" s="1"/>
  <c r="Z105" i="39"/>
  <c r="I112" i="33"/>
  <c r="J112" i="33" s="1"/>
  <c r="Z112" i="39"/>
  <c r="I130" i="32"/>
  <c r="J130" i="32" s="1"/>
  <c r="Q130" i="39"/>
  <c r="I133" i="32"/>
  <c r="J133" i="32" s="1"/>
  <c r="Q133" i="39"/>
  <c r="I128" i="32"/>
  <c r="J128" i="32" s="1"/>
  <c r="Q128" i="39"/>
  <c r="I116" i="32"/>
  <c r="J116" i="32" s="1"/>
  <c r="Q116" i="39"/>
  <c r="I128" i="33"/>
  <c r="J128" i="33" s="1"/>
  <c r="Z128" i="39"/>
  <c r="I113" i="32"/>
  <c r="J113" i="32" s="1"/>
  <c r="Q113" i="39"/>
  <c r="I112" i="32"/>
  <c r="J112" i="32" s="1"/>
  <c r="Q112" i="39"/>
  <c r="I108" i="33"/>
  <c r="J108" i="33" s="1"/>
  <c r="Z108" i="39"/>
  <c r="I107" i="33"/>
  <c r="J107" i="33" s="1"/>
  <c r="Z107" i="39"/>
  <c r="I110" i="33"/>
  <c r="J110" i="33" s="1"/>
  <c r="Z110" i="39"/>
  <c r="I103" i="33"/>
  <c r="J103" i="33" s="1"/>
  <c r="Z103" i="39"/>
  <c r="E152" i="39"/>
  <c r="E152" i="27"/>
  <c r="E152" i="26"/>
  <c r="E152" i="22"/>
  <c r="E152" i="28"/>
  <c r="E152" i="23"/>
  <c r="N152" i="39"/>
  <c r="E152" i="20"/>
  <c r="W152" i="39"/>
  <c r="E152" i="21"/>
  <c r="B20" i="30"/>
  <c r="I219" i="22"/>
  <c r="J219" i="22" s="1"/>
  <c r="K219" i="22" s="1"/>
  <c r="J111" i="27"/>
  <c r="K111" i="27" s="1"/>
  <c r="I219" i="27"/>
  <c r="J219" i="27" s="1"/>
  <c r="K219" i="27" s="1"/>
  <c r="H218" i="33"/>
  <c r="M218" i="33" s="1"/>
  <c r="O218" i="33" s="1"/>
  <c r="I219" i="28"/>
  <c r="J219" i="28" s="1"/>
  <c r="K219" i="28" s="1"/>
  <c r="I219" i="20"/>
  <c r="J219" i="20" s="1"/>
  <c r="K219" i="20" s="1"/>
  <c r="J111" i="21"/>
  <c r="K111" i="21" s="1"/>
  <c r="I219" i="21"/>
  <c r="J219" i="21" s="1"/>
  <c r="K219" i="21" s="1"/>
  <c r="I123" i="33"/>
  <c r="J123" i="33" s="1"/>
  <c r="J99" i="20"/>
  <c r="K99" i="20" s="1"/>
  <c r="I218" i="20"/>
  <c r="J218" i="20" s="1"/>
  <c r="K218" i="20" s="1"/>
  <c r="J99" i="27"/>
  <c r="K99" i="27" s="1"/>
  <c r="I218" i="27"/>
  <c r="J218" i="27" s="1"/>
  <c r="K218" i="27" s="1"/>
  <c r="I123" i="32"/>
  <c r="J123" i="32" s="1"/>
  <c r="J111" i="23"/>
  <c r="K111" i="23" s="1"/>
  <c r="I219" i="23"/>
  <c r="J219" i="23" s="1"/>
  <c r="K219" i="23" s="1"/>
  <c r="J99" i="23"/>
  <c r="K99" i="23" s="1"/>
  <c r="I218" i="23"/>
  <c r="J218" i="23" s="1"/>
  <c r="K218" i="23" s="1"/>
  <c r="I218" i="28"/>
  <c r="J218" i="28" s="1"/>
  <c r="K218" i="28" s="1"/>
  <c r="J111" i="26"/>
  <c r="K111" i="26" s="1"/>
  <c r="I219" i="26"/>
  <c r="J219" i="26" s="1"/>
  <c r="K219" i="26" s="1"/>
  <c r="I111" i="32"/>
  <c r="J111" i="32" s="1"/>
  <c r="H219" i="32"/>
  <c r="M219" i="32" s="1"/>
  <c r="O219" i="32" s="1"/>
  <c r="I99" i="32"/>
  <c r="J99" i="32" s="1"/>
  <c r="H218" i="32"/>
  <c r="M218" i="32" s="1"/>
  <c r="O218" i="32" s="1"/>
  <c r="J99" i="22"/>
  <c r="K99" i="22" s="1"/>
  <c r="I218" i="22"/>
  <c r="J218" i="22" s="1"/>
  <c r="K218" i="22" s="1"/>
  <c r="H219" i="33"/>
  <c r="M219" i="33" s="1"/>
  <c r="O219" i="33" s="1"/>
  <c r="I218" i="21"/>
  <c r="J218" i="21" s="1"/>
  <c r="K218" i="21" s="1"/>
  <c r="J99" i="26"/>
  <c r="K99" i="26" s="1"/>
  <c r="I218" i="26"/>
  <c r="J218" i="26" s="1"/>
  <c r="K218" i="26" s="1"/>
  <c r="Q218" i="32" l="1"/>
  <c r="Q219" i="32"/>
  <c r="L152" i="39"/>
  <c r="L153" i="39"/>
  <c r="L148" i="39"/>
  <c r="L154" i="39"/>
  <c r="L156" i="39"/>
  <c r="L158" i="39"/>
  <c r="L155" i="39"/>
  <c r="L157" i="39"/>
  <c r="L147" i="39"/>
  <c r="L150" i="39"/>
  <c r="L151" i="39"/>
  <c r="L149" i="39"/>
  <c r="E153" i="39"/>
  <c r="E153" i="27"/>
  <c r="E153" i="26"/>
  <c r="E153" i="28"/>
  <c r="E153" i="23"/>
  <c r="E153" i="22"/>
  <c r="N153" i="39"/>
  <c r="E153" i="21"/>
  <c r="E153" i="20"/>
  <c r="W153" i="39"/>
  <c r="C140" i="39"/>
  <c r="U146" i="39"/>
  <c r="C138" i="20"/>
  <c r="C138" i="39"/>
  <c r="C141" i="39"/>
  <c r="C134" i="20"/>
  <c r="C142" i="39"/>
  <c r="C143" i="39"/>
  <c r="C146" i="39"/>
  <c r="C145" i="22"/>
  <c r="C139" i="39"/>
  <c r="C137" i="39"/>
  <c r="C136" i="22"/>
  <c r="C135" i="39"/>
  <c r="C144" i="39"/>
  <c r="C138" i="21"/>
  <c r="C138" i="28"/>
  <c r="C138" i="22"/>
  <c r="C138" i="26"/>
  <c r="C138" i="23"/>
  <c r="C138" i="27"/>
  <c r="I219" i="33"/>
  <c r="J219" i="33" s="1"/>
  <c r="I218" i="32"/>
  <c r="J218" i="32" s="1"/>
  <c r="I219" i="32"/>
  <c r="J219" i="32" s="1"/>
  <c r="I218" i="33"/>
  <c r="J218" i="33" s="1"/>
  <c r="E35" i="34" l="1"/>
  <c r="F34" i="34"/>
  <c r="E34" i="34"/>
  <c r="F35" i="34"/>
  <c r="L162" i="39"/>
  <c r="L166" i="39"/>
  <c r="L163" i="39"/>
  <c r="L159" i="39"/>
  <c r="L167" i="39"/>
  <c r="L168" i="39"/>
  <c r="L160" i="39"/>
  <c r="L164" i="39"/>
  <c r="L161" i="39"/>
  <c r="L169" i="39"/>
  <c r="L170" i="39"/>
  <c r="L165" i="39"/>
  <c r="E154" i="39"/>
  <c r="E154" i="28"/>
  <c r="E154" i="23"/>
  <c r="E154" i="27"/>
  <c r="E154" i="22"/>
  <c r="E154" i="26"/>
  <c r="N154" i="39"/>
  <c r="E154" i="20"/>
  <c r="W154" i="39"/>
  <c r="E154" i="21"/>
  <c r="U139" i="39"/>
  <c r="U135" i="39"/>
  <c r="C142" i="22"/>
  <c r="U143" i="39"/>
  <c r="C140" i="26"/>
  <c r="C140" i="23"/>
  <c r="C141" i="27"/>
  <c r="C135" i="22"/>
  <c r="C140" i="21"/>
  <c r="C141" i="23"/>
  <c r="C139" i="23"/>
  <c r="C135" i="23"/>
  <c r="C135" i="21"/>
  <c r="C141" i="22"/>
  <c r="C139" i="20"/>
  <c r="U137" i="39"/>
  <c r="C137" i="27"/>
  <c r="U142" i="39"/>
  <c r="U141" i="39"/>
  <c r="C140" i="28"/>
  <c r="C140" i="27"/>
  <c r="C137" i="20"/>
  <c r="C141" i="28"/>
  <c r="C143" i="26"/>
  <c r="C139" i="28"/>
  <c r="U145" i="39"/>
  <c r="U144" i="39"/>
  <c r="C140" i="22"/>
  <c r="C140" i="20"/>
  <c r="C142" i="28"/>
  <c r="C137" i="26"/>
  <c r="C141" i="21"/>
  <c r="C139" i="22"/>
  <c r="C139" i="21"/>
  <c r="C135" i="20"/>
  <c r="U140" i="39"/>
  <c r="U136" i="39"/>
  <c r="U138" i="39"/>
  <c r="C156" i="39"/>
  <c r="C158" i="28"/>
  <c r="C136" i="23"/>
  <c r="C142" i="23"/>
  <c r="C143" i="21"/>
  <c r="C142" i="20"/>
  <c r="C142" i="27"/>
  <c r="C137" i="28"/>
  <c r="C137" i="23"/>
  <c r="C143" i="20"/>
  <c r="C143" i="22"/>
  <c r="C143" i="27"/>
  <c r="C157" i="22"/>
  <c r="C146" i="21"/>
  <c r="C142" i="26"/>
  <c r="C142" i="21"/>
  <c r="C137" i="22"/>
  <c r="C137" i="21"/>
  <c r="C141" i="26"/>
  <c r="C141" i="20"/>
  <c r="C143" i="23"/>
  <c r="C139" i="27"/>
  <c r="C139" i="26"/>
  <c r="C135" i="26"/>
  <c r="C143" i="28"/>
  <c r="C155" i="26"/>
  <c r="C146" i="27"/>
  <c r="C136" i="39"/>
  <c r="C145" i="27"/>
  <c r="C145" i="39"/>
  <c r="C144" i="28"/>
  <c r="C136" i="20"/>
  <c r="C149" i="39"/>
  <c r="C146" i="20"/>
  <c r="C146" i="28"/>
  <c r="C136" i="26"/>
  <c r="C136" i="21"/>
  <c r="C145" i="21"/>
  <c r="C148" i="26"/>
  <c r="C152" i="23"/>
  <c r="C146" i="22"/>
  <c r="C145" i="28"/>
  <c r="C144" i="22"/>
  <c r="C144" i="20"/>
  <c r="C144" i="27"/>
  <c r="C144" i="21"/>
  <c r="C144" i="26"/>
  <c r="C144" i="23"/>
  <c r="C136" i="27"/>
  <c r="C153" i="20"/>
  <c r="C145" i="26"/>
  <c r="C154" i="39"/>
  <c r="C147" i="27"/>
  <c r="C136" i="28"/>
  <c r="C145" i="23"/>
  <c r="C146" i="23"/>
  <c r="C146" i="26"/>
  <c r="C145" i="20"/>
  <c r="C135" i="28"/>
  <c r="L177" i="39" l="1"/>
  <c r="L176" i="39"/>
  <c r="L171" i="39"/>
  <c r="L182" i="39"/>
  <c r="L173" i="39"/>
  <c r="L172" i="39"/>
  <c r="L179" i="39"/>
  <c r="L175" i="39"/>
  <c r="L174" i="39"/>
  <c r="L181" i="39"/>
  <c r="L180" i="39"/>
  <c r="L178" i="39"/>
  <c r="E155" i="39"/>
  <c r="E155" i="28"/>
  <c r="E155" i="23"/>
  <c r="E155" i="27"/>
  <c r="E155" i="26"/>
  <c r="E155" i="22"/>
  <c r="N155" i="39"/>
  <c r="W155" i="39"/>
  <c r="E155" i="21"/>
  <c r="E155" i="20"/>
  <c r="C158" i="39"/>
  <c r="U156" i="39"/>
  <c r="C148" i="23"/>
  <c r="U152" i="39"/>
  <c r="C157" i="28"/>
  <c r="C155" i="28"/>
  <c r="U154" i="39"/>
  <c r="C157" i="27"/>
  <c r="C157" i="21"/>
  <c r="C156" i="21"/>
  <c r="C148" i="21"/>
  <c r="C148" i="28"/>
  <c r="C155" i="23"/>
  <c r="U153" i="39"/>
  <c r="C156" i="22"/>
  <c r="C158" i="22"/>
  <c r="C157" i="23"/>
  <c r="U150" i="39"/>
  <c r="U157" i="39"/>
  <c r="U147" i="39"/>
  <c r="C157" i="26"/>
  <c r="U155" i="39"/>
  <c r="C162" i="39"/>
  <c r="U148" i="39"/>
  <c r="C153" i="21"/>
  <c r="U151" i="39"/>
  <c r="C153" i="28"/>
  <c r="U149" i="39"/>
  <c r="U158" i="39"/>
  <c r="C158" i="23"/>
  <c r="C150" i="21"/>
  <c r="C150" i="27"/>
  <c r="C158" i="20"/>
  <c r="C147" i="26"/>
  <c r="C158" i="21"/>
  <c r="C158" i="26"/>
  <c r="C156" i="26"/>
  <c r="C156" i="20"/>
  <c r="C150" i="23"/>
  <c r="C147" i="28"/>
  <c r="C147" i="20"/>
  <c r="C150" i="22"/>
  <c r="C158" i="27"/>
  <c r="C156" i="27"/>
  <c r="C156" i="23"/>
  <c r="C147" i="22"/>
  <c r="C147" i="23"/>
  <c r="C155" i="27"/>
  <c r="C156" i="28"/>
  <c r="C155" i="22"/>
  <c r="C162" i="23"/>
  <c r="C150" i="20"/>
  <c r="C150" i="39"/>
  <c r="C150" i="28"/>
  <c r="C167" i="28"/>
  <c r="C151" i="26"/>
  <c r="C151" i="39"/>
  <c r="C152" i="20"/>
  <c r="C152" i="39"/>
  <c r="C154" i="23"/>
  <c r="C154" i="21"/>
  <c r="C149" i="27"/>
  <c r="C149" i="28"/>
  <c r="C149" i="20"/>
  <c r="C153" i="26"/>
  <c r="C153" i="39"/>
  <c r="C148" i="27"/>
  <c r="C148" i="39"/>
  <c r="C157" i="20"/>
  <c r="C157" i="39"/>
  <c r="C154" i="26"/>
  <c r="C149" i="21"/>
  <c r="C149" i="22"/>
  <c r="C154" i="22"/>
  <c r="C154" i="27"/>
  <c r="C150" i="26"/>
  <c r="C151" i="23"/>
  <c r="C147" i="21"/>
  <c r="C147" i="39"/>
  <c r="C155" i="21"/>
  <c r="C155" i="39"/>
  <c r="C155" i="20"/>
  <c r="C165" i="20"/>
  <c r="C166" i="26"/>
  <c r="C153" i="23"/>
  <c r="C153" i="27"/>
  <c r="C169" i="27"/>
  <c r="C152" i="26"/>
  <c r="C151" i="22"/>
  <c r="C152" i="22"/>
  <c r="C148" i="22"/>
  <c r="C151" i="28"/>
  <c r="C159" i="20"/>
  <c r="C151" i="20"/>
  <c r="C161" i="22"/>
  <c r="C160" i="26"/>
  <c r="C163" i="20"/>
  <c r="C164" i="28"/>
  <c r="C151" i="27"/>
  <c r="C168" i="28"/>
  <c r="C170" i="22"/>
  <c r="C153" i="22"/>
  <c r="C148" i="20"/>
  <c r="C152" i="21"/>
  <c r="C151" i="21"/>
  <c r="C152" i="28"/>
  <c r="C152" i="27"/>
  <c r="C154" i="20"/>
  <c r="C154" i="28"/>
  <c r="C149" i="23"/>
  <c r="C149" i="26"/>
  <c r="C160" i="21"/>
  <c r="L193" i="39" l="1"/>
  <c r="L205" i="39"/>
  <c r="L196" i="39"/>
  <c r="L184" i="39"/>
  <c r="L194" i="39"/>
  <c r="L206" i="39"/>
  <c r="L204" i="39"/>
  <c r="L192" i="39"/>
  <c r="L203" i="39"/>
  <c r="L191" i="39"/>
  <c r="L185" i="39"/>
  <c r="L197" i="39"/>
  <c r="L183" i="39"/>
  <c r="L195" i="39"/>
  <c r="L201" i="39"/>
  <c r="L189" i="39"/>
  <c r="L190" i="39"/>
  <c r="L202" i="39"/>
  <c r="L199" i="39"/>
  <c r="L187" i="39"/>
  <c r="L200" i="39"/>
  <c r="L188" i="39"/>
  <c r="L186" i="39"/>
  <c r="L198" i="39"/>
  <c r="E156" i="39"/>
  <c r="E156" i="27"/>
  <c r="E156" i="22"/>
  <c r="E156" i="28"/>
  <c r="E156" i="23"/>
  <c r="E156" i="26"/>
  <c r="N156" i="39"/>
  <c r="E156" i="21"/>
  <c r="W156" i="39"/>
  <c r="E156" i="20"/>
  <c r="C162" i="20"/>
  <c r="C162" i="27"/>
  <c r="C166" i="22"/>
  <c r="C164" i="22"/>
  <c r="C159" i="27"/>
  <c r="C162" i="26"/>
  <c r="C166" i="20"/>
  <c r="C160" i="22"/>
  <c r="C162" i="21"/>
  <c r="C163" i="26"/>
  <c r="C167" i="27"/>
  <c r="U170" i="39"/>
  <c r="U161" i="39"/>
  <c r="U163" i="39"/>
  <c r="U165" i="39"/>
  <c r="C162" i="22"/>
  <c r="C168" i="27"/>
  <c r="C162" i="28"/>
  <c r="U168" i="39"/>
  <c r="U166" i="39"/>
  <c r="U162" i="39"/>
  <c r="U164" i="39"/>
  <c r="C168" i="23"/>
  <c r="C163" i="28"/>
  <c r="C163" i="27"/>
  <c r="U160" i="39"/>
  <c r="C168" i="21"/>
  <c r="C163" i="22"/>
  <c r="C163" i="21"/>
  <c r="C159" i="23"/>
  <c r="U169" i="39"/>
  <c r="U167" i="39"/>
  <c r="C160" i="23"/>
  <c r="C180" i="19"/>
  <c r="C180" i="21" s="1"/>
  <c r="U159" i="39"/>
  <c r="C167" i="23"/>
  <c r="C169" i="26"/>
  <c r="C178" i="19"/>
  <c r="C178" i="39" s="1"/>
  <c r="C164" i="26"/>
  <c r="C170" i="21"/>
  <c r="C168" i="20"/>
  <c r="C159" i="28"/>
  <c r="C159" i="21"/>
  <c r="C159" i="26"/>
  <c r="C170" i="28"/>
  <c r="C170" i="39"/>
  <c r="C164" i="23"/>
  <c r="C164" i="39"/>
  <c r="C167" i="22"/>
  <c r="C166" i="27"/>
  <c r="C166" i="28"/>
  <c r="C168" i="26"/>
  <c r="C168" i="39"/>
  <c r="C163" i="23"/>
  <c r="C163" i="39"/>
  <c r="C159" i="22"/>
  <c r="C159" i="39"/>
  <c r="C180" i="26"/>
  <c r="C170" i="26"/>
  <c r="C160" i="20"/>
  <c r="C160" i="39"/>
  <c r="C166" i="21"/>
  <c r="C166" i="39"/>
  <c r="C167" i="20"/>
  <c r="C167" i="39"/>
  <c r="C160" i="28"/>
  <c r="C160" i="27"/>
  <c r="C167" i="26"/>
  <c r="C167" i="21"/>
  <c r="C164" i="27"/>
  <c r="C164" i="21"/>
  <c r="C166" i="23"/>
  <c r="C168" i="22"/>
  <c r="C161" i="27"/>
  <c r="C161" i="39"/>
  <c r="C169" i="22"/>
  <c r="C169" i="39"/>
  <c r="C165" i="23"/>
  <c r="C165" i="39"/>
  <c r="C175" i="19"/>
  <c r="C171" i="26"/>
  <c r="C165" i="21"/>
  <c r="C179" i="19"/>
  <c r="C179" i="28" s="1"/>
  <c r="C182" i="19"/>
  <c r="C182" i="28" s="1"/>
  <c r="C161" i="23"/>
  <c r="C165" i="27"/>
  <c r="C169" i="28"/>
  <c r="C165" i="28"/>
  <c r="C164" i="20"/>
  <c r="C161" i="20"/>
  <c r="C170" i="20"/>
  <c r="C169" i="23"/>
  <c r="C169" i="21"/>
  <c r="C161" i="21"/>
  <c r="C165" i="26"/>
  <c r="C169" i="20"/>
  <c r="C161" i="28"/>
  <c r="C181" i="19"/>
  <c r="C181" i="26" s="1"/>
  <c r="C174" i="28"/>
  <c r="C177" i="19"/>
  <c r="C173" i="28"/>
  <c r="C170" i="23"/>
  <c r="C161" i="26"/>
  <c r="C176" i="19"/>
  <c r="C176" i="23" s="1"/>
  <c r="C172" i="39"/>
  <c r="C165" i="22"/>
  <c r="C170" i="27"/>
  <c r="C172" i="20" l="1"/>
  <c r="E157" i="39"/>
  <c r="E157" i="27"/>
  <c r="E157" i="26"/>
  <c r="E157" i="28"/>
  <c r="E157" i="23"/>
  <c r="E157" i="22"/>
  <c r="N157" i="39"/>
  <c r="E157" i="21"/>
  <c r="W157" i="39"/>
  <c r="E157" i="20"/>
  <c r="C178" i="20"/>
  <c r="C180" i="28"/>
  <c r="C178" i="23"/>
  <c r="C178" i="21"/>
  <c r="C179" i="21"/>
  <c r="C180" i="39"/>
  <c r="C180" i="20"/>
  <c r="C180" i="27"/>
  <c r="C171" i="22"/>
  <c r="C172" i="26"/>
  <c r="C181" i="22"/>
  <c r="C172" i="27"/>
  <c r="C179" i="33"/>
  <c r="U179" i="39" s="1"/>
  <c r="C181" i="23"/>
  <c r="C173" i="26"/>
  <c r="C181" i="27"/>
  <c r="C178" i="33"/>
  <c r="U178" i="39" s="1"/>
  <c r="U172" i="39"/>
  <c r="C182" i="33"/>
  <c r="U182" i="39" s="1"/>
  <c r="C171" i="20"/>
  <c r="C178" i="28"/>
  <c r="C178" i="27"/>
  <c r="C180" i="23"/>
  <c r="C180" i="22"/>
  <c r="C179" i="26"/>
  <c r="C174" i="33"/>
  <c r="U174" i="39" s="1"/>
  <c r="C178" i="22"/>
  <c r="C173" i="20"/>
  <c r="C177" i="33"/>
  <c r="U177" i="39" s="1"/>
  <c r="C173" i="27"/>
  <c r="C171" i="23"/>
  <c r="C171" i="27"/>
  <c r="C173" i="22"/>
  <c r="C171" i="28"/>
  <c r="C173" i="21"/>
  <c r="U173" i="39"/>
  <c r="C172" i="22"/>
  <c r="C181" i="21"/>
  <c r="U171" i="39"/>
  <c r="C176" i="33"/>
  <c r="U176" i="39" s="1"/>
  <c r="C181" i="33"/>
  <c r="U181" i="39" s="1"/>
  <c r="C185" i="19"/>
  <c r="C185" i="39" s="1"/>
  <c r="C175" i="33"/>
  <c r="U175" i="39" s="1"/>
  <c r="C180" i="33"/>
  <c r="U180" i="39" s="1"/>
  <c r="C179" i="22"/>
  <c r="C182" i="21"/>
  <c r="C178" i="26"/>
  <c r="C176" i="20"/>
  <c r="C176" i="39"/>
  <c r="C177" i="20"/>
  <c r="C177" i="39"/>
  <c r="C182" i="20"/>
  <c r="C182" i="39"/>
  <c r="C175" i="23"/>
  <c r="C175" i="39"/>
  <c r="C186" i="19"/>
  <c r="C186" i="20" s="1"/>
  <c r="C176" i="21"/>
  <c r="C172" i="28"/>
  <c r="C174" i="20"/>
  <c r="C174" i="39"/>
  <c r="C179" i="23"/>
  <c r="C179" i="39"/>
  <c r="C181" i="20"/>
  <c r="C181" i="39"/>
  <c r="C190" i="19"/>
  <c r="C190" i="22" s="1"/>
  <c r="C181" i="28"/>
  <c r="C175" i="27"/>
  <c r="C188" i="19"/>
  <c r="C188" i="28" s="1"/>
  <c r="C176" i="26"/>
  <c r="C173" i="23"/>
  <c r="C173" i="39"/>
  <c r="C171" i="21"/>
  <c r="C171" i="39"/>
  <c r="C175" i="21"/>
  <c r="C175" i="26"/>
  <c r="C176" i="28"/>
  <c r="C177" i="23"/>
  <c r="C175" i="20"/>
  <c r="C192" i="19"/>
  <c r="C192" i="23" s="1"/>
  <c r="C177" i="28"/>
  <c r="C174" i="21"/>
  <c r="C179" i="27"/>
  <c r="C177" i="22"/>
  <c r="C187" i="19"/>
  <c r="C187" i="26" s="1"/>
  <c r="C194" i="19"/>
  <c r="C194" i="28" s="1"/>
  <c r="C176" i="22"/>
  <c r="C179" i="20"/>
  <c r="C184" i="19"/>
  <c r="C184" i="39" s="1"/>
  <c r="C182" i="26"/>
  <c r="C174" i="26"/>
  <c r="C183" i="19"/>
  <c r="C183" i="28" s="1"/>
  <c r="C182" i="27"/>
  <c r="C175" i="28"/>
  <c r="C177" i="27"/>
  <c r="C176" i="27"/>
  <c r="C174" i="23"/>
  <c r="C182" i="23"/>
  <c r="C174" i="27"/>
  <c r="C191" i="19"/>
  <c r="C191" i="39" s="1"/>
  <c r="C177" i="21"/>
  <c r="C182" i="22"/>
  <c r="C177" i="26"/>
  <c r="C189" i="19"/>
  <c r="C189" i="21" s="1"/>
  <c r="C193" i="19"/>
  <c r="C193" i="39" s="1"/>
  <c r="C174" i="22"/>
  <c r="C175" i="22"/>
  <c r="C172" i="21"/>
  <c r="C172" i="23"/>
  <c r="H84" i="9"/>
  <c r="C185" i="20" l="1"/>
  <c r="C186" i="27"/>
  <c r="E158" i="39"/>
  <c r="E158" i="28"/>
  <c r="E158" i="23"/>
  <c r="E158" i="27"/>
  <c r="E158" i="26"/>
  <c r="E158" i="22"/>
  <c r="N158" i="39"/>
  <c r="W158" i="39"/>
  <c r="E158" i="21"/>
  <c r="E158" i="20"/>
  <c r="C185" i="21"/>
  <c r="C192" i="27"/>
  <c r="C190" i="21"/>
  <c r="C185" i="27"/>
  <c r="C194" i="20"/>
  <c r="C186" i="28"/>
  <c r="C185" i="23"/>
  <c r="C190" i="26"/>
  <c r="C194" i="33"/>
  <c r="U194" i="39" s="1"/>
  <c r="C192" i="26"/>
  <c r="C185" i="26"/>
  <c r="C192" i="28"/>
  <c r="C185" i="22"/>
  <c r="C186" i="26"/>
  <c r="C191" i="22"/>
  <c r="C188" i="23"/>
  <c r="C185" i="33"/>
  <c r="U185" i="39" s="1"/>
  <c r="C185" i="28"/>
  <c r="C192" i="20"/>
  <c r="C186" i="21"/>
  <c r="C186" i="23"/>
  <c r="C192" i="21"/>
  <c r="C190" i="27"/>
  <c r="C189" i="33"/>
  <c r="U189" i="39" s="1"/>
  <c r="C193" i="33"/>
  <c r="U193" i="39" s="1"/>
  <c r="C184" i="33"/>
  <c r="U184" i="39" s="1"/>
  <c r="C191" i="26"/>
  <c r="C187" i="33"/>
  <c r="U187" i="39" s="1"/>
  <c r="C188" i="27"/>
  <c r="C190" i="33"/>
  <c r="U190" i="39" s="1"/>
  <c r="C184" i="27"/>
  <c r="C183" i="33"/>
  <c r="U183" i="39" s="1"/>
  <c r="C186" i="33"/>
  <c r="U186" i="39" s="1"/>
  <c r="C192" i="33"/>
  <c r="U192" i="39" s="1"/>
  <c r="C191" i="33"/>
  <c r="U191" i="39" s="1"/>
  <c r="C193" i="20"/>
  <c r="C188" i="33"/>
  <c r="U188" i="39" s="1"/>
  <c r="C183" i="27"/>
  <c r="C187" i="22"/>
  <c r="C183" i="20"/>
  <c r="C188" i="26"/>
  <c r="C189" i="27"/>
  <c r="C189" i="28"/>
  <c r="C187" i="21"/>
  <c r="C183" i="26"/>
  <c r="C201" i="19"/>
  <c r="C201" i="27" s="1"/>
  <c r="C189" i="23"/>
  <c r="C184" i="28"/>
  <c r="C184" i="22"/>
  <c r="C188" i="22"/>
  <c r="C183" i="23"/>
  <c r="C187" i="28"/>
  <c r="C188" i="20"/>
  <c r="C187" i="23"/>
  <c r="C191" i="21"/>
  <c r="C184" i="20"/>
  <c r="C183" i="21"/>
  <c r="C187" i="20"/>
  <c r="C191" i="20"/>
  <c r="C184" i="21"/>
  <c r="C194" i="26"/>
  <c r="C194" i="39"/>
  <c r="C202" i="19"/>
  <c r="C202" i="21" s="1"/>
  <c r="C190" i="23"/>
  <c r="C193" i="28"/>
  <c r="C189" i="20"/>
  <c r="C189" i="39"/>
  <c r="C183" i="22"/>
  <c r="C183" i="39"/>
  <c r="C187" i="27"/>
  <c r="C187" i="39"/>
  <c r="C188" i="21"/>
  <c r="C188" i="39"/>
  <c r="C190" i="20"/>
  <c r="C190" i="39"/>
  <c r="C198" i="19"/>
  <c r="C198" i="21" s="1"/>
  <c r="C199" i="19"/>
  <c r="C195" i="19"/>
  <c r="C195" i="20" s="1"/>
  <c r="C190" i="28"/>
  <c r="C189" i="22"/>
  <c r="C194" i="23"/>
  <c r="C192" i="22"/>
  <c r="C192" i="39"/>
  <c r="C186" i="22"/>
  <c r="C186" i="39"/>
  <c r="C193" i="23"/>
  <c r="C193" i="22"/>
  <c r="C196" i="19"/>
  <c r="C196" i="22" s="1"/>
  <c r="C203" i="19"/>
  <c r="C203" i="28" s="1"/>
  <c r="C200" i="19"/>
  <c r="C200" i="23" s="1"/>
  <c r="C197" i="19"/>
  <c r="C197" i="26" s="1"/>
  <c r="C193" i="21"/>
  <c r="C194" i="21"/>
  <c r="C193" i="26"/>
  <c r="C191" i="28"/>
  <c r="C191" i="27"/>
  <c r="C184" i="26"/>
  <c r="C184" i="23"/>
  <c r="C204" i="19"/>
  <c r="C204" i="21" s="1"/>
  <c r="C205" i="19"/>
  <c r="C205" i="20" s="1"/>
  <c r="C206" i="19"/>
  <c r="C206" i="39" s="1"/>
  <c r="C191" i="23"/>
  <c r="C193" i="27"/>
  <c r="C189" i="26"/>
  <c r="C194" i="22"/>
  <c r="C194" i="27"/>
  <c r="C201" i="20" l="1"/>
  <c r="C197" i="27"/>
  <c r="E159" i="39"/>
  <c r="E159" i="28"/>
  <c r="E159" i="23"/>
  <c r="E159" i="27"/>
  <c r="E159" i="26"/>
  <c r="E159" i="22"/>
  <c r="N159" i="39"/>
  <c r="E159" i="20"/>
  <c r="W159" i="39"/>
  <c r="E159" i="21"/>
  <c r="C200" i="33"/>
  <c r="U200" i="39" s="1"/>
  <c r="C202" i="27"/>
  <c r="C195" i="26"/>
  <c r="C195" i="28"/>
  <c r="C197" i="28"/>
  <c r="C195" i="23"/>
  <c r="C199" i="33"/>
  <c r="U199" i="39" s="1"/>
  <c r="C195" i="22"/>
  <c r="C206" i="33"/>
  <c r="U206" i="39" s="1"/>
  <c r="C201" i="33"/>
  <c r="U201" i="39" s="1"/>
  <c r="C195" i="33"/>
  <c r="U195" i="39" s="1"/>
  <c r="C196" i="26"/>
  <c r="C197" i="33"/>
  <c r="U197" i="39" s="1"/>
  <c r="C196" i="23"/>
  <c r="C197" i="23"/>
  <c r="C198" i="28"/>
  <c r="C202" i="28"/>
  <c r="C204" i="33"/>
  <c r="U204" i="39" s="1"/>
  <c r="C205" i="22"/>
  <c r="C196" i="33"/>
  <c r="U196" i="39" s="1"/>
  <c r="C202" i="33"/>
  <c r="U202" i="39" s="1"/>
  <c r="C198" i="33"/>
  <c r="U198" i="39" s="1"/>
  <c r="C205" i="33"/>
  <c r="U205" i="39" s="1"/>
  <c r="C203" i="33"/>
  <c r="U203" i="39" s="1"/>
  <c r="C195" i="21"/>
  <c r="C201" i="22"/>
  <c r="C201" i="21"/>
  <c r="C201" i="39"/>
  <c r="C196" i="27"/>
  <c r="C196" i="28"/>
  <c r="C205" i="23"/>
  <c r="C205" i="27"/>
  <c r="C201" i="28"/>
  <c r="C202" i="26"/>
  <c r="C205" i="28"/>
  <c r="C197" i="21"/>
  <c r="C202" i="20"/>
  <c r="C197" i="22"/>
  <c r="C201" i="23"/>
  <c r="C202" i="23"/>
  <c r="C205" i="26"/>
  <c r="C203" i="26"/>
  <c r="C201" i="26"/>
  <c r="C199" i="23"/>
  <c r="C199" i="39"/>
  <c r="C196" i="20"/>
  <c r="C196" i="39"/>
  <c r="C198" i="22"/>
  <c r="C198" i="39"/>
  <c r="C199" i="21"/>
  <c r="C199" i="27"/>
  <c r="C199" i="28"/>
  <c r="C199" i="22"/>
  <c r="C199" i="20"/>
  <c r="C206" i="20"/>
  <c r="C206" i="21"/>
  <c r="C198" i="23"/>
  <c r="C198" i="20"/>
  <c r="C205" i="21"/>
  <c r="C205" i="39"/>
  <c r="C197" i="20"/>
  <c r="C197" i="39"/>
  <c r="C202" i="22"/>
  <c r="C202" i="39"/>
  <c r="C203" i="23"/>
  <c r="C203" i="39"/>
  <c r="C196" i="21"/>
  <c r="C199" i="26"/>
  <c r="C198" i="27"/>
  <c r="C198" i="26"/>
  <c r="C206" i="23"/>
  <c r="C204" i="22"/>
  <c r="C204" i="39"/>
  <c r="C200" i="21"/>
  <c r="C200" i="39"/>
  <c r="C195" i="27"/>
  <c r="C195" i="39"/>
  <c r="C204" i="20"/>
  <c r="C204" i="27"/>
  <c r="C204" i="26"/>
  <c r="C204" i="23"/>
  <c r="C203" i="20"/>
  <c r="C200" i="28"/>
  <c r="C203" i="21"/>
  <c r="C206" i="26"/>
  <c r="C206" i="27"/>
  <c r="C200" i="26"/>
  <c r="C200" i="27"/>
  <c r="C200" i="22"/>
  <c r="C204" i="28"/>
  <c r="C203" i="22"/>
  <c r="C200" i="20"/>
  <c r="C203" i="27"/>
  <c r="C206" i="28"/>
  <c r="C206" i="22"/>
  <c r="E160" i="39" l="1"/>
  <c r="E160" i="27"/>
  <c r="E160" i="28"/>
  <c r="E160" i="23"/>
  <c r="E160" i="26"/>
  <c r="E160" i="22"/>
  <c r="N160" i="39"/>
  <c r="E160" i="20"/>
  <c r="W160" i="39"/>
  <c r="E160" i="21"/>
  <c r="E161" i="39" l="1"/>
  <c r="E161" i="27"/>
  <c r="E161" i="26"/>
  <c r="E161" i="28"/>
  <c r="E161" i="23"/>
  <c r="E161" i="22"/>
  <c r="N161" i="39"/>
  <c r="W161" i="39"/>
  <c r="E161" i="21"/>
  <c r="E161" i="20"/>
  <c r="E162" i="39" l="1"/>
  <c r="E162" i="28"/>
  <c r="E162" i="23"/>
  <c r="E162" i="27"/>
  <c r="E162" i="26"/>
  <c r="E162" i="22"/>
  <c r="N162" i="39"/>
  <c r="E162" i="21"/>
  <c r="W162" i="39"/>
  <c r="E162" i="20"/>
  <c r="E163" i="39" l="1"/>
  <c r="E163" i="28"/>
  <c r="E163" i="23"/>
  <c r="E163" i="27"/>
  <c r="E163" i="26"/>
  <c r="E163" i="22"/>
  <c r="N163" i="39"/>
  <c r="W163" i="39"/>
  <c r="E163" i="21"/>
  <c r="E163" i="20"/>
  <c r="E164" i="39" l="1"/>
  <c r="E164" i="27"/>
  <c r="E164" i="22"/>
  <c r="E164" i="23"/>
  <c r="E164" i="26"/>
  <c r="E164" i="28"/>
  <c r="N164" i="39"/>
  <c r="E164" i="20"/>
  <c r="W164" i="39"/>
  <c r="E164" i="21"/>
  <c r="E165" i="39" l="1"/>
  <c r="E165" i="27"/>
  <c r="E165" i="26"/>
  <c r="E165" i="28"/>
  <c r="E165" i="23"/>
  <c r="E165" i="22"/>
  <c r="N165" i="39"/>
  <c r="W165" i="39"/>
  <c r="E165" i="20"/>
  <c r="E165" i="21"/>
  <c r="E166" i="39" l="1"/>
  <c r="E166" i="28"/>
  <c r="E166" i="23"/>
  <c r="E166" i="26"/>
  <c r="E166" i="22"/>
  <c r="E166" i="27"/>
  <c r="N166" i="39"/>
  <c r="E166" i="21"/>
  <c r="E166" i="20"/>
  <c r="W166" i="39"/>
  <c r="E167" i="39" l="1"/>
  <c r="E167" i="28"/>
  <c r="E167" i="23"/>
  <c r="E167" i="27"/>
  <c r="E167" i="26"/>
  <c r="E167" i="22"/>
  <c r="N167" i="39"/>
  <c r="E167" i="21"/>
  <c r="W167" i="39"/>
  <c r="E167" i="20"/>
  <c r="E168" i="39" l="1"/>
  <c r="E168" i="27"/>
  <c r="E168" i="26"/>
  <c r="E168" i="22"/>
  <c r="E168" i="28"/>
  <c r="E168" i="23"/>
  <c r="N168" i="39"/>
  <c r="W168" i="39"/>
  <c r="E168" i="21"/>
  <c r="E168" i="20"/>
  <c r="E169" i="39" l="1"/>
  <c r="E169" i="27"/>
  <c r="E169" i="26"/>
  <c r="E169" i="28"/>
  <c r="E169" i="23"/>
  <c r="E169" i="22"/>
  <c r="N169" i="39"/>
  <c r="W169" i="39"/>
  <c r="E169" i="21"/>
  <c r="E169" i="20"/>
  <c r="E170" i="39" l="1"/>
  <c r="E170" i="28"/>
  <c r="E170" i="23"/>
  <c r="E170" i="27"/>
  <c r="E170" i="22"/>
  <c r="E170" i="26"/>
  <c r="N170" i="39"/>
  <c r="E170" i="20"/>
  <c r="W170" i="39"/>
  <c r="E170" i="21"/>
  <c r="E171" i="39" l="1"/>
  <c r="E171" i="28"/>
  <c r="E171" i="23"/>
  <c r="E171" i="27"/>
  <c r="E171" i="26"/>
  <c r="E171" i="22"/>
  <c r="N171" i="39"/>
  <c r="E171" i="21"/>
  <c r="W171" i="39"/>
  <c r="E171" i="20"/>
  <c r="E172" i="39" l="1"/>
  <c r="E172" i="27"/>
  <c r="E172" i="22"/>
  <c r="E172" i="28"/>
  <c r="E172" i="23"/>
  <c r="E172" i="26"/>
  <c r="N172" i="39"/>
  <c r="E172" i="20"/>
  <c r="W172" i="39"/>
  <c r="E172" i="21"/>
  <c r="E173" i="39" l="1"/>
  <c r="E173" i="27"/>
  <c r="E173" i="26"/>
  <c r="E173" i="28"/>
  <c r="E173" i="23"/>
  <c r="E173" i="22"/>
  <c r="N173" i="39"/>
  <c r="E173" i="21"/>
  <c r="E173" i="20"/>
  <c r="W173" i="39"/>
  <c r="E174" i="39" l="1"/>
  <c r="E174" i="28"/>
  <c r="E174" i="23"/>
  <c r="E174" i="27"/>
  <c r="E174" i="26"/>
  <c r="E174" i="22"/>
  <c r="E174" i="32"/>
  <c r="N174" i="39" s="1"/>
  <c r="E174" i="21"/>
  <c r="E174" i="20"/>
  <c r="E174" i="33"/>
  <c r="W174" i="39" s="1"/>
  <c r="E175" i="39" l="1"/>
  <c r="E175" i="28"/>
  <c r="E175" i="23"/>
  <c r="E175" i="27"/>
  <c r="E175" i="26"/>
  <c r="E175" i="22"/>
  <c r="E175" i="32"/>
  <c r="N175" i="39" s="1"/>
  <c r="E175" i="21"/>
  <c r="E175" i="33"/>
  <c r="W175" i="39" s="1"/>
  <c r="E175" i="20"/>
  <c r="E176" i="39" l="1"/>
  <c r="E176" i="27"/>
  <c r="E176" i="28"/>
  <c r="E176" i="23"/>
  <c r="E176" i="26"/>
  <c r="E176" i="22"/>
  <c r="E176" i="32"/>
  <c r="N176" i="39" s="1"/>
  <c r="E176" i="21"/>
  <c r="E176" i="20"/>
  <c r="E176" i="33"/>
  <c r="W176" i="39" s="1"/>
  <c r="E177" i="39" l="1"/>
  <c r="E177" i="27"/>
  <c r="E177" i="26"/>
  <c r="E177" i="28"/>
  <c r="E177" i="23"/>
  <c r="E177" i="22"/>
  <c r="E177" i="32"/>
  <c r="N177" i="39" s="1"/>
  <c r="E177" i="21"/>
  <c r="E177" i="20"/>
  <c r="E177" i="33"/>
  <c r="W177" i="39" s="1"/>
  <c r="E178" i="39" l="1"/>
  <c r="E178" i="28"/>
  <c r="E178" i="23"/>
  <c r="E178" i="27"/>
  <c r="E178" i="26"/>
  <c r="E178" i="22"/>
  <c r="E178" i="32"/>
  <c r="N178" i="39" s="1"/>
  <c r="E178" i="21"/>
  <c r="E178" i="20"/>
  <c r="E178" i="33"/>
  <c r="W178" i="39" s="1"/>
  <c r="V58" i="11"/>
  <c r="V57" i="11"/>
  <c r="V56" i="11"/>
  <c r="V7" i="11"/>
  <c r="E179" i="39" l="1"/>
  <c r="E179" i="28"/>
  <c r="E179" i="23"/>
  <c r="E179" i="27"/>
  <c r="E179" i="26"/>
  <c r="E179" i="22"/>
  <c r="E179" i="32"/>
  <c r="N179" i="39" s="1"/>
  <c r="E179" i="20"/>
  <c r="E179" i="33"/>
  <c r="W179" i="39" s="1"/>
  <c r="E179" i="21"/>
  <c r="V52" i="11"/>
  <c r="V62" i="11" s="1"/>
  <c r="V51" i="11"/>
  <c r="V61" i="11" s="1"/>
  <c r="V63" i="11"/>
  <c r="E180" i="39" l="1"/>
  <c r="E180" i="27"/>
  <c r="E180" i="22"/>
  <c r="E180" i="26"/>
  <c r="E180" i="28"/>
  <c r="E180" i="23"/>
  <c r="E180" i="32"/>
  <c r="N180" i="39" s="1"/>
  <c r="E180" i="20"/>
  <c r="E180" i="33"/>
  <c r="W180" i="39" s="1"/>
  <c r="E180" i="21"/>
  <c r="H3" i="32"/>
  <c r="Q3" i="39" s="1"/>
  <c r="E181" i="39" l="1"/>
  <c r="E181" i="27"/>
  <c r="E181" i="26"/>
  <c r="E181" i="28"/>
  <c r="E181" i="23"/>
  <c r="E181" i="22"/>
  <c r="E181" i="32"/>
  <c r="N181" i="39" s="1"/>
  <c r="E181" i="21"/>
  <c r="E181" i="20"/>
  <c r="E181" i="33"/>
  <c r="W181" i="39" s="1"/>
  <c r="I3" i="32"/>
  <c r="J3" i="32" s="1"/>
  <c r="H210" i="32"/>
  <c r="M210" i="32" s="1"/>
  <c r="O210" i="32" s="1"/>
  <c r="Q210" i="32" l="1"/>
  <c r="E182" i="39"/>
  <c r="E182" i="28"/>
  <c r="E182" i="23"/>
  <c r="E182" i="26"/>
  <c r="E182" i="22"/>
  <c r="E182" i="27"/>
  <c r="E182" i="32"/>
  <c r="N182" i="39" s="1"/>
  <c r="E182" i="20"/>
  <c r="E182" i="33"/>
  <c r="W182" i="39" s="1"/>
  <c r="E182" i="21"/>
  <c r="I210" i="32"/>
  <c r="J210" i="32" s="1"/>
  <c r="H210" i="19"/>
  <c r="H211" i="19"/>
  <c r="H212" i="19"/>
  <c r="H213" i="19"/>
  <c r="H214" i="19"/>
  <c r="H215" i="19"/>
  <c r="H216" i="19"/>
  <c r="H217" i="19"/>
  <c r="E26" i="34" l="1"/>
  <c r="E183" i="39"/>
  <c r="E183" i="28"/>
  <c r="E183" i="23"/>
  <c r="E183" i="27"/>
  <c r="E183" i="26"/>
  <c r="E183" i="22"/>
  <c r="E183" i="32"/>
  <c r="N183" i="39" s="1"/>
  <c r="E183" i="33"/>
  <c r="W183" i="39" s="1"/>
  <c r="E183" i="21"/>
  <c r="E183" i="20"/>
  <c r="F43" i="18"/>
  <c r="G9" i="18"/>
  <c r="G8" i="18"/>
  <c r="G7" i="18"/>
  <c r="G6" i="18"/>
  <c r="G5" i="18"/>
  <c r="G4" i="18"/>
  <c r="G3" i="18"/>
  <c r="G2" i="18"/>
  <c r="O211" i="19" l="1"/>
  <c r="O212" i="19"/>
  <c r="O210" i="19"/>
  <c r="O216" i="19"/>
  <c r="O215" i="19"/>
  <c r="O213" i="19"/>
  <c r="O214" i="19"/>
  <c r="O217" i="19"/>
  <c r="F197" i="37"/>
  <c r="E184" i="39"/>
  <c r="E184" i="27"/>
  <c r="E184" i="26"/>
  <c r="E184" i="22"/>
  <c r="E184" i="28"/>
  <c r="E184" i="23"/>
  <c r="E184" i="32"/>
  <c r="N184" i="39" s="1"/>
  <c r="E184" i="21"/>
  <c r="E184" i="20"/>
  <c r="E184" i="33"/>
  <c r="W184" i="39" s="1"/>
  <c r="Q213" i="19" l="1"/>
  <c r="S213" i="19" s="1"/>
  <c r="D10" i="34" s="1"/>
  <c r="Q210" i="19"/>
  <c r="S210" i="19" s="1"/>
  <c r="D7" i="34" s="1"/>
  <c r="Q214" i="19"/>
  <c r="S214" i="19" s="1"/>
  <c r="D11" i="34" s="1"/>
  <c r="Q215" i="19"/>
  <c r="S215" i="19" s="1"/>
  <c r="D12" i="34" s="1"/>
  <c r="Q216" i="19"/>
  <c r="S216" i="19" s="1"/>
  <c r="D13" i="34" s="1"/>
  <c r="Q212" i="19"/>
  <c r="S212" i="19" s="1"/>
  <c r="D9" i="34" s="1"/>
  <c r="Q217" i="19"/>
  <c r="S217" i="19" s="1"/>
  <c r="D14" i="34" s="1"/>
  <c r="Q211" i="19"/>
  <c r="S211" i="19" s="1"/>
  <c r="D8" i="34" s="1"/>
  <c r="E185" i="39"/>
  <c r="E185" i="27"/>
  <c r="E185" i="26"/>
  <c r="E185" i="28"/>
  <c r="E185" i="23"/>
  <c r="E185" i="22"/>
  <c r="E185" i="32"/>
  <c r="N185" i="39" s="1"/>
  <c r="E185" i="33"/>
  <c r="W185" i="39" s="1"/>
  <c r="E185" i="21"/>
  <c r="E185" i="20"/>
  <c r="H6" i="38" l="1"/>
  <c r="H6" i="11" s="1"/>
  <c r="E6" i="38"/>
  <c r="E6" i="11" s="1"/>
  <c r="C6" i="38"/>
  <c r="C6" i="11" s="1"/>
  <c r="G6" i="38"/>
  <c r="G6" i="11" s="1"/>
  <c r="I6" i="38"/>
  <c r="I6" i="11" s="1"/>
  <c r="F6" i="38"/>
  <c r="F6" i="11" s="1"/>
  <c r="D6" i="38"/>
  <c r="D6" i="11" s="1"/>
  <c r="B6" i="38"/>
  <c r="B6" i="11" s="1"/>
  <c r="E69" i="38"/>
  <c r="D26" i="34"/>
  <c r="D32" i="34"/>
  <c r="D31" i="34"/>
  <c r="F69" i="38"/>
  <c r="E186" i="39"/>
  <c r="E186" i="28"/>
  <c r="E186" i="23"/>
  <c r="E186" i="26"/>
  <c r="E186" i="27"/>
  <c r="E186" i="22"/>
  <c r="E186" i="32"/>
  <c r="N186" i="39" s="1"/>
  <c r="E186" i="21"/>
  <c r="E186" i="20"/>
  <c r="E186" i="33"/>
  <c r="W186" i="39" s="1"/>
  <c r="D69" i="38" l="1"/>
  <c r="D33" i="34"/>
  <c r="D30" i="34"/>
  <c r="D29" i="34"/>
  <c r="D28" i="34"/>
  <c r="D27" i="34"/>
  <c r="E187" i="39"/>
  <c r="E187" i="28"/>
  <c r="E187" i="23"/>
  <c r="E187" i="27"/>
  <c r="E187" i="26"/>
  <c r="E187" i="22"/>
  <c r="E187" i="32"/>
  <c r="N187" i="39" s="1"/>
  <c r="E187" i="21"/>
  <c r="E187" i="33"/>
  <c r="W187" i="39" s="1"/>
  <c r="E187" i="20"/>
  <c r="E188" i="39" l="1"/>
  <c r="E188" i="27"/>
  <c r="E188" i="22"/>
  <c r="E188" i="28"/>
  <c r="E188" i="23"/>
  <c r="E188" i="26"/>
  <c r="E188" i="32"/>
  <c r="N188" i="39" s="1"/>
  <c r="E188" i="20"/>
  <c r="E188" i="21"/>
  <c r="E188" i="33"/>
  <c r="W188" i="39" s="1"/>
  <c r="E189" i="39" l="1"/>
  <c r="E189" i="27"/>
  <c r="E189" i="26"/>
  <c r="E189" i="28"/>
  <c r="E189" i="23"/>
  <c r="E189" i="22"/>
  <c r="E189" i="32"/>
  <c r="N189" i="39" s="1"/>
  <c r="E189" i="21"/>
  <c r="E189" i="20"/>
  <c r="E189" i="33"/>
  <c r="W189" i="39" s="1"/>
  <c r="E190" i="39" l="1"/>
  <c r="E190" i="28"/>
  <c r="E190" i="23"/>
  <c r="E190" i="27"/>
  <c r="E190" i="26"/>
  <c r="E190" i="22"/>
  <c r="E190" i="32"/>
  <c r="N190" i="39" s="1"/>
  <c r="E190" i="21"/>
  <c r="E190" i="20"/>
  <c r="E190" i="33"/>
  <c r="W190" i="39" s="1"/>
  <c r="E191" i="39" l="1"/>
  <c r="E191" i="28"/>
  <c r="E191" i="23"/>
  <c r="E191" i="27"/>
  <c r="E191" i="26"/>
  <c r="E191" i="22"/>
  <c r="E191" i="32"/>
  <c r="N191" i="39" s="1"/>
  <c r="E191" i="33"/>
  <c r="W191" i="39" s="1"/>
  <c r="E191" i="20"/>
  <c r="E191" i="21"/>
  <c r="E192" i="39" l="1"/>
  <c r="E192" i="27"/>
  <c r="E192" i="28"/>
  <c r="E192" i="23"/>
  <c r="E192" i="26"/>
  <c r="E192" i="22"/>
  <c r="E192" i="32"/>
  <c r="N192" i="39" s="1"/>
  <c r="E192" i="33"/>
  <c r="W192" i="39" s="1"/>
  <c r="E192" i="21"/>
  <c r="E192" i="20"/>
  <c r="E193" i="39" l="1"/>
  <c r="E193" i="27"/>
  <c r="E193" i="26"/>
  <c r="E193" i="28"/>
  <c r="E193" i="23"/>
  <c r="E193" i="22"/>
  <c r="E193" i="32"/>
  <c r="N193" i="39" s="1"/>
  <c r="E193" i="33"/>
  <c r="W193" i="39" s="1"/>
  <c r="E193" i="20"/>
  <c r="E193" i="21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F30" i="17"/>
  <c r="E30" i="17"/>
  <c r="D30" i="17"/>
  <c r="B28" i="17"/>
  <c r="B26" i="17"/>
  <c r="I30" i="9"/>
  <c r="I2" i="17"/>
  <c r="G2" i="17"/>
  <c r="E1" i="18" s="1"/>
  <c r="F2" i="17"/>
  <c r="D1" i="18" s="1"/>
  <c r="E2" i="17"/>
  <c r="C1" i="18" s="1"/>
  <c r="D2" i="17"/>
  <c r="B1" i="18" s="1"/>
  <c r="C2" i="17"/>
  <c r="B2" i="17"/>
  <c r="E194" i="39" l="1"/>
  <c r="E194" i="28"/>
  <c r="E194" i="23"/>
  <c r="E194" i="27"/>
  <c r="E194" i="22"/>
  <c r="E194" i="26"/>
  <c r="E194" i="32"/>
  <c r="N194" i="39" s="1"/>
  <c r="E194" i="33"/>
  <c r="W194" i="39" s="1"/>
  <c r="E194" i="21"/>
  <c r="E194" i="20"/>
  <c r="B25" i="17"/>
  <c r="B27" i="17"/>
  <c r="B29" i="17"/>
  <c r="B30" i="17"/>
  <c r="E28" i="17"/>
  <c r="D23" i="17"/>
  <c r="F23" i="17"/>
  <c r="E25" i="17"/>
  <c r="D24" i="17"/>
  <c r="F24" i="17"/>
  <c r="D25" i="17"/>
  <c r="F25" i="17"/>
  <c r="D26" i="17"/>
  <c r="D27" i="17"/>
  <c r="F27" i="17"/>
  <c r="D28" i="17"/>
  <c r="F28" i="17"/>
  <c r="D29" i="17"/>
  <c r="F29" i="17"/>
  <c r="E23" i="17"/>
  <c r="E24" i="17"/>
  <c r="E26" i="17"/>
  <c r="E29" i="17"/>
  <c r="J5" i="17"/>
  <c r="J6" i="17"/>
  <c r="K6" i="17" s="1"/>
  <c r="J7" i="17"/>
  <c r="J9" i="17"/>
  <c r="F26" i="17"/>
  <c r="E27" i="17"/>
  <c r="J3" i="17"/>
  <c r="J4" i="17"/>
  <c r="J8" i="17"/>
  <c r="J10" i="17"/>
  <c r="I84" i="9"/>
  <c r="A16" i="9"/>
  <c r="A15" i="9"/>
  <c r="A38" i="9" s="1"/>
  <c r="A14" i="9"/>
  <c r="A13" i="9"/>
  <c r="A12" i="9"/>
  <c r="A11" i="9"/>
  <c r="A10" i="9"/>
  <c r="A9" i="9"/>
  <c r="A8" i="9"/>
  <c r="A7" i="9"/>
  <c r="O14" i="9"/>
  <c r="O13" i="9"/>
  <c r="O12" i="9"/>
  <c r="O11" i="9"/>
  <c r="O10" i="9"/>
  <c r="M14" i="9"/>
  <c r="M13" i="9"/>
  <c r="M12" i="9"/>
  <c r="M11" i="9"/>
  <c r="M10" i="9"/>
  <c r="M9" i="9"/>
  <c r="M8" i="9"/>
  <c r="M7" i="9"/>
  <c r="K14" i="9"/>
  <c r="K13" i="9"/>
  <c r="K12" i="9"/>
  <c r="K11" i="9"/>
  <c r="K10" i="9"/>
  <c r="K9" i="9"/>
  <c r="K8" i="9"/>
  <c r="L14" i="9"/>
  <c r="L13" i="9"/>
  <c r="L12" i="9"/>
  <c r="L11" i="9"/>
  <c r="L10" i="9"/>
  <c r="L9" i="9"/>
  <c r="L8" i="9"/>
  <c r="L7" i="9"/>
  <c r="J14" i="9"/>
  <c r="J13" i="9"/>
  <c r="J12" i="9"/>
  <c r="J11" i="9"/>
  <c r="J10" i="9"/>
  <c r="J9" i="9"/>
  <c r="J8" i="9"/>
  <c r="I14" i="9"/>
  <c r="I13" i="9"/>
  <c r="I12" i="9"/>
  <c r="I11" i="9"/>
  <c r="I10" i="9"/>
  <c r="K8" i="17" l="1"/>
  <c r="K5" i="17"/>
  <c r="K7" i="17"/>
  <c r="D44" i="44"/>
  <c r="K10" i="17"/>
  <c r="K11" i="17"/>
  <c r="K9" i="17"/>
  <c r="C72" i="37"/>
  <c r="C100" i="37" s="1"/>
  <c r="I35" i="9"/>
  <c r="D69" i="37"/>
  <c r="B27" i="18"/>
  <c r="H27" i="18"/>
  <c r="G27" i="18" s="1"/>
  <c r="J32" i="9"/>
  <c r="D73" i="37"/>
  <c r="B31" i="18"/>
  <c r="J36" i="9"/>
  <c r="H31" i="18"/>
  <c r="G31" i="18" s="1"/>
  <c r="F69" i="37"/>
  <c r="D27" i="18"/>
  <c r="L32" i="9"/>
  <c r="F73" i="37"/>
  <c r="D31" i="18"/>
  <c r="L36" i="9"/>
  <c r="E70" i="37"/>
  <c r="C28" i="18"/>
  <c r="K33" i="9"/>
  <c r="E74" i="37"/>
  <c r="K37" i="9"/>
  <c r="K56" i="9" s="1"/>
  <c r="C32" i="18"/>
  <c r="G70" i="37"/>
  <c r="E28" i="18"/>
  <c r="M33" i="9"/>
  <c r="G74" i="37"/>
  <c r="E32" i="18"/>
  <c r="M37" i="9"/>
  <c r="M56" i="9" s="1"/>
  <c r="O36" i="9"/>
  <c r="I73" i="37"/>
  <c r="I101" i="37" s="1"/>
  <c r="C73" i="37"/>
  <c r="C101" i="37" s="1"/>
  <c r="I36" i="9"/>
  <c r="D70" i="37"/>
  <c r="H28" i="18"/>
  <c r="G28" i="18" s="1"/>
  <c r="J33" i="9"/>
  <c r="B28" i="18"/>
  <c r="D74" i="37"/>
  <c r="H32" i="18"/>
  <c r="G32" i="18" s="1"/>
  <c r="J37" i="9"/>
  <c r="J56" i="9" s="1"/>
  <c r="B32" i="18"/>
  <c r="F70" i="37"/>
  <c r="L33" i="9"/>
  <c r="D28" i="18"/>
  <c r="F74" i="37"/>
  <c r="D32" i="18"/>
  <c r="L37" i="9"/>
  <c r="L56" i="9" s="1"/>
  <c r="E71" i="37"/>
  <c r="C29" i="18"/>
  <c r="K34" i="9"/>
  <c r="G67" i="37"/>
  <c r="E25" i="18"/>
  <c r="M30" i="9"/>
  <c r="G71" i="37"/>
  <c r="E29" i="18"/>
  <c r="M34" i="9"/>
  <c r="O33" i="9"/>
  <c r="O51" i="9" s="1"/>
  <c r="I70" i="37"/>
  <c r="I98" i="37" s="1"/>
  <c r="O37" i="9"/>
  <c r="O55" i="9" s="1"/>
  <c r="I74" i="37"/>
  <c r="I102" i="37" s="1"/>
  <c r="C70" i="37"/>
  <c r="C98" i="37" s="1"/>
  <c r="I33" i="9"/>
  <c r="I51" i="9" s="1"/>
  <c r="C74" i="37"/>
  <c r="C102" i="37" s="1"/>
  <c r="I37" i="9"/>
  <c r="I56" i="9" s="1"/>
  <c r="D71" i="37"/>
  <c r="B29" i="18"/>
  <c r="H29" i="18"/>
  <c r="G29" i="18" s="1"/>
  <c r="J34" i="9"/>
  <c r="F67" i="37"/>
  <c r="D25" i="18"/>
  <c r="L30" i="9"/>
  <c r="F71" i="37"/>
  <c r="D29" i="18"/>
  <c r="L34" i="9"/>
  <c r="E68" i="37"/>
  <c r="C26" i="18"/>
  <c r="K31" i="9"/>
  <c r="E72" i="37"/>
  <c r="K35" i="9"/>
  <c r="C30" i="18"/>
  <c r="G68" i="37"/>
  <c r="E26" i="18"/>
  <c r="M31" i="9"/>
  <c r="G72" i="37"/>
  <c r="M35" i="9"/>
  <c r="E30" i="18"/>
  <c r="O34" i="9"/>
  <c r="I71" i="37"/>
  <c r="I99" i="37" s="1"/>
  <c r="C71" i="37"/>
  <c r="C99" i="37" s="1"/>
  <c r="I34" i="9"/>
  <c r="D68" i="37"/>
  <c r="H26" i="18"/>
  <c r="G26" i="18" s="1"/>
  <c r="J31" i="9"/>
  <c r="B26" i="18"/>
  <c r="D72" i="37"/>
  <c r="H30" i="18"/>
  <c r="G30" i="18" s="1"/>
  <c r="J35" i="9"/>
  <c r="B30" i="18"/>
  <c r="F68" i="37"/>
  <c r="L31" i="9"/>
  <c r="D26" i="18"/>
  <c r="F72" i="37"/>
  <c r="L35" i="9"/>
  <c r="D30" i="18"/>
  <c r="E69" i="37"/>
  <c r="K32" i="9"/>
  <c r="C27" i="18"/>
  <c r="E73" i="37"/>
  <c r="C31" i="18"/>
  <c r="K36" i="9"/>
  <c r="G69" i="37"/>
  <c r="M32" i="9"/>
  <c r="E27" i="18"/>
  <c r="G73" i="37"/>
  <c r="M36" i="9"/>
  <c r="E31" i="18"/>
  <c r="O35" i="9"/>
  <c r="I72" i="37"/>
  <c r="I100" i="37" s="1"/>
  <c r="E195" i="39"/>
  <c r="E195" i="28"/>
  <c r="E195" i="23"/>
  <c r="E195" i="27"/>
  <c r="E195" i="26"/>
  <c r="E195" i="22"/>
  <c r="E195" i="32"/>
  <c r="N195" i="39" s="1"/>
  <c r="E195" i="33"/>
  <c r="W195" i="39" s="1"/>
  <c r="E195" i="21"/>
  <c r="E195" i="20"/>
  <c r="E44" i="44"/>
  <c r="J23" i="17"/>
  <c r="F44" i="44"/>
  <c r="J29" i="17"/>
  <c r="J30" i="17"/>
  <c r="J25" i="17"/>
  <c r="J27" i="17"/>
  <c r="J24" i="17"/>
  <c r="J28" i="17"/>
  <c r="J26" i="17"/>
  <c r="D7" i="30"/>
  <c r="D5" i="30"/>
  <c r="D8" i="30"/>
  <c r="D3" i="30"/>
  <c r="D6" i="30"/>
  <c r="D9" i="30"/>
  <c r="D10" i="30"/>
  <c r="D4" i="30"/>
  <c r="N53" i="9"/>
  <c r="J7" i="9"/>
  <c r="K7" i="9"/>
  <c r="I49" i="9"/>
  <c r="A32" i="9"/>
  <c r="A36" i="9"/>
  <c r="I50" i="9"/>
  <c r="N52" i="9"/>
  <c r="N54" i="9"/>
  <c r="N55" i="9"/>
  <c r="A37" i="9"/>
  <c r="A31" i="9"/>
  <c r="A33" i="9"/>
  <c r="H14" i="9"/>
  <c r="P14" i="9" s="1"/>
  <c r="P37" i="9" s="1"/>
  <c r="H13" i="9"/>
  <c r="P13" i="9" s="1"/>
  <c r="P36" i="9" s="1"/>
  <c r="H12" i="9"/>
  <c r="P12" i="9" s="1"/>
  <c r="P35" i="9" s="1"/>
  <c r="H11" i="9"/>
  <c r="P11" i="9" s="1"/>
  <c r="P34" i="9" s="1"/>
  <c r="H10" i="9"/>
  <c r="P10" i="9" s="1"/>
  <c r="P33" i="9" s="1"/>
  <c r="H9" i="9"/>
  <c r="P9" i="9" s="1"/>
  <c r="P32" i="9" s="1"/>
  <c r="H8" i="9"/>
  <c r="P8" i="9" s="1"/>
  <c r="P31" i="9" s="1"/>
  <c r="H7" i="9"/>
  <c r="B217" i="19"/>
  <c r="B216" i="19"/>
  <c r="B215" i="19"/>
  <c r="B214" i="19"/>
  <c r="B213" i="19"/>
  <c r="B212" i="19"/>
  <c r="B211" i="19"/>
  <c r="B210" i="19"/>
  <c r="I98" i="19"/>
  <c r="I97" i="19"/>
  <c r="I96" i="19"/>
  <c r="I95" i="19"/>
  <c r="I94" i="19"/>
  <c r="I93" i="19"/>
  <c r="I91" i="19"/>
  <c r="I90" i="19"/>
  <c r="I88" i="19"/>
  <c r="I86" i="19"/>
  <c r="I85" i="19"/>
  <c r="I83" i="19"/>
  <c r="I81" i="19"/>
  <c r="I79" i="19"/>
  <c r="I77" i="19"/>
  <c r="I75" i="19"/>
  <c r="I73" i="19"/>
  <c r="I71" i="19"/>
  <c r="I69" i="19"/>
  <c r="I67" i="19"/>
  <c r="I65" i="19"/>
  <c r="I61" i="19"/>
  <c r="I59" i="19"/>
  <c r="I57" i="19"/>
  <c r="I55" i="19"/>
  <c r="I53" i="19"/>
  <c r="I49" i="19"/>
  <c r="I47" i="19"/>
  <c r="I45" i="19"/>
  <c r="I43" i="19"/>
  <c r="I41" i="19"/>
  <c r="I37" i="19"/>
  <c r="I35" i="19"/>
  <c r="I33" i="19"/>
  <c r="I31" i="19"/>
  <c r="I30" i="19"/>
  <c r="I29" i="19"/>
  <c r="J29" i="19" s="1"/>
  <c r="I28" i="19"/>
  <c r="J28" i="19" s="1"/>
  <c r="I26" i="19"/>
  <c r="J26" i="19" s="1"/>
  <c r="I25" i="19"/>
  <c r="J25" i="19" s="1"/>
  <c r="I24" i="19"/>
  <c r="J24" i="19" s="1"/>
  <c r="I23" i="19"/>
  <c r="J23" i="19" s="1"/>
  <c r="I22" i="19"/>
  <c r="J22" i="19" s="1"/>
  <c r="I21" i="19"/>
  <c r="J21" i="19" s="1"/>
  <c r="I20" i="19"/>
  <c r="J20" i="19" s="1"/>
  <c r="I19" i="19"/>
  <c r="J19" i="19" s="1"/>
  <c r="I18" i="19"/>
  <c r="J18" i="19" s="1"/>
  <c r="I17" i="19"/>
  <c r="J17" i="19" s="1"/>
  <c r="I16" i="19"/>
  <c r="J16" i="19" s="1"/>
  <c r="I14" i="19"/>
  <c r="J14" i="19" s="1"/>
  <c r="I13" i="19"/>
  <c r="J13" i="19" s="1"/>
  <c r="I12" i="19"/>
  <c r="J12" i="19" s="1"/>
  <c r="I11" i="19"/>
  <c r="J11" i="19" s="1"/>
  <c r="I10" i="19"/>
  <c r="J10" i="19" s="1"/>
  <c r="I9" i="19"/>
  <c r="J9" i="19" s="1"/>
  <c r="I8" i="19"/>
  <c r="J8" i="19" s="1"/>
  <c r="I7" i="19"/>
  <c r="J7" i="19" s="1"/>
  <c r="I6" i="19"/>
  <c r="J6" i="19" s="1"/>
  <c r="I5" i="19"/>
  <c r="J5" i="19" s="1"/>
  <c r="I4" i="19"/>
  <c r="J4" i="19" s="1"/>
  <c r="G101" i="37" l="1"/>
  <c r="E166" i="37"/>
  <c r="E186" i="37" s="1"/>
  <c r="G97" i="37"/>
  <c r="E162" i="37"/>
  <c r="E182" i="37" s="1"/>
  <c r="E101" i="37"/>
  <c r="C166" i="37"/>
  <c r="C186" i="37" s="1"/>
  <c r="E97" i="37"/>
  <c r="C162" i="37"/>
  <c r="C182" i="37" s="1"/>
  <c r="F100" i="37"/>
  <c r="D165" i="37"/>
  <c r="D185" i="37" s="1"/>
  <c r="F96" i="37"/>
  <c r="D161" i="37"/>
  <c r="D181" i="37" s="1"/>
  <c r="G100" i="37"/>
  <c r="E165" i="37"/>
  <c r="E185" i="37" s="1"/>
  <c r="G96" i="37"/>
  <c r="E161" i="37"/>
  <c r="E181" i="37" s="1"/>
  <c r="E100" i="37"/>
  <c r="C165" i="37"/>
  <c r="C185" i="37" s="1"/>
  <c r="E96" i="37"/>
  <c r="C161" i="37"/>
  <c r="C181" i="37" s="1"/>
  <c r="F99" i="37"/>
  <c r="D164" i="37"/>
  <c r="D184" i="37" s="1"/>
  <c r="F95" i="37"/>
  <c r="D160" i="37"/>
  <c r="D180" i="37" s="1"/>
  <c r="G99" i="37"/>
  <c r="E164" i="37"/>
  <c r="E184" i="37" s="1"/>
  <c r="G95" i="37"/>
  <c r="E160" i="37"/>
  <c r="E180" i="37" s="1"/>
  <c r="E99" i="37"/>
  <c r="C164" i="37"/>
  <c r="C184" i="37" s="1"/>
  <c r="F102" i="37"/>
  <c r="D167" i="37"/>
  <c r="D187" i="37" s="1"/>
  <c r="F98" i="37"/>
  <c r="D163" i="37"/>
  <c r="D183" i="37" s="1"/>
  <c r="G102" i="37"/>
  <c r="E167" i="37"/>
  <c r="E187" i="37" s="1"/>
  <c r="G98" i="37"/>
  <c r="E163" i="37"/>
  <c r="E183" i="37" s="1"/>
  <c r="E102" i="37"/>
  <c r="C167" i="37"/>
  <c r="C187" i="37" s="1"/>
  <c r="E98" i="37"/>
  <c r="C163" i="37"/>
  <c r="C183" i="37" s="1"/>
  <c r="F101" i="37"/>
  <c r="D166" i="37"/>
  <c r="D186" i="37" s="1"/>
  <c r="F97" i="37"/>
  <c r="D162" i="37"/>
  <c r="D182" i="37" s="1"/>
  <c r="D100" i="37"/>
  <c r="B165" i="37"/>
  <c r="G165" i="37" s="1"/>
  <c r="G185" i="37" s="1"/>
  <c r="D99" i="37"/>
  <c r="B164" i="37"/>
  <c r="D102" i="37"/>
  <c r="B167" i="37"/>
  <c r="G167" i="37" s="1"/>
  <c r="G187" i="37" s="1"/>
  <c r="D98" i="37"/>
  <c r="B163" i="37"/>
  <c r="G163" i="37" s="1"/>
  <c r="G183" i="37" s="1"/>
  <c r="D101" i="37"/>
  <c r="B166" i="37"/>
  <c r="G166" i="37" s="1"/>
  <c r="G186" i="37" s="1"/>
  <c r="D97" i="37"/>
  <c r="B162" i="37"/>
  <c r="D96" i="37"/>
  <c r="B161" i="37"/>
  <c r="B181" i="37" s="1"/>
  <c r="O52" i="9"/>
  <c r="M50" i="9"/>
  <c r="L49" i="9"/>
  <c r="I52" i="9"/>
  <c r="O53" i="9"/>
  <c r="M52" i="9"/>
  <c r="M49" i="9"/>
  <c r="I53" i="9"/>
  <c r="P7" i="9"/>
  <c r="P30" i="9" s="1"/>
  <c r="I54" i="9"/>
  <c r="L50" i="9"/>
  <c r="G11" i="9"/>
  <c r="G34" i="9" s="1"/>
  <c r="B71" i="37"/>
  <c r="B99" i="37" s="1"/>
  <c r="H34" i="9"/>
  <c r="F19" i="38"/>
  <c r="F19" i="11" s="1"/>
  <c r="F23" i="38"/>
  <c r="F23" i="11" s="1"/>
  <c r="E19" i="38"/>
  <c r="E19" i="11" s="1"/>
  <c r="I38" i="38"/>
  <c r="H33" i="38"/>
  <c r="B68" i="37"/>
  <c r="B96" i="37" s="1"/>
  <c r="H31" i="9"/>
  <c r="D38" i="38"/>
  <c r="D38" i="11" s="1"/>
  <c r="C38" i="38"/>
  <c r="C38" i="11" s="1"/>
  <c r="C28" i="38"/>
  <c r="C28" i="11" s="1"/>
  <c r="I19" i="38"/>
  <c r="E48" i="38"/>
  <c r="E48" i="11" s="1"/>
  <c r="B183" i="37"/>
  <c r="H23" i="38"/>
  <c r="G19" i="38"/>
  <c r="B69" i="37"/>
  <c r="B97" i="37" s="1"/>
  <c r="H32" i="9"/>
  <c r="B70" i="37"/>
  <c r="B98" i="37" s="1"/>
  <c r="H33" i="9"/>
  <c r="B74" i="37"/>
  <c r="B102" i="37" s="1"/>
  <c r="H37" i="9"/>
  <c r="D67" i="37"/>
  <c r="J30" i="9"/>
  <c r="H38" i="38"/>
  <c r="H28" i="38"/>
  <c r="G33" i="38"/>
  <c r="C23" i="38"/>
  <c r="C23" i="11" s="1"/>
  <c r="G38" i="38"/>
  <c r="G28" i="38"/>
  <c r="F33" i="38"/>
  <c r="F33" i="11" s="1"/>
  <c r="H48" i="38"/>
  <c r="B67" i="37"/>
  <c r="B95" i="37" s="1"/>
  <c r="H30" i="9"/>
  <c r="G23" i="38"/>
  <c r="B38" i="38"/>
  <c r="B38" i="11" s="1"/>
  <c r="I33" i="38"/>
  <c r="E23" i="38"/>
  <c r="E23" i="11" s="1"/>
  <c r="M51" i="9"/>
  <c r="I28" i="38"/>
  <c r="D23" i="38"/>
  <c r="D23" i="11" s="1"/>
  <c r="G12" i="9"/>
  <c r="G35" i="9" s="1"/>
  <c r="B72" i="37"/>
  <c r="B100" i="37" s="1"/>
  <c r="H35" i="9"/>
  <c r="D28" i="38"/>
  <c r="D28" i="11" s="1"/>
  <c r="C33" i="38"/>
  <c r="C33" i="11" s="1"/>
  <c r="B185" i="37"/>
  <c r="B33" i="38"/>
  <c r="B33" i="11" s="1"/>
  <c r="G164" i="37"/>
  <c r="G184" i="37" s="1"/>
  <c r="B184" i="37"/>
  <c r="I23" i="38"/>
  <c r="H19" i="38"/>
  <c r="B182" i="37"/>
  <c r="B73" i="37"/>
  <c r="B101" i="37" s="1"/>
  <c r="H36" i="9"/>
  <c r="I55" i="9"/>
  <c r="E67" i="37"/>
  <c r="C25" i="18"/>
  <c r="K30" i="9"/>
  <c r="K49" i="9" s="1"/>
  <c r="G48" i="38"/>
  <c r="F48" i="38"/>
  <c r="F48" i="11" s="1"/>
  <c r="M53" i="9"/>
  <c r="I48" i="38"/>
  <c r="F38" i="38"/>
  <c r="F38" i="11" s="1"/>
  <c r="F28" i="38"/>
  <c r="F28" i="11" s="1"/>
  <c r="E33" i="38"/>
  <c r="E33" i="11" s="1"/>
  <c r="E38" i="38"/>
  <c r="E38" i="11" s="1"/>
  <c r="E28" i="38"/>
  <c r="E28" i="11" s="1"/>
  <c r="D33" i="38"/>
  <c r="D33" i="11" s="1"/>
  <c r="B186" i="37"/>
  <c r="E217" i="19"/>
  <c r="E213" i="19"/>
  <c r="E216" i="19"/>
  <c r="E212" i="19"/>
  <c r="E219" i="19"/>
  <c r="E215" i="19"/>
  <c r="E211" i="19"/>
  <c r="E218" i="19"/>
  <c r="E214" i="19"/>
  <c r="H69" i="44"/>
  <c r="H106" i="37" s="1"/>
  <c r="E196" i="39"/>
  <c r="E196" i="27"/>
  <c r="E196" i="22"/>
  <c r="E196" i="23"/>
  <c r="E196" i="26"/>
  <c r="E196" i="28"/>
  <c r="E196" i="32"/>
  <c r="N196" i="39" s="1"/>
  <c r="E196" i="21"/>
  <c r="E196" i="20"/>
  <c r="E196" i="33"/>
  <c r="W196" i="39" s="1"/>
  <c r="H61" i="38"/>
  <c r="H56" i="11"/>
  <c r="E61" i="38"/>
  <c r="E56" i="11"/>
  <c r="B61" i="38"/>
  <c r="B56" i="11"/>
  <c r="D61" i="38"/>
  <c r="D56" i="11"/>
  <c r="F61" i="38"/>
  <c r="F56" i="11"/>
  <c r="C61" i="38"/>
  <c r="C56" i="11"/>
  <c r="G61" i="38"/>
  <c r="G56" i="11"/>
  <c r="I61" i="38"/>
  <c r="I56" i="11"/>
  <c r="G15" i="37"/>
  <c r="H15" i="37" s="1"/>
  <c r="G14" i="37"/>
  <c r="H14" i="37" s="1"/>
  <c r="G16" i="37"/>
  <c r="H16" i="37" s="1"/>
  <c r="G5" i="37"/>
  <c r="H5" i="37" s="1"/>
  <c r="G18" i="37"/>
  <c r="H18" i="37" s="1"/>
  <c r="G19" i="37"/>
  <c r="H19" i="37" s="1"/>
  <c r="G17" i="37"/>
  <c r="H17" i="37" s="1"/>
  <c r="G13" i="37"/>
  <c r="H13" i="37" s="1"/>
  <c r="I20" i="37"/>
  <c r="I15" i="37"/>
  <c r="I12" i="37"/>
  <c r="I17" i="37"/>
  <c r="I14" i="37"/>
  <c r="I18" i="37"/>
  <c r="G12" i="37"/>
  <c r="H12" i="37" s="1"/>
  <c r="I13" i="37"/>
  <c r="I19" i="37"/>
  <c r="I16" i="37"/>
  <c r="I21" i="37"/>
  <c r="M55" i="9"/>
  <c r="I101" i="19"/>
  <c r="J101" i="19" s="1"/>
  <c r="I103" i="19"/>
  <c r="J103" i="19" s="1"/>
  <c r="I105" i="19"/>
  <c r="J105" i="19" s="1"/>
  <c r="I107" i="19"/>
  <c r="J107" i="19" s="1"/>
  <c r="I109" i="19"/>
  <c r="J109" i="19" s="1"/>
  <c r="I100" i="19"/>
  <c r="J100" i="19" s="1"/>
  <c r="I108" i="19"/>
  <c r="J108" i="19" s="1"/>
  <c r="I102" i="19"/>
  <c r="J102" i="19" s="1"/>
  <c r="I104" i="19"/>
  <c r="J104" i="19" s="1"/>
  <c r="I106" i="19"/>
  <c r="J106" i="19" s="1"/>
  <c r="I110" i="19"/>
  <c r="J110" i="19" s="1"/>
  <c r="B25" i="18"/>
  <c r="H25" i="18"/>
  <c r="G25" i="18" s="1"/>
  <c r="C7" i="34"/>
  <c r="B11" i="9"/>
  <c r="C11" i="34"/>
  <c r="F5" i="38" s="1"/>
  <c r="C214" i="19"/>
  <c r="D214" i="19" s="1"/>
  <c r="C213" i="19"/>
  <c r="D213" i="19" s="1"/>
  <c r="C10" i="34"/>
  <c r="E5" i="38" s="1"/>
  <c r="C14" i="34"/>
  <c r="I5" i="38" s="1"/>
  <c r="C217" i="19"/>
  <c r="D217" i="19" s="1"/>
  <c r="B9" i="9"/>
  <c r="D9" i="9" s="1"/>
  <c r="E9" i="9" s="1"/>
  <c r="C212" i="19"/>
  <c r="D212" i="19" s="1"/>
  <c r="C9" i="34"/>
  <c r="D5" i="38" s="1"/>
  <c r="C13" i="34"/>
  <c r="H5" i="38" s="1"/>
  <c r="C216" i="19"/>
  <c r="D216" i="19" s="1"/>
  <c r="J55" i="9"/>
  <c r="B8" i="9"/>
  <c r="D8" i="9" s="1"/>
  <c r="E8" i="9" s="1"/>
  <c r="C8" i="34"/>
  <c r="C5" i="38" s="1"/>
  <c r="C211" i="19"/>
  <c r="D211" i="19" s="1"/>
  <c r="C215" i="19"/>
  <c r="D215" i="19" s="1"/>
  <c r="C12" i="34"/>
  <c r="G5" i="38" s="1"/>
  <c r="J52" i="9"/>
  <c r="K51" i="9"/>
  <c r="G9" i="9"/>
  <c r="N50" i="9"/>
  <c r="G13" i="9"/>
  <c r="K50" i="9"/>
  <c r="O54" i="9"/>
  <c r="G10" i="9"/>
  <c r="G33" i="9" s="1"/>
  <c r="J53" i="9"/>
  <c r="G7" i="9"/>
  <c r="G30" i="9" s="1"/>
  <c r="G14" i="9"/>
  <c r="G37" i="9" s="1"/>
  <c r="G8" i="9"/>
  <c r="G31" i="9" s="1"/>
  <c r="N51" i="9"/>
  <c r="J51" i="9"/>
  <c r="M54" i="9"/>
  <c r="L51" i="9"/>
  <c r="J31" i="19"/>
  <c r="J33" i="19"/>
  <c r="J35" i="19"/>
  <c r="J37" i="19"/>
  <c r="J41" i="19"/>
  <c r="J43" i="19"/>
  <c r="J45" i="19"/>
  <c r="J47" i="19"/>
  <c r="J49" i="19"/>
  <c r="J53" i="19"/>
  <c r="J55" i="19"/>
  <c r="J57" i="19"/>
  <c r="J59" i="19"/>
  <c r="J61" i="19"/>
  <c r="J65" i="19"/>
  <c r="J67" i="19"/>
  <c r="J69" i="19"/>
  <c r="J71" i="19"/>
  <c r="J73" i="19"/>
  <c r="J75" i="19"/>
  <c r="J77" i="19"/>
  <c r="J79" i="19"/>
  <c r="J81" i="19"/>
  <c r="J83" i="19"/>
  <c r="J86" i="19"/>
  <c r="J88" i="19"/>
  <c r="J91" i="19"/>
  <c r="I3" i="19"/>
  <c r="J3" i="19" s="1"/>
  <c r="I15" i="19"/>
  <c r="J15" i="19" s="1"/>
  <c r="I27" i="19"/>
  <c r="J27" i="19" s="1"/>
  <c r="I32" i="19"/>
  <c r="J32" i="19" s="1"/>
  <c r="I34" i="19"/>
  <c r="J34" i="19" s="1"/>
  <c r="I36" i="19"/>
  <c r="J36" i="19" s="1"/>
  <c r="I38" i="19"/>
  <c r="J38" i="19" s="1"/>
  <c r="I39" i="19"/>
  <c r="J39" i="19" s="1"/>
  <c r="I40" i="19"/>
  <c r="J40" i="19" s="1"/>
  <c r="I42" i="19"/>
  <c r="J42" i="19" s="1"/>
  <c r="I44" i="19"/>
  <c r="J44" i="19" s="1"/>
  <c r="I46" i="19"/>
  <c r="J46" i="19" s="1"/>
  <c r="I48" i="19"/>
  <c r="J48" i="19" s="1"/>
  <c r="I50" i="19"/>
  <c r="J50" i="19" s="1"/>
  <c r="I51" i="19"/>
  <c r="J51" i="19" s="1"/>
  <c r="I52" i="19"/>
  <c r="J52" i="19" s="1"/>
  <c r="I54" i="19"/>
  <c r="J54" i="19" s="1"/>
  <c r="I56" i="19"/>
  <c r="J56" i="19" s="1"/>
  <c r="I58" i="19"/>
  <c r="J58" i="19" s="1"/>
  <c r="I60" i="19"/>
  <c r="J60" i="19" s="1"/>
  <c r="I62" i="19"/>
  <c r="J62" i="19" s="1"/>
  <c r="I63" i="19"/>
  <c r="J63" i="19" s="1"/>
  <c r="I64" i="19"/>
  <c r="J64" i="19" s="1"/>
  <c r="I66" i="19"/>
  <c r="J66" i="19" s="1"/>
  <c r="I68" i="19"/>
  <c r="J68" i="19" s="1"/>
  <c r="I70" i="19"/>
  <c r="J70" i="19" s="1"/>
  <c r="I72" i="19"/>
  <c r="J72" i="19" s="1"/>
  <c r="I74" i="19"/>
  <c r="J74" i="19" s="1"/>
  <c r="I76" i="19"/>
  <c r="J76" i="19" s="1"/>
  <c r="I78" i="19"/>
  <c r="J78" i="19" s="1"/>
  <c r="I80" i="19"/>
  <c r="J80" i="19" s="1"/>
  <c r="I82" i="19"/>
  <c r="J82" i="19" s="1"/>
  <c r="I84" i="19"/>
  <c r="J84" i="19" s="1"/>
  <c r="I87" i="19"/>
  <c r="J87" i="19" s="1"/>
  <c r="I89" i="19"/>
  <c r="J89" i="19" s="1"/>
  <c r="I92" i="19"/>
  <c r="J92" i="19" s="1"/>
  <c r="J30" i="19"/>
  <c r="J85" i="19"/>
  <c r="J90" i="19"/>
  <c r="J93" i="19"/>
  <c r="J94" i="19"/>
  <c r="J95" i="19"/>
  <c r="J96" i="19"/>
  <c r="J97" i="19"/>
  <c r="J98" i="19"/>
  <c r="L54" i="9"/>
  <c r="L53" i="9"/>
  <c r="A35" i="9"/>
  <c r="A34" i="9"/>
  <c r="L55" i="9"/>
  <c r="Y47" i="11"/>
  <c r="X47" i="11"/>
  <c r="W47" i="11"/>
  <c r="A46" i="11"/>
  <c r="Y44" i="11"/>
  <c r="X44" i="11"/>
  <c r="W44" i="11"/>
  <c r="Y43" i="11"/>
  <c r="X43" i="11"/>
  <c r="W43" i="11"/>
  <c r="Y42" i="11"/>
  <c r="X42" i="11"/>
  <c r="W42" i="11"/>
  <c r="A41" i="11"/>
  <c r="Y39" i="11"/>
  <c r="X39" i="11"/>
  <c r="W39" i="11"/>
  <c r="B187" i="37" l="1"/>
  <c r="G162" i="37"/>
  <c r="G182" i="37" s="1"/>
  <c r="G161" i="37"/>
  <c r="G181" i="37" s="1"/>
  <c r="E95" i="37"/>
  <c r="C160" i="37"/>
  <c r="C180" i="37" s="1"/>
  <c r="D95" i="37"/>
  <c r="B160" i="37"/>
  <c r="G53" i="9"/>
  <c r="G56" i="9"/>
  <c r="H49" i="9"/>
  <c r="H53" i="9"/>
  <c r="H50" i="9"/>
  <c r="G52" i="9"/>
  <c r="M42" i="38"/>
  <c r="J73" i="37"/>
  <c r="H15" i="38"/>
  <c r="I33" i="11"/>
  <c r="Y33" i="11" s="1"/>
  <c r="F95" i="38"/>
  <c r="B180" i="37"/>
  <c r="G160" i="37"/>
  <c r="G180" i="37" s="1"/>
  <c r="D81" i="38"/>
  <c r="G19" i="11"/>
  <c r="W19" i="11" s="1"/>
  <c r="C15" i="38"/>
  <c r="J68" i="37"/>
  <c r="F15" i="38"/>
  <c r="J71" i="37"/>
  <c r="I48" i="11"/>
  <c r="Y48" i="11" s="1"/>
  <c r="F110" i="38"/>
  <c r="H54" i="9"/>
  <c r="I28" i="11"/>
  <c r="F90" i="38"/>
  <c r="G23" i="11"/>
  <c r="W23" i="11" s="1"/>
  <c r="D85" i="38"/>
  <c r="E110" i="38"/>
  <c r="H48" i="11"/>
  <c r="X48" i="11" s="1"/>
  <c r="G33" i="11"/>
  <c r="W33" i="11" s="1"/>
  <c r="D95" i="38"/>
  <c r="H28" i="11"/>
  <c r="X28" i="11" s="1"/>
  <c r="E90" i="38"/>
  <c r="B23" i="38"/>
  <c r="B23" i="11" s="1"/>
  <c r="H55" i="9"/>
  <c r="H56" i="9"/>
  <c r="J70" i="37"/>
  <c r="E15" i="38"/>
  <c r="H33" i="11"/>
  <c r="X33" i="11" s="1"/>
  <c r="E95" i="38"/>
  <c r="H52" i="9"/>
  <c r="G36" i="9"/>
  <c r="G54" i="9" s="1"/>
  <c r="E81" i="38"/>
  <c r="H19" i="11"/>
  <c r="D100" i="38"/>
  <c r="G38" i="11"/>
  <c r="J74" i="37"/>
  <c r="I15" i="38"/>
  <c r="J72" i="37"/>
  <c r="G15" i="38"/>
  <c r="G28" i="11"/>
  <c r="W28" i="11" s="1"/>
  <c r="D90" i="38"/>
  <c r="G48" i="11"/>
  <c r="W48" i="11" s="1"/>
  <c r="D110" i="38"/>
  <c r="B28" i="38"/>
  <c r="B28" i="11" s="1"/>
  <c r="F85" i="38"/>
  <c r="I23" i="11"/>
  <c r="Y23" i="11" s="1"/>
  <c r="B15" i="38"/>
  <c r="J67" i="37"/>
  <c r="E100" i="38"/>
  <c r="H38" i="11"/>
  <c r="H51" i="9"/>
  <c r="D15" i="38"/>
  <c r="J69" i="37"/>
  <c r="H23" i="11"/>
  <c r="X23" i="11" s="1"/>
  <c r="E85" i="38"/>
  <c r="F81" i="38"/>
  <c r="I19" i="11"/>
  <c r="I38" i="11"/>
  <c r="F100" i="38"/>
  <c r="B5" i="38"/>
  <c r="B5" i="11" s="1"/>
  <c r="C26" i="34"/>
  <c r="I5" i="11"/>
  <c r="Y5" i="11" s="1"/>
  <c r="F68" i="38"/>
  <c r="I7" i="38"/>
  <c r="F70" i="38" s="1"/>
  <c r="C5" i="11"/>
  <c r="C7" i="38"/>
  <c r="D5" i="11"/>
  <c r="D7" i="38"/>
  <c r="F5" i="11"/>
  <c r="F7" i="38"/>
  <c r="E5" i="11"/>
  <c r="E7" i="38"/>
  <c r="G5" i="11"/>
  <c r="W5" i="11" s="1"/>
  <c r="D68" i="38"/>
  <c r="G7" i="38"/>
  <c r="D70" i="38" s="1"/>
  <c r="H5" i="11"/>
  <c r="X5" i="11" s="1"/>
  <c r="E68" i="38"/>
  <c r="H7" i="38"/>
  <c r="E70" i="38" s="1"/>
  <c r="E197" i="39"/>
  <c r="E197" i="27"/>
  <c r="E197" i="26"/>
  <c r="E197" i="28"/>
  <c r="E197" i="23"/>
  <c r="E197" i="22"/>
  <c r="E197" i="32"/>
  <c r="N197" i="39" s="1"/>
  <c r="E197" i="33"/>
  <c r="W197" i="39" s="1"/>
  <c r="E197" i="20"/>
  <c r="E197" i="21"/>
  <c r="G32" i="9"/>
  <c r="G50" i="9" s="1"/>
  <c r="G33" i="17"/>
  <c r="B14" i="37"/>
  <c r="C29" i="34"/>
  <c r="B12" i="37"/>
  <c r="C27" i="34"/>
  <c r="B11" i="37"/>
  <c r="B13" i="37"/>
  <c r="C28" i="34"/>
  <c r="B18" i="37"/>
  <c r="C33" i="34"/>
  <c r="B15" i="37"/>
  <c r="C30" i="34"/>
  <c r="B16" i="37"/>
  <c r="C31" i="34"/>
  <c r="B17" i="37"/>
  <c r="C32" i="34"/>
  <c r="F11" i="9"/>
  <c r="D11" i="9"/>
  <c r="E11" i="9" s="1"/>
  <c r="H218" i="19"/>
  <c r="I99" i="19"/>
  <c r="J99" i="19" s="1"/>
  <c r="I122" i="19"/>
  <c r="J122" i="19" s="1"/>
  <c r="I121" i="19"/>
  <c r="J121" i="19" s="1"/>
  <c r="I120" i="19"/>
  <c r="J120" i="19" s="1"/>
  <c r="I119" i="19"/>
  <c r="J119" i="19" s="1"/>
  <c r="F8" i="9"/>
  <c r="F9" i="9"/>
  <c r="X56" i="11"/>
  <c r="Y56" i="11"/>
  <c r="W56" i="11"/>
  <c r="E11" i="34"/>
  <c r="F11" i="34" s="1"/>
  <c r="I215" i="19"/>
  <c r="J215" i="19" s="1"/>
  <c r="E12" i="34"/>
  <c r="F12" i="34" s="1"/>
  <c r="E8" i="34"/>
  <c r="F8" i="34" s="1"/>
  <c r="B7" i="9"/>
  <c r="F7" i="9" s="1"/>
  <c r="E7" i="34"/>
  <c r="F7" i="34" s="1"/>
  <c r="E9" i="34"/>
  <c r="F9" i="34" s="1"/>
  <c r="E14" i="34"/>
  <c r="F14" i="34" s="1"/>
  <c r="E13" i="34"/>
  <c r="F13" i="34" s="1"/>
  <c r="B10" i="9"/>
  <c r="E10" i="34"/>
  <c r="F10" i="34" s="1"/>
  <c r="N49" i="9"/>
  <c r="K55" i="9"/>
  <c r="A30" i="9"/>
  <c r="I211" i="19"/>
  <c r="J211" i="19" s="1"/>
  <c r="K54" i="9"/>
  <c r="J54" i="9" s="1"/>
  <c r="I217" i="19"/>
  <c r="Z22" i="11"/>
  <c r="J49" i="9"/>
  <c r="J50" i="9"/>
  <c r="L52" i="9"/>
  <c r="Y37" i="11"/>
  <c r="X37" i="11"/>
  <c r="W37" i="11"/>
  <c r="A36" i="11"/>
  <c r="Y34" i="11"/>
  <c r="X34" i="11"/>
  <c r="W34" i="11"/>
  <c r="X32" i="11"/>
  <c r="W32" i="11"/>
  <c r="A31" i="11"/>
  <c r="Y29" i="11"/>
  <c r="X29" i="11"/>
  <c r="W29" i="11"/>
  <c r="Z27" i="11"/>
  <c r="Y27" i="11"/>
  <c r="X27" i="11"/>
  <c r="W27" i="11"/>
  <c r="A26" i="11"/>
  <c r="Y22" i="11"/>
  <c r="A21" i="11"/>
  <c r="Y18" i="11"/>
  <c r="X18" i="11"/>
  <c r="W18" i="11"/>
  <c r="A17" i="11"/>
  <c r="Y14" i="11"/>
  <c r="A13" i="11"/>
  <c r="X6" i="11"/>
  <c r="W6" i="11"/>
  <c r="G44" i="44" l="1"/>
  <c r="G40" i="17"/>
  <c r="G51" i="9"/>
  <c r="G55" i="9"/>
  <c r="B7" i="38"/>
  <c r="E15" i="11"/>
  <c r="E52" i="38"/>
  <c r="C52" i="38"/>
  <c r="C15" i="11"/>
  <c r="I52" i="38"/>
  <c r="I15" i="11"/>
  <c r="Y15" i="11" s="1"/>
  <c r="F77" i="38"/>
  <c r="F114" i="38" s="1"/>
  <c r="D52" i="38"/>
  <c r="D15" i="11"/>
  <c r="B9" i="38"/>
  <c r="J95" i="37"/>
  <c r="G9" i="38"/>
  <c r="J100" i="37"/>
  <c r="F52" i="38"/>
  <c r="F15" i="11"/>
  <c r="J96" i="37"/>
  <c r="C9" i="38"/>
  <c r="J101" i="37"/>
  <c r="H9" i="38"/>
  <c r="B15" i="11"/>
  <c r="B52" i="38"/>
  <c r="E9" i="38"/>
  <c r="J98" i="37"/>
  <c r="J97" i="37"/>
  <c r="D9" i="38"/>
  <c r="G15" i="11"/>
  <c r="W15" i="11" s="1"/>
  <c r="D77" i="38"/>
  <c r="D114" i="38" s="1"/>
  <c r="G52" i="38"/>
  <c r="I9" i="38"/>
  <c r="J102" i="37"/>
  <c r="F9" i="38"/>
  <c r="J99" i="37"/>
  <c r="H52" i="38"/>
  <c r="H15" i="11"/>
  <c r="X15" i="11" s="1"/>
  <c r="E77" i="38"/>
  <c r="E114" i="38" s="1"/>
  <c r="B33" i="17"/>
  <c r="C13" i="37"/>
  <c r="D13" i="37" s="1"/>
  <c r="B69" i="44"/>
  <c r="J60" i="44"/>
  <c r="G69" i="44"/>
  <c r="J51" i="44"/>
  <c r="E198" i="39"/>
  <c r="E198" i="28"/>
  <c r="E198" i="23"/>
  <c r="E198" i="26"/>
  <c r="E198" i="22"/>
  <c r="E198" i="27"/>
  <c r="E198" i="32"/>
  <c r="N198" i="39" s="1"/>
  <c r="E198" i="21"/>
  <c r="E198" i="20"/>
  <c r="E198" i="33"/>
  <c r="W198" i="39" s="1"/>
  <c r="G49" i="9"/>
  <c r="C17" i="37"/>
  <c r="D17" i="37" s="1"/>
  <c r="C15" i="37"/>
  <c r="D15" i="37" s="1"/>
  <c r="C12" i="37"/>
  <c r="D12" i="37" s="1"/>
  <c r="F53" i="11"/>
  <c r="C53" i="11"/>
  <c r="B53" i="11"/>
  <c r="C5" i="37"/>
  <c r="D5" i="37" s="1"/>
  <c r="C16" i="37"/>
  <c r="D16" i="37" s="1"/>
  <c r="C18" i="37"/>
  <c r="D18" i="37" s="1"/>
  <c r="C19" i="37"/>
  <c r="D19" i="37" s="1"/>
  <c r="E16" i="37"/>
  <c r="E14" i="37"/>
  <c r="E19" i="37"/>
  <c r="E15" i="37"/>
  <c r="E12" i="37"/>
  <c r="E17" i="37"/>
  <c r="E20" i="37"/>
  <c r="E18" i="37"/>
  <c r="E13" i="37"/>
  <c r="C14" i="37"/>
  <c r="D14" i="37" s="1"/>
  <c r="D53" i="11"/>
  <c r="E53" i="11"/>
  <c r="E63" i="11" s="1"/>
  <c r="F13" i="9"/>
  <c r="D13" i="9"/>
  <c r="E13" i="9" s="1"/>
  <c r="F12" i="9"/>
  <c r="D12" i="9"/>
  <c r="E12" i="9" s="1"/>
  <c r="F14" i="9"/>
  <c r="D14" i="9"/>
  <c r="E14" i="9" s="1"/>
  <c r="F10" i="9"/>
  <c r="D10" i="9"/>
  <c r="E10" i="9" s="1"/>
  <c r="H219" i="19"/>
  <c r="I112" i="19"/>
  <c r="J112" i="19" s="1"/>
  <c r="I116" i="19"/>
  <c r="J116" i="19" s="1"/>
  <c r="I113" i="19"/>
  <c r="J113" i="19" s="1"/>
  <c r="I117" i="19"/>
  <c r="J117" i="19" s="1"/>
  <c r="I114" i="19"/>
  <c r="J114" i="19" s="1"/>
  <c r="I118" i="19"/>
  <c r="J118" i="19" s="1"/>
  <c r="I115" i="19"/>
  <c r="J115" i="19" s="1"/>
  <c r="I111" i="19"/>
  <c r="J111" i="19" s="1"/>
  <c r="I218" i="19"/>
  <c r="J218" i="19" s="1"/>
  <c r="AA27" i="11"/>
  <c r="W22" i="11"/>
  <c r="X22" i="11"/>
  <c r="I53" i="11"/>
  <c r="Y53" i="11" s="1"/>
  <c r="Y24" i="11"/>
  <c r="H53" i="11"/>
  <c r="X53" i="11" s="1"/>
  <c r="X24" i="11"/>
  <c r="Y32" i="11"/>
  <c r="Z32" i="11"/>
  <c r="W38" i="11"/>
  <c r="X38" i="11"/>
  <c r="W14" i="11"/>
  <c r="X14" i="11"/>
  <c r="X19" i="11"/>
  <c r="Y19" i="11"/>
  <c r="G53" i="11"/>
  <c r="W53" i="11" s="1"/>
  <c r="W24" i="11"/>
  <c r="AA32" i="11"/>
  <c r="K52" i="9"/>
  <c r="K53" i="9"/>
  <c r="G43" i="44" l="1"/>
  <c r="B44" i="44"/>
  <c r="B40" i="17"/>
  <c r="M37" i="38"/>
  <c r="D15" i="9"/>
  <c r="E15" i="9" s="1"/>
  <c r="O218" i="19"/>
  <c r="D57" i="38"/>
  <c r="D57" i="11" s="1"/>
  <c r="D9" i="11"/>
  <c r="H57" i="38"/>
  <c r="H57" i="11" s="1"/>
  <c r="X57" i="11" s="1"/>
  <c r="H9" i="11"/>
  <c r="X9" i="11" s="1"/>
  <c r="E72" i="38"/>
  <c r="F9" i="11"/>
  <c r="F57" i="38"/>
  <c r="F57" i="11" s="1"/>
  <c r="B57" i="38"/>
  <c r="B57" i="11" s="1"/>
  <c r="B9" i="11"/>
  <c r="E57" i="38"/>
  <c r="E57" i="11" s="1"/>
  <c r="E9" i="11"/>
  <c r="C57" i="38"/>
  <c r="C57" i="11" s="1"/>
  <c r="C9" i="11"/>
  <c r="F72" i="38"/>
  <c r="I57" i="38"/>
  <c r="I57" i="11" s="1"/>
  <c r="I9" i="11"/>
  <c r="Y9" i="11" s="1"/>
  <c r="G57" i="38"/>
  <c r="G57" i="11" s="1"/>
  <c r="W57" i="11" s="1"/>
  <c r="G9" i="11"/>
  <c r="W9" i="11" s="1"/>
  <c r="D72" i="38"/>
  <c r="J69" i="44"/>
  <c r="E199" i="39"/>
  <c r="E199" i="28"/>
  <c r="E199" i="23"/>
  <c r="E199" i="27"/>
  <c r="E199" i="26"/>
  <c r="E199" i="22"/>
  <c r="E199" i="32"/>
  <c r="N199" i="39" s="1"/>
  <c r="E199" i="33"/>
  <c r="W199" i="39" s="1"/>
  <c r="E199" i="21"/>
  <c r="E199" i="20"/>
  <c r="H52" i="11"/>
  <c r="X52" i="11" s="1"/>
  <c r="I219" i="19"/>
  <c r="J219" i="19" s="1"/>
  <c r="C218" i="19"/>
  <c r="D218" i="19" s="1"/>
  <c r="AA22" i="11"/>
  <c r="G52" i="11"/>
  <c r="C219" i="19"/>
  <c r="D219" i="19" s="1"/>
  <c r="D63" i="11"/>
  <c r="C63" i="11" s="1"/>
  <c r="B63" i="11" s="1"/>
  <c r="C52" i="11"/>
  <c r="B52" i="11" s="1"/>
  <c r="Z18" i="11"/>
  <c r="B43" i="44" l="1"/>
  <c r="B61" i="44" s="1"/>
  <c r="G34" i="17"/>
  <c r="D62" i="38"/>
  <c r="B14" i="41"/>
  <c r="M37" i="11"/>
  <c r="J99" i="38"/>
  <c r="M14" i="38"/>
  <c r="E62" i="38"/>
  <c r="F62" i="38"/>
  <c r="B62" i="38"/>
  <c r="X62" i="11"/>
  <c r="H62" i="38"/>
  <c r="I62" i="38"/>
  <c r="Q218" i="19"/>
  <c r="S218" i="19" s="1"/>
  <c r="D15" i="34" s="1"/>
  <c r="D16" i="9"/>
  <c r="E16" i="9" s="1"/>
  <c r="O219" i="19"/>
  <c r="C62" i="38"/>
  <c r="G62" i="38"/>
  <c r="E200" i="39"/>
  <c r="E200" i="27"/>
  <c r="E200" i="26"/>
  <c r="E200" i="22"/>
  <c r="E200" i="28"/>
  <c r="E200" i="23"/>
  <c r="E200" i="32"/>
  <c r="N200" i="39" s="1"/>
  <c r="E200" i="33"/>
  <c r="W200" i="39" s="1"/>
  <c r="E200" i="21"/>
  <c r="E200" i="20"/>
  <c r="F52" i="11"/>
  <c r="E52" i="11" s="1"/>
  <c r="D52" i="11" s="1"/>
  <c r="D62" i="11" s="1"/>
  <c r="W52" i="11"/>
  <c r="W62" i="11" s="1"/>
  <c r="C62" i="11"/>
  <c r="B62" i="11"/>
  <c r="G17" i="17" l="1"/>
  <c r="G35" i="17"/>
  <c r="B34" i="17"/>
  <c r="G54" i="44"/>
  <c r="J6" i="38"/>
  <c r="J6" i="11" s="1"/>
  <c r="J7" i="11" s="1"/>
  <c r="G70" i="44"/>
  <c r="B70" i="44"/>
  <c r="B62" i="44"/>
  <c r="B15" i="41"/>
  <c r="M14" i="11"/>
  <c r="J76" i="38"/>
  <c r="Q219" i="19"/>
  <c r="S219" i="19" s="1"/>
  <c r="D16" i="34" s="1"/>
  <c r="E201" i="39"/>
  <c r="E201" i="27"/>
  <c r="E201" i="26"/>
  <c r="E201" i="28"/>
  <c r="E201" i="23"/>
  <c r="E201" i="22"/>
  <c r="E201" i="32"/>
  <c r="N201" i="39" s="1"/>
  <c r="E201" i="20"/>
  <c r="E201" i="21"/>
  <c r="E201" i="33"/>
  <c r="W201" i="39" s="1"/>
  <c r="AA18" i="11"/>
  <c r="G69" i="38" l="1"/>
  <c r="E15" i="34"/>
  <c r="F15" i="34" s="1"/>
  <c r="D34" i="34"/>
  <c r="J7" i="38"/>
  <c r="G70" i="38" s="1"/>
  <c r="G55" i="44"/>
  <c r="K6" i="38"/>
  <c r="K7" i="38" s="1"/>
  <c r="H70" i="38" s="1"/>
  <c r="B24" i="41"/>
  <c r="B6" i="41" s="1"/>
  <c r="N37" i="38"/>
  <c r="G71" i="44"/>
  <c r="B71" i="44"/>
  <c r="B54" i="44"/>
  <c r="B63" i="44" s="1"/>
  <c r="B17" i="17"/>
  <c r="B35" i="17"/>
  <c r="N14" i="38"/>
  <c r="N14" i="11" s="1"/>
  <c r="G18" i="17"/>
  <c r="G36" i="17"/>
  <c r="B16" i="41"/>
  <c r="E202" i="39"/>
  <c r="E202" i="28"/>
  <c r="E202" i="23"/>
  <c r="E202" i="26"/>
  <c r="E202" i="27"/>
  <c r="E202" i="22"/>
  <c r="E202" i="32"/>
  <c r="N202" i="39" s="1"/>
  <c r="E202" i="20"/>
  <c r="E202" i="21"/>
  <c r="E202" i="33"/>
  <c r="W202" i="39" s="1"/>
  <c r="Y38" i="11"/>
  <c r="F63" i="11"/>
  <c r="Y57" i="11"/>
  <c r="J217" i="19"/>
  <c r="Y28" i="11"/>
  <c r="K76" i="38" l="1"/>
  <c r="E16" i="34"/>
  <c r="F16" i="34" s="1"/>
  <c r="B25" i="41"/>
  <c r="B7" i="41" s="1"/>
  <c r="O37" i="38"/>
  <c r="B72" i="44"/>
  <c r="B55" i="44"/>
  <c r="K6" i="11"/>
  <c r="K7" i="11" s="1"/>
  <c r="G19" i="17"/>
  <c r="G37" i="17"/>
  <c r="O14" i="38"/>
  <c r="O14" i="11" s="1"/>
  <c r="G56" i="44"/>
  <c r="K99" i="38"/>
  <c r="N37" i="11"/>
  <c r="H69" i="38"/>
  <c r="D35" i="34"/>
  <c r="B18" i="17"/>
  <c r="B36" i="17"/>
  <c r="G72" i="44"/>
  <c r="B17" i="41"/>
  <c r="E203" i="39"/>
  <c r="E203" i="28"/>
  <c r="E203" i="23"/>
  <c r="E203" i="27"/>
  <c r="E203" i="26"/>
  <c r="E203" i="22"/>
  <c r="E203" i="32"/>
  <c r="N203" i="39" s="1"/>
  <c r="E203" i="21"/>
  <c r="E203" i="33"/>
  <c r="W203" i="39" s="1"/>
  <c r="E203" i="20"/>
  <c r="G63" i="11"/>
  <c r="W58" i="11"/>
  <c r="W63" i="11" s="1"/>
  <c r="I7" i="11"/>
  <c r="Y6" i="11"/>
  <c r="I63" i="11"/>
  <c r="Y58" i="11"/>
  <c r="Y63" i="11" s="1"/>
  <c r="H63" i="11"/>
  <c r="X58" i="11"/>
  <c r="X63" i="11" s="1"/>
  <c r="I52" i="11"/>
  <c r="G74" i="44" l="1"/>
  <c r="L76" i="38"/>
  <c r="B28" i="41"/>
  <c r="B10" i="41" s="1"/>
  <c r="B37" i="17"/>
  <c r="B19" i="17"/>
  <c r="B56" i="44"/>
  <c r="B73" i="44"/>
  <c r="B26" i="41"/>
  <c r="B8" i="41" s="1"/>
  <c r="P37" i="38"/>
  <c r="G73" i="44"/>
  <c r="P14" i="38"/>
  <c r="M76" i="38" s="1"/>
  <c r="B18" i="41"/>
  <c r="R37" i="38"/>
  <c r="E204" i="39"/>
  <c r="E204" i="27"/>
  <c r="E204" i="22"/>
  <c r="E204" i="28"/>
  <c r="E204" i="23"/>
  <c r="E204" i="26"/>
  <c r="E204" i="32"/>
  <c r="N204" i="39" s="1"/>
  <c r="E204" i="20"/>
  <c r="E204" i="21"/>
  <c r="E204" i="33"/>
  <c r="W204" i="39" s="1"/>
  <c r="H7" i="11"/>
  <c r="Y7" i="11"/>
  <c r="I62" i="11"/>
  <c r="H62" i="11" s="1"/>
  <c r="G62" i="11" s="1"/>
  <c r="F62" i="11" s="1"/>
  <c r="E62" i="11" s="1"/>
  <c r="Y52" i="11"/>
  <c r="Y62" i="11" s="1"/>
  <c r="P14" i="11" l="1"/>
  <c r="B74" i="44"/>
  <c r="B27" i="41"/>
  <c r="B9" i="41" s="1"/>
  <c r="Q37" i="38"/>
  <c r="Q14" i="38"/>
  <c r="Q14" i="11" s="1"/>
  <c r="Z14" i="11" s="1"/>
  <c r="B19" i="41"/>
  <c r="E205" i="39"/>
  <c r="E205" i="27"/>
  <c r="E205" i="26"/>
  <c r="E205" i="28"/>
  <c r="E205" i="23"/>
  <c r="E205" i="22"/>
  <c r="E205" i="32"/>
  <c r="N205" i="39" s="1"/>
  <c r="E205" i="20"/>
  <c r="E205" i="33"/>
  <c r="W205" i="39" s="1"/>
  <c r="E205" i="21"/>
  <c r="G7" i="11"/>
  <c r="X7" i="11"/>
  <c r="N76" i="38" l="1"/>
  <c r="R14" i="38"/>
  <c r="R14" i="11" s="1"/>
  <c r="AA14" i="11" s="1"/>
  <c r="B43" i="41"/>
  <c r="B42" i="41"/>
  <c r="B45" i="41"/>
  <c r="B41" i="41"/>
  <c r="B44" i="41"/>
  <c r="B40" i="41"/>
  <c r="E206" i="39"/>
  <c r="E206" i="28"/>
  <c r="E206" i="23"/>
  <c r="E206" i="27"/>
  <c r="E206" i="26"/>
  <c r="E206" i="22"/>
  <c r="E206" i="32"/>
  <c r="N206" i="39" s="1"/>
  <c r="E206" i="33"/>
  <c r="W206" i="39" s="1"/>
  <c r="E206" i="21"/>
  <c r="E206" i="20"/>
  <c r="F7" i="11"/>
  <c r="E7" i="11" s="1"/>
  <c r="D7" i="11" s="1"/>
  <c r="C7" i="11" s="1"/>
  <c r="B7" i="11" s="1"/>
  <c r="W7" i="11"/>
  <c r="O76" i="38" l="1"/>
  <c r="I51" i="11"/>
  <c r="H51" i="11"/>
  <c r="C51" i="11"/>
  <c r="C61" i="11" s="1"/>
  <c r="B51" i="11"/>
  <c r="B61" i="11" s="1"/>
  <c r="F51" i="11"/>
  <c r="F61" i="11" s="1"/>
  <c r="E51" i="11"/>
  <c r="E61" i="11" s="1"/>
  <c r="D51" i="11"/>
  <c r="D61" i="11" s="1"/>
  <c r="G51" i="11"/>
  <c r="D7" i="9"/>
  <c r="E7" i="9" s="1"/>
  <c r="A39" i="9"/>
  <c r="I61" i="11" l="1"/>
  <c r="Y51" i="11"/>
  <c r="Y61" i="11" s="1"/>
  <c r="G61" i="11"/>
  <c r="W51" i="11"/>
  <c r="W61" i="11" s="1"/>
  <c r="H61" i="11"/>
  <c r="X51" i="11"/>
  <c r="X61" i="11" s="1"/>
  <c r="H78" i="44" l="1"/>
  <c r="H79" i="44" l="1"/>
  <c r="N44" i="9" l="1"/>
  <c r="H80" i="44" l="1"/>
  <c r="N62" i="9"/>
  <c r="N45" i="9"/>
  <c r="I213" i="19"/>
  <c r="J213" i="19" s="1"/>
  <c r="I216" i="19"/>
  <c r="J216" i="19" s="1"/>
  <c r="I210" i="19"/>
  <c r="J210" i="19" s="1"/>
  <c r="I214" i="19"/>
  <c r="J214" i="19" s="1"/>
  <c r="I212" i="19"/>
  <c r="J212" i="19" s="1"/>
  <c r="H81" i="44" l="1"/>
  <c r="N63" i="9"/>
  <c r="N46" i="9"/>
  <c r="O56" i="9"/>
  <c r="H82" i="44" l="1"/>
  <c r="N64" i="9"/>
  <c r="O57" i="9"/>
  <c r="G10" i="18" l="1"/>
  <c r="G33" i="18" s="1"/>
  <c r="G11" i="18" l="1"/>
  <c r="G34" i="18" s="1"/>
  <c r="E220" i="19" l="1"/>
  <c r="C220" i="19"/>
  <c r="D220" i="19" s="1"/>
  <c r="C17" i="34"/>
  <c r="L5" i="38" s="1"/>
  <c r="L5" i="11" l="1"/>
  <c r="I68" i="38"/>
  <c r="C36" i="34"/>
  <c r="B21" i="37"/>
  <c r="G5" i="45" s="1"/>
  <c r="G16" i="45" s="1"/>
  <c r="E21" i="37" l="1"/>
  <c r="C21" i="37"/>
  <c r="J68" i="38" l="1"/>
  <c r="D21" i="37"/>
  <c r="K68" i="38" l="1"/>
  <c r="K70" i="38"/>
  <c r="L68" i="38"/>
  <c r="L70" i="38" l="1"/>
  <c r="M68" i="38"/>
  <c r="N68" i="38" l="1"/>
  <c r="O68" i="38" l="1"/>
  <c r="H33" i="17" l="1"/>
  <c r="H40" i="17" l="1"/>
  <c r="H44" i="44"/>
  <c r="M47" i="11"/>
  <c r="I33" i="17"/>
  <c r="I40" i="17" l="1"/>
  <c r="I44" i="44"/>
  <c r="H43" i="44"/>
  <c r="K14" i="17"/>
  <c r="J50" i="37"/>
  <c r="J109" i="38"/>
  <c r="J33" i="17"/>
  <c r="D6" i="45" l="1"/>
  <c r="D16" i="45" s="1"/>
  <c r="U50" i="37"/>
  <c r="U106" i="37" s="1"/>
  <c r="H34" i="17"/>
  <c r="N71" i="9"/>
  <c r="N85" i="9" s="1"/>
  <c r="J40" i="17"/>
  <c r="J43" i="44" s="1"/>
  <c r="J44" i="44"/>
  <c r="I43" i="44"/>
  <c r="F22" i="37"/>
  <c r="M56" i="38"/>
  <c r="M56" i="11" s="1"/>
  <c r="G22" i="37" l="1"/>
  <c r="H22" i="37" s="1"/>
  <c r="H17" i="17"/>
  <c r="N72" i="9"/>
  <c r="N86" i="9" s="1"/>
  <c r="H35" i="17"/>
  <c r="I70" i="44"/>
  <c r="N47" i="38" s="1"/>
  <c r="I34" i="17"/>
  <c r="H54" i="44"/>
  <c r="J52" i="44"/>
  <c r="D14" i="30"/>
  <c r="H70" i="44"/>
  <c r="I22" i="37"/>
  <c r="J53" i="44" l="1"/>
  <c r="J61" i="44"/>
  <c r="K15" i="17"/>
  <c r="J34" i="17"/>
  <c r="H55" i="44"/>
  <c r="H64" i="44" s="1"/>
  <c r="N47" i="11"/>
  <c r="K109" i="38"/>
  <c r="H18" i="17"/>
  <c r="H36" i="17"/>
  <c r="N73" i="9"/>
  <c r="N87" i="9" s="1"/>
  <c r="I17" i="17"/>
  <c r="I35" i="17"/>
  <c r="J70" i="44"/>
  <c r="H71" i="44"/>
  <c r="I54" i="44"/>
  <c r="I71" i="44"/>
  <c r="O47" i="38" s="1"/>
  <c r="D15" i="30"/>
  <c r="K16" i="17" l="1"/>
  <c r="J35" i="17"/>
  <c r="J71" i="44"/>
  <c r="I18" i="17"/>
  <c r="J18" i="17" s="1"/>
  <c r="I36" i="17"/>
  <c r="H19" i="17"/>
  <c r="H37" i="17"/>
  <c r="N74" i="9"/>
  <c r="N88" i="9" s="1"/>
  <c r="H56" i="44"/>
  <c r="H65" i="44" s="1"/>
  <c r="I55" i="44"/>
  <c r="I64" i="44" s="1"/>
  <c r="I72" i="44"/>
  <c r="P47" i="38" s="1"/>
  <c r="N42" i="38"/>
  <c r="J51" i="37"/>
  <c r="O47" i="11"/>
  <c r="L109" i="38"/>
  <c r="H72" i="44"/>
  <c r="J62" i="44"/>
  <c r="J17" i="17"/>
  <c r="J54" i="44"/>
  <c r="D7" i="45" l="1"/>
  <c r="D17" i="45" s="1"/>
  <c r="U51" i="37"/>
  <c r="D20" i="30"/>
  <c r="K18" i="17"/>
  <c r="J37" i="17"/>
  <c r="K17" i="17"/>
  <c r="J36" i="17"/>
  <c r="P47" i="11"/>
  <c r="M109" i="38"/>
  <c r="H73" i="44"/>
  <c r="N75" i="9"/>
  <c r="N89" i="9" s="1"/>
  <c r="O42" i="38"/>
  <c r="J52" i="37"/>
  <c r="I56" i="44"/>
  <c r="I73" i="44"/>
  <c r="Q47" i="38" s="1"/>
  <c r="J72" i="44"/>
  <c r="J63" i="44"/>
  <c r="F23" i="37"/>
  <c r="N56" i="38"/>
  <c r="N56" i="11" s="1"/>
  <c r="J55" i="44"/>
  <c r="I19" i="17"/>
  <c r="J19" i="17" s="1"/>
  <c r="K19" i="17" s="1"/>
  <c r="I37" i="17"/>
  <c r="D8" i="45" l="1"/>
  <c r="D18" i="45" s="1"/>
  <c r="U52" i="37"/>
  <c r="I65" i="44"/>
  <c r="I74" i="44" s="1"/>
  <c r="G7" i="37"/>
  <c r="H7" i="37" s="1"/>
  <c r="J56" i="44"/>
  <c r="H74" i="44"/>
  <c r="R47" i="38"/>
  <c r="I23" i="37"/>
  <c r="G23" i="37"/>
  <c r="H23" i="37" s="1"/>
  <c r="F24" i="37"/>
  <c r="G8" i="37" s="1"/>
  <c r="H8" i="37" s="1"/>
  <c r="O56" i="38"/>
  <c r="O56" i="11" s="1"/>
  <c r="J64" i="44"/>
  <c r="Q47" i="11"/>
  <c r="Z47" i="11" s="1"/>
  <c r="N109" i="38"/>
  <c r="P42" i="38"/>
  <c r="J53" i="37"/>
  <c r="J73" i="44"/>
  <c r="D9" i="45" l="1"/>
  <c r="D19" i="45" s="1"/>
  <c r="U53" i="37"/>
  <c r="J65" i="44"/>
  <c r="R47" i="11"/>
  <c r="AA47" i="11" s="1"/>
  <c r="O109" i="38"/>
  <c r="I24" i="37"/>
  <c r="G24" i="37"/>
  <c r="H24" i="37" s="1"/>
  <c r="F25" i="37"/>
  <c r="G9" i="37" s="1"/>
  <c r="H9" i="37" s="1"/>
  <c r="P56" i="38"/>
  <c r="P56" i="11" s="1"/>
  <c r="M104" i="38"/>
  <c r="P42" i="11"/>
  <c r="Q42" i="38"/>
  <c r="J54" i="37"/>
  <c r="J74" i="44"/>
  <c r="H17" i="9"/>
  <c r="C220" i="20"/>
  <c r="D220" i="20" s="1"/>
  <c r="E220" i="20"/>
  <c r="D10" i="45" l="1"/>
  <c r="D20" i="45" s="1"/>
  <c r="U54" i="37"/>
  <c r="R42" i="38"/>
  <c r="J55" i="37"/>
  <c r="F26" i="37"/>
  <c r="Q56" i="38"/>
  <c r="Q56" i="11" s="1"/>
  <c r="Z56" i="11" s="1"/>
  <c r="N104" i="38"/>
  <c r="Q42" i="11"/>
  <c r="Z42" i="11" s="1"/>
  <c r="G25" i="37"/>
  <c r="H25" i="37" s="1"/>
  <c r="I25" i="37"/>
  <c r="H40" i="9"/>
  <c r="H58" i="9" s="1"/>
  <c r="B77" i="37"/>
  <c r="B105" i="37" s="1"/>
  <c r="D11" i="45" l="1"/>
  <c r="D21" i="45" s="1"/>
  <c r="U55" i="37"/>
  <c r="I26" i="37"/>
  <c r="G26" i="37"/>
  <c r="H26" i="37" s="1"/>
  <c r="F27" i="37"/>
  <c r="R56" i="38"/>
  <c r="R56" i="11" s="1"/>
  <c r="AA56" i="11" s="1"/>
  <c r="O104" i="38"/>
  <c r="R42" i="11"/>
  <c r="AA42" i="11" s="1"/>
  <c r="L15" i="38"/>
  <c r="I27" i="37" l="1"/>
  <c r="G27" i="37"/>
  <c r="H27" i="37" s="1"/>
  <c r="I77" i="38"/>
  <c r="L15" i="11"/>
  <c r="C220" i="21" l="1"/>
  <c r="D220" i="21"/>
  <c r="E220" i="21"/>
  <c r="I17" i="9"/>
  <c r="I40" i="9" l="1"/>
  <c r="I58" i="9" s="1"/>
  <c r="C77" i="37"/>
  <c r="C105" i="37" s="1"/>
  <c r="L19" i="38" l="1"/>
  <c r="I81" i="38" s="1"/>
  <c r="L19" i="11" l="1"/>
  <c r="C220" i="22" l="1"/>
  <c r="D220" i="22"/>
  <c r="E220" i="22"/>
  <c r="J17" i="9"/>
  <c r="J40" i="9" s="1"/>
  <c r="B35" i="18" l="1"/>
  <c r="J58" i="9"/>
  <c r="D77" i="37"/>
  <c r="D105" i="37" l="1"/>
  <c r="B170" i="37"/>
  <c r="B190" i="37" s="1"/>
  <c r="L23" i="38"/>
  <c r="I85" i="38" l="1"/>
  <c r="L23" i="11"/>
  <c r="C220" i="26" l="1"/>
  <c r="D220" i="26" s="1"/>
  <c r="E220" i="26"/>
  <c r="L17" i="9"/>
  <c r="F77" i="37" l="1"/>
  <c r="D35" i="18"/>
  <c r="L40" i="9"/>
  <c r="F105" i="37" l="1"/>
  <c r="D170" i="37"/>
  <c r="D190" i="37" s="1"/>
  <c r="L58" i="9"/>
  <c r="L33" i="38"/>
  <c r="I95" i="38" l="1"/>
  <c r="L33" i="11"/>
  <c r="C220" i="23" l="1"/>
  <c r="D220" i="23"/>
  <c r="E220" i="23"/>
  <c r="K17" i="9"/>
  <c r="C35" i="18" s="1"/>
  <c r="E77" i="37" l="1"/>
  <c r="K40" i="9"/>
  <c r="E105" i="37" l="1"/>
  <c r="C170" i="37"/>
  <c r="C190" i="37" s="1"/>
  <c r="K58" i="9"/>
  <c r="L28" i="38"/>
  <c r="I90" i="38" l="1"/>
  <c r="L28" i="11"/>
  <c r="M17" i="9" l="1"/>
  <c r="M40" i="9" s="1"/>
  <c r="C220" i="27"/>
  <c r="D220" i="27"/>
  <c r="E220" i="27"/>
  <c r="H35" i="18" l="1"/>
  <c r="E35" i="18"/>
  <c r="M58" i="9"/>
  <c r="G35" i="18"/>
  <c r="G105" i="37"/>
  <c r="L38" i="38" l="1"/>
  <c r="E190" i="37"/>
  <c r="G170" i="37"/>
  <c r="G190" i="37" s="1"/>
  <c r="I100" i="38" l="1"/>
  <c r="L38" i="11"/>
  <c r="O17" i="9" l="1"/>
  <c r="P17" i="9" s="1"/>
  <c r="P40" i="9" s="1"/>
  <c r="C220" i="28"/>
  <c r="D220" i="28"/>
  <c r="I77" i="37" l="1"/>
  <c r="I105" i="37" s="1"/>
  <c r="G17" i="9"/>
  <c r="O40" i="9"/>
  <c r="O58" i="9" l="1"/>
  <c r="F17" i="9"/>
  <c r="G40" i="9"/>
  <c r="L48" i="38"/>
  <c r="J77" i="37"/>
  <c r="J5" i="45" s="1"/>
  <c r="G58" i="9" l="1"/>
  <c r="L52" i="38"/>
  <c r="I110" i="38"/>
  <c r="I114" i="38" s="1"/>
  <c r="L48" i="11"/>
  <c r="L52" i="11" s="1"/>
  <c r="J105" i="37"/>
  <c r="L9" i="38"/>
  <c r="I72" i="38" l="1"/>
  <c r="L9" i="11"/>
  <c r="L57" i="38"/>
  <c r="L57" i="11" s="1"/>
  <c r="L62" i="11" s="1"/>
  <c r="L62" i="38" l="1"/>
  <c r="C220" i="32" l="1"/>
  <c r="D220" i="32" s="1"/>
  <c r="E220" i="32"/>
  <c r="C220" i="33"/>
  <c r="D220" i="33" s="1"/>
  <c r="E220" i="33"/>
  <c r="P51" i="38" l="1"/>
  <c r="P61" i="38" s="1"/>
  <c r="Q51" i="38"/>
  <c r="Q61" i="38" s="1"/>
  <c r="R51" i="38"/>
  <c r="R61" i="38" s="1"/>
  <c r="L99" i="38"/>
  <c r="M99" i="38"/>
  <c r="M113" i="38" s="1"/>
  <c r="N99" i="38"/>
  <c r="N113" i="38" s="1"/>
  <c r="O99" i="38"/>
  <c r="O113" i="38" s="1"/>
  <c r="O37" i="11"/>
  <c r="P37" i="11"/>
  <c r="P51" i="11" s="1"/>
  <c r="P61" i="11" s="1"/>
  <c r="Q37" i="11"/>
  <c r="R37" i="11"/>
  <c r="AA37" i="11" s="1"/>
  <c r="R51" i="11" l="1"/>
  <c r="AA51" i="11" s="1"/>
  <c r="AA61" i="11" s="1"/>
  <c r="Q51" i="11"/>
  <c r="Z37" i="11"/>
  <c r="R61" i="11" l="1"/>
  <c r="Z51" i="11"/>
  <c r="Z61" i="11" s="1"/>
  <c r="Q61" i="11"/>
  <c r="J51" i="38"/>
  <c r="J61" i="38" s="1"/>
  <c r="K51" i="38"/>
  <c r="K61" i="38" s="1"/>
  <c r="L51" i="38"/>
  <c r="L61" i="38" s="1"/>
  <c r="M51" i="38"/>
  <c r="M61" i="38" s="1"/>
  <c r="N51" i="38"/>
  <c r="N61" i="38" s="1"/>
  <c r="O51" i="38"/>
  <c r="O61" i="38" s="1"/>
  <c r="G104" i="38"/>
  <c r="G113" i="38" s="1"/>
  <c r="H104" i="38"/>
  <c r="H113" i="38" s="1"/>
  <c r="I104" i="38"/>
  <c r="I113" i="38" s="1"/>
  <c r="J104" i="38"/>
  <c r="J113" i="38" s="1"/>
  <c r="K104" i="38"/>
  <c r="K113" i="38" s="1"/>
  <c r="L104" i="38"/>
  <c r="L113" i="38" s="1"/>
  <c r="J42" i="11"/>
  <c r="J51" i="11" s="1"/>
  <c r="J61" i="11" s="1"/>
  <c r="K42" i="11"/>
  <c r="K51" i="11" s="1"/>
  <c r="K61" i="11" s="1"/>
  <c r="L42" i="11"/>
  <c r="L51" i="11" s="1"/>
  <c r="L61" i="11" s="1"/>
  <c r="M42" i="11"/>
  <c r="M51" i="11" s="1"/>
  <c r="M61" i="11" s="1"/>
  <c r="N42" i="11"/>
  <c r="N51" i="11" s="1"/>
  <c r="N61" i="11" s="1"/>
  <c r="O42" i="11"/>
  <c r="O51" i="11" s="1"/>
  <c r="O61" i="11" s="1"/>
  <c r="H18" i="9" l="1"/>
  <c r="I18" i="9"/>
  <c r="J18" i="9"/>
  <c r="L18" i="9"/>
  <c r="K18" i="9"/>
  <c r="M18" i="9"/>
  <c r="J41" i="9" l="1"/>
  <c r="J59" i="9" s="1"/>
  <c r="D78" i="37"/>
  <c r="H36" i="18"/>
  <c r="B36" i="18"/>
  <c r="B43" i="18" s="1"/>
  <c r="B197" i="37" s="1"/>
  <c r="L41" i="9"/>
  <c r="L59" i="9" s="1"/>
  <c r="F78" i="37"/>
  <c r="D36" i="18"/>
  <c r="D43" i="18" s="1"/>
  <c r="D197" i="37" s="1"/>
  <c r="I41" i="9"/>
  <c r="I59" i="9" s="1"/>
  <c r="C78" i="37"/>
  <c r="C106" i="37" s="1"/>
  <c r="C14" i="41"/>
  <c r="E198" i="37"/>
  <c r="E36" i="18"/>
  <c r="K41" i="9"/>
  <c r="K59" i="9" s="1"/>
  <c r="E78" i="37"/>
  <c r="C36" i="18"/>
  <c r="C43" i="18" s="1"/>
  <c r="C197" i="37" s="1"/>
  <c r="H41" i="9"/>
  <c r="H59" i="9" s="1"/>
  <c r="B78" i="37"/>
  <c r="F78" i="44"/>
  <c r="M41" i="9"/>
  <c r="M59" i="9" s="1"/>
  <c r="O18" i="9"/>
  <c r="F106" i="37" l="1"/>
  <c r="D171" i="37"/>
  <c r="D191" i="37" s="1"/>
  <c r="D198" i="37" s="1"/>
  <c r="D106" i="37"/>
  <c r="B171" i="37"/>
  <c r="E106" i="37"/>
  <c r="C171" i="37"/>
  <c r="C191" i="37" s="1"/>
  <c r="C198" i="37" s="1"/>
  <c r="B106" i="37"/>
  <c r="D34" i="41"/>
  <c r="C5" i="41"/>
  <c r="E14" i="41"/>
  <c r="C15" i="41"/>
  <c r="O41" i="9"/>
  <c r="O59" i="9" s="1"/>
  <c r="I78" i="37"/>
  <c r="I106" i="37" s="1"/>
  <c r="E197" i="37"/>
  <c r="L71" i="9"/>
  <c r="L85" i="9" s="1"/>
  <c r="F79" i="44"/>
  <c r="P18" i="9"/>
  <c r="P41" i="9" s="1"/>
  <c r="G18" i="9"/>
  <c r="G171" i="37" l="1"/>
  <c r="G191" i="37" s="1"/>
  <c r="G198" i="37" s="1"/>
  <c r="B191" i="37"/>
  <c r="B198" i="37" s="1"/>
  <c r="I78" i="44"/>
  <c r="E79" i="44"/>
  <c r="E78" i="44"/>
  <c r="E5" i="41"/>
  <c r="C24" i="41"/>
  <c r="G78" i="44"/>
  <c r="C16" i="41"/>
  <c r="D15" i="41"/>
  <c r="E34" i="41"/>
  <c r="E35" i="41" s="1"/>
  <c r="E36" i="41" s="1"/>
  <c r="E37" i="41" s="1"/>
  <c r="E38" i="41" s="1"/>
  <c r="E39" i="41" s="1"/>
  <c r="E40" i="41" s="1"/>
  <c r="E41" i="41" s="1"/>
  <c r="E42" i="41" s="1"/>
  <c r="E43" i="41" s="1"/>
  <c r="E44" i="41" s="1"/>
  <c r="E45" i="41" s="1"/>
  <c r="E48" i="41" s="1"/>
  <c r="E49" i="41" s="1"/>
  <c r="E50" i="41" s="1"/>
  <c r="E51" i="41" s="1"/>
  <c r="E52" i="41" s="1"/>
  <c r="E53" i="41" s="1"/>
  <c r="E54" i="41" s="1"/>
  <c r="E55" i="41" s="1"/>
  <c r="E56" i="41" s="1"/>
  <c r="E57" i="41" s="1"/>
  <c r="E58" i="41" s="1"/>
  <c r="E59" i="41" s="1"/>
  <c r="E62" i="41" s="1"/>
  <c r="E63" i="41" s="1"/>
  <c r="E64" i="41" s="1"/>
  <c r="E65" i="41" s="1"/>
  <c r="E66" i="41" s="1"/>
  <c r="E67" i="41" s="1"/>
  <c r="E68" i="41" s="1"/>
  <c r="E69" i="41" s="1"/>
  <c r="E70" i="41" s="1"/>
  <c r="E71" i="41" s="1"/>
  <c r="E72" i="41" s="1"/>
  <c r="E73" i="41" s="1"/>
  <c r="D35" i="41"/>
  <c r="K71" i="9"/>
  <c r="K85" i="9" s="1"/>
  <c r="M71" i="9"/>
  <c r="M85" i="9" s="1"/>
  <c r="F18" i="9"/>
  <c r="G41" i="9"/>
  <c r="G59" i="9" s="1"/>
  <c r="I79" i="44"/>
  <c r="O71" i="9"/>
  <c r="O85" i="9" s="1"/>
  <c r="L72" i="9"/>
  <c r="L86" i="9" s="1"/>
  <c r="L44" i="9"/>
  <c r="K44" i="9"/>
  <c r="Q18" i="9"/>
  <c r="E80" i="44" l="1"/>
  <c r="K62" i="9"/>
  <c r="F80" i="44"/>
  <c r="L62" i="9"/>
  <c r="F34" i="41"/>
  <c r="D24" i="41"/>
  <c r="D6" i="41" s="1"/>
  <c r="C6" i="41"/>
  <c r="K72" i="9"/>
  <c r="K86" i="9" s="1"/>
  <c r="G66" i="9"/>
  <c r="C25" i="41"/>
  <c r="G79" i="44"/>
  <c r="F35" i="41"/>
  <c r="D36" i="41"/>
  <c r="C17" i="41"/>
  <c r="D16" i="41"/>
  <c r="O44" i="9"/>
  <c r="O72" i="9"/>
  <c r="O86" i="9" s="1"/>
  <c r="L45" i="9"/>
  <c r="L73" i="9"/>
  <c r="L87" i="9" s="1"/>
  <c r="M44" i="9"/>
  <c r="M62" i="9" s="1"/>
  <c r="M72" i="9"/>
  <c r="M86" i="9" s="1"/>
  <c r="K73" i="9"/>
  <c r="K87" i="9" s="1"/>
  <c r="K45" i="9"/>
  <c r="I80" i="44" l="1"/>
  <c r="O62" i="9"/>
  <c r="E81" i="44"/>
  <c r="K63" i="9"/>
  <c r="F81" i="44"/>
  <c r="L63" i="9"/>
  <c r="C7" i="41"/>
  <c r="D25" i="41"/>
  <c r="D7" i="41" s="1"/>
  <c r="F36" i="41"/>
  <c r="D37" i="41"/>
  <c r="C26" i="41"/>
  <c r="D26" i="41" s="1"/>
  <c r="G80" i="44"/>
  <c r="G106" i="37"/>
  <c r="J78" i="37"/>
  <c r="D17" i="41"/>
  <c r="C18" i="41"/>
  <c r="K46" i="9"/>
  <c r="K64" i="9" s="1"/>
  <c r="K74" i="9"/>
  <c r="K88" i="9" s="1"/>
  <c r="L46" i="9"/>
  <c r="L64" i="9" s="1"/>
  <c r="L74" i="9"/>
  <c r="L88" i="9" s="1"/>
  <c r="M45" i="9"/>
  <c r="M63" i="9" s="1"/>
  <c r="M73" i="9"/>
  <c r="M87" i="9" s="1"/>
  <c r="O73" i="9"/>
  <c r="O87" i="9" s="1"/>
  <c r="O45" i="9"/>
  <c r="J106" i="37" l="1"/>
  <c r="J6" i="45"/>
  <c r="J16" i="45" s="1"/>
  <c r="I81" i="44"/>
  <c r="O63" i="9"/>
  <c r="C8" i="41"/>
  <c r="C27" i="41"/>
  <c r="C9" i="41" s="1"/>
  <c r="G81" i="44"/>
  <c r="L75" i="9"/>
  <c r="L89" i="9" s="1"/>
  <c r="F82" i="44"/>
  <c r="F37" i="41"/>
  <c r="D38" i="41"/>
  <c r="K75" i="9"/>
  <c r="K89" i="9" s="1"/>
  <c r="E82" i="44"/>
  <c r="D18" i="41"/>
  <c r="C19" i="41"/>
  <c r="D8" i="41"/>
  <c r="O74" i="9"/>
  <c r="O88" i="9" s="1"/>
  <c r="O46" i="9"/>
  <c r="O64" i="9" s="1"/>
  <c r="M74" i="9"/>
  <c r="M88" i="9" s="1"/>
  <c r="M46" i="9"/>
  <c r="G82" i="44" l="1"/>
  <c r="M64" i="9"/>
  <c r="D27" i="41"/>
  <c r="D9" i="41" s="1"/>
  <c r="D19" i="41"/>
  <c r="F38" i="41"/>
  <c r="D39" i="41"/>
  <c r="O75" i="9"/>
  <c r="O89" i="9" s="1"/>
  <c r="I82" i="44"/>
  <c r="M75" i="9"/>
  <c r="M89" i="9" s="1"/>
  <c r="C28" i="41"/>
  <c r="G13" i="18"/>
  <c r="G36" i="18" s="1"/>
  <c r="G43" i="18" s="1"/>
  <c r="G197" i="37" s="1"/>
  <c r="F39" i="41" l="1"/>
  <c r="D40" i="41"/>
  <c r="C10" i="41"/>
  <c r="D28" i="41"/>
  <c r="M48" i="38"/>
  <c r="M19" i="38"/>
  <c r="D41" i="41" l="1"/>
  <c r="F40" i="41"/>
  <c r="D10" i="41"/>
  <c r="J81" i="38"/>
  <c r="M19" i="11"/>
  <c r="M33" i="38"/>
  <c r="M23" i="38"/>
  <c r="M28" i="38"/>
  <c r="J110" i="38"/>
  <c r="M48" i="11"/>
  <c r="M43" i="38"/>
  <c r="M38" i="38"/>
  <c r="D42" i="41" l="1"/>
  <c r="F41" i="41"/>
  <c r="J95" i="38"/>
  <c r="M33" i="11"/>
  <c r="J100" i="38"/>
  <c r="M38" i="11"/>
  <c r="J85" i="38"/>
  <c r="M23" i="11"/>
  <c r="J90" i="38"/>
  <c r="M28" i="11"/>
  <c r="J105" i="38"/>
  <c r="M43" i="11"/>
  <c r="D43" i="41" l="1"/>
  <c r="F42" i="41"/>
  <c r="M15" i="38"/>
  <c r="M9" i="38"/>
  <c r="D44" i="41" l="1"/>
  <c r="F43" i="41"/>
  <c r="M58" i="38"/>
  <c r="M58" i="11" s="1"/>
  <c r="M10" i="11"/>
  <c r="M57" i="38"/>
  <c r="M57" i="11" s="1"/>
  <c r="J72" i="38"/>
  <c r="M9" i="11"/>
  <c r="M52" i="38"/>
  <c r="J77" i="38"/>
  <c r="J114" i="38" s="1"/>
  <c r="M15" i="11"/>
  <c r="M52" i="11" s="1"/>
  <c r="D135" i="32"/>
  <c r="H135" i="32" s="1"/>
  <c r="Q135" i="39" s="1"/>
  <c r="D136" i="32"/>
  <c r="M136" i="39" s="1"/>
  <c r="D137" i="32"/>
  <c r="M137" i="39" s="1"/>
  <c r="D138" i="32"/>
  <c r="M138" i="39" s="1"/>
  <c r="D139" i="32"/>
  <c r="H139" i="32" s="1"/>
  <c r="I139" i="32" s="1"/>
  <c r="J139" i="32" s="1"/>
  <c r="D140" i="32"/>
  <c r="D141" i="32"/>
  <c r="M141" i="39" s="1"/>
  <c r="D142" i="32"/>
  <c r="M142" i="39" s="1"/>
  <c r="D143" i="32"/>
  <c r="H143" i="32" s="1"/>
  <c r="I143" i="32" s="1"/>
  <c r="J143" i="32" s="1"/>
  <c r="D144" i="32"/>
  <c r="D145" i="32"/>
  <c r="M145" i="39" s="1"/>
  <c r="D146" i="32"/>
  <c r="M146" i="39" s="1"/>
  <c r="D135" i="33"/>
  <c r="H135" i="33" s="1"/>
  <c r="Z135" i="39" s="1"/>
  <c r="D136" i="33"/>
  <c r="V136" i="39" s="1"/>
  <c r="D137" i="33"/>
  <c r="V137" i="39" s="1"/>
  <c r="D138" i="33"/>
  <c r="H138" i="33" s="1"/>
  <c r="D139" i="33"/>
  <c r="H139" i="33" s="1"/>
  <c r="I139" i="33" s="1"/>
  <c r="J139" i="33" s="1"/>
  <c r="D140" i="33"/>
  <c r="H140" i="33" s="1"/>
  <c r="I140" i="33" s="1"/>
  <c r="J140" i="33" s="1"/>
  <c r="D141" i="33"/>
  <c r="H141" i="33" s="1"/>
  <c r="I141" i="33" s="1"/>
  <c r="J141" i="33" s="1"/>
  <c r="D142" i="33"/>
  <c r="V142" i="39" s="1"/>
  <c r="D143" i="33"/>
  <c r="H143" i="33" s="1"/>
  <c r="I143" i="33" s="1"/>
  <c r="J143" i="33" s="1"/>
  <c r="D144" i="33"/>
  <c r="H144" i="33" s="1"/>
  <c r="I144" i="33" s="1"/>
  <c r="J144" i="33" s="1"/>
  <c r="D145" i="33"/>
  <c r="H145" i="33" s="1"/>
  <c r="I145" i="33" s="1"/>
  <c r="J145" i="33" s="1"/>
  <c r="D146" i="33"/>
  <c r="H146" i="33" s="1"/>
  <c r="I146" i="33" s="1"/>
  <c r="J146" i="33" s="1"/>
  <c r="Z151" i="39"/>
  <c r="D135" i="39"/>
  <c r="M135" i="39"/>
  <c r="V135" i="39"/>
  <c r="D136" i="39"/>
  <c r="D137" i="39"/>
  <c r="D138" i="39"/>
  <c r="D139" i="39"/>
  <c r="M139" i="39"/>
  <c r="D140" i="39"/>
  <c r="M140" i="39"/>
  <c r="V140" i="39"/>
  <c r="D141" i="39"/>
  <c r="D142" i="39"/>
  <c r="D143" i="39"/>
  <c r="M143" i="39"/>
  <c r="D144" i="39"/>
  <c r="M144" i="39"/>
  <c r="V144" i="39"/>
  <c r="D145" i="39"/>
  <c r="D146" i="39"/>
  <c r="V146" i="39"/>
  <c r="D135" i="21"/>
  <c r="I135" i="21" s="1"/>
  <c r="D136" i="21"/>
  <c r="I136" i="21" s="1"/>
  <c r="D137" i="21"/>
  <c r="I137" i="21" s="1"/>
  <c r="D138" i="21"/>
  <c r="I138" i="21" s="1"/>
  <c r="D139" i="21"/>
  <c r="I139" i="21" s="1"/>
  <c r="D140" i="21"/>
  <c r="I140" i="21" s="1"/>
  <c r="D141" i="21"/>
  <c r="I141" i="21" s="1"/>
  <c r="D142" i="21"/>
  <c r="I142" i="21" s="1"/>
  <c r="D143" i="21"/>
  <c r="I143" i="21" s="1"/>
  <c r="D144" i="21"/>
  <c r="I144" i="21" s="1"/>
  <c r="D145" i="21"/>
  <c r="I145" i="21" s="1"/>
  <c r="D146" i="21"/>
  <c r="I146" i="21" s="1"/>
  <c r="D135" i="22"/>
  <c r="I135" i="22" s="1"/>
  <c r="D136" i="22"/>
  <c r="I136" i="22" s="1"/>
  <c r="D137" i="22"/>
  <c r="I137" i="22" s="1"/>
  <c r="D138" i="22"/>
  <c r="I138" i="22" s="1"/>
  <c r="D139" i="22"/>
  <c r="I139" i="22" s="1"/>
  <c r="D140" i="22"/>
  <c r="I140" i="22" s="1"/>
  <c r="D141" i="22"/>
  <c r="I141" i="22" s="1"/>
  <c r="D142" i="22"/>
  <c r="I142" i="22" s="1"/>
  <c r="D143" i="22"/>
  <c r="I143" i="22" s="1"/>
  <c r="D144" i="22"/>
  <c r="I144" i="22" s="1"/>
  <c r="D145" i="22"/>
  <c r="I145" i="22" s="1"/>
  <c r="D146" i="22"/>
  <c r="I146" i="22" s="1"/>
  <c r="D135" i="26"/>
  <c r="I135" i="26" s="1"/>
  <c r="D136" i="26"/>
  <c r="I136" i="26" s="1"/>
  <c r="D137" i="26"/>
  <c r="I137" i="26" s="1"/>
  <c r="D138" i="26"/>
  <c r="I138" i="26" s="1"/>
  <c r="D139" i="26"/>
  <c r="I139" i="26" s="1"/>
  <c r="D140" i="26"/>
  <c r="I140" i="26" s="1"/>
  <c r="D141" i="26"/>
  <c r="I141" i="26" s="1"/>
  <c r="D142" i="26"/>
  <c r="I142" i="26" s="1"/>
  <c r="D143" i="26"/>
  <c r="I143" i="26" s="1"/>
  <c r="D144" i="26"/>
  <c r="I144" i="26" s="1"/>
  <c r="D145" i="26"/>
  <c r="I145" i="26" s="1"/>
  <c r="D146" i="26"/>
  <c r="I146" i="26" s="1"/>
  <c r="D135" i="23"/>
  <c r="I135" i="23" s="1"/>
  <c r="D136" i="23"/>
  <c r="I136" i="23" s="1"/>
  <c r="D137" i="23"/>
  <c r="I137" i="23" s="1"/>
  <c r="D138" i="23"/>
  <c r="I138" i="23" s="1"/>
  <c r="D139" i="23"/>
  <c r="I139" i="23" s="1"/>
  <c r="D140" i="23"/>
  <c r="I140" i="23" s="1"/>
  <c r="D141" i="23"/>
  <c r="I141" i="23" s="1"/>
  <c r="D142" i="23"/>
  <c r="I142" i="23" s="1"/>
  <c r="D143" i="23"/>
  <c r="I143" i="23" s="1"/>
  <c r="D144" i="23"/>
  <c r="I144" i="23" s="1"/>
  <c r="D145" i="23"/>
  <c r="I145" i="23" s="1"/>
  <c r="D146" i="23"/>
  <c r="I146" i="23" s="1"/>
  <c r="H135" i="39"/>
  <c r="H136" i="19"/>
  <c r="H136" i="39" s="1"/>
  <c r="H137" i="19"/>
  <c r="H137" i="39" s="1"/>
  <c r="H138" i="19"/>
  <c r="H138" i="39" s="1"/>
  <c r="H139" i="19"/>
  <c r="H139" i="39" s="1"/>
  <c r="H140" i="19"/>
  <c r="H140" i="39" s="1"/>
  <c r="H141" i="19"/>
  <c r="H141" i="39" s="1"/>
  <c r="H142" i="19"/>
  <c r="H142" i="39" s="1"/>
  <c r="H143" i="19"/>
  <c r="H143" i="39" s="1"/>
  <c r="H144" i="19"/>
  <c r="H144" i="39" s="1"/>
  <c r="H145" i="19"/>
  <c r="H145" i="39" s="1"/>
  <c r="H146" i="19"/>
  <c r="H146" i="39" s="1"/>
  <c r="D135" i="20"/>
  <c r="I135" i="20" s="1"/>
  <c r="D136" i="20"/>
  <c r="I136" i="20" s="1"/>
  <c r="D137" i="20"/>
  <c r="I137" i="20" s="1"/>
  <c r="D138" i="20"/>
  <c r="I138" i="20" s="1"/>
  <c r="D139" i="20"/>
  <c r="I139" i="20" s="1"/>
  <c r="D140" i="20"/>
  <c r="I140" i="20" s="1"/>
  <c r="D141" i="20"/>
  <c r="I141" i="20" s="1"/>
  <c r="D142" i="20"/>
  <c r="I142" i="20" s="1"/>
  <c r="D143" i="20"/>
  <c r="I143" i="20" s="1"/>
  <c r="D144" i="20"/>
  <c r="I144" i="20" s="1"/>
  <c r="D145" i="20"/>
  <c r="I145" i="20" s="1"/>
  <c r="D146" i="20"/>
  <c r="I146" i="20" s="1"/>
  <c r="D135" i="27"/>
  <c r="I135" i="27" s="1"/>
  <c r="D136" i="27"/>
  <c r="I136" i="27" s="1"/>
  <c r="D137" i="27"/>
  <c r="I137" i="27" s="1"/>
  <c r="D138" i="27"/>
  <c r="I138" i="27" s="1"/>
  <c r="D139" i="27"/>
  <c r="I139" i="27" s="1"/>
  <c r="D140" i="27"/>
  <c r="I140" i="27" s="1"/>
  <c r="D141" i="27"/>
  <c r="I141" i="27" s="1"/>
  <c r="D142" i="27"/>
  <c r="I142" i="27" s="1"/>
  <c r="D143" i="27"/>
  <c r="I143" i="27" s="1"/>
  <c r="D144" i="27"/>
  <c r="I144" i="27" s="1"/>
  <c r="D145" i="27"/>
  <c r="I145" i="27" s="1"/>
  <c r="D146" i="27"/>
  <c r="I146" i="27" s="1"/>
  <c r="D135" i="28"/>
  <c r="I135" i="28" s="1"/>
  <c r="D136" i="28"/>
  <c r="I136" i="28" s="1"/>
  <c r="D137" i="28"/>
  <c r="I137" i="28" s="1"/>
  <c r="D138" i="28"/>
  <c r="I138" i="28" s="1"/>
  <c r="D139" i="28"/>
  <c r="I139" i="28" s="1"/>
  <c r="D140" i="28"/>
  <c r="I140" i="28" s="1"/>
  <c r="D141" i="28"/>
  <c r="I141" i="28" s="1"/>
  <c r="D142" i="28"/>
  <c r="I142" i="28" s="1"/>
  <c r="D143" i="28"/>
  <c r="I143" i="28" s="1"/>
  <c r="D144" i="28"/>
  <c r="I144" i="28" s="1"/>
  <c r="D145" i="28"/>
  <c r="I145" i="28" s="1"/>
  <c r="D146" i="28"/>
  <c r="I146" i="28" s="1"/>
  <c r="H136" i="33" l="1"/>
  <c r="I136" i="33" s="1"/>
  <c r="J136" i="33" s="1"/>
  <c r="V143" i="39"/>
  <c r="D45" i="41"/>
  <c r="F44" i="41"/>
  <c r="V141" i="39"/>
  <c r="V138" i="39"/>
  <c r="H142" i="33"/>
  <c r="I142" i="33" s="1"/>
  <c r="J142" i="33" s="1"/>
  <c r="I138" i="33"/>
  <c r="J138" i="33" s="1"/>
  <c r="Z138" i="39"/>
  <c r="V151" i="39"/>
  <c r="V139" i="39"/>
  <c r="V157" i="39"/>
  <c r="V145" i="39"/>
  <c r="Z148" i="39"/>
  <c r="M62" i="38"/>
  <c r="M62" i="11"/>
  <c r="Z146" i="39"/>
  <c r="Z144" i="39"/>
  <c r="Z141" i="39"/>
  <c r="Q143" i="39"/>
  <c r="Q139" i="39"/>
  <c r="Z139" i="39"/>
  <c r="I135" i="33"/>
  <c r="J135" i="33" s="1"/>
  <c r="Z140" i="39"/>
  <c r="I221" i="28"/>
  <c r="J221" i="28" s="1"/>
  <c r="K221" i="28" s="1"/>
  <c r="H221" i="19"/>
  <c r="Z145" i="39"/>
  <c r="Z143" i="39"/>
  <c r="I221" i="27"/>
  <c r="J221" i="27" s="1"/>
  <c r="K221" i="27" s="1"/>
  <c r="I221" i="20"/>
  <c r="J221" i="20" s="1"/>
  <c r="K221" i="20" s="1"/>
  <c r="I221" i="23"/>
  <c r="J221" i="23" s="1"/>
  <c r="K221" i="23" s="1"/>
  <c r="I221" i="26"/>
  <c r="J221" i="26" s="1"/>
  <c r="K221" i="26" s="1"/>
  <c r="I221" i="22"/>
  <c r="J221" i="22" s="1"/>
  <c r="K221" i="22" s="1"/>
  <c r="I221" i="21"/>
  <c r="J221" i="21" s="1"/>
  <c r="K221" i="21" s="1"/>
  <c r="V148" i="39"/>
  <c r="H145" i="32"/>
  <c r="H141" i="32"/>
  <c r="H137" i="32"/>
  <c r="H137" i="33"/>
  <c r="I135" i="32"/>
  <c r="J135" i="32" s="1"/>
  <c r="H146" i="32"/>
  <c r="H142" i="32"/>
  <c r="H138" i="32"/>
  <c r="H144" i="32"/>
  <c r="H140" i="32"/>
  <c r="H136" i="32"/>
  <c r="Z136" i="39" l="1"/>
  <c r="Z157" i="39"/>
  <c r="D48" i="41"/>
  <c r="F45" i="41"/>
  <c r="F46" i="41" s="1"/>
  <c r="Z142" i="39"/>
  <c r="O221" i="19"/>
  <c r="I221" i="19"/>
  <c r="J221" i="19" s="1"/>
  <c r="D18" i="9"/>
  <c r="E18" i="9" s="1"/>
  <c r="Z160" i="39"/>
  <c r="Q154" i="39"/>
  <c r="M154" i="39"/>
  <c r="Z156" i="39"/>
  <c r="V156" i="39"/>
  <c r="M147" i="39"/>
  <c r="I144" i="32"/>
  <c r="J144" i="32" s="1"/>
  <c r="Q144" i="39"/>
  <c r="I137" i="33"/>
  <c r="J137" i="33" s="1"/>
  <c r="Z137" i="39"/>
  <c r="Q149" i="39"/>
  <c r="M149" i="39"/>
  <c r="Q150" i="39"/>
  <c r="M150" i="39"/>
  <c r="Q158" i="39"/>
  <c r="M158" i="39"/>
  <c r="H221" i="33"/>
  <c r="Z152" i="39"/>
  <c r="V152" i="39"/>
  <c r="Z150" i="39"/>
  <c r="V150" i="39"/>
  <c r="Q151" i="39"/>
  <c r="M151" i="39"/>
  <c r="I137" i="32"/>
  <c r="J137" i="32" s="1"/>
  <c r="Q137" i="39"/>
  <c r="I145" i="32"/>
  <c r="J145" i="32" s="1"/>
  <c r="Q145" i="39"/>
  <c r="Q148" i="39"/>
  <c r="M148" i="39"/>
  <c r="Q156" i="39"/>
  <c r="M156" i="39"/>
  <c r="Z149" i="39"/>
  <c r="V149" i="39"/>
  <c r="I141" i="32"/>
  <c r="J141" i="32" s="1"/>
  <c r="Q141" i="39"/>
  <c r="I136" i="32"/>
  <c r="J136" i="32" s="1"/>
  <c r="Q136" i="39"/>
  <c r="I142" i="32"/>
  <c r="J142" i="32" s="1"/>
  <c r="Q142" i="39"/>
  <c r="H221" i="32"/>
  <c r="Z154" i="39"/>
  <c r="V154" i="39"/>
  <c r="Z153" i="39"/>
  <c r="V153" i="39"/>
  <c r="Q157" i="39"/>
  <c r="M157" i="39"/>
  <c r="Q152" i="39"/>
  <c r="M152" i="39"/>
  <c r="I140" i="32"/>
  <c r="J140" i="32" s="1"/>
  <c r="Q140" i="39"/>
  <c r="I138" i="32"/>
  <c r="J138" i="32" s="1"/>
  <c r="Q138" i="39"/>
  <c r="I146" i="32"/>
  <c r="J146" i="32" s="1"/>
  <c r="Q146" i="39"/>
  <c r="Z158" i="39"/>
  <c r="V158" i="39"/>
  <c r="V147" i="39"/>
  <c r="Z155" i="39"/>
  <c r="V155" i="39"/>
  <c r="Q155" i="39"/>
  <c r="M155" i="39"/>
  <c r="Q153" i="39"/>
  <c r="M153" i="39"/>
  <c r="E15" i="41" l="1"/>
  <c r="G46" i="41"/>
  <c r="F48" i="41"/>
  <c r="D49" i="41"/>
  <c r="V160" i="39"/>
  <c r="Q221" i="19"/>
  <c r="S221" i="19" s="1"/>
  <c r="D18" i="34" s="1"/>
  <c r="Z170" i="39"/>
  <c r="D182" i="33"/>
  <c r="V170" i="39"/>
  <c r="Q163" i="39"/>
  <c r="M163" i="39"/>
  <c r="Z169" i="39"/>
  <c r="D181" i="33"/>
  <c r="V169" i="39"/>
  <c r="Z167" i="39"/>
  <c r="D179" i="33"/>
  <c r="V167" i="39"/>
  <c r="H222" i="33"/>
  <c r="Z147" i="39"/>
  <c r="Q169" i="39"/>
  <c r="M169" i="39"/>
  <c r="M221" i="32"/>
  <c r="O221" i="32" s="1"/>
  <c r="Q168" i="39"/>
  <c r="M168" i="39"/>
  <c r="Z164" i="39"/>
  <c r="D176" i="33"/>
  <c r="V164" i="39"/>
  <c r="Q170" i="39"/>
  <c r="M170" i="39"/>
  <c r="Z168" i="39"/>
  <c r="D180" i="33"/>
  <c r="V168" i="39"/>
  <c r="Q165" i="39"/>
  <c r="M165" i="39"/>
  <c r="Z166" i="39"/>
  <c r="D178" i="33"/>
  <c r="V166" i="39"/>
  <c r="Q161" i="39"/>
  <c r="M161" i="39"/>
  <c r="Q167" i="39"/>
  <c r="M167" i="39"/>
  <c r="Z161" i="39"/>
  <c r="V161" i="39"/>
  <c r="Z162" i="39"/>
  <c r="D174" i="33"/>
  <c r="V162" i="39"/>
  <c r="M159" i="39"/>
  <c r="I221" i="33"/>
  <c r="J221" i="33" s="1"/>
  <c r="M221" i="33"/>
  <c r="O221" i="33" s="1"/>
  <c r="H222" i="32"/>
  <c r="Q147" i="39"/>
  <c r="V159" i="39"/>
  <c r="Q164" i="39"/>
  <c r="M164" i="39"/>
  <c r="Z165" i="39"/>
  <c r="D177" i="33"/>
  <c r="V165" i="39"/>
  <c r="Z163" i="39"/>
  <c r="D175" i="33"/>
  <c r="V163" i="39"/>
  <c r="Q160" i="39"/>
  <c r="M160" i="39"/>
  <c r="Q162" i="39"/>
  <c r="M162" i="39"/>
  <c r="Q166" i="39"/>
  <c r="M166" i="39"/>
  <c r="F49" i="41" l="1"/>
  <c r="D50" i="41"/>
  <c r="M6" i="38"/>
  <c r="M7" i="38" s="1"/>
  <c r="J70" i="38" s="1"/>
  <c r="F15" i="41"/>
  <c r="F6" i="41" s="1"/>
  <c r="E6" i="41"/>
  <c r="H178" i="32"/>
  <c r="Q178" i="39" s="1"/>
  <c r="M178" i="39"/>
  <c r="H177" i="33"/>
  <c r="Z177" i="39" s="1"/>
  <c r="V177" i="39"/>
  <c r="H223" i="32"/>
  <c r="Q159" i="39"/>
  <c r="H180" i="32"/>
  <c r="Q180" i="39" s="1"/>
  <c r="M180" i="39"/>
  <c r="I222" i="32"/>
  <c r="J222" i="32" s="1"/>
  <c r="H174" i="33"/>
  <c r="Z174" i="39" s="1"/>
  <c r="V174" i="39"/>
  <c r="H182" i="32"/>
  <c r="Q182" i="39" s="1"/>
  <c r="M182" i="39"/>
  <c r="I221" i="32"/>
  <c r="J221" i="32" s="1"/>
  <c r="H181" i="32"/>
  <c r="Q181" i="39" s="1"/>
  <c r="M181" i="39"/>
  <c r="H181" i="33"/>
  <c r="Z181" i="39" s="1"/>
  <c r="V181" i="39"/>
  <c r="H174" i="32"/>
  <c r="Q174" i="39" s="1"/>
  <c r="M174" i="39"/>
  <c r="H176" i="32"/>
  <c r="Q176" i="39" s="1"/>
  <c r="M176" i="39"/>
  <c r="H223" i="33"/>
  <c r="Z159" i="39"/>
  <c r="H179" i="32"/>
  <c r="Q179" i="39" s="1"/>
  <c r="M179" i="39"/>
  <c r="H180" i="33"/>
  <c r="Z180" i="39" s="1"/>
  <c r="V180" i="39"/>
  <c r="Q221" i="32"/>
  <c r="H179" i="33"/>
  <c r="Z179" i="39" s="1"/>
  <c r="V179" i="39"/>
  <c r="C22" i="37"/>
  <c r="D22" i="37" s="1"/>
  <c r="E22" i="37"/>
  <c r="H177" i="32"/>
  <c r="Q177" i="39" s="1"/>
  <c r="M177" i="39"/>
  <c r="H182" i="33"/>
  <c r="Z182" i="39" s="1"/>
  <c r="V182" i="39"/>
  <c r="H175" i="33"/>
  <c r="Z175" i="39" s="1"/>
  <c r="V175" i="39"/>
  <c r="H178" i="33"/>
  <c r="Z178" i="39" s="1"/>
  <c r="V178" i="39"/>
  <c r="H176" i="33"/>
  <c r="Z176" i="39" s="1"/>
  <c r="V176" i="39"/>
  <c r="I222" i="33"/>
  <c r="J222" i="33" s="1"/>
  <c r="H175" i="32"/>
  <c r="Q175" i="39" s="1"/>
  <c r="M175" i="39"/>
  <c r="M6" i="11" l="1"/>
  <c r="G107" i="37"/>
  <c r="R107" i="37" s="1"/>
  <c r="G131" i="37"/>
  <c r="J69" i="38"/>
  <c r="D37" i="34"/>
  <c r="F50" i="41"/>
  <c r="D51" i="41"/>
  <c r="E18" i="34"/>
  <c r="F18" i="34" s="1"/>
  <c r="F37" i="34"/>
  <c r="E37" i="34"/>
  <c r="I223" i="32"/>
  <c r="J223" i="32" s="1"/>
  <c r="C222" i="33"/>
  <c r="D222" i="33" s="1"/>
  <c r="E222" i="33"/>
  <c r="I223" i="33"/>
  <c r="J223" i="33" s="1"/>
  <c r="C222" i="32"/>
  <c r="D222" i="32" s="1"/>
  <c r="E222" i="32"/>
  <c r="F51" i="41" l="1"/>
  <c r="D52" i="41"/>
  <c r="C223" i="32"/>
  <c r="D223" i="32" s="1"/>
  <c r="E223" i="32"/>
  <c r="C223" i="33"/>
  <c r="D223" i="33" s="1"/>
  <c r="E223" i="33"/>
  <c r="F52" i="41" l="1"/>
  <c r="D53" i="41"/>
  <c r="F53" i="41" l="1"/>
  <c r="D54" i="41"/>
  <c r="F54" i="41" l="1"/>
  <c r="D55" i="41"/>
  <c r="F55" i="41" l="1"/>
  <c r="D56" i="41"/>
  <c r="F56" i="41" l="1"/>
  <c r="D57" i="41"/>
  <c r="N38" i="38"/>
  <c r="N38" i="11" s="1"/>
  <c r="F57" i="41" l="1"/>
  <c r="D58" i="41"/>
  <c r="K100" i="38"/>
  <c r="F58" i="41" l="1"/>
  <c r="D59" i="41"/>
  <c r="K101" i="38"/>
  <c r="N39" i="11"/>
  <c r="D62" i="41" l="1"/>
  <c r="F59" i="41"/>
  <c r="F60" i="41" s="1"/>
  <c r="E16" i="41" l="1"/>
  <c r="G60" i="41"/>
  <c r="D63" i="41"/>
  <c r="F62" i="41"/>
  <c r="N222" i="33"/>
  <c r="N222" i="32"/>
  <c r="M99" i="9"/>
  <c r="K19" i="42"/>
  <c r="F63" i="41" l="1"/>
  <c r="D64" i="41"/>
  <c r="F16" i="41"/>
  <c r="F7" i="41" s="1"/>
  <c r="E7" i="41"/>
  <c r="R8" i="42"/>
  <c r="D65" i="41" l="1"/>
  <c r="F64" i="41"/>
  <c r="L222" i="33"/>
  <c r="M222" i="33" s="1"/>
  <c r="O222" i="33" s="1"/>
  <c r="L222" i="32"/>
  <c r="M222" i="32" s="1"/>
  <c r="O222" i="32" s="1"/>
  <c r="F65" i="41" l="1"/>
  <c r="D66" i="41"/>
  <c r="G108" i="37"/>
  <c r="R108" i="37" s="1"/>
  <c r="G132" i="37"/>
  <c r="O38" i="38"/>
  <c r="N223" i="32"/>
  <c r="N223" i="33"/>
  <c r="M100" i="9"/>
  <c r="L19" i="42"/>
  <c r="L101" i="38" l="1"/>
  <c r="O39" i="11"/>
  <c r="D67" i="41"/>
  <c r="F66" i="41"/>
  <c r="L100" i="38"/>
  <c r="O38" i="11"/>
  <c r="R9" i="42"/>
  <c r="F67" i="41" l="1"/>
  <c r="D68" i="41"/>
  <c r="L223" i="33"/>
  <c r="M223" i="33" s="1"/>
  <c r="O223" i="33" s="1"/>
  <c r="L223" i="32"/>
  <c r="M223" i="32" s="1"/>
  <c r="O223" i="32" s="1"/>
  <c r="F68" i="41" l="1"/>
  <c r="D69" i="41"/>
  <c r="G122" i="37"/>
  <c r="G123" i="37"/>
  <c r="D70" i="41" l="1"/>
  <c r="F69" i="41"/>
  <c r="D71" i="41" l="1"/>
  <c r="F70" i="41"/>
  <c r="D72" i="41" l="1"/>
  <c r="F71" i="41"/>
  <c r="D73" i="41" l="1"/>
  <c r="F73" i="41" s="1"/>
  <c r="F74" i="41" s="1"/>
  <c r="F72" i="41"/>
  <c r="E17" i="41" l="1"/>
  <c r="G74" i="41"/>
  <c r="M101" i="9" l="1"/>
  <c r="M19" i="42"/>
  <c r="E18" i="41"/>
  <c r="F17" i="41"/>
  <c r="F8" i="41" s="1"/>
  <c r="E8" i="41"/>
  <c r="R10" i="42" l="1"/>
  <c r="E19" i="41"/>
  <c r="F18" i="41"/>
  <c r="F9" i="41" s="1"/>
  <c r="E9" i="41"/>
  <c r="M102" i="9"/>
  <c r="N19" i="42"/>
  <c r="M103" i="9" l="1"/>
  <c r="O19" i="42"/>
  <c r="F19" i="41"/>
  <c r="F10" i="41" s="1"/>
  <c r="E10" i="41"/>
  <c r="R11" i="42"/>
  <c r="R12" i="42" l="1"/>
  <c r="D147" i="39" l="1"/>
  <c r="D148" i="39"/>
  <c r="D149" i="39"/>
  <c r="D150" i="39"/>
  <c r="D151" i="39"/>
  <c r="D152" i="39"/>
  <c r="D153" i="39"/>
  <c r="D154" i="39"/>
  <c r="D155" i="39"/>
  <c r="D156" i="39"/>
  <c r="D157" i="39"/>
  <c r="D158" i="39"/>
  <c r="D147" i="21"/>
  <c r="I147" i="21"/>
  <c r="D148" i="21"/>
  <c r="I148" i="21"/>
  <c r="D149" i="21"/>
  <c r="I149" i="21"/>
  <c r="D150" i="21"/>
  <c r="I150" i="21"/>
  <c r="D151" i="21"/>
  <c r="I151" i="21"/>
  <c r="D152" i="21"/>
  <c r="I152" i="21"/>
  <c r="D153" i="21"/>
  <c r="I153" i="21"/>
  <c r="D154" i="21"/>
  <c r="I154" i="21"/>
  <c r="D155" i="21"/>
  <c r="I155" i="21"/>
  <c r="D156" i="21"/>
  <c r="I156" i="21"/>
  <c r="D157" i="21"/>
  <c r="I157" i="21"/>
  <c r="D158" i="21"/>
  <c r="I158" i="21"/>
  <c r="D147" i="22"/>
  <c r="I147" i="22"/>
  <c r="D148" i="22"/>
  <c r="I148" i="22"/>
  <c r="D149" i="22"/>
  <c r="I149" i="22"/>
  <c r="D150" i="22"/>
  <c r="I150" i="22"/>
  <c r="D151" i="22"/>
  <c r="I151" i="22"/>
  <c r="D152" i="22"/>
  <c r="I152" i="22"/>
  <c r="D153" i="22"/>
  <c r="I153" i="22"/>
  <c r="D154" i="22"/>
  <c r="I154" i="22"/>
  <c r="D155" i="22"/>
  <c r="I155" i="22"/>
  <c r="D156" i="22"/>
  <c r="I156" i="22"/>
  <c r="D157" i="22"/>
  <c r="I157" i="22"/>
  <c r="D158" i="22"/>
  <c r="I158" i="22"/>
  <c r="D147" i="26"/>
  <c r="I147" i="26" s="1"/>
  <c r="D148" i="26"/>
  <c r="I148" i="26"/>
  <c r="D149" i="26"/>
  <c r="I149" i="26" s="1"/>
  <c r="D150" i="26"/>
  <c r="I150" i="26"/>
  <c r="D151" i="26"/>
  <c r="I151" i="26" s="1"/>
  <c r="D152" i="26"/>
  <c r="I152" i="26"/>
  <c r="D153" i="26"/>
  <c r="I153" i="26" s="1"/>
  <c r="D154" i="26"/>
  <c r="I154" i="26"/>
  <c r="D155" i="26"/>
  <c r="I155" i="26" s="1"/>
  <c r="D156" i="26"/>
  <c r="I156" i="26"/>
  <c r="D157" i="26"/>
  <c r="I157" i="26" s="1"/>
  <c r="D158" i="26"/>
  <c r="I158" i="26"/>
  <c r="D147" i="23"/>
  <c r="I147" i="23" s="1"/>
  <c r="D148" i="23"/>
  <c r="I148" i="23" s="1"/>
  <c r="D149" i="23"/>
  <c r="I149" i="23"/>
  <c r="D150" i="23"/>
  <c r="I150" i="23" s="1"/>
  <c r="D151" i="23"/>
  <c r="I151" i="23"/>
  <c r="D152" i="23"/>
  <c r="I152" i="23" s="1"/>
  <c r="D153" i="23"/>
  <c r="I153" i="23" s="1"/>
  <c r="D154" i="23"/>
  <c r="I154" i="23" s="1"/>
  <c r="D155" i="23"/>
  <c r="I155" i="23" s="1"/>
  <c r="D156" i="23"/>
  <c r="I156" i="23" s="1"/>
  <c r="D157" i="23"/>
  <c r="I157" i="23"/>
  <c r="D158" i="23"/>
  <c r="I158" i="23" s="1"/>
  <c r="H147" i="19"/>
  <c r="H147" i="39" s="1"/>
  <c r="H148" i="19"/>
  <c r="H148" i="39" s="1"/>
  <c r="H149" i="19"/>
  <c r="H149" i="39" s="1"/>
  <c r="H150" i="19"/>
  <c r="H150" i="39" s="1"/>
  <c r="H151" i="19"/>
  <c r="H151" i="39" s="1"/>
  <c r="H152" i="19"/>
  <c r="H152" i="39" s="1"/>
  <c r="H153" i="19"/>
  <c r="H153" i="39" s="1"/>
  <c r="H154" i="19"/>
  <c r="H154" i="39" s="1"/>
  <c r="H155" i="19"/>
  <c r="H155" i="39" s="1"/>
  <c r="H156" i="19"/>
  <c r="H156" i="39" s="1"/>
  <c r="H157" i="19"/>
  <c r="H157" i="39" s="1"/>
  <c r="H158" i="19"/>
  <c r="H158" i="39" s="1"/>
  <c r="D147" i="20"/>
  <c r="I147" i="20" s="1"/>
  <c r="D148" i="20"/>
  <c r="I148" i="20" s="1"/>
  <c r="D149" i="20"/>
  <c r="I149" i="20" s="1"/>
  <c r="D150" i="20"/>
  <c r="I150" i="20"/>
  <c r="D151" i="20"/>
  <c r="I151" i="20" s="1"/>
  <c r="D152" i="20"/>
  <c r="I152" i="20"/>
  <c r="D153" i="20"/>
  <c r="I153" i="20" s="1"/>
  <c r="D154" i="20"/>
  <c r="I154" i="20" s="1"/>
  <c r="D155" i="20"/>
  <c r="I155" i="20" s="1"/>
  <c r="D156" i="20"/>
  <c r="I156" i="20" s="1"/>
  <c r="D157" i="20"/>
  <c r="I157" i="20" s="1"/>
  <c r="D158" i="20"/>
  <c r="I158" i="20"/>
  <c r="D147" i="27"/>
  <c r="I147" i="27" s="1"/>
  <c r="D148" i="27"/>
  <c r="I148" i="27"/>
  <c r="D149" i="27"/>
  <c r="I149" i="27" s="1"/>
  <c r="D150" i="27"/>
  <c r="I150" i="27"/>
  <c r="D151" i="27"/>
  <c r="I151" i="27" s="1"/>
  <c r="D152" i="27"/>
  <c r="I152" i="27"/>
  <c r="D153" i="27"/>
  <c r="I153" i="27" s="1"/>
  <c r="D154" i="27"/>
  <c r="I154" i="27"/>
  <c r="D155" i="27"/>
  <c r="I155" i="27" s="1"/>
  <c r="D156" i="27"/>
  <c r="I156" i="27"/>
  <c r="D157" i="27"/>
  <c r="I157" i="27" s="1"/>
  <c r="D158" i="27"/>
  <c r="I158" i="27"/>
  <c r="D147" i="28"/>
  <c r="I147" i="28" s="1"/>
  <c r="D148" i="28"/>
  <c r="I148" i="28"/>
  <c r="D149" i="28"/>
  <c r="I149" i="28" s="1"/>
  <c r="D150" i="28"/>
  <c r="I150" i="28"/>
  <c r="D151" i="28"/>
  <c r="I151" i="28" s="1"/>
  <c r="D152" i="28"/>
  <c r="I152" i="28"/>
  <c r="D153" i="28"/>
  <c r="I153" i="28" s="1"/>
  <c r="D154" i="28"/>
  <c r="I154" i="28"/>
  <c r="D155" i="28"/>
  <c r="I155" i="28" s="1"/>
  <c r="D156" i="28"/>
  <c r="I156" i="28"/>
  <c r="D157" i="28"/>
  <c r="I157" i="28" s="1"/>
  <c r="D158" i="28"/>
  <c r="I158" i="28"/>
  <c r="I222" i="27" l="1"/>
  <c r="J222" i="27" s="1"/>
  <c r="K222" i="27" s="1"/>
  <c r="I222" i="21"/>
  <c r="I222" i="22"/>
  <c r="J222" i="22" s="1"/>
  <c r="K222" i="22" s="1"/>
  <c r="I222" i="28"/>
  <c r="I222" i="20"/>
  <c r="I222" i="23"/>
  <c r="I222" i="26"/>
  <c r="E222" i="22"/>
  <c r="C222" i="22"/>
  <c r="D222" i="22" s="1"/>
  <c r="H222" i="19"/>
  <c r="J222" i="21" l="1"/>
  <c r="K222" i="21" s="1"/>
  <c r="J222" i="20"/>
  <c r="K222" i="20" s="1"/>
  <c r="O222" i="19"/>
  <c r="I222" i="19"/>
  <c r="J222" i="19" s="1"/>
  <c r="C222" i="27"/>
  <c r="D222" i="27" s="1"/>
  <c r="E222" i="27"/>
  <c r="J222" i="26"/>
  <c r="K222" i="26" s="1"/>
  <c r="E222" i="21" l="1"/>
  <c r="C222" i="21"/>
  <c r="D222" i="21" s="1"/>
  <c r="C222" i="28"/>
  <c r="D222" i="28" s="1"/>
  <c r="E222" i="28"/>
  <c r="J222" i="28"/>
  <c r="K222" i="28" s="1"/>
  <c r="E222" i="26"/>
  <c r="C222" i="26"/>
  <c r="D222" i="26" s="1"/>
  <c r="C222" i="19"/>
  <c r="D222" i="19" s="1"/>
  <c r="E222" i="19"/>
  <c r="E222" i="23"/>
  <c r="C222" i="23"/>
  <c r="D222" i="23" s="1"/>
  <c r="J222" i="23"/>
  <c r="K222" i="23" s="1"/>
  <c r="C222" i="20"/>
  <c r="D222" i="20" s="1"/>
  <c r="E222" i="20"/>
  <c r="D19" i="9" l="1"/>
  <c r="E19" i="9" s="1"/>
  <c r="G42" i="9"/>
  <c r="G78" i="9"/>
  <c r="J89" i="44" l="1"/>
  <c r="P19" i="9" l="1"/>
  <c r="Q19" i="9" s="1"/>
  <c r="D159" i="39" l="1"/>
  <c r="D160" i="39"/>
  <c r="D161" i="39"/>
  <c r="D162" i="39"/>
  <c r="D163" i="39"/>
  <c r="D164" i="39"/>
  <c r="D165" i="39"/>
  <c r="D166" i="39"/>
  <c r="D167" i="39"/>
  <c r="D168" i="39"/>
  <c r="D169" i="39"/>
  <c r="D170" i="39"/>
  <c r="D159" i="21"/>
  <c r="I159" i="21"/>
  <c r="D160" i="21"/>
  <c r="I160" i="21"/>
  <c r="D161" i="21"/>
  <c r="I161" i="21"/>
  <c r="D162" i="21"/>
  <c r="I162" i="21"/>
  <c r="D163" i="21"/>
  <c r="I163" i="21"/>
  <c r="D164" i="21"/>
  <c r="I164" i="21"/>
  <c r="D165" i="21"/>
  <c r="I165" i="21"/>
  <c r="D166" i="21"/>
  <c r="I166" i="21"/>
  <c r="D167" i="21"/>
  <c r="I167" i="21"/>
  <c r="D168" i="21"/>
  <c r="I168" i="21"/>
  <c r="D169" i="21"/>
  <c r="I169" i="21"/>
  <c r="D170" i="21"/>
  <c r="I170" i="21"/>
  <c r="D159" i="22"/>
  <c r="I159" i="22"/>
  <c r="D160" i="22"/>
  <c r="I160" i="22"/>
  <c r="D161" i="22"/>
  <c r="I161" i="22"/>
  <c r="D162" i="22"/>
  <c r="I162" i="22"/>
  <c r="D163" i="22"/>
  <c r="I163" i="22"/>
  <c r="D164" i="22"/>
  <c r="I164" i="22"/>
  <c r="D165" i="22"/>
  <c r="I165" i="22"/>
  <c r="D166" i="22"/>
  <c r="I166" i="22"/>
  <c r="D167" i="22"/>
  <c r="I167" i="22"/>
  <c r="D168" i="22"/>
  <c r="I168" i="22"/>
  <c r="D169" i="22"/>
  <c r="I169" i="22"/>
  <c r="D170" i="22"/>
  <c r="I170" i="22"/>
  <c r="D159" i="26"/>
  <c r="I159" i="26" s="1"/>
  <c r="D160" i="26"/>
  <c r="I160" i="26"/>
  <c r="D161" i="26"/>
  <c r="I161" i="26" s="1"/>
  <c r="D162" i="26"/>
  <c r="I162" i="26"/>
  <c r="D163" i="26"/>
  <c r="I163" i="26" s="1"/>
  <c r="D164" i="26"/>
  <c r="I164" i="26"/>
  <c r="D165" i="26"/>
  <c r="I165" i="26" s="1"/>
  <c r="D166" i="26"/>
  <c r="I166" i="26"/>
  <c r="D167" i="26"/>
  <c r="I167" i="26" s="1"/>
  <c r="D168" i="26"/>
  <c r="I168" i="26"/>
  <c r="D169" i="26"/>
  <c r="I169" i="26" s="1"/>
  <c r="D170" i="26"/>
  <c r="I170" i="26"/>
  <c r="D159" i="23"/>
  <c r="I159" i="23"/>
  <c r="D160" i="23"/>
  <c r="I160" i="23"/>
  <c r="D161" i="23"/>
  <c r="I161" i="23"/>
  <c r="D162" i="23"/>
  <c r="I162" i="23"/>
  <c r="D163" i="23"/>
  <c r="I163" i="23"/>
  <c r="D164" i="23"/>
  <c r="I164" i="23"/>
  <c r="D165" i="23"/>
  <c r="I165" i="23"/>
  <c r="D166" i="23"/>
  <c r="I166" i="23"/>
  <c r="D167" i="23"/>
  <c r="I167" i="23"/>
  <c r="D168" i="23"/>
  <c r="I168" i="23"/>
  <c r="D169" i="23"/>
  <c r="I169" i="23"/>
  <c r="D170" i="23"/>
  <c r="I170" i="23"/>
  <c r="H159" i="19"/>
  <c r="H159" i="39" s="1"/>
  <c r="H160" i="19"/>
  <c r="H160" i="39" s="1"/>
  <c r="H161" i="19"/>
  <c r="H161" i="39" s="1"/>
  <c r="H162" i="19"/>
  <c r="H162" i="39" s="1"/>
  <c r="H163" i="19"/>
  <c r="H163" i="39" s="1"/>
  <c r="H164" i="19"/>
  <c r="H164" i="39" s="1"/>
  <c r="H165" i="19"/>
  <c r="H165" i="39" s="1"/>
  <c r="H166" i="19"/>
  <c r="H166" i="39" s="1"/>
  <c r="H167" i="19"/>
  <c r="H167" i="39" s="1"/>
  <c r="H168" i="19"/>
  <c r="H168" i="39" s="1"/>
  <c r="H169" i="19"/>
  <c r="H169" i="39" s="1"/>
  <c r="H170" i="19"/>
  <c r="H170" i="39" s="1"/>
  <c r="D159" i="20"/>
  <c r="I159" i="20" s="1"/>
  <c r="D160" i="20"/>
  <c r="I160" i="20" s="1"/>
  <c r="D161" i="20"/>
  <c r="I161" i="20" s="1"/>
  <c r="D162" i="20"/>
  <c r="I162" i="20" s="1"/>
  <c r="D163" i="20"/>
  <c r="I163" i="20" s="1"/>
  <c r="D164" i="20"/>
  <c r="I164" i="20" s="1"/>
  <c r="D165" i="20"/>
  <c r="I165" i="20" s="1"/>
  <c r="D166" i="20"/>
  <c r="I166" i="20"/>
  <c r="D167" i="20"/>
  <c r="I167" i="20" s="1"/>
  <c r="D168" i="20"/>
  <c r="I168" i="20"/>
  <c r="D169" i="20"/>
  <c r="I169" i="20" s="1"/>
  <c r="D170" i="20"/>
  <c r="I170" i="20"/>
  <c r="D159" i="27"/>
  <c r="I159" i="27" s="1"/>
  <c r="D160" i="27"/>
  <c r="I160" i="27"/>
  <c r="D161" i="27"/>
  <c r="I161" i="27"/>
  <c r="D162" i="27"/>
  <c r="I162" i="27"/>
  <c r="D163" i="27"/>
  <c r="I163" i="27"/>
  <c r="D164" i="27"/>
  <c r="I164" i="27"/>
  <c r="D165" i="27"/>
  <c r="I165" i="27"/>
  <c r="D166" i="27"/>
  <c r="I166" i="27"/>
  <c r="D167" i="27"/>
  <c r="I167" i="27"/>
  <c r="D168" i="27"/>
  <c r="I168" i="27"/>
  <c r="D169" i="27"/>
  <c r="I169" i="27"/>
  <c r="D170" i="27"/>
  <c r="I170" i="27"/>
  <c r="D159" i="28"/>
  <c r="I159" i="28"/>
  <c r="D160" i="28"/>
  <c r="I160" i="28" s="1"/>
  <c r="D161" i="28"/>
  <c r="I161" i="28"/>
  <c r="D162" i="28"/>
  <c r="I162" i="28" s="1"/>
  <c r="D163" i="28"/>
  <c r="I163" i="28"/>
  <c r="D164" i="28"/>
  <c r="I164" i="28"/>
  <c r="D165" i="28"/>
  <c r="I165" i="28"/>
  <c r="D166" i="28"/>
  <c r="I166" i="28"/>
  <c r="D167" i="28"/>
  <c r="I167" i="28"/>
  <c r="D168" i="28"/>
  <c r="I168" i="28"/>
  <c r="D169" i="28"/>
  <c r="I169" i="28"/>
  <c r="D170" i="28"/>
  <c r="I170" i="28"/>
  <c r="I223" i="22" l="1"/>
  <c r="J223" i="22" s="1"/>
  <c r="K223" i="22" s="1"/>
  <c r="I223" i="23"/>
  <c r="J223" i="23" s="1"/>
  <c r="K223" i="23" s="1"/>
  <c r="I223" i="21"/>
  <c r="H223" i="19"/>
  <c r="C223" i="19" s="1"/>
  <c r="D223" i="19" s="1"/>
  <c r="I223" i="28"/>
  <c r="J223" i="28" s="1"/>
  <c r="K223" i="28" s="1"/>
  <c r="I223" i="27"/>
  <c r="J223" i="27" s="1"/>
  <c r="K223" i="27" s="1"/>
  <c r="I223" i="20"/>
  <c r="C223" i="23"/>
  <c r="D223" i="23" s="1"/>
  <c r="E223" i="23"/>
  <c r="I223" i="26"/>
  <c r="C223" i="22"/>
  <c r="D223" i="22" s="1"/>
  <c r="E223" i="22"/>
  <c r="O223" i="19" l="1"/>
  <c r="E223" i="19"/>
  <c r="I223" i="19"/>
  <c r="J223" i="19" s="1"/>
  <c r="E223" i="27"/>
  <c r="C223" i="27"/>
  <c r="D223" i="27" s="1"/>
  <c r="J223" i="20"/>
  <c r="K223" i="20" s="1"/>
  <c r="C223" i="21"/>
  <c r="D223" i="21" s="1"/>
  <c r="E223" i="21"/>
  <c r="J223" i="21"/>
  <c r="K223" i="21" s="1"/>
  <c r="J223" i="26"/>
  <c r="K223" i="26" s="1"/>
  <c r="E223" i="28"/>
  <c r="C223" i="28"/>
  <c r="D223" i="28" s="1"/>
  <c r="E23" i="41" l="1"/>
  <c r="S7" i="42"/>
  <c r="G14" i="41"/>
  <c r="H14" i="41"/>
  <c r="G15" i="41"/>
  <c r="G5" i="41"/>
  <c r="H5" i="41"/>
  <c r="G16" i="41"/>
  <c r="E24" i="41"/>
  <c r="E25" i="41"/>
  <c r="G17" i="41"/>
  <c r="G18" i="41"/>
  <c r="E26" i="41"/>
  <c r="G19" i="41"/>
  <c r="E27" i="41"/>
  <c r="E28" i="41"/>
  <c r="H15" i="41"/>
  <c r="I15" i="41" s="1"/>
  <c r="H6" i="41"/>
  <c r="H16" i="41"/>
  <c r="S8" i="42"/>
  <c r="H7" i="41"/>
  <c r="S9" i="42"/>
  <c r="G9" i="41"/>
  <c r="G8" i="41"/>
  <c r="G6" i="41"/>
  <c r="G10" i="41"/>
  <c r="G7" i="41"/>
  <c r="H17" i="41"/>
  <c r="I17" i="41" s="1"/>
  <c r="N224" i="19"/>
  <c r="H8" i="41"/>
  <c r="L224" i="19"/>
  <c r="N225" i="19"/>
  <c r="H18" i="41"/>
  <c r="S10" i="42"/>
  <c r="H9" i="41"/>
  <c r="I9" i="41" s="1"/>
  <c r="N226" i="19"/>
  <c r="L225" i="19"/>
  <c r="H19" i="41"/>
  <c r="I19" i="41" s="1"/>
  <c r="S11" i="42"/>
  <c r="H10" i="41"/>
  <c r="I10" i="41" s="1"/>
  <c r="L226" i="19"/>
  <c r="S12" i="42"/>
  <c r="D20" i="9"/>
  <c r="E20" i="9" s="1"/>
  <c r="G43" i="9"/>
  <c r="G79" i="9"/>
  <c r="E223" i="26"/>
  <c r="C223" i="26"/>
  <c r="D223" i="26" s="1"/>
  <c r="E223" i="20"/>
  <c r="C223" i="20"/>
  <c r="D223" i="20" s="1"/>
  <c r="I16" i="41" l="1"/>
  <c r="I8" i="41"/>
  <c r="I18" i="41"/>
  <c r="I6" i="41"/>
  <c r="I5" i="41"/>
  <c r="N229" i="19"/>
  <c r="N231" i="19" s="1"/>
  <c r="M226" i="19"/>
  <c r="L226" i="33"/>
  <c r="L226" i="32"/>
  <c r="N224" i="33"/>
  <c r="N224" i="32"/>
  <c r="N226" i="33"/>
  <c r="N226" i="32"/>
  <c r="N225" i="32"/>
  <c r="N225" i="33"/>
  <c r="I14" i="41"/>
  <c r="M225" i="19"/>
  <c r="L225" i="33"/>
  <c r="L225" i="32"/>
  <c r="L224" i="32"/>
  <c r="L224" i="33"/>
  <c r="I7" i="41"/>
  <c r="P112" i="9"/>
  <c r="P113" i="9"/>
  <c r="J90" i="44"/>
  <c r="P20" i="9" l="1"/>
  <c r="Q20" i="9" s="1"/>
  <c r="B78" i="44" l="1"/>
  <c r="C78" i="44"/>
  <c r="D78" i="44"/>
  <c r="J78" i="44"/>
  <c r="B79" i="44"/>
  <c r="C79" i="44"/>
  <c r="D79" i="44"/>
  <c r="J79" i="44"/>
  <c r="H60" i="9"/>
  <c r="I60" i="9"/>
  <c r="J60" i="9"/>
  <c r="H61" i="9"/>
  <c r="H68" i="9" s="1"/>
  <c r="H66" i="9" s="1"/>
  <c r="H44" i="9" s="1"/>
  <c r="I61" i="9"/>
  <c r="J61" i="9"/>
  <c r="I66" i="9"/>
  <c r="I44" i="9" s="1"/>
  <c r="I68" i="9"/>
  <c r="J68" i="9"/>
  <c r="J66" i="9" s="1"/>
  <c r="J44" i="9" s="1"/>
  <c r="H71" i="9"/>
  <c r="G71" i="9" s="1"/>
  <c r="I71" i="9"/>
  <c r="J71" i="9"/>
  <c r="H72" i="9"/>
  <c r="G72" i="9" s="1"/>
  <c r="I72" i="9"/>
  <c r="J72" i="9"/>
  <c r="H85" i="9"/>
  <c r="I85" i="9"/>
  <c r="J85" i="9"/>
  <c r="P85" i="9" s="1"/>
  <c r="H86" i="9"/>
  <c r="I86" i="9"/>
  <c r="P86" i="9" s="1"/>
  <c r="J86" i="9"/>
  <c r="H99" i="9" l="1"/>
  <c r="L99" i="9"/>
  <c r="I99" i="9"/>
  <c r="N99" i="9"/>
  <c r="G85" i="9"/>
  <c r="I92" i="9" s="1"/>
  <c r="I78" i="9" s="1"/>
  <c r="C89" i="44" s="1"/>
  <c r="C97" i="44" s="1"/>
  <c r="J99" i="9"/>
  <c r="O99" i="9"/>
  <c r="K99" i="9"/>
  <c r="H100" i="9"/>
  <c r="L100" i="9"/>
  <c r="I100" i="9"/>
  <c r="N100" i="9"/>
  <c r="J100" i="9"/>
  <c r="O100" i="9"/>
  <c r="G86" i="9"/>
  <c r="K100" i="9"/>
  <c r="D80" i="44"/>
  <c r="J73" i="9"/>
  <c r="J45" i="9"/>
  <c r="J62" i="9"/>
  <c r="H93" i="9"/>
  <c r="L93" i="9"/>
  <c r="L79" i="9" s="1"/>
  <c r="I93" i="9"/>
  <c r="I79" i="9" s="1"/>
  <c r="C90" i="44" s="1"/>
  <c r="C98" i="44" s="1"/>
  <c r="M93" i="9"/>
  <c r="M79" i="9" s="1"/>
  <c r="J93" i="9"/>
  <c r="J79" i="9" s="1"/>
  <c r="N93" i="9"/>
  <c r="N79" i="9" s="1"/>
  <c r="K93" i="9"/>
  <c r="K79" i="9" s="1"/>
  <c r="O93" i="9"/>
  <c r="O79" i="9" s="1"/>
  <c r="I90" i="44" s="1"/>
  <c r="I98" i="44" s="1"/>
  <c r="B80" i="44"/>
  <c r="H45" i="9"/>
  <c r="H62" i="9"/>
  <c r="H73" i="9"/>
  <c r="C80" i="44"/>
  <c r="I73" i="9"/>
  <c r="I45" i="9"/>
  <c r="I62" i="9"/>
  <c r="P99" i="9" l="1"/>
  <c r="M105" i="9" s="1"/>
  <c r="C107" i="37"/>
  <c r="C122" i="37" s="1"/>
  <c r="C131" i="37"/>
  <c r="N19" i="38"/>
  <c r="O48" i="38"/>
  <c r="I132" i="37"/>
  <c r="I108" i="37"/>
  <c r="I123" i="37" s="1"/>
  <c r="G90" i="44"/>
  <c r="G98" i="44" s="1"/>
  <c r="E49" i="18"/>
  <c r="L92" i="9"/>
  <c r="L78" i="9" s="1"/>
  <c r="N92" i="9"/>
  <c r="N78" i="9" s="1"/>
  <c r="I87" i="9"/>
  <c r="C108" i="37"/>
  <c r="C123" i="37" s="1"/>
  <c r="O19" i="38"/>
  <c r="C132" i="37"/>
  <c r="D81" i="44"/>
  <c r="J46" i="9"/>
  <c r="J74" i="9"/>
  <c r="J63" i="9"/>
  <c r="H92" i="9"/>
  <c r="J92" i="9"/>
  <c r="J78" i="9" s="1"/>
  <c r="C81" i="44"/>
  <c r="I74" i="9"/>
  <c r="I63" i="9"/>
  <c r="I46" i="9"/>
  <c r="B81" i="44"/>
  <c r="H63" i="9"/>
  <c r="H46" i="9"/>
  <c r="H74" i="9"/>
  <c r="E90" i="44"/>
  <c r="E98" i="44" s="1"/>
  <c r="C49" i="18"/>
  <c r="H90" i="44"/>
  <c r="H98" i="44" s="1"/>
  <c r="F49" i="18"/>
  <c r="F90" i="44"/>
  <c r="F98" i="44" s="1"/>
  <c r="D49" i="18"/>
  <c r="J87" i="9"/>
  <c r="O92" i="9"/>
  <c r="O78" i="9" s="1"/>
  <c r="I89" i="44" s="1"/>
  <c r="I97" i="44" s="1"/>
  <c r="M92" i="9"/>
  <c r="M78" i="9" s="1"/>
  <c r="H87" i="9"/>
  <c r="G73" i="9"/>
  <c r="I101" i="9" s="1"/>
  <c r="D90" i="44"/>
  <c r="D98" i="44" s="1"/>
  <c r="H49" i="18"/>
  <c r="P93" i="9"/>
  <c r="H79" i="9"/>
  <c r="P100" i="9"/>
  <c r="M106" i="9" s="1"/>
  <c r="K92" i="9"/>
  <c r="K78" i="9" s="1"/>
  <c r="J106" i="9" l="1"/>
  <c r="K106" i="9"/>
  <c r="O106" i="9"/>
  <c r="L105" i="9"/>
  <c r="H105" i="9"/>
  <c r="I106" i="9"/>
  <c r="J105" i="9"/>
  <c r="N105" i="9"/>
  <c r="O105" i="9"/>
  <c r="I105" i="9"/>
  <c r="H106" i="9"/>
  <c r="K105" i="9"/>
  <c r="L106" i="9"/>
  <c r="N106" i="9"/>
  <c r="H101" i="9"/>
  <c r="P87" i="9"/>
  <c r="N48" i="38"/>
  <c r="I131" i="37"/>
  <c r="I107" i="37"/>
  <c r="I122" i="37" s="1"/>
  <c r="I88" i="9"/>
  <c r="L110" i="38"/>
  <c r="O48" i="11"/>
  <c r="B49" i="18"/>
  <c r="G15" i="18"/>
  <c r="G49" i="18" s="1"/>
  <c r="F108" i="37"/>
  <c r="F123" i="37" s="1"/>
  <c r="F132" i="37"/>
  <c r="O33" i="38"/>
  <c r="E108" i="37"/>
  <c r="E123" i="37" s="1"/>
  <c r="E132" i="37"/>
  <c r="O28" i="38"/>
  <c r="J88" i="9"/>
  <c r="L81" i="38"/>
  <c r="O19" i="11"/>
  <c r="K81" i="38"/>
  <c r="N19" i="11"/>
  <c r="E89" i="44"/>
  <c r="E97" i="44" s="1"/>
  <c r="C48" i="18"/>
  <c r="B90" i="44"/>
  <c r="B98" i="44" s="1"/>
  <c r="P79" i="9"/>
  <c r="J108" i="37" s="1"/>
  <c r="J123" i="37" s="1"/>
  <c r="G74" i="9"/>
  <c r="J102" i="9" s="1"/>
  <c r="H88" i="9"/>
  <c r="C82" i="44"/>
  <c r="I75" i="9"/>
  <c r="I64" i="9"/>
  <c r="D89" i="44"/>
  <c r="D97" i="44" s="1"/>
  <c r="H48" i="18"/>
  <c r="D82" i="44"/>
  <c r="J75" i="9"/>
  <c r="J64" i="9"/>
  <c r="H89" i="44"/>
  <c r="H97" i="44" s="1"/>
  <c r="F48" i="18"/>
  <c r="D108" i="37"/>
  <c r="D123" i="37" s="1"/>
  <c r="O23" i="38"/>
  <c r="D132" i="37"/>
  <c r="L101" i="9"/>
  <c r="N101" i="9"/>
  <c r="O101" i="9"/>
  <c r="P44" i="9"/>
  <c r="J80" i="44" s="1"/>
  <c r="K101" i="9"/>
  <c r="G89" i="44"/>
  <c r="G97" i="44" s="1"/>
  <c r="E48" i="18"/>
  <c r="J101" i="9"/>
  <c r="H108" i="37"/>
  <c r="H123" i="37" s="1"/>
  <c r="H132" i="37"/>
  <c r="O43" i="38"/>
  <c r="B82" i="44"/>
  <c r="H64" i="9"/>
  <c r="H75" i="9"/>
  <c r="H78" i="9"/>
  <c r="P92" i="9"/>
  <c r="F89" i="44"/>
  <c r="F97" i="44" s="1"/>
  <c r="D48" i="18"/>
  <c r="P106" i="9" l="1"/>
  <c r="P105" i="9"/>
  <c r="P101" i="9"/>
  <c r="N107" i="9" s="1"/>
  <c r="B89" i="44"/>
  <c r="B97" i="44" s="1"/>
  <c r="P78" i="9"/>
  <c r="J107" i="37" s="1"/>
  <c r="J122" i="37" s="1"/>
  <c r="L105" i="38"/>
  <c r="O43" i="11"/>
  <c r="L85" i="38"/>
  <c r="O23" i="11"/>
  <c r="G14" i="18"/>
  <c r="G48" i="18" s="1"/>
  <c r="B48" i="18"/>
  <c r="H102" i="9"/>
  <c r="L95" i="38"/>
  <c r="O33" i="11"/>
  <c r="F107" i="37"/>
  <c r="F122" i="37" s="1"/>
  <c r="F131" i="37"/>
  <c r="N33" i="38"/>
  <c r="L106" i="38"/>
  <c r="O44" i="11"/>
  <c r="J89" i="9"/>
  <c r="N23" i="38"/>
  <c r="D107" i="37"/>
  <c r="D122" i="37" s="1"/>
  <c r="D131" i="37"/>
  <c r="E107" i="37"/>
  <c r="E122" i="37" s="1"/>
  <c r="N28" i="38"/>
  <c r="E131" i="37"/>
  <c r="L90" i="38"/>
  <c r="O28" i="11"/>
  <c r="L96" i="38"/>
  <c r="O34" i="11"/>
  <c r="I102" i="9"/>
  <c r="K110" i="38"/>
  <c r="N48" i="11"/>
  <c r="G75" i="9"/>
  <c r="H103" i="9" s="1"/>
  <c r="H89" i="9"/>
  <c r="P88" i="9"/>
  <c r="L91" i="38"/>
  <c r="O29" i="11"/>
  <c r="H107" i="37"/>
  <c r="H122" i="37" s="1"/>
  <c r="H131" i="37"/>
  <c r="N43" i="38"/>
  <c r="I89" i="9"/>
  <c r="I103" i="9"/>
  <c r="P45" i="9"/>
  <c r="J81" i="44" s="1"/>
  <c r="L102" i="9"/>
  <c r="N102" i="9"/>
  <c r="O102" i="9"/>
  <c r="K102" i="9"/>
  <c r="J98" i="44"/>
  <c r="B106" i="44" s="1"/>
  <c r="C106" i="44" s="1"/>
  <c r="H107" i="9" l="1"/>
  <c r="K107" i="9"/>
  <c r="O107" i="9"/>
  <c r="M107" i="9"/>
  <c r="I107" i="9"/>
  <c r="L107" i="9"/>
  <c r="J107" i="9"/>
  <c r="K105" i="38"/>
  <c r="N43" i="11"/>
  <c r="O58" i="38"/>
  <c r="O58" i="11" s="1"/>
  <c r="O10" i="11"/>
  <c r="K91" i="38"/>
  <c r="N29" i="11"/>
  <c r="K96" i="38"/>
  <c r="N34" i="11"/>
  <c r="K106" i="38"/>
  <c r="N44" i="11"/>
  <c r="P89" i="9"/>
  <c r="K90" i="38"/>
  <c r="N28" i="11"/>
  <c r="K85" i="38"/>
  <c r="N23" i="11"/>
  <c r="L103" i="9"/>
  <c r="P46" i="9"/>
  <c r="J82" i="44" s="1"/>
  <c r="N103" i="9"/>
  <c r="O103" i="9"/>
  <c r="K103" i="9"/>
  <c r="P102" i="9"/>
  <c r="N108" i="9" s="1"/>
  <c r="J97" i="44"/>
  <c r="B105" i="44" s="1"/>
  <c r="C105" i="44" s="1"/>
  <c r="P223" i="32"/>
  <c r="Q223" i="32" s="1"/>
  <c r="S223" i="32" s="1"/>
  <c r="Q223" i="19"/>
  <c r="S223" i="19" s="1"/>
  <c r="D20" i="34" s="1"/>
  <c r="B108" i="37"/>
  <c r="B123" i="37" s="1"/>
  <c r="J80" i="37"/>
  <c r="B132" i="37"/>
  <c r="J132" i="37" s="1"/>
  <c r="O15" i="38"/>
  <c r="O53" i="38"/>
  <c r="L86" i="38"/>
  <c r="L115" i="38" s="1"/>
  <c r="O24" i="11"/>
  <c r="O53" i="11" s="1"/>
  <c r="J103" i="9"/>
  <c r="K95" i="38"/>
  <c r="N33" i="11"/>
  <c r="O9" i="38" l="1"/>
  <c r="O57" i="38" s="1"/>
  <c r="O57" i="11" s="1"/>
  <c r="J8" i="45"/>
  <c r="P107" i="9"/>
  <c r="O108" i="9"/>
  <c r="I108" i="9"/>
  <c r="H108" i="9"/>
  <c r="M108" i="9"/>
  <c r="J108" i="9"/>
  <c r="K108" i="9"/>
  <c r="L108" i="9"/>
  <c r="P103" i="9"/>
  <c r="O63" i="38"/>
  <c r="O63" i="11"/>
  <c r="F39" i="34"/>
  <c r="N53" i="38"/>
  <c r="K86" i="38"/>
  <c r="K115" i="38" s="1"/>
  <c r="N24" i="11"/>
  <c r="N53" i="11" s="1"/>
  <c r="N58" i="38"/>
  <c r="N58" i="11" s="1"/>
  <c r="N10" i="11"/>
  <c r="P222" i="32"/>
  <c r="Q222" i="32" s="1"/>
  <c r="Q222" i="19"/>
  <c r="S222" i="19" s="1"/>
  <c r="D19" i="34" s="1"/>
  <c r="L77" i="38"/>
  <c r="L114" i="38" s="1"/>
  <c r="O52" i="38"/>
  <c r="O15" i="11"/>
  <c r="O52" i="11" s="1"/>
  <c r="B107" i="37"/>
  <c r="B122" i="37" s="1"/>
  <c r="J79" i="37"/>
  <c r="B131" i="37"/>
  <c r="J131" i="37" s="1"/>
  <c r="N15" i="38"/>
  <c r="E39" i="34"/>
  <c r="L72" i="38" l="1"/>
  <c r="O9" i="11"/>
  <c r="N9" i="38"/>
  <c r="K72" i="38" s="1"/>
  <c r="J7" i="45"/>
  <c r="J17" i="45" s="1"/>
  <c r="P108" i="9"/>
  <c r="M109" i="9"/>
  <c r="H109" i="9"/>
  <c r="I109" i="9"/>
  <c r="J109" i="9"/>
  <c r="O109" i="9"/>
  <c r="L109" i="9"/>
  <c r="N109" i="9"/>
  <c r="K109" i="9"/>
  <c r="O62" i="11"/>
  <c r="O62" i="38"/>
  <c r="N63" i="38"/>
  <c r="N63" i="11"/>
  <c r="C8" i="37"/>
  <c r="E20" i="34"/>
  <c r="F20" i="34" s="1"/>
  <c r="D39" i="34"/>
  <c r="E38" i="34"/>
  <c r="N52" i="38"/>
  <c r="K77" i="38"/>
  <c r="K114" i="38" s="1"/>
  <c r="N15" i="11"/>
  <c r="N52" i="11" s="1"/>
  <c r="F38" i="34"/>
  <c r="J18" i="45" l="1"/>
  <c r="N9" i="11"/>
  <c r="N57" i="38"/>
  <c r="N57" i="11" s="1"/>
  <c r="N62" i="11" s="1"/>
  <c r="P109" i="9"/>
  <c r="E19" i="34"/>
  <c r="F19" i="34" s="1"/>
  <c r="C7" i="37"/>
  <c r="D38" i="34"/>
  <c r="D8" i="37"/>
  <c r="C24" i="37"/>
  <c r="D24" i="37" s="1"/>
  <c r="E24" i="37"/>
  <c r="L69" i="38"/>
  <c r="O6" i="11"/>
  <c r="N62" i="38" l="1"/>
  <c r="K69" i="38"/>
  <c r="N6" i="11"/>
  <c r="C23" i="37"/>
  <c r="D23" i="37" s="1"/>
  <c r="E23" i="37"/>
  <c r="D7" i="37"/>
  <c r="H186" i="32"/>
  <c r="Q186" i="39" s="1"/>
  <c r="H187" i="32"/>
  <c r="H188" i="32"/>
  <c r="H189" i="32"/>
  <c r="Q189" i="39" s="1"/>
  <c r="H190" i="32"/>
  <c r="Q190" i="39" s="1"/>
  <c r="H191" i="32"/>
  <c r="Q191" i="39" s="1"/>
  <c r="H192" i="32"/>
  <c r="Q192" i="39" s="1"/>
  <c r="H193" i="32"/>
  <c r="Q193" i="39" s="1"/>
  <c r="H194" i="32"/>
  <c r="Q194" i="39" s="1"/>
  <c r="H198" i="32"/>
  <c r="Q198" i="39" s="1"/>
  <c r="H199" i="32"/>
  <c r="Q199" i="39" s="1"/>
  <c r="H200" i="32"/>
  <c r="Q200" i="39" s="1"/>
  <c r="H201" i="32"/>
  <c r="Q201" i="39" s="1"/>
  <c r="H202" i="32"/>
  <c r="Q202" i="39" s="1"/>
  <c r="H203" i="32"/>
  <c r="Q203" i="39" s="1"/>
  <c r="H204" i="32"/>
  <c r="Q204" i="39" s="1"/>
  <c r="H205" i="32"/>
  <c r="Q205" i="39" s="1"/>
  <c r="H206" i="32"/>
  <c r="Q206" i="39" s="1"/>
  <c r="M186" i="39"/>
  <c r="M187" i="39"/>
  <c r="Q187" i="39"/>
  <c r="M188" i="39"/>
  <c r="Q188" i="39"/>
  <c r="M189" i="39"/>
  <c r="M190" i="39"/>
  <c r="M191" i="39"/>
  <c r="M192" i="39"/>
  <c r="M193" i="39"/>
  <c r="M194" i="39"/>
  <c r="M198" i="39"/>
  <c r="M199" i="39"/>
  <c r="M200" i="39"/>
  <c r="M201" i="39"/>
  <c r="M202" i="39"/>
  <c r="M203" i="39"/>
  <c r="M204" i="39"/>
  <c r="M205" i="39"/>
  <c r="M206" i="39"/>
  <c r="C224" i="32"/>
  <c r="D224" i="32" s="1"/>
  <c r="E224" i="32"/>
  <c r="C224" i="33"/>
  <c r="D224" i="33"/>
  <c r="E224" i="33"/>
  <c r="O220" i="19" l="1"/>
  <c r="Q220" i="19" s="1"/>
  <c r="S220" i="19" s="1"/>
  <c r="D17" i="34" s="1"/>
  <c r="E17" i="34" l="1"/>
  <c r="F17" i="34" s="1"/>
  <c r="D36" i="34"/>
  <c r="L6" i="38"/>
  <c r="L7" i="38" l="1"/>
  <c r="I70" i="38" s="1"/>
  <c r="I69" i="38"/>
  <c r="L6" i="11"/>
  <c r="L7" i="11" s="1"/>
  <c r="C224" i="19"/>
  <c r="D224" i="19" s="1"/>
  <c r="E224" i="19"/>
  <c r="M224" i="19"/>
  <c r="O224" i="19" s="1"/>
  <c r="C225" i="19"/>
  <c r="E225" i="19"/>
  <c r="O225" i="19"/>
  <c r="D225" i="19" l="1"/>
  <c r="C226" i="19"/>
  <c r="D226" i="19" s="1"/>
  <c r="E226" i="19"/>
  <c r="O226" i="19"/>
  <c r="B228" i="19"/>
  <c r="C229" i="19"/>
  <c r="P224" i="32"/>
  <c r="P224" i="33"/>
  <c r="Q224" i="19"/>
  <c r="P225" i="32" l="1"/>
  <c r="P225" i="33"/>
  <c r="Q225" i="19"/>
  <c r="P226" i="32"/>
  <c r="P226" i="33"/>
  <c r="Q226" i="19"/>
  <c r="D17" i="9" l="1"/>
  <c r="E17" i="9"/>
  <c r="D21" i="9" l="1"/>
  <c r="E21" i="9"/>
  <c r="G21" i="9"/>
  <c r="F21" i="9" s="1"/>
  <c r="G44" i="9"/>
  <c r="G62" i="9" s="1"/>
  <c r="G80" i="9" l="1"/>
  <c r="J91" i="44" l="1"/>
  <c r="G87" i="9"/>
  <c r="H94" i="9" l="1"/>
  <c r="K94" i="9"/>
  <c r="K80" i="9" s="1"/>
  <c r="O94" i="9"/>
  <c r="O80" i="9" s="1"/>
  <c r="L94" i="9"/>
  <c r="L80" i="9" s="1"/>
  <c r="I94" i="9"/>
  <c r="I80" i="9" s="1"/>
  <c r="M94" i="9"/>
  <c r="M80" i="9" s="1"/>
  <c r="J94" i="9"/>
  <c r="J80" i="9" s="1"/>
  <c r="N94" i="9"/>
  <c r="N80" i="9" s="1"/>
  <c r="N21" i="9" l="1"/>
  <c r="H91" i="44"/>
  <c r="H99" i="44" s="1"/>
  <c r="N114" i="9" s="1"/>
  <c r="F16" i="18"/>
  <c r="F91" i="44"/>
  <c r="F99" i="44" s="1"/>
  <c r="L114" i="9" s="1"/>
  <c r="D16" i="18" s="1"/>
  <c r="L21" i="9"/>
  <c r="D91" i="44"/>
  <c r="D99" i="44" s="1"/>
  <c r="J114" i="9" s="1"/>
  <c r="B16" i="18" s="1"/>
  <c r="H50" i="18"/>
  <c r="J21" i="9"/>
  <c r="I91" i="44"/>
  <c r="I99" i="44" s="1"/>
  <c r="O114" i="9" s="1"/>
  <c r="O21" i="9"/>
  <c r="I81" i="37" s="1"/>
  <c r="G91" i="44"/>
  <c r="G99" i="44" s="1"/>
  <c r="M114" i="9" s="1"/>
  <c r="E16" i="18" s="1"/>
  <c r="M21" i="9"/>
  <c r="G81" i="37" s="1"/>
  <c r="K21" i="9"/>
  <c r="E91" i="44"/>
  <c r="E99" i="44" s="1"/>
  <c r="K114" i="9" s="1"/>
  <c r="C16" i="18" s="1"/>
  <c r="C91" i="44"/>
  <c r="C99" i="44" s="1"/>
  <c r="I114" i="9" s="1"/>
  <c r="I21" i="9"/>
  <c r="P94" i="9"/>
  <c r="H80" i="9"/>
  <c r="C39" i="18" l="1"/>
  <c r="C154" i="37"/>
  <c r="C50" i="18"/>
  <c r="D81" i="37"/>
  <c r="H39" i="18"/>
  <c r="G109" i="37"/>
  <c r="G133" i="37"/>
  <c r="E202" i="37" s="1"/>
  <c r="P38" i="38"/>
  <c r="E174" i="37"/>
  <c r="D154" i="37"/>
  <c r="D39" i="18"/>
  <c r="D50" i="18"/>
  <c r="P80" i="9"/>
  <c r="J109" i="37" s="1"/>
  <c r="J124" i="37" s="1"/>
  <c r="B91" i="44"/>
  <c r="B99" i="44" s="1"/>
  <c r="H21" i="9"/>
  <c r="E50" i="18"/>
  <c r="E154" i="37"/>
  <c r="E39" i="18"/>
  <c r="F39" i="18"/>
  <c r="F50" i="18"/>
  <c r="F154" i="37"/>
  <c r="E81" i="37"/>
  <c r="P48" i="38"/>
  <c r="I133" i="37"/>
  <c r="I109" i="37"/>
  <c r="I124" i="37" s="1"/>
  <c r="B50" i="18"/>
  <c r="B154" i="37"/>
  <c r="G16" i="18"/>
  <c r="B39" i="18"/>
  <c r="C81" i="37"/>
  <c r="F81" i="37"/>
  <c r="H81" i="37"/>
  <c r="G124" i="37" l="1"/>
  <c r="R109" i="37"/>
  <c r="H133" i="37"/>
  <c r="F202" i="37" s="1"/>
  <c r="P43" i="38"/>
  <c r="H109" i="37"/>
  <c r="H124" i="37" s="1"/>
  <c r="F174" i="37"/>
  <c r="F194" i="37" s="1"/>
  <c r="D133" i="37"/>
  <c r="B202" i="37" s="1"/>
  <c r="P23" i="38"/>
  <c r="D109" i="37"/>
  <c r="D124" i="37" s="1"/>
  <c r="B174" i="37"/>
  <c r="F133" i="37"/>
  <c r="D202" i="37" s="1"/>
  <c r="P33" i="38"/>
  <c r="F109" i="37"/>
  <c r="F124" i="37" s="1"/>
  <c r="D174" i="37"/>
  <c r="P24" i="38"/>
  <c r="G154" i="37"/>
  <c r="P21" i="9"/>
  <c r="Q21" i="9" s="1"/>
  <c r="C109" i="37"/>
  <c r="C124" i="37" s="1"/>
  <c r="C133" i="37"/>
  <c r="P19" i="38"/>
  <c r="E133" i="37"/>
  <c r="C202" i="37" s="1"/>
  <c r="E109" i="37"/>
  <c r="E124" i="37" s="1"/>
  <c r="P28" i="38"/>
  <c r="C174" i="37"/>
  <c r="C194" i="37" s="1"/>
  <c r="J99" i="44"/>
  <c r="H114" i="9"/>
  <c r="P114" i="9" s="1"/>
  <c r="P34" i="38"/>
  <c r="D194" i="37"/>
  <c r="P29" i="38"/>
  <c r="G50" i="18"/>
  <c r="G39" i="18"/>
  <c r="M100" i="38"/>
  <c r="P38" i="11"/>
  <c r="P48" i="11"/>
  <c r="M110" i="38"/>
  <c r="P44" i="38"/>
  <c r="P39" i="38"/>
  <c r="E194" i="37"/>
  <c r="M81" i="38" l="1"/>
  <c r="P19" i="11"/>
  <c r="G174" i="37"/>
  <c r="M101" i="38"/>
  <c r="P39" i="11"/>
  <c r="M90" i="38"/>
  <c r="P28" i="11"/>
  <c r="B194" i="37"/>
  <c r="M91" i="38"/>
  <c r="P29" i="11"/>
  <c r="P10" i="38"/>
  <c r="G194" i="37"/>
  <c r="M95" i="38"/>
  <c r="P33" i="11"/>
  <c r="M85" i="38"/>
  <c r="P23" i="11"/>
  <c r="M105" i="38"/>
  <c r="P43" i="11"/>
  <c r="M96" i="38"/>
  <c r="P34" i="11"/>
  <c r="M106" i="38"/>
  <c r="P44" i="11"/>
  <c r="G114" i="9"/>
  <c r="B107" i="44"/>
  <c r="C107" i="44" s="1"/>
  <c r="R224" i="19" s="1"/>
  <c r="B81" i="37"/>
  <c r="P24" i="11"/>
  <c r="M86" i="38"/>
  <c r="P53" i="38"/>
  <c r="G202" i="37"/>
  <c r="D22" i="9"/>
  <c r="E22" i="9" s="1"/>
  <c r="G22" i="9"/>
  <c r="G45" i="9" s="1"/>
  <c r="G63" i="9" s="1"/>
  <c r="P58" i="38" l="1"/>
  <c r="P58" i="11" s="1"/>
  <c r="P10" i="11"/>
  <c r="P53" i="11"/>
  <c r="P63" i="11" s="1"/>
  <c r="S224" i="19"/>
  <c r="D21" i="34" s="1"/>
  <c r="R224" i="33"/>
  <c r="R224" i="32"/>
  <c r="M115" i="38"/>
  <c r="P15" i="38"/>
  <c r="B109" i="37"/>
  <c r="B124" i="37" s="1"/>
  <c r="J81" i="37"/>
  <c r="B133" i="37"/>
  <c r="J133" i="37" s="1"/>
  <c r="F22" i="9"/>
  <c r="G81" i="9"/>
  <c r="J9" i="45" l="1"/>
  <c r="J19" i="45" s="1"/>
  <c r="P9" i="38"/>
  <c r="M77" i="38"/>
  <c r="M114" i="38" s="1"/>
  <c r="P15" i="11"/>
  <c r="P52" i="11" s="1"/>
  <c r="P52" i="38"/>
  <c r="D40" i="34"/>
  <c r="B25" i="37"/>
  <c r="P6" i="38"/>
  <c r="P63" i="38"/>
  <c r="J92" i="44"/>
  <c r="G88" i="9"/>
  <c r="P7" i="38" l="1"/>
  <c r="M70" i="38" s="1"/>
  <c r="M69" i="38"/>
  <c r="P6" i="11"/>
  <c r="C9" i="37"/>
  <c r="D9" i="37" s="1"/>
  <c r="C25" i="37"/>
  <c r="D25" i="37" s="1"/>
  <c r="E25" i="37"/>
  <c r="G9" i="45"/>
  <c r="G19" i="45" s="1"/>
  <c r="M72" i="38"/>
  <c r="P57" i="38"/>
  <c r="P57" i="11" s="1"/>
  <c r="P62" i="11" s="1"/>
  <c r="P9" i="11"/>
  <c r="I95" i="9"/>
  <c r="I81" i="9" s="1"/>
  <c r="M95" i="9"/>
  <c r="M81" i="9" s="1"/>
  <c r="J95" i="9"/>
  <c r="J81" i="9" s="1"/>
  <c r="N95" i="9"/>
  <c r="N81" i="9" s="1"/>
  <c r="K95" i="9"/>
  <c r="K81" i="9" s="1"/>
  <c r="O95" i="9"/>
  <c r="O81" i="9" s="1"/>
  <c r="H95" i="9"/>
  <c r="L95" i="9"/>
  <c r="L81" i="9" s="1"/>
  <c r="P62" i="38" l="1"/>
  <c r="E92" i="44"/>
  <c r="E100" i="44" s="1"/>
  <c r="K115" i="9" s="1"/>
  <c r="C17" i="18" s="1"/>
  <c r="K22" i="9"/>
  <c r="F92" i="44"/>
  <c r="F100" i="44" s="1"/>
  <c r="L115" i="9" s="1"/>
  <c r="D17" i="18" s="1"/>
  <c r="L22" i="9"/>
  <c r="H92" i="44"/>
  <c r="H100" i="44" s="1"/>
  <c r="N115" i="9" s="1"/>
  <c r="F17" i="18" s="1"/>
  <c r="N22" i="9"/>
  <c r="H81" i="9"/>
  <c r="P95" i="9"/>
  <c r="D92" i="44"/>
  <c r="D100" i="44" s="1"/>
  <c r="J115" i="9" s="1"/>
  <c r="B17" i="18" s="1"/>
  <c r="J22" i="9"/>
  <c r="H51" i="18"/>
  <c r="I92" i="44"/>
  <c r="I100" i="44" s="1"/>
  <c r="O115" i="9" s="1"/>
  <c r="O22" i="9"/>
  <c r="I82" i="37" s="1"/>
  <c r="G92" i="44"/>
  <c r="G100" i="44" s="1"/>
  <c r="M115" i="9" s="1"/>
  <c r="E17" i="18" s="1"/>
  <c r="M22" i="9"/>
  <c r="G82" i="37" s="1"/>
  <c r="C92" i="44"/>
  <c r="C100" i="44" s="1"/>
  <c r="I115" i="9" s="1"/>
  <c r="I22" i="9"/>
  <c r="F82" i="37" l="1"/>
  <c r="D175" i="37" s="1"/>
  <c r="E155" i="37"/>
  <c r="Q39" i="38" s="1"/>
  <c r="E40" i="18"/>
  <c r="E51" i="18"/>
  <c r="F155" i="37"/>
  <c r="Q44" i="38" s="1"/>
  <c r="F40" i="18"/>
  <c r="F51" i="18"/>
  <c r="C155" i="37"/>
  <c r="Q29" i="38" s="1"/>
  <c r="C51" i="18"/>
  <c r="C40" i="18"/>
  <c r="I110" i="37"/>
  <c r="I125" i="37" s="1"/>
  <c r="I134" i="37"/>
  <c r="Q48" i="38"/>
  <c r="D82" i="37"/>
  <c r="H40" i="18"/>
  <c r="F134" i="37"/>
  <c r="D203" i="37" s="1"/>
  <c r="H82" i="37"/>
  <c r="G110" i="37"/>
  <c r="G134" i="37"/>
  <c r="E203" i="37" s="1"/>
  <c r="E175" i="37"/>
  <c r="Q38" i="38"/>
  <c r="C82" i="37"/>
  <c r="B155" i="37"/>
  <c r="Q24" i="38" s="1"/>
  <c r="B40" i="18"/>
  <c r="G17" i="18"/>
  <c r="B51" i="18"/>
  <c r="B92" i="44"/>
  <c r="B100" i="44" s="1"/>
  <c r="H22" i="9"/>
  <c r="P81" i="9"/>
  <c r="J110" i="37" s="1"/>
  <c r="J125" i="37" s="1"/>
  <c r="D155" i="37"/>
  <c r="D51" i="18"/>
  <c r="D40" i="18"/>
  <c r="E82" i="37"/>
  <c r="G125" i="37" l="1"/>
  <c r="R110" i="37"/>
  <c r="F110" i="37"/>
  <c r="F125" i="37" s="1"/>
  <c r="Q33" i="38"/>
  <c r="D195" i="37"/>
  <c r="Q34" i="38"/>
  <c r="N96" i="38" s="1"/>
  <c r="J100" i="44"/>
  <c r="H115" i="9"/>
  <c r="P115" i="9" s="1"/>
  <c r="C110" i="37"/>
  <c r="C125" i="37" s="1"/>
  <c r="C134" i="37"/>
  <c r="Q19" i="38"/>
  <c r="N110" i="38"/>
  <c r="Q48" i="11"/>
  <c r="Z48" i="11" s="1"/>
  <c r="N100" i="38"/>
  <c r="Q38" i="11"/>
  <c r="Z38" i="11" s="1"/>
  <c r="H110" i="37"/>
  <c r="H125" i="37" s="1"/>
  <c r="H134" i="37"/>
  <c r="F203" i="37" s="1"/>
  <c r="F175" i="37"/>
  <c r="F195" i="37" s="1"/>
  <c r="Q43" i="38"/>
  <c r="E110" i="37"/>
  <c r="E125" i="37" s="1"/>
  <c r="E134" i="37"/>
  <c r="C203" i="37" s="1"/>
  <c r="Q28" i="38"/>
  <c r="C175" i="37"/>
  <c r="C195" i="37" s="1"/>
  <c r="G51" i="18"/>
  <c r="G40" i="18"/>
  <c r="B82" i="37"/>
  <c r="P22" i="9"/>
  <c r="Q22" i="9" s="1"/>
  <c r="N95" i="38"/>
  <c r="Q33" i="11"/>
  <c r="Z33" i="11" s="1"/>
  <c r="G155" i="37"/>
  <c r="N101" i="38"/>
  <c r="Q39" i="11"/>
  <c r="Z39" i="11" s="1"/>
  <c r="D110" i="37"/>
  <c r="D125" i="37" s="1"/>
  <c r="D134" i="37"/>
  <c r="B203" i="37" s="1"/>
  <c r="B175" i="37"/>
  <c r="B195" i="37" s="1"/>
  <c r="Q23" i="38"/>
  <c r="E195" i="37"/>
  <c r="Q34" i="11" l="1"/>
  <c r="Z34" i="11" s="1"/>
  <c r="N81" i="38"/>
  <c r="Q19" i="11"/>
  <c r="Z19" i="11" s="1"/>
  <c r="B108" i="44"/>
  <c r="C108" i="44" s="1"/>
  <c r="R225" i="19" s="1"/>
  <c r="G115" i="9"/>
  <c r="Q10" i="38"/>
  <c r="B110" i="37"/>
  <c r="B125" i="37" s="1"/>
  <c r="B134" i="37"/>
  <c r="J134" i="37" s="1"/>
  <c r="J82" i="37"/>
  <c r="Q15" i="38"/>
  <c r="N90" i="38"/>
  <c r="Q28" i="11"/>
  <c r="Z28" i="11" s="1"/>
  <c r="N105" i="38"/>
  <c r="Q43" i="11"/>
  <c r="Z43" i="11" s="1"/>
  <c r="N85" i="38"/>
  <c r="Q23" i="11"/>
  <c r="Z23" i="11" s="1"/>
  <c r="N91" i="38"/>
  <c r="Q29" i="11"/>
  <c r="Z29" i="11" s="1"/>
  <c r="G175" i="37"/>
  <c r="G195" i="37" s="1"/>
  <c r="N106" i="38"/>
  <c r="Q44" i="11"/>
  <c r="Z44" i="11" s="1"/>
  <c r="G203" i="37"/>
  <c r="Q9" i="38" l="1"/>
  <c r="J10" i="45"/>
  <c r="J20" i="45" s="1"/>
  <c r="Q53" i="38"/>
  <c r="N86" i="38"/>
  <c r="N115" i="38" s="1"/>
  <c r="Q24" i="11"/>
  <c r="R225" i="32"/>
  <c r="R225" i="33"/>
  <c r="S225" i="19"/>
  <c r="D22" i="34" s="1"/>
  <c r="Q52" i="38"/>
  <c r="N77" i="38"/>
  <c r="N114" i="38" s="1"/>
  <c r="Q15" i="11"/>
  <c r="Q58" i="38"/>
  <c r="Q58" i="11" s="1"/>
  <c r="Q10" i="11"/>
  <c r="Q68" i="11" l="1"/>
  <c r="Z58" i="11"/>
  <c r="Z68" i="11" s="1"/>
  <c r="D41" i="34"/>
  <c r="B26" i="37"/>
  <c r="Q6" i="38"/>
  <c r="Q52" i="11"/>
  <c r="Z15" i="11"/>
  <c r="Q63" i="38"/>
  <c r="Q53" i="11"/>
  <c r="Z24" i="11"/>
  <c r="Q57" i="38"/>
  <c r="Q57" i="11" s="1"/>
  <c r="N72" i="38"/>
  <c r="Q9" i="11"/>
  <c r="Z9" i="11" s="1"/>
  <c r="Q62" i="38" l="1"/>
  <c r="Q7" i="38"/>
  <c r="N70" i="38" s="1"/>
  <c r="N69" i="38"/>
  <c r="Q6" i="11"/>
  <c r="Z6" i="11" s="1"/>
  <c r="Q67" i="11"/>
  <c r="Z57" i="11"/>
  <c r="Z67" i="11" s="1"/>
  <c r="E26" i="37"/>
  <c r="C26" i="37"/>
  <c r="D26" i="37" s="1"/>
  <c r="G10" i="45"/>
  <c r="G20" i="45" s="1"/>
  <c r="Q63" i="11"/>
  <c r="Z53" i="11"/>
  <c r="Z63" i="11" s="1"/>
  <c r="Q62" i="11"/>
  <c r="Z52" i="11"/>
  <c r="Z62" i="11" l="1"/>
  <c r="D23" i="9"/>
  <c r="E23" i="9"/>
  <c r="G23" i="9"/>
  <c r="F23" i="9" s="1"/>
  <c r="G46" i="9"/>
  <c r="G64" i="9" s="1"/>
  <c r="G82" i="9"/>
  <c r="J93" i="44" s="1"/>
  <c r="L230" i="19" l="1"/>
  <c r="G89" i="9"/>
  <c r="L96" i="9"/>
  <c r="L82" i="9" s="1"/>
  <c r="I96" i="9"/>
  <c r="I82" i="9" s="1"/>
  <c r="M96" i="9"/>
  <c r="M82" i="9" s="1"/>
  <c r="N96" i="9"/>
  <c r="N82" i="9" s="1"/>
  <c r="L231" i="19"/>
  <c r="K96" i="9" l="1"/>
  <c r="K82" i="9" s="1"/>
  <c r="O96" i="9"/>
  <c r="O82" i="9" s="1"/>
  <c r="J96" i="9"/>
  <c r="J82" i="9" s="1"/>
  <c r="H52" i="18" s="1"/>
  <c r="H96" i="9"/>
  <c r="P96" i="9" s="1"/>
  <c r="D93" i="44"/>
  <c r="D101" i="44" s="1"/>
  <c r="J116" i="9" s="1"/>
  <c r="B18" i="18" s="1"/>
  <c r="H82" i="9"/>
  <c r="G93" i="44"/>
  <c r="G101" i="44" s="1"/>
  <c r="M116" i="9" s="1"/>
  <c r="M23" i="9"/>
  <c r="E18" i="18"/>
  <c r="C93" i="44"/>
  <c r="C101" i="44" s="1"/>
  <c r="I116" i="9" s="1"/>
  <c r="I23" i="9"/>
  <c r="H93" i="44"/>
  <c r="H101" i="44" s="1"/>
  <c r="N116" i="9" s="1"/>
  <c r="F18" i="18" s="1"/>
  <c r="N23" i="9"/>
  <c r="F93" i="44"/>
  <c r="F101" i="44" s="1"/>
  <c r="L116" i="9" s="1"/>
  <c r="L23" i="9"/>
  <c r="F83" i="37" s="1"/>
  <c r="D18" i="18"/>
  <c r="J23" i="9" l="1"/>
  <c r="O23" i="9"/>
  <c r="I93" i="44"/>
  <c r="I101" i="44" s="1"/>
  <c r="O116" i="9" s="1"/>
  <c r="C83" i="37"/>
  <c r="C135" i="37" s="1"/>
  <c r="E93" i="44"/>
  <c r="E101" i="44" s="1"/>
  <c r="K116" i="9" s="1"/>
  <c r="C18" i="18" s="1"/>
  <c r="K23" i="9"/>
  <c r="E83" i="37" s="1"/>
  <c r="F156" i="37"/>
  <c r="R44" i="38" s="1"/>
  <c r="F52" i="18"/>
  <c r="F41" i="18"/>
  <c r="B156" i="37"/>
  <c r="R24" i="38" s="1"/>
  <c r="G18" i="18"/>
  <c r="B52" i="18"/>
  <c r="B41" i="18"/>
  <c r="E156" i="37"/>
  <c r="R39" i="38" s="1"/>
  <c r="E41" i="18"/>
  <c r="E52" i="18"/>
  <c r="G83" i="37"/>
  <c r="D176" i="37"/>
  <c r="F111" i="37"/>
  <c r="F126" i="37" s="1"/>
  <c r="R33" i="38"/>
  <c r="F135" i="37"/>
  <c r="D204" i="37" s="1"/>
  <c r="H83" i="37"/>
  <c r="R19" i="38"/>
  <c r="D83" i="37"/>
  <c r="H41" i="18"/>
  <c r="D156" i="37"/>
  <c r="R34" i="38" s="1"/>
  <c r="D52" i="18"/>
  <c r="D41" i="18"/>
  <c r="B93" i="44"/>
  <c r="B101" i="44" s="1"/>
  <c r="H23" i="9"/>
  <c r="P82" i="9"/>
  <c r="J111" i="37" s="1"/>
  <c r="J126" i="37" s="1"/>
  <c r="C111" i="37" l="1"/>
  <c r="C126" i="37" s="1"/>
  <c r="C176" i="37"/>
  <c r="E111" i="37"/>
  <c r="E126" i="37" s="1"/>
  <c r="E135" i="37"/>
  <c r="C204" i="37" s="1"/>
  <c r="R28" i="38"/>
  <c r="I83" i="37"/>
  <c r="C156" i="37"/>
  <c r="C52" i="18"/>
  <c r="C41" i="18"/>
  <c r="D196" i="37"/>
  <c r="P23" i="9"/>
  <c r="Q23" i="9" s="1"/>
  <c r="O95" i="38"/>
  <c r="R33" i="11"/>
  <c r="AA33" i="11" s="1"/>
  <c r="G52" i="18"/>
  <c r="G41" i="18"/>
  <c r="J91" i="38"/>
  <c r="M29" i="11"/>
  <c r="J101" i="44"/>
  <c r="H116" i="9"/>
  <c r="P116" i="9" s="1"/>
  <c r="H135" i="37"/>
  <c r="F204" i="37" s="1"/>
  <c r="F176" i="37"/>
  <c r="F196" i="37" s="1"/>
  <c r="H111" i="37"/>
  <c r="H126" i="37" s="1"/>
  <c r="R43" i="38"/>
  <c r="D135" i="37"/>
  <c r="B204" i="37" s="1"/>
  <c r="B176" i="37"/>
  <c r="D111" i="37"/>
  <c r="D126" i="37" s="1"/>
  <c r="R23" i="38"/>
  <c r="O81" i="38"/>
  <c r="R19" i="11"/>
  <c r="AA19" i="11" s="1"/>
  <c r="O96" i="38"/>
  <c r="R34" i="11"/>
  <c r="AA34" i="11" s="1"/>
  <c r="G135" i="37"/>
  <c r="E204" i="37" s="1"/>
  <c r="R38" i="38"/>
  <c r="E176" i="37"/>
  <c r="E196" i="37" s="1"/>
  <c r="G111" i="37"/>
  <c r="G126" i="37" l="1"/>
  <c r="R111" i="37"/>
  <c r="G176" i="37"/>
  <c r="B83" i="37"/>
  <c r="R15" i="38" s="1"/>
  <c r="R29" i="38"/>
  <c r="C196" i="37"/>
  <c r="I111" i="37"/>
  <c r="I126" i="37" s="1"/>
  <c r="I135" i="37"/>
  <c r="R48" i="38"/>
  <c r="G156" i="37"/>
  <c r="R10" i="38" s="1"/>
  <c r="R28" i="11"/>
  <c r="AA28" i="11" s="1"/>
  <c r="O90" i="38"/>
  <c r="B196" i="37"/>
  <c r="O101" i="38"/>
  <c r="R39" i="11"/>
  <c r="AA39" i="11" s="1"/>
  <c r="G204" i="37"/>
  <c r="O106" i="38"/>
  <c r="R44" i="11"/>
  <c r="AA44" i="11" s="1"/>
  <c r="J83" i="37"/>
  <c r="B111" i="37"/>
  <c r="B126" i="37" s="1"/>
  <c r="B135" i="37"/>
  <c r="J135" i="37" s="1"/>
  <c r="O100" i="38"/>
  <c r="R38" i="11"/>
  <c r="AA38" i="11" s="1"/>
  <c r="O85" i="38"/>
  <c r="R23" i="11"/>
  <c r="AA23" i="11" s="1"/>
  <c r="O105" i="38"/>
  <c r="R43" i="11"/>
  <c r="AA43" i="11" s="1"/>
  <c r="J101" i="38"/>
  <c r="M39" i="11"/>
  <c r="M53" i="38"/>
  <c r="M63" i="38" s="1"/>
  <c r="J86" i="38"/>
  <c r="M24" i="11"/>
  <c r="J106" i="38"/>
  <c r="J115" i="38" s="1"/>
  <c r="M44" i="11"/>
  <c r="J96" i="38"/>
  <c r="M34" i="11"/>
  <c r="B109" i="44"/>
  <c r="C109" i="44" s="1"/>
  <c r="R226" i="19" s="1"/>
  <c r="G116" i="9"/>
  <c r="R230" i="19" s="1"/>
  <c r="S230" i="19" s="1"/>
  <c r="O110" i="38" l="1"/>
  <c r="R48" i="11"/>
  <c r="AA48" i="11" s="1"/>
  <c r="O91" i="38"/>
  <c r="R29" i="11"/>
  <c r="AA29" i="11" s="1"/>
  <c r="G196" i="37"/>
  <c r="R226" i="33"/>
  <c r="R226" i="32"/>
  <c r="S226" i="19"/>
  <c r="D23" i="34" s="1"/>
  <c r="R229" i="19"/>
  <c r="R58" i="38"/>
  <c r="R58" i="11" s="1"/>
  <c r="R10" i="11"/>
  <c r="R9" i="38"/>
  <c r="J11" i="45"/>
  <c r="J21" i="45" s="1"/>
  <c r="M53" i="11"/>
  <c r="M63" i="11" s="1"/>
  <c r="O77" i="38"/>
  <c r="O114" i="38" s="1"/>
  <c r="R52" i="38"/>
  <c r="R15" i="11"/>
  <c r="O86" i="38"/>
  <c r="O115" i="38" s="1"/>
  <c r="R53" i="38"/>
  <c r="R63" i="38" s="1"/>
  <c r="R24" i="11"/>
  <c r="S229" i="19" l="1"/>
  <c r="S231" i="19" s="1"/>
  <c r="R231" i="19"/>
  <c r="R57" i="38"/>
  <c r="R57" i="11" s="1"/>
  <c r="O72" i="38"/>
  <c r="R9" i="11"/>
  <c r="AA9" i="11" s="1"/>
  <c r="B27" i="37"/>
  <c r="R6" i="38"/>
  <c r="D42" i="34"/>
  <c r="AA24" i="11"/>
  <c r="R53" i="11"/>
  <c r="AA15" i="11"/>
  <c r="R52" i="11"/>
  <c r="AA58" i="11"/>
  <c r="AA68" i="11" s="1"/>
  <c r="R68" i="11"/>
  <c r="R62" i="38" l="1"/>
  <c r="AA52" i="11"/>
  <c r="R62" i="11"/>
  <c r="R7" i="38"/>
  <c r="O70" i="38" s="1"/>
  <c r="O69" i="38"/>
  <c r="R6" i="11"/>
  <c r="AA6" i="11" s="1"/>
  <c r="AA57" i="11"/>
  <c r="AA67" i="11" s="1"/>
  <c r="R67" i="11"/>
  <c r="AA53" i="11"/>
  <c r="AA63" i="11" s="1"/>
  <c r="R63" i="11"/>
  <c r="C27" i="37"/>
  <c r="D27" i="37" s="1"/>
  <c r="E27" i="37"/>
  <c r="G11" i="45"/>
  <c r="G21" i="45" s="1"/>
  <c r="AA62" i="11" l="1"/>
  <c r="M107" i="37" l="1"/>
  <c r="N107" i="37"/>
  <c r="O107" i="37"/>
  <c r="P107" i="37"/>
  <c r="Q107" i="37"/>
  <c r="S107" i="37"/>
  <c r="T107" i="37"/>
  <c r="U107" i="37"/>
  <c r="M108" i="37"/>
  <c r="N108" i="37"/>
  <c r="O108" i="37"/>
  <c r="P108" i="37"/>
  <c r="Q108" i="37"/>
  <c r="S108" i="37"/>
  <c r="T108" i="37"/>
  <c r="U108" i="37"/>
  <c r="M109" i="37"/>
  <c r="N109" i="37"/>
  <c r="O109" i="37"/>
  <c r="P109" i="37"/>
  <c r="Q109" i="37"/>
  <c r="S109" i="37"/>
  <c r="T109" i="37"/>
  <c r="U109" i="37"/>
  <c r="M110" i="37"/>
  <c r="N110" i="37"/>
  <c r="O110" i="37"/>
  <c r="P110" i="37"/>
  <c r="Q110" i="37"/>
  <c r="S110" i="37"/>
  <c r="T110" i="37"/>
  <c r="U110" i="37"/>
  <c r="M111" i="37"/>
  <c r="N111" i="37"/>
  <c r="O111" i="37"/>
  <c r="P111" i="37"/>
  <c r="Q111" i="37"/>
  <c r="S111" i="37"/>
  <c r="T111" i="37"/>
  <c r="U111" i="37"/>
  <c r="D134" i="32" l="1"/>
  <c r="H134" i="32"/>
  <c r="I134" i="32"/>
  <c r="J134" i="32"/>
  <c r="D171" i="32"/>
  <c r="H171" i="32"/>
  <c r="I171" i="32"/>
  <c r="J171" i="32"/>
  <c r="D172" i="32"/>
  <c r="H172" i="32"/>
  <c r="I172" i="32"/>
  <c r="J172" i="32"/>
  <c r="D173" i="32"/>
  <c r="H173" i="32"/>
  <c r="I173" i="32"/>
  <c r="J173" i="32"/>
  <c r="B183" i="32"/>
  <c r="D183" i="32"/>
  <c r="H183" i="32"/>
  <c r="B184" i="32"/>
  <c r="D184" i="32"/>
  <c r="H184" i="32"/>
  <c r="B185" i="32"/>
  <c r="D185" i="32"/>
  <c r="H185" i="32"/>
  <c r="B195" i="32"/>
  <c r="D195" i="32"/>
  <c r="H195" i="32"/>
  <c r="B196" i="32"/>
  <c r="D196" i="32"/>
  <c r="H196" i="32"/>
  <c r="B197" i="32"/>
  <c r="D197" i="32"/>
  <c r="H197" i="32"/>
  <c r="H208" i="32"/>
  <c r="H220" i="32"/>
  <c r="I220" i="32"/>
  <c r="J220" i="32"/>
  <c r="M220" i="32"/>
  <c r="O220" i="32"/>
  <c r="Q220" i="32"/>
  <c r="S220" i="32"/>
  <c r="H224" i="32"/>
  <c r="I224" i="32"/>
  <c r="J224" i="32"/>
  <c r="M224" i="32"/>
  <c r="O224" i="32"/>
  <c r="Q224" i="32"/>
  <c r="S224" i="32"/>
  <c r="B225" i="32"/>
  <c r="C225" i="32"/>
  <c r="D225" i="32"/>
  <c r="E225" i="32"/>
  <c r="H225" i="32"/>
  <c r="I225" i="32"/>
  <c r="J225" i="32"/>
  <c r="M225" i="32"/>
  <c r="O225" i="32"/>
  <c r="Q225" i="32"/>
  <c r="S225" i="32"/>
  <c r="B226" i="32"/>
  <c r="C226" i="32"/>
  <c r="D226" i="32"/>
  <c r="E226" i="32"/>
  <c r="H226" i="32"/>
  <c r="I226" i="32"/>
  <c r="J226" i="32"/>
  <c r="M226" i="32"/>
  <c r="O226" i="32"/>
  <c r="Q226" i="32"/>
  <c r="S226" i="32"/>
  <c r="B228" i="32"/>
  <c r="H228" i="32"/>
  <c r="I228" i="32"/>
  <c r="H230" i="32"/>
  <c r="I230" i="32"/>
  <c r="D134" i="33"/>
  <c r="H134" i="33"/>
  <c r="I134" i="33"/>
  <c r="J134" i="33"/>
  <c r="D171" i="33"/>
  <c r="H171" i="33"/>
  <c r="I171" i="33"/>
  <c r="D172" i="33"/>
  <c r="H172" i="33"/>
  <c r="I172" i="33"/>
  <c r="D173" i="33"/>
  <c r="H173" i="33"/>
  <c r="I173" i="33"/>
  <c r="B183" i="33"/>
  <c r="D183" i="33"/>
  <c r="H183" i="33"/>
  <c r="I183" i="33"/>
  <c r="B184" i="33"/>
  <c r="D184" i="33"/>
  <c r="H184" i="33"/>
  <c r="I184" i="33"/>
  <c r="B185" i="33"/>
  <c r="D185" i="33"/>
  <c r="H185" i="33"/>
  <c r="I185" i="33"/>
  <c r="B186" i="33"/>
  <c r="D186" i="33"/>
  <c r="H186" i="33"/>
  <c r="I186" i="33"/>
  <c r="B187" i="33"/>
  <c r="D187" i="33"/>
  <c r="H187" i="33"/>
  <c r="I187" i="33"/>
  <c r="B188" i="33"/>
  <c r="D188" i="33"/>
  <c r="H188" i="33"/>
  <c r="I188" i="33"/>
  <c r="B189" i="33"/>
  <c r="D189" i="33"/>
  <c r="H189" i="33"/>
  <c r="I189" i="33"/>
  <c r="B190" i="33"/>
  <c r="D190" i="33"/>
  <c r="H190" i="33"/>
  <c r="I190" i="33"/>
  <c r="B191" i="33"/>
  <c r="D191" i="33"/>
  <c r="H191" i="33"/>
  <c r="I191" i="33"/>
  <c r="B192" i="33"/>
  <c r="D192" i="33"/>
  <c r="H192" i="33"/>
  <c r="I192" i="33"/>
  <c r="B193" i="33"/>
  <c r="D193" i="33"/>
  <c r="H193" i="33"/>
  <c r="I193" i="33"/>
  <c r="B194" i="33"/>
  <c r="D194" i="33"/>
  <c r="H194" i="33"/>
  <c r="I194" i="33"/>
  <c r="B195" i="33"/>
  <c r="D195" i="33"/>
  <c r="H195" i="33"/>
  <c r="I195" i="33"/>
  <c r="B196" i="33"/>
  <c r="D196" i="33"/>
  <c r="H196" i="33"/>
  <c r="I196" i="33"/>
  <c r="B197" i="33"/>
  <c r="D197" i="33"/>
  <c r="H197" i="33"/>
  <c r="I197" i="33"/>
  <c r="B198" i="33"/>
  <c r="D198" i="33"/>
  <c r="H198" i="33"/>
  <c r="I198" i="33"/>
  <c r="B199" i="33"/>
  <c r="D199" i="33"/>
  <c r="H199" i="33"/>
  <c r="I199" i="33"/>
  <c r="B200" i="33"/>
  <c r="D200" i="33"/>
  <c r="H200" i="33"/>
  <c r="I200" i="33"/>
  <c r="B201" i="33"/>
  <c r="D201" i="33"/>
  <c r="H201" i="33"/>
  <c r="I201" i="33"/>
  <c r="B202" i="33"/>
  <c r="D202" i="33"/>
  <c r="H202" i="33"/>
  <c r="I202" i="33"/>
  <c r="B203" i="33"/>
  <c r="D203" i="33"/>
  <c r="H203" i="33"/>
  <c r="I203" i="33"/>
  <c r="B204" i="33"/>
  <c r="D204" i="33"/>
  <c r="H204" i="33"/>
  <c r="I204" i="33"/>
  <c r="B205" i="33"/>
  <c r="D205" i="33"/>
  <c r="H205" i="33"/>
  <c r="I205" i="33"/>
  <c r="B206" i="33"/>
  <c r="D206" i="33"/>
  <c r="H206" i="33"/>
  <c r="I206" i="33"/>
  <c r="H208" i="33"/>
  <c r="H220" i="33"/>
  <c r="I220" i="33"/>
  <c r="J220" i="33"/>
  <c r="M220" i="33"/>
  <c r="O220" i="33"/>
  <c r="Q220" i="33"/>
  <c r="S220" i="33"/>
  <c r="H224" i="33"/>
  <c r="I224" i="33"/>
  <c r="J224" i="33"/>
  <c r="M224" i="33"/>
  <c r="O224" i="33"/>
  <c r="Q224" i="33"/>
  <c r="S224" i="33"/>
  <c r="B225" i="33"/>
  <c r="C225" i="33"/>
  <c r="D225" i="33"/>
  <c r="E225" i="33"/>
  <c r="H225" i="33"/>
  <c r="I225" i="33"/>
  <c r="J225" i="33"/>
  <c r="M225" i="33"/>
  <c r="O225" i="33"/>
  <c r="Q225" i="33"/>
  <c r="S225" i="33"/>
  <c r="B226" i="33"/>
  <c r="C226" i="33"/>
  <c r="D226" i="33"/>
  <c r="E226" i="33"/>
  <c r="H226" i="33"/>
  <c r="I226" i="33"/>
  <c r="J226" i="33"/>
  <c r="M226" i="33"/>
  <c r="O226" i="33"/>
  <c r="Q226" i="33"/>
  <c r="S226" i="33"/>
  <c r="B228" i="33"/>
  <c r="H228" i="33"/>
  <c r="I228" i="33"/>
  <c r="H230" i="33"/>
  <c r="I230" i="33"/>
  <c r="E36" i="34"/>
  <c r="F36" i="34"/>
  <c r="E40" i="34"/>
  <c r="F40" i="34"/>
  <c r="E41" i="34"/>
  <c r="F41" i="34"/>
  <c r="E42" i="34"/>
  <c r="F42" i="34"/>
  <c r="D134" i="39"/>
  <c r="H134" i="39"/>
  <c r="M134" i="39"/>
  <c r="Q134" i="39"/>
  <c r="V134" i="39"/>
  <c r="Z134" i="39"/>
  <c r="D171" i="39"/>
  <c r="H171" i="39"/>
  <c r="M171" i="39"/>
  <c r="Q171" i="39"/>
  <c r="V171" i="39"/>
  <c r="Z171" i="39"/>
  <c r="D172" i="39"/>
  <c r="H172" i="39"/>
  <c r="M172" i="39"/>
  <c r="Q172" i="39"/>
  <c r="V172" i="39"/>
  <c r="Z172" i="39"/>
  <c r="D173" i="39"/>
  <c r="H173" i="39"/>
  <c r="M173" i="39"/>
  <c r="Q173" i="39"/>
  <c r="V173" i="39"/>
  <c r="Z173" i="39"/>
  <c r="B174" i="39"/>
  <c r="D174" i="39"/>
  <c r="H174" i="39"/>
  <c r="B175" i="39"/>
  <c r="D175" i="39"/>
  <c r="H175" i="39"/>
  <c r="B176" i="39"/>
  <c r="D176" i="39"/>
  <c r="H176" i="39"/>
  <c r="B177" i="39"/>
  <c r="D177" i="39"/>
  <c r="H177" i="39"/>
  <c r="B178" i="39"/>
  <c r="D178" i="39"/>
  <c r="H178" i="39"/>
  <c r="B179" i="39"/>
  <c r="D179" i="39"/>
  <c r="H179" i="39"/>
  <c r="B180" i="39"/>
  <c r="D180" i="39"/>
  <c r="H180" i="39"/>
  <c r="B181" i="39"/>
  <c r="D181" i="39"/>
  <c r="H181" i="39"/>
  <c r="B182" i="39"/>
  <c r="D182" i="39"/>
  <c r="H182" i="39"/>
  <c r="B183" i="39"/>
  <c r="D183" i="39"/>
  <c r="H183" i="39"/>
  <c r="K183" i="39"/>
  <c r="M183" i="39"/>
  <c r="Q183" i="39"/>
  <c r="T183" i="39"/>
  <c r="V183" i="39"/>
  <c r="Z183" i="39"/>
  <c r="B184" i="39"/>
  <c r="D184" i="39"/>
  <c r="H184" i="39"/>
  <c r="K184" i="39"/>
  <c r="M184" i="39"/>
  <c r="Q184" i="39"/>
  <c r="T184" i="39"/>
  <c r="V184" i="39"/>
  <c r="Z184" i="39"/>
  <c r="B185" i="39"/>
  <c r="D185" i="39"/>
  <c r="H185" i="39"/>
  <c r="K185" i="39"/>
  <c r="M185" i="39"/>
  <c r="Q185" i="39"/>
  <c r="T185" i="39"/>
  <c r="V185" i="39"/>
  <c r="Z185" i="39"/>
  <c r="B186" i="39"/>
  <c r="D186" i="39"/>
  <c r="H186" i="39"/>
  <c r="T186" i="39"/>
  <c r="V186" i="39"/>
  <c r="Z186" i="39"/>
  <c r="B187" i="39"/>
  <c r="D187" i="39"/>
  <c r="H187" i="39"/>
  <c r="T187" i="39"/>
  <c r="V187" i="39"/>
  <c r="Z187" i="39"/>
  <c r="B188" i="39"/>
  <c r="D188" i="39"/>
  <c r="H188" i="39"/>
  <c r="T188" i="39"/>
  <c r="V188" i="39"/>
  <c r="Z188" i="39"/>
  <c r="B189" i="39"/>
  <c r="D189" i="39"/>
  <c r="H189" i="39"/>
  <c r="T189" i="39"/>
  <c r="V189" i="39"/>
  <c r="Z189" i="39"/>
  <c r="B190" i="39"/>
  <c r="D190" i="39"/>
  <c r="H190" i="39"/>
  <c r="T190" i="39"/>
  <c r="V190" i="39"/>
  <c r="Z190" i="39"/>
  <c r="B191" i="39"/>
  <c r="D191" i="39"/>
  <c r="H191" i="39"/>
  <c r="T191" i="39"/>
  <c r="V191" i="39"/>
  <c r="Z191" i="39"/>
  <c r="B192" i="39"/>
  <c r="D192" i="39"/>
  <c r="H192" i="39"/>
  <c r="T192" i="39"/>
  <c r="V192" i="39"/>
  <c r="Z192" i="39"/>
  <c r="B193" i="39"/>
  <c r="D193" i="39"/>
  <c r="H193" i="39"/>
  <c r="T193" i="39"/>
  <c r="V193" i="39"/>
  <c r="Z193" i="39"/>
  <c r="B194" i="39"/>
  <c r="D194" i="39"/>
  <c r="H194" i="39"/>
  <c r="T194" i="39"/>
  <c r="V194" i="39"/>
  <c r="Z194" i="39"/>
  <c r="B195" i="39"/>
  <c r="D195" i="39"/>
  <c r="H195" i="39"/>
  <c r="K195" i="39"/>
  <c r="M195" i="39"/>
  <c r="Q195" i="39"/>
  <c r="T195" i="39"/>
  <c r="V195" i="39"/>
  <c r="Z195" i="39"/>
  <c r="B196" i="39"/>
  <c r="D196" i="39"/>
  <c r="H196" i="39"/>
  <c r="K196" i="39"/>
  <c r="M196" i="39"/>
  <c r="Q196" i="39"/>
  <c r="T196" i="39"/>
  <c r="V196" i="39"/>
  <c r="Z196" i="39"/>
  <c r="B197" i="39"/>
  <c r="D197" i="39"/>
  <c r="H197" i="39"/>
  <c r="K197" i="39"/>
  <c r="M197" i="39"/>
  <c r="Q197" i="39"/>
  <c r="T197" i="39"/>
  <c r="V197" i="39"/>
  <c r="Z197" i="39"/>
  <c r="B198" i="39"/>
  <c r="D198" i="39"/>
  <c r="H198" i="39"/>
  <c r="T198" i="39"/>
  <c r="V198" i="39"/>
  <c r="Z198" i="39"/>
  <c r="B199" i="39"/>
  <c r="D199" i="39"/>
  <c r="H199" i="39"/>
  <c r="T199" i="39"/>
  <c r="V199" i="39"/>
  <c r="Z199" i="39"/>
  <c r="B200" i="39"/>
  <c r="D200" i="39"/>
  <c r="H200" i="39"/>
  <c r="T200" i="39"/>
  <c r="V200" i="39"/>
  <c r="Z200" i="39"/>
  <c r="B201" i="39"/>
  <c r="D201" i="39"/>
  <c r="H201" i="39"/>
  <c r="T201" i="39"/>
  <c r="V201" i="39"/>
  <c r="Z201" i="39"/>
  <c r="B202" i="39"/>
  <c r="D202" i="39"/>
  <c r="H202" i="39"/>
  <c r="T202" i="39"/>
  <c r="V202" i="39"/>
  <c r="Z202" i="39"/>
  <c r="B203" i="39"/>
  <c r="D203" i="39"/>
  <c r="H203" i="39"/>
  <c r="T203" i="39"/>
  <c r="V203" i="39"/>
  <c r="Z203" i="39"/>
  <c r="B204" i="39"/>
  <c r="D204" i="39"/>
  <c r="H204" i="39"/>
  <c r="T204" i="39"/>
  <c r="V204" i="39"/>
  <c r="Z204" i="39"/>
  <c r="B205" i="39"/>
  <c r="D205" i="39"/>
  <c r="H205" i="39"/>
  <c r="T205" i="39"/>
  <c r="V205" i="39"/>
  <c r="Z205" i="39"/>
  <c r="B206" i="39"/>
  <c r="D206" i="39"/>
  <c r="H206" i="39"/>
  <c r="T206" i="39"/>
  <c r="V206" i="39"/>
  <c r="Z206" i="39"/>
  <c r="D134" i="21"/>
  <c r="I134" i="21"/>
  <c r="J134" i="21"/>
  <c r="K134" i="21"/>
  <c r="D171" i="21"/>
  <c r="I171" i="21"/>
  <c r="D172" i="21"/>
  <c r="I172" i="21"/>
  <c r="D173" i="21"/>
  <c r="I173" i="21"/>
  <c r="D174" i="21"/>
  <c r="I174" i="21"/>
  <c r="D175" i="21"/>
  <c r="I175" i="21"/>
  <c r="D176" i="21"/>
  <c r="I176" i="21"/>
  <c r="D177" i="21"/>
  <c r="I177" i="21"/>
  <c r="D178" i="21"/>
  <c r="I178" i="21"/>
  <c r="D179" i="21"/>
  <c r="I179" i="21"/>
  <c r="D180" i="21"/>
  <c r="I180" i="21"/>
  <c r="D181" i="21"/>
  <c r="I181" i="21"/>
  <c r="D182" i="21"/>
  <c r="I182" i="21"/>
  <c r="D183" i="21"/>
  <c r="I183" i="21"/>
  <c r="D184" i="21"/>
  <c r="I184" i="21"/>
  <c r="D185" i="21"/>
  <c r="I185" i="21"/>
  <c r="D186" i="21"/>
  <c r="I186" i="21"/>
  <c r="D187" i="21"/>
  <c r="I187" i="21"/>
  <c r="D188" i="21"/>
  <c r="I188" i="21"/>
  <c r="D189" i="21"/>
  <c r="I189" i="21"/>
  <c r="D190" i="21"/>
  <c r="I190" i="21"/>
  <c r="D191" i="21"/>
  <c r="I191" i="21"/>
  <c r="D192" i="21"/>
  <c r="I192" i="21"/>
  <c r="D193" i="21"/>
  <c r="I193" i="21"/>
  <c r="D194" i="21"/>
  <c r="I194" i="21"/>
  <c r="D195" i="21"/>
  <c r="I195" i="21"/>
  <c r="D196" i="21"/>
  <c r="I196" i="21"/>
  <c r="D197" i="21"/>
  <c r="I197" i="21"/>
  <c r="D198" i="21"/>
  <c r="I198" i="21"/>
  <c r="D199" i="21"/>
  <c r="I199" i="21"/>
  <c r="D200" i="21"/>
  <c r="I200" i="21"/>
  <c r="D201" i="21"/>
  <c r="I201" i="21"/>
  <c r="D202" i="21"/>
  <c r="I202" i="21"/>
  <c r="D203" i="21"/>
  <c r="I203" i="21"/>
  <c r="D204" i="21"/>
  <c r="I204" i="21"/>
  <c r="D205" i="21"/>
  <c r="I205" i="21"/>
  <c r="D206" i="21"/>
  <c r="I206" i="21"/>
  <c r="I208" i="21"/>
  <c r="I220" i="21"/>
  <c r="J220" i="21"/>
  <c r="K220" i="21"/>
  <c r="B224" i="21"/>
  <c r="C224" i="21"/>
  <c r="D224" i="21"/>
  <c r="E224" i="21"/>
  <c r="I224" i="21"/>
  <c r="J224" i="21"/>
  <c r="K224" i="21"/>
  <c r="B225" i="21"/>
  <c r="C225" i="21"/>
  <c r="D225" i="21"/>
  <c r="E225" i="21"/>
  <c r="I225" i="21"/>
  <c r="J225" i="21"/>
  <c r="K225" i="21"/>
  <c r="B226" i="21"/>
  <c r="C226" i="21"/>
  <c r="D226" i="21"/>
  <c r="E226" i="21"/>
  <c r="I226" i="21"/>
  <c r="J226" i="21"/>
  <c r="K226" i="21"/>
  <c r="B228" i="21"/>
  <c r="I228" i="21"/>
  <c r="J228" i="21"/>
  <c r="I230" i="21"/>
  <c r="J230" i="21"/>
  <c r="D134" i="22"/>
  <c r="I134" i="22"/>
  <c r="J134" i="22"/>
  <c r="K134" i="22"/>
  <c r="D171" i="22"/>
  <c r="I171" i="22"/>
  <c r="D172" i="22"/>
  <c r="I172" i="22"/>
  <c r="D173" i="22"/>
  <c r="I173" i="22"/>
  <c r="D174" i="22"/>
  <c r="I174" i="22"/>
  <c r="D175" i="22"/>
  <c r="I175" i="22"/>
  <c r="D176" i="22"/>
  <c r="I176" i="22"/>
  <c r="D177" i="22"/>
  <c r="I177" i="22"/>
  <c r="D178" i="22"/>
  <c r="I178" i="22"/>
  <c r="D179" i="22"/>
  <c r="I179" i="22"/>
  <c r="D180" i="22"/>
  <c r="I180" i="22"/>
  <c r="D181" i="22"/>
  <c r="I181" i="22"/>
  <c r="D182" i="22"/>
  <c r="I182" i="22"/>
  <c r="D183" i="22"/>
  <c r="I183" i="22"/>
  <c r="D184" i="22"/>
  <c r="I184" i="22"/>
  <c r="D185" i="22"/>
  <c r="I185" i="22"/>
  <c r="D186" i="22"/>
  <c r="I186" i="22"/>
  <c r="D187" i="22"/>
  <c r="I187" i="22"/>
  <c r="D188" i="22"/>
  <c r="I188" i="22"/>
  <c r="D189" i="22"/>
  <c r="I189" i="22"/>
  <c r="D190" i="22"/>
  <c r="I190" i="22"/>
  <c r="D191" i="22"/>
  <c r="I191" i="22"/>
  <c r="D192" i="22"/>
  <c r="I192" i="22"/>
  <c r="D193" i="22"/>
  <c r="I193" i="22"/>
  <c r="D194" i="22"/>
  <c r="I194" i="22"/>
  <c r="D195" i="22"/>
  <c r="I195" i="22"/>
  <c r="D196" i="22"/>
  <c r="I196" i="22"/>
  <c r="D197" i="22"/>
  <c r="I197" i="22"/>
  <c r="D198" i="22"/>
  <c r="I198" i="22"/>
  <c r="D199" i="22"/>
  <c r="I199" i="22"/>
  <c r="D200" i="22"/>
  <c r="I200" i="22"/>
  <c r="D201" i="22"/>
  <c r="I201" i="22"/>
  <c r="D202" i="22"/>
  <c r="I202" i="22"/>
  <c r="D203" i="22"/>
  <c r="I203" i="22"/>
  <c r="D204" i="22"/>
  <c r="I204" i="22"/>
  <c r="D205" i="22"/>
  <c r="I205" i="22"/>
  <c r="D206" i="22"/>
  <c r="I206" i="22"/>
  <c r="I208" i="22"/>
  <c r="I220" i="22"/>
  <c r="J220" i="22"/>
  <c r="K220" i="22"/>
  <c r="B224" i="22"/>
  <c r="C224" i="22"/>
  <c r="D224" i="22"/>
  <c r="E224" i="22"/>
  <c r="I224" i="22"/>
  <c r="J224" i="22"/>
  <c r="K224" i="22"/>
  <c r="B225" i="22"/>
  <c r="C225" i="22"/>
  <c r="D225" i="22"/>
  <c r="E225" i="22"/>
  <c r="I225" i="22"/>
  <c r="J225" i="22"/>
  <c r="K225" i="22"/>
  <c r="B226" i="22"/>
  <c r="C226" i="22"/>
  <c r="D226" i="22"/>
  <c r="E226" i="22"/>
  <c r="I226" i="22"/>
  <c r="J226" i="22"/>
  <c r="K226" i="22"/>
  <c r="B228" i="22"/>
  <c r="I228" i="22"/>
  <c r="J228" i="22"/>
  <c r="I230" i="22"/>
  <c r="J230" i="22"/>
  <c r="D134" i="26"/>
  <c r="I134" i="26"/>
  <c r="J134" i="26"/>
  <c r="K134" i="26"/>
  <c r="D171" i="26"/>
  <c r="I171" i="26"/>
  <c r="D172" i="26"/>
  <c r="I172" i="26"/>
  <c r="D173" i="26"/>
  <c r="I173" i="26"/>
  <c r="D174" i="26"/>
  <c r="I174" i="26"/>
  <c r="D175" i="26"/>
  <c r="I175" i="26"/>
  <c r="D176" i="26"/>
  <c r="I176" i="26"/>
  <c r="D177" i="26"/>
  <c r="I177" i="26"/>
  <c r="D178" i="26"/>
  <c r="I178" i="26"/>
  <c r="D179" i="26"/>
  <c r="I179" i="26"/>
  <c r="D180" i="26"/>
  <c r="I180" i="26"/>
  <c r="D181" i="26"/>
  <c r="I181" i="26"/>
  <c r="D182" i="26"/>
  <c r="I182" i="26"/>
  <c r="D183" i="26"/>
  <c r="I183" i="26"/>
  <c r="D184" i="26"/>
  <c r="I184" i="26"/>
  <c r="D185" i="26"/>
  <c r="I185" i="26"/>
  <c r="D186" i="26"/>
  <c r="I186" i="26"/>
  <c r="D187" i="26"/>
  <c r="I187" i="26"/>
  <c r="D188" i="26"/>
  <c r="I188" i="26"/>
  <c r="D189" i="26"/>
  <c r="I189" i="26"/>
  <c r="D190" i="26"/>
  <c r="I190" i="26"/>
  <c r="D191" i="26"/>
  <c r="I191" i="26"/>
  <c r="D192" i="26"/>
  <c r="I192" i="26"/>
  <c r="D193" i="26"/>
  <c r="I193" i="26"/>
  <c r="D194" i="26"/>
  <c r="I194" i="26"/>
  <c r="D195" i="26"/>
  <c r="I195" i="26"/>
  <c r="D196" i="26"/>
  <c r="I196" i="26"/>
  <c r="D197" i="26"/>
  <c r="I197" i="26"/>
  <c r="D198" i="26"/>
  <c r="I198" i="26"/>
  <c r="D199" i="26"/>
  <c r="I199" i="26"/>
  <c r="D200" i="26"/>
  <c r="I200" i="26"/>
  <c r="D201" i="26"/>
  <c r="I201" i="26"/>
  <c r="D202" i="26"/>
  <c r="I202" i="26"/>
  <c r="D203" i="26"/>
  <c r="I203" i="26"/>
  <c r="D204" i="26"/>
  <c r="I204" i="26"/>
  <c r="D205" i="26"/>
  <c r="I205" i="26"/>
  <c r="D206" i="26"/>
  <c r="I206" i="26"/>
  <c r="I208" i="26"/>
  <c r="I220" i="26"/>
  <c r="J220" i="26"/>
  <c r="K220" i="26"/>
  <c r="B224" i="26"/>
  <c r="C224" i="26"/>
  <c r="D224" i="26"/>
  <c r="E224" i="26"/>
  <c r="I224" i="26"/>
  <c r="J224" i="26"/>
  <c r="K224" i="26"/>
  <c r="B225" i="26"/>
  <c r="C225" i="26"/>
  <c r="D225" i="26"/>
  <c r="E225" i="26"/>
  <c r="I225" i="26"/>
  <c r="J225" i="26"/>
  <c r="K225" i="26"/>
  <c r="B226" i="26"/>
  <c r="C226" i="26"/>
  <c r="D226" i="26"/>
  <c r="E226" i="26"/>
  <c r="I226" i="26"/>
  <c r="J226" i="26"/>
  <c r="K226" i="26"/>
  <c r="B228" i="26"/>
  <c r="I228" i="26"/>
  <c r="J228" i="26"/>
  <c r="I230" i="26"/>
  <c r="J230" i="26"/>
  <c r="D134" i="23"/>
  <c r="I134" i="23"/>
  <c r="J134" i="23"/>
  <c r="K134" i="23"/>
  <c r="D171" i="23"/>
  <c r="I171" i="23"/>
  <c r="D172" i="23"/>
  <c r="I172" i="23"/>
  <c r="D173" i="23"/>
  <c r="I173" i="23"/>
  <c r="D174" i="23"/>
  <c r="I174" i="23"/>
  <c r="D175" i="23"/>
  <c r="I175" i="23"/>
  <c r="D176" i="23"/>
  <c r="I176" i="23"/>
  <c r="D177" i="23"/>
  <c r="I177" i="23"/>
  <c r="D178" i="23"/>
  <c r="I178" i="23"/>
  <c r="D179" i="23"/>
  <c r="I179" i="23"/>
  <c r="D180" i="23"/>
  <c r="I180" i="23"/>
  <c r="D181" i="23"/>
  <c r="I181" i="23"/>
  <c r="D182" i="23"/>
  <c r="I182" i="23"/>
  <c r="D183" i="23"/>
  <c r="I183" i="23"/>
  <c r="D184" i="23"/>
  <c r="I184" i="23"/>
  <c r="D185" i="23"/>
  <c r="I185" i="23"/>
  <c r="D186" i="23"/>
  <c r="I186" i="23"/>
  <c r="D187" i="23"/>
  <c r="I187" i="23"/>
  <c r="D188" i="23"/>
  <c r="I188" i="23"/>
  <c r="D189" i="23"/>
  <c r="I189" i="23"/>
  <c r="D190" i="23"/>
  <c r="I190" i="23"/>
  <c r="D191" i="23"/>
  <c r="I191" i="23"/>
  <c r="D192" i="23"/>
  <c r="I192" i="23"/>
  <c r="D193" i="23"/>
  <c r="I193" i="23"/>
  <c r="D194" i="23"/>
  <c r="I194" i="23"/>
  <c r="D195" i="23"/>
  <c r="I195" i="23"/>
  <c r="D196" i="23"/>
  <c r="I196" i="23"/>
  <c r="D197" i="23"/>
  <c r="I197" i="23"/>
  <c r="D198" i="23"/>
  <c r="I198" i="23"/>
  <c r="D199" i="23"/>
  <c r="I199" i="23"/>
  <c r="D200" i="23"/>
  <c r="I200" i="23"/>
  <c r="D201" i="23"/>
  <c r="I201" i="23"/>
  <c r="D202" i="23"/>
  <c r="I202" i="23"/>
  <c r="D203" i="23"/>
  <c r="I203" i="23"/>
  <c r="D204" i="23"/>
  <c r="I204" i="23"/>
  <c r="D205" i="23"/>
  <c r="I205" i="23"/>
  <c r="D206" i="23"/>
  <c r="I206" i="23"/>
  <c r="I208" i="23"/>
  <c r="I220" i="23"/>
  <c r="J220" i="23"/>
  <c r="K220" i="23"/>
  <c r="B224" i="23"/>
  <c r="C224" i="23"/>
  <c r="D224" i="23"/>
  <c r="E224" i="23"/>
  <c r="I224" i="23"/>
  <c r="J224" i="23"/>
  <c r="K224" i="23"/>
  <c r="B225" i="23"/>
  <c r="C225" i="23"/>
  <c r="D225" i="23"/>
  <c r="E225" i="23"/>
  <c r="I225" i="23"/>
  <c r="J225" i="23"/>
  <c r="K225" i="23"/>
  <c r="B226" i="23"/>
  <c r="C226" i="23"/>
  <c r="D226" i="23"/>
  <c r="E226" i="23"/>
  <c r="I226" i="23"/>
  <c r="J226" i="23"/>
  <c r="K226" i="23"/>
  <c r="B228" i="23"/>
  <c r="I228" i="23"/>
  <c r="J228" i="23"/>
  <c r="I230" i="23"/>
  <c r="J230" i="23"/>
  <c r="D134" i="19"/>
  <c r="H134" i="19"/>
  <c r="I134" i="19"/>
  <c r="J134" i="19"/>
  <c r="D171" i="19"/>
  <c r="H171" i="19"/>
  <c r="D172" i="19"/>
  <c r="H172" i="19"/>
  <c r="D173" i="19"/>
  <c r="H173" i="19"/>
  <c r="B174" i="19"/>
  <c r="D174" i="19"/>
  <c r="H174" i="19"/>
  <c r="B175" i="19"/>
  <c r="D175" i="19"/>
  <c r="H175" i="19"/>
  <c r="B176" i="19"/>
  <c r="D176" i="19"/>
  <c r="H176" i="19"/>
  <c r="B177" i="19"/>
  <c r="D177" i="19"/>
  <c r="H177" i="19"/>
  <c r="B178" i="19"/>
  <c r="D178" i="19"/>
  <c r="H178" i="19"/>
  <c r="B179" i="19"/>
  <c r="D179" i="19"/>
  <c r="H179" i="19"/>
  <c r="B180" i="19"/>
  <c r="D180" i="19"/>
  <c r="H180" i="19"/>
  <c r="B181" i="19"/>
  <c r="D181" i="19"/>
  <c r="H181" i="19"/>
  <c r="B182" i="19"/>
  <c r="D182" i="19"/>
  <c r="H182" i="19"/>
  <c r="B183" i="19"/>
  <c r="D183" i="19"/>
  <c r="H183" i="19"/>
  <c r="B184" i="19"/>
  <c r="D184" i="19"/>
  <c r="H184" i="19"/>
  <c r="B185" i="19"/>
  <c r="D185" i="19"/>
  <c r="H185" i="19"/>
  <c r="B186" i="19"/>
  <c r="D186" i="19"/>
  <c r="H186" i="19"/>
  <c r="B187" i="19"/>
  <c r="D187" i="19"/>
  <c r="H187" i="19"/>
  <c r="B188" i="19"/>
  <c r="D188" i="19"/>
  <c r="H188" i="19"/>
  <c r="B189" i="19"/>
  <c r="D189" i="19"/>
  <c r="H189" i="19"/>
  <c r="B190" i="19"/>
  <c r="D190" i="19"/>
  <c r="H190" i="19"/>
  <c r="B191" i="19"/>
  <c r="D191" i="19"/>
  <c r="H191" i="19"/>
  <c r="B192" i="19"/>
  <c r="D192" i="19"/>
  <c r="H192" i="19"/>
  <c r="B193" i="19"/>
  <c r="D193" i="19"/>
  <c r="H193" i="19"/>
  <c r="B194" i="19"/>
  <c r="D194" i="19"/>
  <c r="H194" i="19"/>
  <c r="B195" i="19"/>
  <c r="D195" i="19"/>
  <c r="H195" i="19"/>
  <c r="B196" i="19"/>
  <c r="D196" i="19"/>
  <c r="H196" i="19"/>
  <c r="B197" i="19"/>
  <c r="D197" i="19"/>
  <c r="H197" i="19"/>
  <c r="B198" i="19"/>
  <c r="D198" i="19"/>
  <c r="H198" i="19"/>
  <c r="B199" i="19"/>
  <c r="D199" i="19"/>
  <c r="H199" i="19"/>
  <c r="B200" i="19"/>
  <c r="D200" i="19"/>
  <c r="H200" i="19"/>
  <c r="B201" i="19"/>
  <c r="D201" i="19"/>
  <c r="H201" i="19"/>
  <c r="B202" i="19"/>
  <c r="D202" i="19"/>
  <c r="H202" i="19"/>
  <c r="B203" i="19"/>
  <c r="D203" i="19"/>
  <c r="H203" i="19"/>
  <c r="B204" i="19"/>
  <c r="D204" i="19"/>
  <c r="H204" i="19"/>
  <c r="B205" i="19"/>
  <c r="D205" i="19"/>
  <c r="H205" i="19"/>
  <c r="B206" i="19"/>
  <c r="D206" i="19"/>
  <c r="H206" i="19"/>
  <c r="H208" i="19"/>
  <c r="H220" i="19"/>
  <c r="I220" i="19"/>
  <c r="J220" i="19"/>
  <c r="F224" i="19"/>
  <c r="G224" i="19"/>
  <c r="H224" i="19"/>
  <c r="I224" i="19"/>
  <c r="J224" i="19"/>
  <c r="F225" i="19"/>
  <c r="G225" i="19"/>
  <c r="H225" i="19"/>
  <c r="I225" i="19"/>
  <c r="J225" i="19"/>
  <c r="F226" i="19"/>
  <c r="G226" i="19"/>
  <c r="H226" i="19"/>
  <c r="I226" i="19"/>
  <c r="J226" i="19"/>
  <c r="F228" i="19"/>
  <c r="H228" i="19"/>
  <c r="I228" i="19"/>
  <c r="G229" i="19"/>
  <c r="H230" i="19"/>
  <c r="I230" i="19"/>
  <c r="D134" i="20"/>
  <c r="I134" i="20"/>
  <c r="J134" i="20"/>
  <c r="K134" i="20"/>
  <c r="D171" i="20"/>
  <c r="I171" i="20"/>
  <c r="D172" i="20"/>
  <c r="I172" i="20"/>
  <c r="D173" i="20"/>
  <c r="I173" i="20"/>
  <c r="D174" i="20"/>
  <c r="I174" i="20"/>
  <c r="D175" i="20"/>
  <c r="I175" i="20"/>
  <c r="D176" i="20"/>
  <c r="I176" i="20"/>
  <c r="D177" i="20"/>
  <c r="I177" i="20"/>
  <c r="D178" i="20"/>
  <c r="I178" i="20"/>
  <c r="D179" i="20"/>
  <c r="I179" i="20"/>
  <c r="D180" i="20"/>
  <c r="I180" i="20"/>
  <c r="D181" i="20"/>
  <c r="I181" i="20"/>
  <c r="D182" i="20"/>
  <c r="I182" i="20"/>
  <c r="D183" i="20"/>
  <c r="I183" i="20"/>
  <c r="D184" i="20"/>
  <c r="I184" i="20"/>
  <c r="D185" i="20"/>
  <c r="I185" i="20"/>
  <c r="D186" i="20"/>
  <c r="I186" i="20"/>
  <c r="D187" i="20"/>
  <c r="I187" i="20"/>
  <c r="D188" i="20"/>
  <c r="I188" i="20"/>
  <c r="D189" i="20"/>
  <c r="I189" i="20"/>
  <c r="D190" i="20"/>
  <c r="I190" i="20"/>
  <c r="D191" i="20"/>
  <c r="I191" i="20"/>
  <c r="D192" i="20"/>
  <c r="I192" i="20"/>
  <c r="D193" i="20"/>
  <c r="I193" i="20"/>
  <c r="D194" i="20"/>
  <c r="I194" i="20"/>
  <c r="D195" i="20"/>
  <c r="I195" i="20"/>
  <c r="D196" i="20"/>
  <c r="I196" i="20"/>
  <c r="D197" i="20"/>
  <c r="I197" i="20"/>
  <c r="D198" i="20"/>
  <c r="I198" i="20"/>
  <c r="D199" i="20"/>
  <c r="I199" i="20"/>
  <c r="D200" i="20"/>
  <c r="I200" i="20"/>
  <c r="D201" i="20"/>
  <c r="I201" i="20"/>
  <c r="D202" i="20"/>
  <c r="I202" i="20"/>
  <c r="D203" i="20"/>
  <c r="I203" i="20"/>
  <c r="D204" i="20"/>
  <c r="I204" i="20"/>
  <c r="D205" i="20"/>
  <c r="I205" i="20"/>
  <c r="D206" i="20"/>
  <c r="I206" i="20"/>
  <c r="I208" i="20"/>
  <c r="I220" i="20"/>
  <c r="J220" i="20"/>
  <c r="K220" i="20"/>
  <c r="B224" i="20"/>
  <c r="C224" i="20"/>
  <c r="D224" i="20"/>
  <c r="E224" i="20"/>
  <c r="I224" i="20"/>
  <c r="J224" i="20"/>
  <c r="K224" i="20"/>
  <c r="B225" i="20"/>
  <c r="C225" i="20"/>
  <c r="D225" i="20"/>
  <c r="E225" i="20"/>
  <c r="I225" i="20"/>
  <c r="J225" i="20"/>
  <c r="K225" i="20"/>
  <c r="B226" i="20"/>
  <c r="C226" i="20"/>
  <c r="D226" i="20"/>
  <c r="E226" i="20"/>
  <c r="I226" i="20"/>
  <c r="J226" i="20"/>
  <c r="K226" i="20"/>
  <c r="B228" i="20"/>
  <c r="I228" i="20"/>
  <c r="J228" i="20"/>
  <c r="I230" i="20"/>
  <c r="J230" i="20"/>
  <c r="D134" i="27"/>
  <c r="I134" i="27"/>
  <c r="J134" i="27"/>
  <c r="K134" i="27"/>
  <c r="D171" i="27"/>
  <c r="I171" i="27"/>
  <c r="D172" i="27"/>
  <c r="I172" i="27"/>
  <c r="D173" i="27"/>
  <c r="I173" i="27"/>
  <c r="D174" i="27"/>
  <c r="I174" i="27"/>
  <c r="D175" i="27"/>
  <c r="I175" i="27"/>
  <c r="D176" i="27"/>
  <c r="I176" i="27"/>
  <c r="D177" i="27"/>
  <c r="I177" i="27"/>
  <c r="D178" i="27"/>
  <c r="I178" i="27"/>
  <c r="D179" i="27"/>
  <c r="I179" i="27"/>
  <c r="D180" i="27"/>
  <c r="I180" i="27"/>
  <c r="D181" i="27"/>
  <c r="I181" i="27"/>
  <c r="D182" i="27"/>
  <c r="I182" i="27"/>
  <c r="D183" i="27"/>
  <c r="I183" i="27"/>
  <c r="D184" i="27"/>
  <c r="I184" i="27"/>
  <c r="D185" i="27"/>
  <c r="I185" i="27"/>
  <c r="D186" i="27"/>
  <c r="I186" i="27"/>
  <c r="D187" i="27"/>
  <c r="I187" i="27"/>
  <c r="D188" i="27"/>
  <c r="I188" i="27"/>
  <c r="D189" i="27"/>
  <c r="I189" i="27"/>
  <c r="D190" i="27"/>
  <c r="I190" i="27"/>
  <c r="D191" i="27"/>
  <c r="I191" i="27"/>
  <c r="D192" i="27"/>
  <c r="I192" i="27"/>
  <c r="D193" i="27"/>
  <c r="I193" i="27"/>
  <c r="D194" i="27"/>
  <c r="I194" i="27"/>
  <c r="D195" i="27"/>
  <c r="I195" i="27"/>
  <c r="D196" i="27"/>
  <c r="I196" i="27"/>
  <c r="D197" i="27"/>
  <c r="I197" i="27"/>
  <c r="D198" i="27"/>
  <c r="I198" i="27"/>
  <c r="D199" i="27"/>
  <c r="I199" i="27"/>
  <c r="D200" i="27"/>
  <c r="I200" i="27"/>
  <c r="D201" i="27"/>
  <c r="I201" i="27"/>
  <c r="D202" i="27"/>
  <c r="I202" i="27"/>
  <c r="D203" i="27"/>
  <c r="I203" i="27"/>
  <c r="D204" i="27"/>
  <c r="I204" i="27"/>
  <c r="D205" i="27"/>
  <c r="I205" i="27"/>
  <c r="D206" i="27"/>
  <c r="I206" i="27"/>
  <c r="I208" i="27"/>
  <c r="I220" i="27"/>
  <c r="J220" i="27"/>
  <c r="K220" i="27"/>
  <c r="B224" i="27"/>
  <c r="C224" i="27"/>
  <c r="D224" i="27"/>
  <c r="E224" i="27"/>
  <c r="I224" i="27"/>
  <c r="J224" i="27"/>
  <c r="K224" i="27"/>
  <c r="B225" i="27"/>
  <c r="C225" i="27"/>
  <c r="D225" i="27"/>
  <c r="E225" i="27"/>
  <c r="I225" i="27"/>
  <c r="J225" i="27"/>
  <c r="K225" i="27"/>
  <c r="B226" i="27"/>
  <c r="C226" i="27"/>
  <c r="D226" i="27"/>
  <c r="E226" i="27"/>
  <c r="I226" i="27"/>
  <c r="J226" i="27"/>
  <c r="K226" i="27"/>
  <c r="B228" i="27"/>
  <c r="I228" i="27"/>
  <c r="J228" i="27"/>
  <c r="I230" i="27"/>
  <c r="J230" i="27"/>
  <c r="C12" i="30"/>
  <c r="C16" i="30"/>
  <c r="C17" i="30"/>
  <c r="C18" i="30"/>
  <c r="C20" i="30"/>
  <c r="D134" i="28"/>
  <c r="I134" i="28"/>
  <c r="J134" i="28"/>
  <c r="K134" i="28"/>
  <c r="D171" i="28"/>
  <c r="I171" i="28"/>
  <c r="D172" i="28"/>
  <c r="I172" i="28"/>
  <c r="D173" i="28"/>
  <c r="I173" i="28"/>
  <c r="D174" i="28"/>
  <c r="I174" i="28"/>
  <c r="D175" i="28"/>
  <c r="I175" i="28"/>
  <c r="D176" i="28"/>
  <c r="I176" i="28"/>
  <c r="D177" i="28"/>
  <c r="I177" i="28"/>
  <c r="D178" i="28"/>
  <c r="I178" i="28"/>
  <c r="D179" i="28"/>
  <c r="I179" i="28"/>
  <c r="D180" i="28"/>
  <c r="I180" i="28"/>
  <c r="D181" i="28"/>
  <c r="I181" i="28"/>
  <c r="D182" i="28"/>
  <c r="I182" i="28"/>
  <c r="D183" i="28"/>
  <c r="I183" i="28"/>
  <c r="D184" i="28"/>
  <c r="I184" i="28"/>
  <c r="D185" i="28"/>
  <c r="I185" i="28"/>
  <c r="D186" i="28"/>
  <c r="I186" i="28"/>
  <c r="D187" i="28"/>
  <c r="I187" i="28"/>
  <c r="D188" i="28"/>
  <c r="I188" i="28"/>
  <c r="D189" i="28"/>
  <c r="I189" i="28"/>
  <c r="D190" i="28"/>
  <c r="I190" i="28"/>
  <c r="D191" i="28"/>
  <c r="I191" i="28"/>
  <c r="D192" i="28"/>
  <c r="I192" i="28"/>
  <c r="D193" i="28"/>
  <c r="I193" i="28"/>
  <c r="D194" i="28"/>
  <c r="I194" i="28"/>
  <c r="D195" i="28"/>
  <c r="I195" i="28"/>
  <c r="D196" i="28"/>
  <c r="I196" i="28"/>
  <c r="D197" i="28"/>
  <c r="I197" i="28"/>
  <c r="D198" i="28"/>
  <c r="I198" i="28"/>
  <c r="D199" i="28"/>
  <c r="I199" i="28"/>
  <c r="D200" i="28"/>
  <c r="I200" i="28"/>
  <c r="D201" i="28"/>
  <c r="I201" i="28"/>
  <c r="D202" i="28"/>
  <c r="I202" i="28"/>
  <c r="D203" i="28"/>
  <c r="I203" i="28"/>
  <c r="D204" i="28"/>
  <c r="I204" i="28"/>
  <c r="D205" i="28"/>
  <c r="I205" i="28"/>
  <c r="D206" i="28"/>
  <c r="I206" i="28"/>
  <c r="I208" i="28"/>
  <c r="I220" i="28"/>
  <c r="J220" i="28"/>
  <c r="K220" i="28"/>
  <c r="B224" i="28"/>
  <c r="C224" i="28"/>
  <c r="D224" i="28"/>
  <c r="E224" i="28"/>
  <c r="I224" i="28"/>
  <c r="J224" i="28"/>
  <c r="K224" i="28"/>
  <c r="B225" i="28"/>
  <c r="C225" i="28"/>
  <c r="D225" i="28"/>
  <c r="E225" i="28"/>
  <c r="I225" i="28"/>
  <c r="J225" i="28"/>
  <c r="K225" i="28"/>
  <c r="B226" i="28"/>
  <c r="C226" i="28"/>
  <c r="D226" i="28"/>
  <c r="E226" i="28"/>
  <c r="I226" i="28"/>
  <c r="J226" i="28"/>
  <c r="K226" i="28"/>
  <c r="B228" i="28"/>
  <c r="I228" i="28"/>
  <c r="J228" i="28"/>
  <c r="I230" i="28"/>
  <c r="J230" i="28"/>
</calcChain>
</file>

<file path=xl/comments1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2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3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4.xml><?xml version="1.0" encoding="utf-8"?>
<comments xmlns="http://schemas.openxmlformats.org/spreadsheetml/2006/main">
  <authors>
    <author>David Savage</author>
    <author>dsavage</author>
  </authors>
  <commentList>
    <comment ref="F25" authorId="0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was 104.43% 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was 104.43% </t>
        </r>
      </text>
    </comment>
    <comment ref="K66" authorId="1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Adjusted to reflect trend now only has 1 customer </t>
        </r>
      </text>
    </comment>
  </commentList>
</comments>
</file>

<file path=xl/sharedStrings.xml><?xml version="1.0" encoding="utf-8"?>
<sst xmlns="http://schemas.openxmlformats.org/spreadsheetml/2006/main" count="1634" uniqueCount="361">
  <si>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</si>
  <si>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</si>
  <si>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</si>
  <si>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</si>
  <si>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</si>
  <si>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</si>
  <si>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</si>
  <si>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</si>
  <si>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</si>
  <si>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</si>
  <si>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</si>
  <si>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</si>
  <si>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</si>
  <si>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</si>
  <si>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</si>
  <si>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</si>
  <si>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</si>
  <si>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</si>
  <si>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</si>
  <si>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</si>
  <si>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</si>
  <si>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</si>
  <si>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</si>
  <si>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</si>
  <si>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</si>
  <si>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</si>
  <si>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</si>
  <si>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</si>
  <si>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</si>
  <si>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</si>
  <si>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</si>
  <si>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</si>
  <si>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</si>
  <si>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</si>
  <si>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</si>
  <si>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</si>
  <si>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</si>
  <si>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</si>
  <si>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</si>
  <si>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</si>
  <si>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</si>
  <si>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</si>
  <si>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</si>
  <si>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</si>
  <si>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</si>
  <si>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</si>
  <si>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</si>
  <si>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</si>
  <si>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</si>
  <si>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</si>
  <si>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</si>
  <si>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</si>
  <si>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</si>
  <si>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</si>
  <si>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</si>
  <si>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</si>
  <si>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</si>
  <si>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</si>
  <si>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2008 Actual</t>
  </si>
  <si>
    <t>Number of Customers</t>
  </si>
  <si>
    <t>Weather Normal</t>
  </si>
  <si>
    <t xml:space="preserve">2009 Actual </t>
  </si>
  <si>
    <t>2011 Weather Normal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</si>
  <si>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</si>
  <si>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</si>
  <si>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</si>
  <si>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</si>
  <si>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</si>
  <si>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2012 Weather Normal</t>
  </si>
  <si>
    <t>Check totals above should be zero</t>
  </si>
  <si>
    <t>Weather Normal Projection</t>
  </si>
  <si>
    <t>Residential</t>
  </si>
  <si>
    <t>GS&lt;50</t>
  </si>
  <si>
    <t>GS&gt;50</t>
  </si>
  <si>
    <t>Large User</t>
  </si>
  <si>
    <t>Streetlights</t>
  </si>
  <si>
    <t>USL</t>
  </si>
  <si>
    <t>I2</t>
  </si>
  <si>
    <t>Sentinels</t>
  </si>
  <si>
    <t>Heating</t>
  </si>
  <si>
    <t>Cooling</t>
  </si>
  <si>
    <t>Trend</t>
  </si>
  <si>
    <t>Oshawa PUC Networks Inc.</t>
  </si>
  <si>
    <t>OPA Report (Final)</t>
  </si>
  <si>
    <t>Net Energy Savings (MWh)</t>
  </si>
  <si>
    <t>#</t>
  </si>
  <si>
    <t>Program Year</t>
  </si>
  <si>
    <t>Results Status</t>
  </si>
  <si>
    <t>2006 Programs</t>
  </si>
  <si>
    <t>Final</t>
  </si>
  <si>
    <t>2007 Programs</t>
  </si>
  <si>
    <t>2008 Programs</t>
  </si>
  <si>
    <t>2009 Programs</t>
  </si>
  <si>
    <t>Net Energy Savings (kWh)</t>
  </si>
  <si>
    <t>2010 Programs</t>
  </si>
  <si>
    <t>CDM Historical Program Results</t>
  </si>
  <si>
    <t>CDM Projected Program Results</t>
  </si>
  <si>
    <t>Forecast</t>
  </si>
  <si>
    <t>2011 Programs</t>
  </si>
  <si>
    <t>2012 Programs</t>
  </si>
  <si>
    <t>2013 Programs</t>
  </si>
  <si>
    <t>2014 Programs</t>
  </si>
  <si>
    <t>2015 Programs</t>
  </si>
  <si>
    <t>Geomean  (ignored 2004)</t>
  </si>
  <si>
    <t>Ignored 2003 - doesn't look reliable.</t>
  </si>
  <si>
    <t>kWh</t>
  </si>
  <si>
    <t>kW</t>
  </si>
  <si>
    <t>CAGR</t>
  </si>
  <si>
    <t>Purchased Energy (kWh) - Year</t>
  </si>
  <si>
    <t>Actual Purchases</t>
  </si>
  <si>
    <t>Predicted Purchases</t>
  </si>
  <si>
    <t>Historical</t>
  </si>
  <si>
    <t>Description</t>
  </si>
  <si>
    <t>Table 15 - Exhibit 3</t>
  </si>
  <si>
    <t>2008 Board Approved</t>
  </si>
  <si>
    <t>Avg (Actual)</t>
  </si>
  <si>
    <t>Connections</t>
  </si>
  <si>
    <t>Personal Income - Oshawa (Millions $)</t>
  </si>
  <si>
    <t xml:space="preserve">2000.01  </t>
  </si>
  <si>
    <t xml:space="preserve">2000.02  </t>
  </si>
  <si>
    <t xml:space="preserve">2000.03  </t>
  </si>
  <si>
    <t xml:space="preserve">2000.04  </t>
  </si>
  <si>
    <t xml:space="preserve">2001.01  </t>
  </si>
  <si>
    <t xml:space="preserve">2001.02  </t>
  </si>
  <si>
    <t xml:space="preserve">2001.03  </t>
  </si>
  <si>
    <t xml:space="preserve">2001.04  </t>
  </si>
  <si>
    <t xml:space="preserve">2002.01  </t>
  </si>
  <si>
    <t xml:space="preserve">2002.02  </t>
  </si>
  <si>
    <t xml:space="preserve">2002.03  </t>
  </si>
  <si>
    <t xml:space="preserve">2002.04  </t>
  </si>
  <si>
    <t xml:space="preserve">2003.01  </t>
  </si>
  <si>
    <t xml:space="preserve">2003.02  </t>
  </si>
  <si>
    <t xml:space="preserve">2003.03  </t>
  </si>
  <si>
    <t xml:space="preserve">2003.04  </t>
  </si>
  <si>
    <t xml:space="preserve">2004.01  </t>
  </si>
  <si>
    <t xml:space="preserve">2004.02  </t>
  </si>
  <si>
    <t xml:space="preserve">2004.03  </t>
  </si>
  <si>
    <t xml:space="preserve">2004.04  </t>
  </si>
  <si>
    <t xml:space="preserve">2005.01  </t>
  </si>
  <si>
    <t xml:space="preserve">2005.02  </t>
  </si>
  <si>
    <t xml:space="preserve">2005.03  </t>
  </si>
  <si>
    <t xml:space="preserve">2005.04  </t>
  </si>
  <si>
    <t xml:space="preserve">2006.01  </t>
  </si>
  <si>
    <t xml:space="preserve">2006.02  </t>
  </si>
  <si>
    <t xml:space="preserve">2006.03  </t>
  </si>
  <si>
    <t xml:space="preserve">2006.04  </t>
  </si>
  <si>
    <t xml:space="preserve">2007.01  </t>
  </si>
  <si>
    <t xml:space="preserve">2007.02  </t>
  </si>
  <si>
    <t xml:space="preserve">2007.03  </t>
  </si>
  <si>
    <t xml:space="preserve">2007.04  </t>
  </si>
  <si>
    <t xml:space="preserve">2008.01  </t>
  </si>
  <si>
    <t xml:space="preserve">2008.02  </t>
  </si>
  <si>
    <t xml:space="preserve">2008.03  </t>
  </si>
  <si>
    <t xml:space="preserve">2008.04  </t>
  </si>
  <si>
    <t xml:space="preserve">2009.01  </t>
  </si>
  <si>
    <t xml:space="preserve">2009.02  </t>
  </si>
  <si>
    <t xml:space="preserve">2009.03  </t>
  </si>
  <si>
    <t xml:space="preserve">2009.04  </t>
  </si>
  <si>
    <t xml:space="preserve">2010.01  </t>
  </si>
  <si>
    <t xml:space="preserve">2010.02  </t>
  </si>
  <si>
    <t xml:space="preserve">2010.03  </t>
  </si>
  <si>
    <t xml:space="preserve">2010.04  </t>
  </si>
  <si>
    <t xml:space="preserve">2011.01  </t>
  </si>
  <si>
    <t xml:space="preserve">2011.02  </t>
  </si>
  <si>
    <t xml:space="preserve">2011.03  </t>
  </si>
  <si>
    <t xml:space="preserve">2011.04  </t>
  </si>
  <si>
    <t xml:space="preserve">2012.01  </t>
  </si>
  <si>
    <t xml:space="preserve">2012.02  </t>
  </si>
  <si>
    <t xml:space="preserve">2012.03  </t>
  </si>
  <si>
    <t xml:space="preserve">2012.04  </t>
  </si>
  <si>
    <t xml:space="preserve">2013.01  </t>
  </si>
  <si>
    <t xml:space="preserve">2013.02  </t>
  </si>
  <si>
    <t xml:space="preserve">2013.03  </t>
  </si>
  <si>
    <t xml:space="preserve">2013.04  </t>
  </si>
  <si>
    <t xml:space="preserve">2014.01  </t>
  </si>
  <si>
    <t xml:space="preserve">2014.02  </t>
  </si>
  <si>
    <t xml:space="preserve">2014.03  </t>
  </si>
  <si>
    <t xml:space="preserve">2014.04  </t>
  </si>
  <si>
    <t xml:space="preserve">2015.01  </t>
  </si>
  <si>
    <t xml:space="preserve">2015.02  </t>
  </si>
  <si>
    <t xml:space="preserve">2015.03  </t>
  </si>
  <si>
    <t xml:space="preserve">2015.04  </t>
  </si>
  <si>
    <t xml:space="preserve">2016.01  </t>
  </si>
  <si>
    <t xml:space="preserve">2016.02  </t>
  </si>
  <si>
    <t xml:space="preserve">2016.03  </t>
  </si>
  <si>
    <t xml:space="preserve">2016.04  </t>
  </si>
  <si>
    <t xml:space="preserve">2017.01  </t>
  </si>
  <si>
    <t xml:space="preserve">2017.02  </t>
  </si>
  <si>
    <t xml:space="preserve">2017.03  </t>
  </si>
  <si>
    <t xml:space="preserve">2017.04  </t>
  </si>
  <si>
    <t xml:space="preserve">2018.01  </t>
  </si>
  <si>
    <t xml:space="preserve">2018.02  </t>
  </si>
  <si>
    <t xml:space="preserve">2018.03  </t>
  </si>
  <si>
    <t xml:space="preserve">2018.04  </t>
  </si>
  <si>
    <t>Billed (Before LF)</t>
  </si>
  <si>
    <t>% Change</t>
  </si>
  <si>
    <t>Variance</t>
  </si>
  <si>
    <t>10 year average</t>
  </si>
  <si>
    <t>20 year trend</t>
  </si>
  <si>
    <t>Year.Quarter</t>
  </si>
  <si>
    <t>Natural Increase in Population - Oshawa</t>
  </si>
  <si>
    <t>Unemployment Rate - Oshawa</t>
  </si>
  <si>
    <t>Monthly Average</t>
  </si>
  <si>
    <t>Estimate for now.</t>
  </si>
  <si>
    <t>To be consistent with proposed loss factor (Chapter 2 Appendices).</t>
  </si>
  <si>
    <t>Actual Results</t>
  </si>
  <si>
    <t>Weather Normal Forecast</t>
  </si>
  <si>
    <t>2014 Normalized Bridge Year</t>
  </si>
  <si>
    <t>2015 Normalized Test Year</t>
  </si>
  <si>
    <t>2016 Normalized Test Year</t>
  </si>
  <si>
    <t>2017 Normalized Test Year</t>
  </si>
  <si>
    <t>2018 Normalized Test Year</t>
  </si>
  <si>
    <t>2019 Normalized Test Year</t>
  </si>
  <si>
    <t>Normalized 10 Year Average</t>
  </si>
  <si>
    <t>Normalized Test</t>
  </si>
  <si>
    <t>Normalized 20 Year Trend</t>
  </si>
  <si>
    <t>Hydro Weather Normal Load Forecast for 2012 Rate Application</t>
  </si>
  <si>
    <t>Oshawa Qtrly Unemployment Rate</t>
  </si>
  <si>
    <t>2016 Programs</t>
  </si>
  <si>
    <t>Actual</t>
  </si>
  <si>
    <t>2017 Programs</t>
  </si>
  <si>
    <t>2018 Programs</t>
  </si>
  <si>
    <t>2019 Programs</t>
  </si>
  <si>
    <t>Purchased kWh's per IESO</t>
  </si>
  <si>
    <t>Change</t>
  </si>
  <si>
    <t>Cumulative Average Rate of Change</t>
  </si>
  <si>
    <t>2012 Board Approved</t>
  </si>
  <si>
    <t>2014 Bridge Year (Regression)</t>
  </si>
  <si>
    <t>2015 Test Year (Regression)</t>
  </si>
  <si>
    <t>2016 Test Year (Regression)</t>
  </si>
  <si>
    <t>2017 Test Year (Regression)</t>
  </si>
  <si>
    <t>2018 Test Year (Regression)</t>
  </si>
  <si>
    <t>2019 Test Year (Regression)</t>
  </si>
  <si>
    <t>Customer Connection Count</t>
  </si>
  <si>
    <t>GS 50 to 999 kW</t>
  </si>
  <si>
    <t>GS&lt;50 kW</t>
  </si>
  <si>
    <t>GS&gt;1,000 kW</t>
  </si>
  <si>
    <t>Streetlight</t>
  </si>
  <si>
    <t>Sentinel Light</t>
  </si>
  <si>
    <t>kWh Billed</t>
  </si>
  <si>
    <t>Geometric Mean</t>
  </si>
  <si>
    <t>Year-end Customer Connection Count</t>
  </si>
  <si>
    <t>Rate Applied</t>
  </si>
  <si>
    <t>Annual Average Customer Count</t>
  </si>
  <si>
    <t>SUMMARY OF ANNUAL ENERGY PURCHASES AND CUSTOMER CONNECTIONS</t>
  </si>
  <si>
    <t>BILLED ENERGY BY RATE CLASS</t>
  </si>
  <si>
    <t>ANNUAL BILLED ENERGY PER AVERAGE CUSTOMER CONNECTIONS BY RATE CLASS</t>
  </si>
  <si>
    <t>Adjustment</t>
  </si>
  <si>
    <t>Normalized Billed Energy</t>
  </si>
  <si>
    <t>Billed Demand (kW)</t>
  </si>
  <si>
    <t>Billed Energy (kWh)</t>
  </si>
  <si>
    <t>Ratio kW to kWh</t>
  </si>
  <si>
    <t>Board Approved</t>
  </si>
  <si>
    <t>Bridge Year</t>
  </si>
  <si>
    <t>Test Years</t>
  </si>
  <si>
    <t>Month</t>
  </si>
  <si>
    <t>Annual Billed Energy per Average Customer Connection</t>
  </si>
  <si>
    <t>Average Annual Customer Connection Count</t>
  </si>
  <si>
    <t>Annual Average Consumption per Average Customer Connection (Normalized)</t>
  </si>
  <si>
    <t>CDM Savings</t>
  </si>
  <si>
    <t>Average Connections</t>
  </si>
  <si>
    <t>Billed kW</t>
  </si>
  <si>
    <t>10 year trend</t>
  </si>
  <si>
    <t>20 year average</t>
  </si>
  <si>
    <t>Normal</t>
  </si>
  <si>
    <t>20 Year Trend</t>
  </si>
  <si>
    <t>2nd Run - Oct 15th</t>
  </si>
  <si>
    <t>Average Customer Connection Count</t>
  </si>
  <si>
    <t>City Expansion</t>
  </si>
  <si>
    <t>Annual Weather Normalized Billed Energy per Average Customer Connection</t>
  </si>
  <si>
    <t>Power Purchased</t>
  </si>
  <si>
    <t xml:space="preserve">Actual </t>
  </si>
  <si>
    <t>Pre-2011</t>
  </si>
  <si>
    <t>OPA Program Year</t>
  </si>
  <si>
    <t>Sub-total</t>
  </si>
  <si>
    <t>Net</t>
  </si>
  <si>
    <t>AVERAGE CUSTOMER CONNECTIONS BY RATE CLASS</t>
  </si>
  <si>
    <t>Billed Energy (kW)</t>
  </si>
  <si>
    <t>Annual Weather Non-Normalized Billed Energy per Average Customer Connection</t>
  </si>
  <si>
    <t>Predicted (net of CDM)</t>
  </si>
  <si>
    <t>Predicted (net of LED)</t>
  </si>
  <si>
    <t>CDM (All Customers)</t>
  </si>
  <si>
    <t>Predicted (City Population Growth)</t>
  </si>
  <si>
    <t>CDM (LED Streetlights)</t>
  </si>
  <si>
    <t>CDM</t>
  </si>
  <si>
    <t>General</t>
  </si>
  <si>
    <t xml:space="preserve">2019.01  </t>
  </si>
  <si>
    <t xml:space="preserve">2019.02  </t>
  </si>
  <si>
    <t xml:space="preserve">2019.03  </t>
  </si>
  <si>
    <t xml:space="preserve">2019.04  </t>
  </si>
  <si>
    <t>3rd Run - Apr 28, 2015</t>
  </si>
  <si>
    <t>2014 Bridge Year (Actual)</t>
  </si>
  <si>
    <t>2015 Test Year</t>
  </si>
  <si>
    <t>2016 Test Year</t>
  </si>
  <si>
    <t>2017 Test Year</t>
  </si>
  <si>
    <t>2018 Test Year</t>
  </si>
  <si>
    <t>2019 Test Year</t>
  </si>
  <si>
    <t>Billed With LED</t>
  </si>
  <si>
    <t>Purchased kWh</t>
  </si>
  <si>
    <t>Before LED</t>
  </si>
  <si>
    <t>With LED</t>
  </si>
  <si>
    <t>New Version</t>
  </si>
  <si>
    <t>Persistance</t>
  </si>
  <si>
    <t>Lights Subject to Conversion</t>
  </si>
  <si>
    <t>New Connections</t>
  </si>
  <si>
    <t>4th Run - June 16, 2015</t>
  </si>
  <si>
    <t>Persistance per OPA [Table - Cell J62]</t>
  </si>
  <si>
    <t>CDM Plan - May 1, 2015</t>
  </si>
  <si>
    <t>MWhs</t>
  </si>
  <si>
    <t>kWhs</t>
  </si>
  <si>
    <t>Cumulative kWhs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</si>
  <si>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</si>
  <si>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</si>
  <si>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</si>
  <si>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</si>
  <si>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</si>
  <si>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</si>
  <si>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</si>
  <si>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</si>
  <si>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</si>
  <si>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</si>
  <si>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</si>
  <si>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</si>
  <si>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2015:</t>
  </si>
  <si>
    <t>2016:</t>
  </si>
  <si>
    <t>Current</t>
  </si>
  <si>
    <t>LED</t>
  </si>
  <si>
    <t>Average kWhs per Connections</t>
  </si>
  <si>
    <t>Annual kWh</t>
  </si>
  <si>
    <t>2017 - 2019:</t>
  </si>
  <si>
    <t>City Expansion (adjusted for trend)</t>
  </si>
  <si>
    <t>Billed Before LED Conversion</t>
  </si>
  <si>
    <t>Billed After LED Conversion</t>
  </si>
  <si>
    <t>Total Streetlight Connections</t>
  </si>
  <si>
    <t>LED Conversion Timeline</t>
  </si>
  <si>
    <t>David - refer to formula in the cells and adjust accordingly.</t>
  </si>
  <si>
    <t>Note: large user, street lights, sentinel and USL are not adjusted.</t>
  </si>
  <si>
    <t>2015 Board Approved</t>
  </si>
  <si>
    <t>2016 Board Approved</t>
  </si>
  <si>
    <t>2017 Board Approved</t>
  </si>
  <si>
    <t>2017 Bridge Year (YTD Actual)</t>
  </si>
  <si>
    <t>Mid-term</t>
  </si>
  <si>
    <t>Conference Board</t>
  </si>
  <si>
    <t>Statistics Canada</t>
  </si>
  <si>
    <t>Conference Board June 2016</t>
  </si>
  <si>
    <t>10 Year Average</t>
  </si>
  <si>
    <t>Update from Janet</t>
  </si>
  <si>
    <t>Smooth Delta Predicted Sales</t>
  </si>
  <si>
    <t>2017 (Bridge Year)</t>
  </si>
  <si>
    <t>2018 Test Year [1.8%]</t>
  </si>
  <si>
    <t>2019 Test Year [1.8%]</t>
  </si>
  <si>
    <t>City Growth</t>
  </si>
  <si>
    <t>Real Term</t>
  </si>
  <si>
    <t>(Connnections)</t>
  </si>
  <si>
    <t>LED Streetlights per Real Term Report</t>
  </si>
  <si>
    <t>Year</t>
  </si>
  <si>
    <t>Filed</t>
  </si>
  <si>
    <t>Decision</t>
  </si>
  <si>
    <t>Mid -Term</t>
  </si>
  <si>
    <t>Purchased Power</t>
  </si>
  <si>
    <t>Billed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</si>
</sst>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\ ;[Red]\(#,##0\)"/>
    <numFmt numFmtId="171" formatCode="_-* #,##0_-;\-* #,##0_-;_-* &quot;-&quot;??_-;_-@_-"/>
    <numFmt numFmtId="172" formatCode="#,##0.00000"/>
    <numFmt numFmtId="173" formatCode="_(* #,##0.0_);_(* \(#,##0.0\);_(* &quot;-&quot;??_);_(@_)"/>
    <numFmt numFmtId="174" formatCode="#,##0.000000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i/>
      <sz val="9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4" fillId="10" borderId="46" applyNumberFormat="0" applyFont="0" applyAlignment="0" applyProtection="0"/>
    <xf numFmtId="44" fontId="15" fillId="0" borderId="0" applyFont="0" applyFill="0" applyBorder="0" applyAlignment="0" applyProtection="0"/>
  </cellStyleXfs>
  <cellXfs count="56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1" fillId="0" borderId="0" xfId="1" applyNumberForma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0" fontId="0" fillId="0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5" fillId="0" borderId="0" xfId="0" applyFont="1"/>
    <xf numFmtId="3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3" fontId="1" fillId="3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3" borderId="0" xfId="0" applyNumberFormat="1" applyFont="1" applyFill="1" applyAlignment="1">
      <alignment horizontal="center" wrapText="1"/>
    </xf>
    <xf numFmtId="0" fontId="1" fillId="0" borderId="0" xfId="0" applyFont="1"/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3" fontId="1" fillId="0" borderId="0" xfId="0" applyNumberFormat="1" applyFont="1" applyAlignment="1">
      <alignment horizontal="center" wrapText="1"/>
    </xf>
    <xf numFmtId="171" fontId="0" fillId="0" borderId="0" xfId="1" applyNumberFormat="1" applyFont="1"/>
    <xf numFmtId="164" fontId="0" fillId="0" borderId="0" xfId="2" applyNumberFormat="1" applyFont="1"/>
    <xf numFmtId="164" fontId="0" fillId="0" borderId="0" xfId="1" applyNumberFormat="1" applyFont="1"/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3" fontId="0" fillId="0" borderId="4" xfId="0" applyNumberFormat="1" applyFill="1" applyBorder="1" applyAlignment="1">
      <alignment vertical="top"/>
    </xf>
    <xf numFmtId="3" fontId="0" fillId="0" borderId="5" xfId="0" applyNumberFormat="1" applyFill="1" applyBorder="1" applyAlignment="1">
      <alignment vertical="top"/>
    </xf>
    <xf numFmtId="0" fontId="0" fillId="6" borderId="8" xfId="0" applyFill="1" applyBorder="1" applyAlignment="1">
      <alignment vertical="top"/>
    </xf>
    <xf numFmtId="0" fontId="1" fillId="6" borderId="9" xfId="0" applyFont="1" applyFill="1" applyBorder="1" applyAlignment="1">
      <alignment vertical="top"/>
    </xf>
    <xf numFmtId="3" fontId="0" fillId="6" borderId="7" xfId="0" applyNumberFormat="1" applyFill="1" applyBorder="1" applyAlignment="1">
      <alignment vertical="top"/>
    </xf>
    <xf numFmtId="3" fontId="0" fillId="6" borderId="8" xfId="0" applyNumberFormat="1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3" fontId="0" fillId="0" borderId="7" xfId="0" applyNumberFormat="1" applyFill="1" applyBorder="1" applyAlignment="1">
      <alignment vertical="top"/>
    </xf>
    <xf numFmtId="3" fontId="0" fillId="0" borderId="8" xfId="0" applyNumberFormat="1" applyFill="1" applyBorder="1" applyAlignment="1">
      <alignment vertical="top"/>
    </xf>
    <xf numFmtId="0" fontId="0" fillId="6" borderId="11" xfId="0" applyFill="1" applyBorder="1" applyAlignment="1">
      <alignment vertical="top"/>
    </xf>
    <xf numFmtId="0" fontId="1" fillId="6" borderId="12" xfId="0" applyFont="1" applyFill="1" applyBorder="1" applyAlignment="1">
      <alignment vertical="top"/>
    </xf>
    <xf numFmtId="3" fontId="0" fillId="6" borderId="10" xfId="0" applyNumberFormat="1" applyFill="1" applyBorder="1" applyAlignment="1">
      <alignment vertical="top"/>
    </xf>
    <xf numFmtId="3" fontId="0" fillId="6" borderId="11" xfId="0" applyNumberFormat="1" applyFill="1" applyBorder="1" applyAlignment="1">
      <alignment vertical="top"/>
    </xf>
    <xf numFmtId="0" fontId="1" fillId="6" borderId="11" xfId="0" applyFont="1" applyFill="1" applyBorder="1" applyAlignment="1">
      <alignment vertical="top"/>
    </xf>
    <xf numFmtId="0" fontId="1" fillId="6" borderId="15" xfId="0" applyFont="1" applyFill="1" applyBorder="1" applyAlignment="1">
      <alignment vertical="top"/>
    </xf>
    <xf numFmtId="3" fontId="0" fillId="6" borderId="14" xfId="0" applyNumberFormat="1" applyFill="1" applyBorder="1" applyAlignment="1">
      <alignment vertical="top"/>
    </xf>
    <xf numFmtId="164" fontId="0" fillId="0" borderId="0" xfId="2" applyNumberFormat="1" applyFont="1" applyFill="1" applyBorder="1" applyAlignment="1"/>
    <xf numFmtId="167" fontId="0" fillId="7" borderId="0" xfId="0" applyNumberFormat="1" applyFill="1" applyAlignment="1">
      <alignment horizontal="center"/>
    </xf>
    <xf numFmtId="168" fontId="0" fillId="7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167" fontId="1" fillId="7" borderId="0" xfId="0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164" fontId="0" fillId="7" borderId="0" xfId="2" applyNumberFormat="1" applyFont="1" applyFill="1" applyAlignment="1">
      <alignment horizontal="center"/>
    </xf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70" fontId="0" fillId="0" borderId="0" xfId="0" applyNumberForma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1" fillId="0" borderId="0" xfId="3"/>
    <xf numFmtId="3" fontId="1" fillId="0" borderId="0" xfId="3" applyNumberFormat="1" applyAlignment="1">
      <alignment horizontal="center"/>
    </xf>
    <xf numFmtId="0" fontId="1" fillId="0" borderId="0" xfId="3" applyAlignment="1">
      <alignment horizontal="center"/>
    </xf>
    <xf numFmtId="4" fontId="1" fillId="0" borderId="0" xfId="3" applyNumberFormat="1" applyAlignment="1">
      <alignment horizontal="center"/>
    </xf>
    <xf numFmtId="0" fontId="3" fillId="0" borderId="0" xfId="3" applyFont="1" applyAlignment="1">
      <alignment horizontal="center" wrapText="1"/>
    </xf>
    <xf numFmtId="3" fontId="3" fillId="0" borderId="0" xfId="3" applyNumberFormat="1" applyFont="1" applyAlignment="1">
      <alignment horizontal="center" wrapText="1"/>
    </xf>
    <xf numFmtId="17" fontId="1" fillId="0" borderId="0" xfId="3" applyNumberFormat="1"/>
    <xf numFmtId="165" fontId="1" fillId="0" borderId="0" xfId="3" applyNumberFormat="1" applyAlignment="1">
      <alignment horizontal="center"/>
    </xf>
    <xf numFmtId="164" fontId="1" fillId="0" borderId="0" xfId="3" applyNumberFormat="1" applyAlignment="1">
      <alignment horizontal="center"/>
    </xf>
    <xf numFmtId="3" fontId="1" fillId="0" borderId="0" xfId="3" applyNumberFormat="1" applyFont="1" applyAlignment="1">
      <alignment horizontal="center"/>
    </xf>
    <xf numFmtId="3" fontId="1" fillId="0" borderId="0" xfId="3" applyNumberFormat="1" applyFill="1" applyAlignment="1">
      <alignment horizontal="center"/>
    </xf>
    <xf numFmtId="1" fontId="12" fillId="0" borderId="1" xfId="3" applyNumberFormat="1" applyFont="1" applyBorder="1"/>
    <xf numFmtId="3" fontId="12" fillId="0" borderId="1" xfId="3" applyNumberFormat="1" applyFont="1" applyBorder="1" applyAlignment="1">
      <alignment horizontal="center"/>
    </xf>
    <xf numFmtId="164" fontId="12" fillId="0" borderId="21" xfId="2" applyNumberFormat="1" applyFont="1" applyBorder="1"/>
    <xf numFmtId="0" fontId="12" fillId="0" borderId="1" xfId="3" applyFont="1" applyBorder="1"/>
    <xf numFmtId="0" fontId="12" fillId="0" borderId="24" xfId="3" applyFont="1" applyBorder="1"/>
    <xf numFmtId="0" fontId="12" fillId="0" borderId="31" xfId="3" applyFont="1" applyBorder="1"/>
    <xf numFmtId="0" fontId="12" fillId="0" borderId="32" xfId="3" applyFont="1" applyBorder="1"/>
    <xf numFmtId="3" fontId="12" fillId="0" borderId="32" xfId="3" applyNumberFormat="1" applyFont="1" applyBorder="1" applyAlignment="1">
      <alignment horizontal="center"/>
    </xf>
    <xf numFmtId="0" fontId="12" fillId="0" borderId="0" xfId="3" applyFont="1"/>
    <xf numFmtId="3" fontId="12" fillId="0" borderId="0" xfId="3" applyNumberFormat="1" applyFont="1" applyAlignment="1">
      <alignment horizontal="center"/>
    </xf>
    <xf numFmtId="0" fontId="0" fillId="0" borderId="0" xfId="0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7" borderId="0" xfId="0" applyFill="1" applyAlignment="1">
      <alignment horizontal="right"/>
    </xf>
    <xf numFmtId="164" fontId="0" fillId="7" borderId="0" xfId="2" applyNumberFormat="1" applyFont="1" applyFill="1" applyAlignment="1">
      <alignment horizontal="right"/>
    </xf>
    <xf numFmtId="3" fontId="0" fillId="7" borderId="0" xfId="0" applyNumberFormat="1" applyFill="1" applyAlignment="1">
      <alignment horizontal="right"/>
    </xf>
    <xf numFmtId="3" fontId="4" fillId="7" borderId="0" xfId="0" applyNumberFormat="1" applyFont="1" applyFill="1"/>
    <xf numFmtId="0" fontId="0" fillId="7" borderId="0" xfId="0" applyFill="1"/>
    <xf numFmtId="0" fontId="4" fillId="0" borderId="28" xfId="0" applyFont="1" applyBorder="1"/>
    <xf numFmtId="3" fontId="0" fillId="0" borderId="28" xfId="0" applyNumberFormat="1" applyBorder="1" applyAlignment="1">
      <alignment horizontal="right" wrapText="1"/>
    </xf>
    <xf numFmtId="3" fontId="0" fillId="0" borderId="28" xfId="0" applyNumberFormat="1" applyFill="1" applyBorder="1" applyAlignment="1">
      <alignment horizontal="right" wrapText="1"/>
    </xf>
    <xf numFmtId="3" fontId="0" fillId="0" borderId="28" xfId="0" applyNumberFormat="1" applyBorder="1" applyAlignment="1">
      <alignment horizontal="right"/>
    </xf>
    <xf numFmtId="10" fontId="0" fillId="0" borderId="28" xfId="2" applyNumberFormat="1" applyFont="1" applyBorder="1" applyAlignment="1">
      <alignment horizontal="right" wrapText="1"/>
    </xf>
    <xf numFmtId="10" fontId="0" fillId="0" borderId="28" xfId="2" applyNumberFormat="1" applyFont="1" applyFill="1" applyBorder="1" applyAlignment="1">
      <alignment horizontal="right" wrapText="1"/>
    </xf>
    <xf numFmtId="10" fontId="7" fillId="0" borderId="28" xfId="2" applyNumberFormat="1" applyFont="1" applyBorder="1" applyAlignment="1">
      <alignment horizontal="right"/>
    </xf>
    <xf numFmtId="0" fontId="0" fillId="0" borderId="28" xfId="0" applyBorder="1" applyAlignment="1">
      <alignment horizontal="right" wrapText="1"/>
    </xf>
    <xf numFmtId="3" fontId="0" fillId="0" borderId="28" xfId="0" applyNumberFormat="1" applyFill="1" applyBorder="1" applyAlignment="1">
      <alignment horizontal="right"/>
    </xf>
    <xf numFmtId="0" fontId="5" fillId="0" borderId="28" xfId="0" applyFont="1" applyBorder="1"/>
    <xf numFmtId="0" fontId="0" fillId="0" borderId="28" xfId="0" applyBorder="1" applyAlignment="1">
      <alignment horizontal="right"/>
    </xf>
    <xf numFmtId="3" fontId="4" fillId="0" borderId="28" xfId="0" applyNumberFormat="1" applyFont="1" applyBorder="1"/>
    <xf numFmtId="0" fontId="0" fillId="0" borderId="28" xfId="0" applyBorder="1"/>
    <xf numFmtId="3" fontId="7" fillId="0" borderId="28" xfId="0" applyNumberFormat="1" applyFont="1" applyBorder="1" applyAlignment="1">
      <alignment horizontal="right"/>
    </xf>
    <xf numFmtId="169" fontId="0" fillId="0" borderId="28" xfId="1" applyNumberFormat="1" applyFont="1" applyBorder="1" applyAlignment="1">
      <alignment horizontal="right"/>
    </xf>
    <xf numFmtId="0" fontId="1" fillId="0" borderId="28" xfId="0" applyFont="1" applyBorder="1"/>
    <xf numFmtId="3" fontId="0" fillId="0" borderId="28" xfId="1" applyNumberFormat="1" applyFont="1" applyBorder="1" applyAlignment="1">
      <alignment horizontal="right"/>
    </xf>
    <xf numFmtId="0" fontId="0" fillId="0" borderId="36" xfId="0" applyBorder="1"/>
    <xf numFmtId="3" fontId="0" fillId="0" borderId="36" xfId="0" applyNumberFormat="1" applyBorder="1" applyAlignment="1">
      <alignment horizontal="right"/>
    </xf>
    <xf numFmtId="0" fontId="4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horizontal="right" wrapText="1"/>
    </xf>
    <xf numFmtId="3" fontId="13" fillId="0" borderId="0" xfId="0" applyNumberFormat="1" applyFont="1" applyAlignment="1">
      <alignment horizontal="center"/>
    </xf>
    <xf numFmtId="0" fontId="0" fillId="6" borderId="40" xfId="0" applyFill="1" applyBorder="1" applyAlignment="1">
      <alignment vertical="top"/>
    </xf>
    <xf numFmtId="0" fontId="0" fillId="0" borderId="0" xfId="0" applyBorder="1"/>
    <xf numFmtId="3" fontId="0" fillId="6" borderId="41" xfId="0" applyNumberFormat="1" applyFill="1" applyBorder="1" applyAlignment="1">
      <alignment vertical="top"/>
    </xf>
    <xf numFmtId="0" fontId="4" fillId="5" borderId="42" xfId="0" applyFont="1" applyFill="1" applyBorder="1" applyAlignment="1">
      <alignment vertical="top"/>
    </xf>
    <xf numFmtId="0" fontId="4" fillId="5" borderId="43" xfId="0" applyFont="1" applyFill="1" applyBorder="1" applyAlignment="1">
      <alignment vertical="top"/>
    </xf>
    <xf numFmtId="0" fontId="4" fillId="5" borderId="44" xfId="0" applyFont="1" applyFill="1" applyBorder="1" applyAlignment="1">
      <alignment vertical="top"/>
    </xf>
    <xf numFmtId="0" fontId="0" fillId="0" borderId="2" xfId="0" applyNumberFormat="1" applyFill="1" applyBorder="1" applyAlignment="1">
      <alignment vertical="top"/>
    </xf>
    <xf numFmtId="3" fontId="4" fillId="5" borderId="32" xfId="0" applyNumberFormat="1" applyFont="1" applyFill="1" applyBorder="1" applyAlignment="1">
      <alignment vertical="top"/>
    </xf>
    <xf numFmtId="3" fontId="4" fillId="5" borderId="45" xfId="0" applyNumberFormat="1" applyFont="1" applyFill="1" applyBorder="1" applyAlignment="1">
      <alignment vertical="top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72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0" fontId="11" fillId="8" borderId="17" xfId="3" applyFont="1" applyFill="1" applyBorder="1" applyAlignment="1">
      <alignment horizontal="center" vertical="center" wrapText="1"/>
    </xf>
    <xf numFmtId="0" fontId="11" fillId="8" borderId="18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37" fontId="1" fillId="0" borderId="0" xfId="0" applyNumberFormat="1" applyFont="1" applyFill="1" applyAlignment="1">
      <alignment horizontal="center"/>
    </xf>
    <xf numFmtId="170" fontId="2" fillId="0" borderId="0" xfId="0" applyNumberFormat="1" applyFont="1" applyFill="1" applyAlignment="1">
      <alignment horizontal="center"/>
    </xf>
    <xf numFmtId="44" fontId="0" fillId="0" borderId="0" xfId="11" applyFont="1"/>
    <xf numFmtId="43" fontId="0" fillId="0" borderId="0" xfId="1" applyFont="1"/>
    <xf numFmtId="0" fontId="0" fillId="2" borderId="0" xfId="0" applyFill="1" applyAlignment="1">
      <alignment horizontal="left"/>
    </xf>
    <xf numFmtId="10" fontId="0" fillId="4" borderId="0" xfId="2" applyNumberFormat="1" applyFont="1" applyFill="1" applyAlignment="1">
      <alignment horizontal="center"/>
    </xf>
    <xf numFmtId="166" fontId="0" fillId="11" borderId="0" xfId="0" applyNumberFormat="1" applyFill="1" applyAlignment="1">
      <alignment horizontal="center"/>
    </xf>
    <xf numFmtId="3" fontId="0" fillId="0" borderId="48" xfId="0" applyNumberFormat="1" applyBorder="1" applyAlignment="1">
      <alignment horizontal="center"/>
    </xf>
    <xf numFmtId="167" fontId="0" fillId="0" borderId="48" xfId="0" applyNumberFormat="1" applyBorder="1" applyAlignment="1">
      <alignment horizontal="center"/>
    </xf>
    <xf numFmtId="168" fontId="0" fillId="0" borderId="48" xfId="0" applyNumberFormat="1" applyBorder="1" applyAlignment="1">
      <alignment horizontal="center"/>
    </xf>
    <xf numFmtId="0" fontId="4" fillId="9" borderId="14" xfId="0" applyFont="1" applyFill="1" applyBorder="1" applyAlignment="1">
      <alignment horizontal="center" wrapText="1"/>
    </xf>
    <xf numFmtId="0" fontId="4" fillId="9" borderId="50" xfId="0" applyFont="1" applyFill="1" applyBorder="1" applyAlignment="1">
      <alignment horizontal="center" wrapText="1"/>
    </xf>
    <xf numFmtId="0" fontId="4" fillId="9" borderId="15" xfId="0" applyFont="1" applyFill="1" applyBorder="1" applyAlignment="1">
      <alignment horizontal="center" wrapText="1"/>
    </xf>
    <xf numFmtId="0" fontId="11" fillId="8" borderId="47" xfId="3" applyFont="1" applyFill="1" applyBorder="1" applyAlignment="1">
      <alignment horizontal="center" vertical="center" wrapText="1"/>
    </xf>
    <xf numFmtId="3" fontId="12" fillId="0" borderId="21" xfId="3" applyNumberFormat="1" applyFont="1" applyBorder="1" applyAlignment="1">
      <alignment horizontal="center"/>
    </xf>
    <xf numFmtId="3" fontId="12" fillId="0" borderId="45" xfId="3" applyNumberFormat="1" applyFont="1" applyBorder="1" applyAlignment="1">
      <alignment horizontal="center"/>
    </xf>
    <xf numFmtId="3" fontId="0" fillId="0" borderId="49" xfId="0" applyNumberFormat="1" applyBorder="1" applyAlignment="1">
      <alignment horizontal="center" wrapText="1"/>
    </xf>
    <xf numFmtId="3" fontId="0" fillId="0" borderId="29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29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" fillId="9" borderId="37" xfId="0" applyFont="1" applyFill="1" applyBorder="1"/>
    <xf numFmtId="0" fontId="4" fillId="9" borderId="53" xfId="0" applyFont="1" applyFill="1" applyBorder="1"/>
    <xf numFmtId="0" fontId="4" fillId="9" borderId="54" xfId="0" applyFont="1" applyFill="1" applyBorder="1" applyAlignment="1">
      <alignment horizontal="center" wrapText="1"/>
    </xf>
    <xf numFmtId="0" fontId="4" fillId="0" borderId="53" xfId="0" applyFont="1" applyBorder="1"/>
    <xf numFmtId="3" fontId="0" fillId="0" borderId="27" xfId="0" applyNumberFormat="1" applyBorder="1" applyAlignment="1">
      <alignment horizontal="center" wrapText="1"/>
    </xf>
    <xf numFmtId="3" fontId="0" fillId="0" borderId="30" xfId="0" applyNumberFormat="1" applyBorder="1" applyAlignment="1">
      <alignment horizontal="center" wrapText="1"/>
    </xf>
    <xf numFmtId="164" fontId="0" fillId="0" borderId="30" xfId="0" applyNumberForma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0" xfId="0" applyFill="1" applyBorder="1" applyAlignment="1">
      <alignment horizontal="center"/>
    </xf>
    <xf numFmtId="0" fontId="5" fillId="0" borderId="53" xfId="0" applyFont="1" applyBorder="1"/>
    <xf numFmtId="0" fontId="0" fillId="0" borderId="30" xfId="0" applyBorder="1" applyAlignment="1">
      <alignment horizontal="center"/>
    </xf>
    <xf numFmtId="3" fontId="4" fillId="0" borderId="53" xfId="0" applyNumberFormat="1" applyFont="1" applyBorder="1"/>
    <xf numFmtId="0" fontId="0" fillId="0" borderId="53" xfId="0" applyBorder="1"/>
    <xf numFmtId="3" fontId="0" fillId="0" borderId="30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30" xfId="0" applyNumberFormat="1" applyFill="1" applyBorder="1" applyAlignment="1">
      <alignment horizontal="center"/>
    </xf>
    <xf numFmtId="0" fontId="1" fillId="0" borderId="53" xfId="0" applyFont="1" applyBorder="1"/>
    <xf numFmtId="0" fontId="0" fillId="0" borderId="55" xfId="0" applyBorder="1"/>
    <xf numFmtId="3" fontId="0" fillId="0" borderId="2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1" fontId="16" fillId="0" borderId="0" xfId="3" applyNumberFormat="1" applyFont="1" applyAlignment="1">
      <alignment horizontal="center"/>
    </xf>
    <xf numFmtId="0" fontId="11" fillId="8" borderId="57" xfId="3" applyFont="1" applyFill="1" applyBorder="1" applyAlignment="1">
      <alignment horizontal="center" vertical="center" wrapText="1"/>
    </xf>
    <xf numFmtId="0" fontId="11" fillId="8" borderId="58" xfId="3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right"/>
    </xf>
    <xf numFmtId="164" fontId="12" fillId="0" borderId="1" xfId="2" applyNumberFormat="1" applyFont="1" applyBorder="1" applyAlignment="1">
      <alignment horizontal="right"/>
    </xf>
    <xf numFmtId="1" fontId="12" fillId="0" borderId="1" xfId="3" applyNumberFormat="1" applyFont="1" applyBorder="1" applyAlignment="1">
      <alignment horizontal="right"/>
    </xf>
    <xf numFmtId="3" fontId="12" fillId="12" borderId="1" xfId="3" applyNumberFormat="1" applyFont="1" applyFill="1" applyBorder="1" applyAlignment="1">
      <alignment horizontal="right"/>
    </xf>
    <xf numFmtId="164" fontId="12" fillId="12" borderId="1" xfId="2" applyNumberFormat="1" applyFont="1" applyFill="1" applyBorder="1" applyAlignment="1">
      <alignment horizontal="right"/>
    </xf>
    <xf numFmtId="0" fontId="11" fillId="8" borderId="56" xfId="3" applyFont="1" applyFill="1" applyBorder="1" applyAlignment="1">
      <alignment horizontal="center" vertical="center" wrapText="1"/>
    </xf>
    <xf numFmtId="1" fontId="12" fillId="12" borderId="16" xfId="3" applyNumberFormat="1" applyFont="1" applyFill="1" applyBorder="1"/>
    <xf numFmtId="3" fontId="12" fillId="12" borderId="17" xfId="3" applyNumberFormat="1" applyFont="1" applyFill="1" applyBorder="1" applyAlignment="1">
      <alignment horizontal="right"/>
    </xf>
    <xf numFmtId="164" fontId="12" fillId="12" borderId="17" xfId="2" applyNumberFormat="1" applyFont="1" applyFill="1" applyBorder="1" applyAlignment="1">
      <alignment horizontal="right"/>
    </xf>
    <xf numFmtId="3" fontId="12" fillId="12" borderId="47" xfId="3" applyNumberFormat="1" applyFont="1" applyFill="1" applyBorder="1" applyAlignment="1">
      <alignment horizontal="right"/>
    </xf>
    <xf numFmtId="3" fontId="12" fillId="12" borderId="21" xfId="3" applyNumberFormat="1" applyFont="1" applyFill="1" applyBorder="1" applyAlignment="1">
      <alignment horizontal="right"/>
    </xf>
    <xf numFmtId="3" fontId="12" fillId="0" borderId="21" xfId="3" applyNumberFormat="1" applyFont="1" applyBorder="1" applyAlignment="1">
      <alignment horizontal="right"/>
    </xf>
    <xf numFmtId="164" fontId="12" fillId="0" borderId="21" xfId="2" applyNumberFormat="1" applyFont="1" applyBorder="1" applyAlignment="1">
      <alignment horizontal="right"/>
    </xf>
    <xf numFmtId="3" fontId="12" fillId="0" borderId="32" xfId="3" applyNumberFormat="1" applyFont="1" applyBorder="1" applyAlignment="1">
      <alignment horizontal="right"/>
    </xf>
    <xf numFmtId="164" fontId="12" fillId="0" borderId="32" xfId="2" applyNumberFormat="1" applyFont="1" applyBorder="1" applyAlignment="1">
      <alignment horizontal="right"/>
    </xf>
    <xf numFmtId="164" fontId="12" fillId="0" borderId="45" xfId="2" applyNumberFormat="1" applyFont="1" applyBorder="1" applyAlignment="1">
      <alignment horizontal="right"/>
    </xf>
    <xf numFmtId="1" fontId="12" fillId="0" borderId="23" xfId="3" applyNumberFormat="1" applyFont="1" applyBorder="1"/>
    <xf numFmtId="1" fontId="12" fillId="0" borderId="36" xfId="3" applyNumberFormat="1" applyFont="1" applyBorder="1" applyAlignment="1">
      <alignment horizontal="right"/>
    </xf>
    <xf numFmtId="3" fontId="12" fillId="0" borderId="36" xfId="3" applyNumberFormat="1" applyFont="1" applyBorder="1" applyAlignment="1">
      <alignment horizontal="right"/>
    </xf>
    <xf numFmtId="164" fontId="12" fillId="0" borderId="36" xfId="2" applyNumberFormat="1" applyFont="1" applyBorder="1" applyAlignment="1">
      <alignment horizontal="right"/>
    </xf>
    <xf numFmtId="3" fontId="12" fillId="0" borderId="41" xfId="3" applyNumberFormat="1" applyFont="1" applyBorder="1" applyAlignment="1">
      <alignment horizontal="right"/>
    </xf>
    <xf numFmtId="164" fontId="12" fillId="12" borderId="32" xfId="2" applyNumberFormat="1" applyFont="1" applyFill="1" applyBorder="1" applyAlignment="1">
      <alignment horizontal="right"/>
    </xf>
    <xf numFmtId="1" fontId="12" fillId="0" borderId="24" xfId="3" applyNumberFormat="1" applyFont="1" applyBorder="1" applyAlignment="1">
      <alignment horizontal="left" indent="1"/>
    </xf>
    <xf numFmtId="0" fontId="12" fillId="0" borderId="24" xfId="3" applyFont="1" applyBorder="1" applyAlignment="1">
      <alignment horizontal="left" indent="1"/>
    </xf>
    <xf numFmtId="0" fontId="12" fillId="0" borderId="31" xfId="3" applyFont="1" applyBorder="1" applyAlignment="1">
      <alignment horizontal="left" indent="1"/>
    </xf>
    <xf numFmtId="0" fontId="12" fillId="0" borderId="16" xfId="3" applyFont="1" applyBorder="1"/>
    <xf numFmtId="0" fontId="12" fillId="0" borderId="17" xfId="3" applyFont="1" applyBorder="1"/>
    <xf numFmtId="0" fontId="12" fillId="0" borderId="47" xfId="3" applyFont="1" applyBorder="1"/>
    <xf numFmtId="1" fontId="12" fillId="12" borderId="24" xfId="3" applyNumberFormat="1" applyFont="1" applyFill="1" applyBorder="1" applyAlignment="1">
      <alignment horizontal="left" indent="1"/>
    </xf>
    <xf numFmtId="0" fontId="0" fillId="0" borderId="1" xfId="0" applyBorder="1"/>
    <xf numFmtId="0" fontId="0" fillId="0" borderId="21" xfId="0" applyBorder="1"/>
    <xf numFmtId="3" fontId="12" fillId="0" borderId="21" xfId="0" applyNumberFormat="1" applyFont="1" applyBorder="1"/>
    <xf numFmtId="3" fontId="12" fillId="0" borderId="45" xfId="0" applyNumberFormat="1" applyFont="1" applyBorder="1"/>
    <xf numFmtId="0" fontId="12" fillId="12" borderId="24" xfId="3" applyFont="1" applyFill="1" applyBorder="1" applyAlignment="1">
      <alignment horizontal="left"/>
    </xf>
    <xf numFmtId="164" fontId="12" fillId="12" borderId="21" xfId="2" applyNumberFormat="1" applyFont="1" applyFill="1" applyBorder="1" applyAlignment="1">
      <alignment horizontal="right"/>
    </xf>
    <xf numFmtId="0" fontId="12" fillId="12" borderId="31" xfId="3" applyFont="1" applyFill="1" applyBorder="1" applyAlignment="1">
      <alignment horizontal="left"/>
    </xf>
    <xf numFmtId="164" fontId="12" fillId="12" borderId="45" xfId="2" applyNumberFormat="1" applyFont="1" applyFill="1" applyBorder="1" applyAlignment="1">
      <alignment horizontal="right"/>
    </xf>
    <xf numFmtId="3" fontId="12" fillId="0" borderId="25" xfId="3" applyNumberFormat="1" applyFont="1" applyBorder="1" applyAlignment="1">
      <alignment horizontal="right"/>
    </xf>
    <xf numFmtId="3" fontId="12" fillId="0" borderId="59" xfId="0" applyNumberFormat="1" applyFont="1" applyBorder="1"/>
    <xf numFmtId="0" fontId="4" fillId="9" borderId="63" xfId="0" applyFont="1" applyFill="1" applyBorder="1"/>
    <xf numFmtId="0" fontId="4" fillId="0" borderId="22" xfId="0" applyFont="1" applyBorder="1"/>
    <xf numFmtId="0" fontId="5" fillId="0" borderId="22" xfId="0" applyFont="1" applyBorder="1"/>
    <xf numFmtId="3" fontId="4" fillId="0" borderId="22" xfId="0" applyNumberFormat="1" applyFont="1" applyBorder="1"/>
    <xf numFmtId="0" fontId="0" fillId="0" borderId="22" xfId="0" applyBorder="1"/>
    <xf numFmtId="0" fontId="1" fillId="0" borderId="22" xfId="0" applyFont="1" applyBorder="1"/>
    <xf numFmtId="0" fontId="0" fillId="0" borderId="60" xfId="0" applyBorder="1"/>
    <xf numFmtId="0" fontId="4" fillId="9" borderId="60" xfId="0" applyFont="1" applyFill="1" applyBorder="1"/>
    <xf numFmtId="0" fontId="4" fillId="9" borderId="2" xfId="0" applyFont="1" applyFill="1" applyBorder="1" applyAlignment="1">
      <alignment horizontal="center" wrapText="1"/>
    </xf>
    <xf numFmtId="0" fontId="4" fillId="9" borderId="64" xfId="0" applyFont="1" applyFill="1" applyBorder="1" applyAlignment="1">
      <alignment horizontal="center" wrapText="1"/>
    </xf>
    <xf numFmtId="0" fontId="4" fillId="9" borderId="35" xfId="0" applyFont="1" applyFill="1" applyBorder="1" applyAlignment="1">
      <alignment horizontal="center" wrapText="1"/>
    </xf>
    <xf numFmtId="3" fontId="0" fillId="0" borderId="51" xfId="0" applyNumberFormat="1" applyBorder="1" applyAlignment="1">
      <alignment horizontal="center" wrapText="1"/>
    </xf>
    <xf numFmtId="3" fontId="0" fillId="0" borderId="38" xfId="0" applyNumberFormat="1" applyBorder="1" applyAlignment="1">
      <alignment horizontal="center" wrapText="1"/>
    </xf>
    <xf numFmtId="3" fontId="0" fillId="0" borderId="39" xfId="0" applyNumberFormat="1" applyBorder="1" applyAlignment="1">
      <alignment horizontal="center" wrapText="1"/>
    </xf>
    <xf numFmtId="0" fontId="11" fillId="8" borderId="63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1" fillId="8" borderId="60" xfId="3" applyFont="1" applyFill="1" applyBorder="1" applyAlignment="1">
      <alignment horizontal="center" vertical="center" wrapText="1"/>
    </xf>
    <xf numFmtId="1" fontId="11" fillId="12" borderId="65" xfId="3" applyNumberFormat="1" applyFont="1" applyFill="1" applyBorder="1" applyAlignment="1">
      <alignment horizontal="center" vertical="top"/>
    </xf>
    <xf numFmtId="3" fontId="0" fillId="0" borderId="28" xfId="0" applyNumberFormat="1" applyBorder="1"/>
    <xf numFmtId="3" fontId="0" fillId="0" borderId="62" xfId="0" applyNumberFormat="1" applyBorder="1"/>
    <xf numFmtId="164" fontId="0" fillId="0" borderId="28" xfId="0" applyNumberFormat="1" applyBorder="1" applyAlignment="1">
      <alignment horizontal="center" wrapText="1"/>
    </xf>
    <xf numFmtId="164" fontId="0" fillId="0" borderId="28" xfId="0" applyNumberFormat="1" applyBorder="1"/>
    <xf numFmtId="164" fontId="0" fillId="0" borderId="62" xfId="0" applyNumberFormat="1" applyBorder="1"/>
    <xf numFmtId="0" fontId="0" fillId="0" borderId="62" xfId="0" applyBorder="1"/>
    <xf numFmtId="3" fontId="0" fillId="0" borderId="33" xfId="0" applyNumberFormat="1" applyBorder="1"/>
    <xf numFmtId="3" fontId="0" fillId="0" borderId="61" xfId="0" applyNumberFormat="1" applyBorder="1"/>
    <xf numFmtId="1" fontId="11" fillId="12" borderId="32" xfId="3" applyNumberFormat="1" applyFont="1" applyFill="1" applyBorder="1" applyAlignment="1">
      <alignment horizontal="center" vertical="top"/>
    </xf>
    <xf numFmtId="0" fontId="11" fillId="8" borderId="32" xfId="3" applyFont="1" applyFill="1" applyBorder="1" applyAlignment="1">
      <alignment horizontal="center" vertical="center" wrapText="1"/>
    </xf>
    <xf numFmtId="0" fontId="11" fillId="8" borderId="45" xfId="3" applyFont="1" applyFill="1" applyBorder="1" applyAlignment="1">
      <alignment horizontal="center" vertical="center" wrapText="1"/>
    </xf>
    <xf numFmtId="17" fontId="12" fillId="0" borderId="22" xfId="0" applyNumberFormat="1" applyFont="1" applyFill="1" applyBorder="1"/>
    <xf numFmtId="3" fontId="12" fillId="0" borderId="28" xfId="1" applyNumberFormat="1" applyFont="1" applyFill="1" applyBorder="1" applyAlignment="1">
      <alignment horizontal="center"/>
    </xf>
    <xf numFmtId="43" fontId="12" fillId="0" borderId="28" xfId="1" applyFont="1" applyFill="1" applyBorder="1" applyAlignment="1">
      <alignment horizontal="center"/>
    </xf>
    <xf numFmtId="10" fontId="12" fillId="0" borderId="28" xfId="2" applyNumberFormat="1" applyFont="1" applyFill="1" applyBorder="1" applyAlignment="1">
      <alignment horizontal="center"/>
    </xf>
    <xf numFmtId="37" fontId="12" fillId="0" borderId="28" xfId="0" applyNumberFormat="1" applyFont="1" applyFill="1" applyBorder="1" applyAlignment="1">
      <alignment horizontal="center"/>
    </xf>
    <xf numFmtId="37" fontId="12" fillId="0" borderId="62" xfId="0" applyNumberFormat="1" applyFont="1" applyFill="1" applyBorder="1" applyAlignment="1">
      <alignment horizontal="center"/>
    </xf>
    <xf numFmtId="3" fontId="12" fillId="0" borderId="28" xfId="0" applyNumberFormat="1" applyFont="1" applyFill="1" applyBorder="1" applyAlignment="1">
      <alignment horizontal="center"/>
    </xf>
    <xf numFmtId="17" fontId="12" fillId="0" borderId="60" xfId="0" applyNumberFormat="1" applyFont="1" applyFill="1" applyBorder="1"/>
    <xf numFmtId="43" fontId="12" fillId="0" borderId="33" xfId="1" applyFont="1" applyFill="1" applyBorder="1" applyAlignment="1">
      <alignment horizontal="center"/>
    </xf>
    <xf numFmtId="10" fontId="12" fillId="0" borderId="33" xfId="2" applyNumberFormat="1" applyFont="1" applyFill="1" applyBorder="1" applyAlignment="1">
      <alignment horizontal="center"/>
    </xf>
    <xf numFmtId="37" fontId="12" fillId="0" borderId="33" xfId="0" applyNumberFormat="1" applyFont="1" applyFill="1" applyBorder="1" applyAlignment="1">
      <alignment horizontal="center"/>
    </xf>
    <xf numFmtId="37" fontId="12" fillId="0" borderId="61" xfId="0" applyNumberFormat="1" applyFont="1" applyFill="1" applyBorder="1" applyAlignment="1">
      <alignment horizontal="center"/>
    </xf>
    <xf numFmtId="0" fontId="11" fillId="8" borderId="31" xfId="3" applyFont="1" applyFill="1" applyBorder="1" applyAlignment="1">
      <alignment horizontal="center" vertical="center" wrapText="1"/>
    </xf>
    <xf numFmtId="3" fontId="12" fillId="0" borderId="45" xfId="3" applyNumberFormat="1" applyFont="1" applyBorder="1" applyAlignment="1">
      <alignment horizontal="right"/>
    </xf>
    <xf numFmtId="0" fontId="0" fillId="7" borderId="0" xfId="0" applyFill="1" applyAlignment="1">
      <alignment wrapText="1"/>
    </xf>
    <xf numFmtId="0" fontId="1" fillId="7" borderId="15" xfId="0" applyFont="1" applyFill="1" applyBorder="1" applyAlignment="1">
      <alignment vertical="top"/>
    </xf>
    <xf numFmtId="3" fontId="0" fillId="7" borderId="14" xfId="0" applyNumberFormat="1" applyFill="1" applyBorder="1" applyAlignment="1">
      <alignment vertical="top"/>
    </xf>
    <xf numFmtId="0" fontId="17" fillId="0" borderId="0" xfId="0" applyFont="1"/>
    <xf numFmtId="0" fontId="11" fillId="8" borderId="33" xfId="3" applyFont="1" applyFill="1" applyBorder="1" applyAlignment="1">
      <alignment horizontal="center" vertical="center" wrapText="1"/>
    </xf>
    <xf numFmtId="0" fontId="11" fillId="8" borderId="34" xfId="3" applyFont="1" applyFill="1" applyBorder="1" applyAlignment="1">
      <alignment horizontal="center" vertical="center" wrapText="1"/>
    </xf>
    <xf numFmtId="0" fontId="11" fillId="8" borderId="61" xfId="3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vertical="top" wrapText="1"/>
    </xf>
    <xf numFmtId="0" fontId="4" fillId="5" borderId="17" xfId="0" applyFont="1" applyFill="1" applyBorder="1" applyAlignment="1">
      <alignment vertical="top" wrapText="1"/>
    </xf>
    <xf numFmtId="0" fontId="0" fillId="0" borderId="38" xfId="0" applyNumberFormat="1" applyFill="1" applyBorder="1" applyAlignment="1">
      <alignment vertical="top"/>
    </xf>
    <xf numFmtId="0" fontId="4" fillId="5" borderId="17" xfId="0" applyFont="1" applyFill="1" applyBorder="1" applyAlignment="1">
      <alignment vertical="top"/>
    </xf>
    <xf numFmtId="0" fontId="4" fillId="5" borderId="47" xfId="0" applyFont="1" applyFill="1" applyBorder="1" applyAlignment="1">
      <alignment vertical="top"/>
    </xf>
    <xf numFmtId="0" fontId="0" fillId="0" borderId="66" xfId="0" applyFill="1" applyBorder="1" applyAlignment="1">
      <alignment vertical="top"/>
    </xf>
    <xf numFmtId="3" fontId="0" fillId="0" borderId="67" xfId="0" applyNumberFormat="1" applyFill="1" applyBorder="1" applyAlignment="1">
      <alignment vertical="top"/>
    </xf>
    <xf numFmtId="0" fontId="0" fillId="6" borderId="68" xfId="0" applyFill="1" applyBorder="1" applyAlignment="1">
      <alignment vertical="top"/>
    </xf>
    <xf numFmtId="3" fontId="0" fillId="6" borderId="69" xfId="0" applyNumberFormat="1" applyFill="1" applyBorder="1" applyAlignment="1">
      <alignment vertical="top"/>
    </xf>
    <xf numFmtId="0" fontId="0" fillId="0" borderId="68" xfId="0" applyFill="1" applyBorder="1" applyAlignment="1">
      <alignment vertical="top"/>
    </xf>
    <xf numFmtId="3" fontId="0" fillId="0" borderId="69" xfId="0" applyNumberFormat="1" applyFill="1" applyBorder="1" applyAlignment="1">
      <alignment vertical="top"/>
    </xf>
    <xf numFmtId="3" fontId="0" fillId="6" borderId="70" xfId="0" applyNumberFormat="1" applyFill="1" applyBorder="1" applyAlignment="1">
      <alignment vertical="top"/>
    </xf>
    <xf numFmtId="0" fontId="8" fillId="0" borderId="53" xfId="0" applyNumberFormat="1" applyFont="1" applyFill="1" applyBorder="1" applyAlignment="1">
      <alignment vertical="top"/>
    </xf>
    <xf numFmtId="0" fontId="0" fillId="0" borderId="30" xfId="0" applyFill="1" applyBorder="1" applyAlignment="1">
      <alignment vertical="top"/>
    </xf>
    <xf numFmtId="3" fontId="0" fillId="0" borderId="71" xfId="0" applyNumberFormat="1" applyFill="1" applyBorder="1" applyAlignment="1">
      <alignment vertical="top"/>
    </xf>
    <xf numFmtId="3" fontId="0" fillId="6" borderId="72" xfId="0" applyNumberFormat="1" applyFill="1" applyBorder="1" applyAlignment="1">
      <alignment vertical="top"/>
    </xf>
    <xf numFmtId="3" fontId="0" fillId="0" borderId="72" xfId="0" applyNumberFormat="1" applyFill="1" applyBorder="1" applyAlignment="1">
      <alignment vertical="top"/>
    </xf>
    <xf numFmtId="3" fontId="0" fillId="6" borderId="73" xfId="0" applyNumberFormat="1" applyFill="1" applyBorder="1" applyAlignment="1">
      <alignment vertical="top"/>
    </xf>
    <xf numFmtId="0" fontId="4" fillId="5" borderId="17" xfId="0" applyFont="1" applyFill="1" applyBorder="1" applyAlignment="1">
      <alignment horizontal="right" vertical="top"/>
    </xf>
    <xf numFmtId="3" fontId="0" fillId="7" borderId="41" xfId="0" applyNumberFormat="1" applyFill="1" applyBorder="1" applyAlignment="1">
      <alignment vertical="top"/>
    </xf>
    <xf numFmtId="0" fontId="5" fillId="0" borderId="55" xfId="0" applyFont="1" applyBorder="1"/>
    <xf numFmtId="0" fontId="0" fillId="0" borderId="2" xfId="0" applyBorder="1"/>
    <xf numFmtId="0" fontId="17" fillId="0" borderId="2" xfId="0" applyFont="1" applyBorder="1"/>
    <xf numFmtId="0" fontId="0" fillId="6" borderId="74" xfId="0" applyFill="1" applyBorder="1" applyAlignment="1">
      <alignment vertical="top"/>
    </xf>
    <xf numFmtId="0" fontId="1" fillId="6" borderId="75" xfId="0" applyFont="1" applyFill="1" applyBorder="1" applyAlignment="1">
      <alignment vertical="top"/>
    </xf>
    <xf numFmtId="0" fontId="1" fillId="6" borderId="64" xfId="0" applyFont="1" applyFill="1" applyBorder="1" applyAlignment="1">
      <alignment vertical="top"/>
    </xf>
    <xf numFmtId="3" fontId="0" fillId="6" borderId="34" xfId="0" applyNumberFormat="1" applyFill="1" applyBorder="1" applyAlignment="1">
      <alignment vertical="top"/>
    </xf>
    <xf numFmtId="3" fontId="0" fillId="7" borderId="34" xfId="0" applyNumberFormat="1" applyFill="1" applyBorder="1" applyAlignment="1">
      <alignment vertical="top"/>
    </xf>
    <xf numFmtId="3" fontId="0" fillId="6" borderId="61" xfId="0" applyNumberFormat="1" applyFill="1" applyBorder="1" applyAlignment="1">
      <alignment vertical="top"/>
    </xf>
    <xf numFmtId="0" fontId="4" fillId="5" borderId="47" xfId="0" applyFont="1" applyFill="1" applyBorder="1" applyAlignment="1">
      <alignment horizontal="right" vertical="top"/>
    </xf>
    <xf numFmtId="0" fontId="12" fillId="8" borderId="24" xfId="3" applyFont="1" applyFill="1" applyBorder="1" applyAlignment="1">
      <alignment horizontal="center"/>
    </xf>
    <xf numFmtId="3" fontId="12" fillId="8" borderId="1" xfId="3" applyNumberFormat="1" applyFont="1" applyFill="1" applyBorder="1" applyAlignment="1">
      <alignment horizontal="right"/>
    </xf>
    <xf numFmtId="0" fontId="12" fillId="8" borderId="20" xfId="3" applyFont="1" applyFill="1" applyBorder="1" applyAlignment="1">
      <alignment horizontal="center"/>
    </xf>
    <xf numFmtId="3" fontId="12" fillId="8" borderId="25" xfId="3" applyNumberFormat="1" applyFont="1" applyFill="1" applyBorder="1" applyAlignment="1">
      <alignment horizontal="right"/>
    </xf>
    <xf numFmtId="3" fontId="12" fillId="8" borderId="56" xfId="3" applyNumberFormat="1" applyFont="1" applyFill="1" applyBorder="1" applyAlignment="1">
      <alignment horizontal="center"/>
    </xf>
    <xf numFmtId="3" fontId="12" fillId="0" borderId="21" xfId="3" applyNumberFormat="1" applyFont="1" applyFill="1" applyBorder="1" applyAlignment="1">
      <alignment horizontal="right"/>
    </xf>
    <xf numFmtId="3" fontId="12" fillId="0" borderId="59" xfId="3" applyNumberFormat="1" applyFont="1" applyFill="1" applyBorder="1" applyAlignment="1">
      <alignment horizontal="right"/>
    </xf>
    <xf numFmtId="3" fontId="12" fillId="8" borderId="17" xfId="3" applyNumberFormat="1" applyFont="1" applyFill="1" applyBorder="1" applyAlignment="1">
      <alignment horizontal="right"/>
    </xf>
    <xf numFmtId="3" fontId="12" fillId="0" borderId="17" xfId="3" applyNumberFormat="1" applyFont="1" applyBorder="1" applyAlignment="1">
      <alignment horizontal="right"/>
    </xf>
    <xf numFmtId="3" fontId="12" fillId="8" borderId="32" xfId="3" applyNumberFormat="1" applyFont="1" applyFill="1" applyBorder="1" applyAlignment="1">
      <alignment horizontal="right"/>
    </xf>
    <xf numFmtId="3" fontId="12" fillId="0" borderId="47" xfId="3" applyNumberFormat="1" applyFont="1" applyFill="1" applyBorder="1" applyAlignment="1">
      <alignment horizontal="right"/>
    </xf>
    <xf numFmtId="3" fontId="12" fillId="0" borderId="45" xfId="3" applyNumberFormat="1" applyFont="1" applyFill="1" applyBorder="1" applyAlignment="1">
      <alignment horizontal="right"/>
    </xf>
    <xf numFmtId="168" fontId="0" fillId="0" borderId="0" xfId="2" applyNumberFormat="1" applyFont="1" applyAlignment="1">
      <alignment horizontal="center"/>
    </xf>
    <xf numFmtId="0" fontId="0" fillId="14" borderId="0" xfId="0" applyFill="1" applyAlignment="1">
      <alignment horizontal="center" wrapText="1"/>
    </xf>
    <xf numFmtId="0" fontId="1" fillId="14" borderId="0" xfId="0" applyFont="1" applyFill="1" applyAlignment="1">
      <alignment horizontal="center" wrapText="1"/>
    </xf>
    <xf numFmtId="169" fontId="0" fillId="14" borderId="0" xfId="1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3" applyFont="1" applyBorder="1"/>
    <xf numFmtId="3" fontId="12" fillId="0" borderId="0" xfId="3" applyNumberFormat="1" applyFont="1" applyBorder="1" applyAlignment="1">
      <alignment horizontal="center"/>
    </xf>
    <xf numFmtId="3" fontId="0" fillId="0" borderId="0" xfId="0" applyNumberFormat="1" applyFill="1" applyBorder="1"/>
    <xf numFmtId="167" fontId="0" fillId="0" borderId="0" xfId="0" applyNumberFormat="1" applyFill="1" applyBorder="1"/>
    <xf numFmtId="174" fontId="0" fillId="0" borderId="0" xfId="0" applyNumberFormat="1" applyFill="1" applyBorder="1"/>
    <xf numFmtId="174" fontId="0" fillId="0" borderId="0" xfId="0" applyNumberFormat="1"/>
    <xf numFmtId="169" fontId="16" fillId="0" borderId="0" xfId="1" applyNumberFormat="1" applyFont="1"/>
    <xf numFmtId="3" fontId="12" fillId="0" borderId="21" xfId="0" applyNumberFormat="1" applyFont="1" applyFill="1" applyBorder="1"/>
    <xf numFmtId="3" fontId="12" fillId="0" borderId="45" xfId="0" applyNumberFormat="1" applyFont="1" applyFill="1" applyBorder="1"/>
    <xf numFmtId="3" fontId="0" fillId="15" borderId="0" xfId="0" applyNumberFormat="1" applyFill="1" applyAlignment="1">
      <alignment horizontal="center"/>
    </xf>
    <xf numFmtId="0" fontId="0" fillId="15" borderId="0" xfId="0" applyFill="1"/>
    <xf numFmtId="0" fontId="0" fillId="15" borderId="0" xfId="0" applyFill="1" applyAlignment="1">
      <alignment horizontal="center"/>
    </xf>
    <xf numFmtId="0" fontId="0" fillId="0" borderId="0" xfId="0" applyAlignment="1">
      <alignment horizontal="left"/>
    </xf>
    <xf numFmtId="3" fontId="12" fillId="0" borderId="1" xfId="3" applyNumberFormat="1" applyFont="1" applyFill="1" applyBorder="1" applyAlignment="1">
      <alignment horizontal="right"/>
    </xf>
    <xf numFmtId="3" fontId="12" fillId="0" borderId="32" xfId="3" applyNumberFormat="1" applyFont="1" applyFill="1" applyBorder="1" applyAlignment="1">
      <alignment horizontal="right"/>
    </xf>
    <xf numFmtId="3" fontId="12" fillId="8" borderId="21" xfId="3" applyNumberFormat="1" applyFont="1" applyFill="1" applyBorder="1" applyAlignment="1">
      <alignment horizontal="right"/>
    </xf>
    <xf numFmtId="0" fontId="18" fillId="0" borderId="16" xfId="3" applyFont="1" applyBorder="1"/>
    <xf numFmtId="3" fontId="12" fillId="0" borderId="0" xfId="0" applyNumberFormat="1" applyFont="1"/>
    <xf numFmtId="10" fontId="12" fillId="0" borderId="1" xfId="2" applyNumberFormat="1" applyFont="1" applyBorder="1" applyAlignment="1">
      <alignment horizontal="right"/>
    </xf>
    <xf numFmtId="10" fontId="12" fillId="0" borderId="21" xfId="2" applyNumberFormat="1" applyFont="1" applyBorder="1"/>
    <xf numFmtId="10" fontId="12" fillId="0" borderId="25" xfId="2" applyNumberFormat="1" applyFont="1" applyBorder="1" applyAlignment="1">
      <alignment horizontal="right"/>
    </xf>
    <xf numFmtId="10" fontId="12" fillId="0" borderId="59" xfId="2" applyNumberFormat="1" applyFont="1" applyBorder="1"/>
    <xf numFmtId="10" fontId="12" fillId="12" borderId="1" xfId="2" applyNumberFormat="1" applyFont="1" applyFill="1" applyBorder="1" applyAlignment="1">
      <alignment horizontal="right"/>
    </xf>
    <xf numFmtId="10" fontId="12" fillId="12" borderId="21" xfId="2" applyNumberFormat="1" applyFont="1" applyFill="1" applyBorder="1" applyAlignment="1">
      <alignment horizontal="right"/>
    </xf>
    <xf numFmtId="10" fontId="12" fillId="12" borderId="32" xfId="2" applyNumberFormat="1" applyFont="1" applyFill="1" applyBorder="1" applyAlignment="1">
      <alignment horizontal="right"/>
    </xf>
    <xf numFmtId="10" fontId="12" fillId="12" borderId="45" xfId="2" applyNumberFormat="1" applyFont="1" applyFill="1" applyBorder="1" applyAlignment="1">
      <alignment horizontal="right"/>
    </xf>
    <xf numFmtId="3" fontId="12" fillId="0" borderId="33" xfId="0" applyNumberFormat="1" applyFont="1" applyFill="1" applyBorder="1" applyAlignment="1">
      <alignment horizontal="center"/>
    </xf>
    <xf numFmtId="0" fontId="12" fillId="0" borderId="20" xfId="3" applyFont="1" applyBorder="1" applyAlignment="1">
      <alignment horizontal="left" indent="1"/>
    </xf>
    <xf numFmtId="43" fontId="2" fillId="0" borderId="0" xfId="1" applyFont="1" applyFill="1" applyAlignment="1">
      <alignment horizontal="center"/>
    </xf>
    <xf numFmtId="164" fontId="0" fillId="7" borderId="0" xfId="2" applyNumberFormat="1" applyFont="1" applyFill="1"/>
    <xf numFmtId="0" fontId="0" fillId="17" borderId="0" xfId="0" applyFill="1" applyAlignment="1">
      <alignment wrapText="1"/>
    </xf>
    <xf numFmtId="0" fontId="12" fillId="0" borderId="0" xfId="3" applyFont="1" applyBorder="1" applyAlignment="1">
      <alignment horizontal="left" indent="1"/>
    </xf>
    <xf numFmtId="3" fontId="12" fillId="0" borderId="0" xfId="3" applyNumberFormat="1" applyFont="1" applyBorder="1" applyAlignment="1">
      <alignment horizontal="right"/>
    </xf>
    <xf numFmtId="0" fontId="12" fillId="0" borderId="0" xfId="3" applyFont="1" applyBorder="1" applyAlignment="1"/>
    <xf numFmtId="3" fontId="16" fillId="0" borderId="0" xfId="0" applyNumberFormat="1" applyFont="1"/>
    <xf numFmtId="0" fontId="0" fillId="16" borderId="0" xfId="0" applyFill="1" applyAlignment="1">
      <alignment wrapText="1"/>
    </xf>
    <xf numFmtId="0" fontId="1" fillId="16" borderId="0" xfId="0" applyFont="1" applyFill="1" applyAlignment="1">
      <alignment wrapText="1"/>
    </xf>
    <xf numFmtId="169" fontId="1" fillId="0" borderId="0" xfId="3" applyNumberFormat="1"/>
    <xf numFmtId="0" fontId="0" fillId="0" borderId="16" xfId="0" applyBorder="1"/>
    <xf numFmtId="3" fontId="0" fillId="6" borderId="24" xfId="0" applyNumberFormat="1" applyFill="1" applyBorder="1" applyAlignment="1">
      <alignment vertical="top"/>
    </xf>
    <xf numFmtId="164" fontId="0" fillId="0" borderId="1" xfId="2" applyNumberFormat="1" applyFont="1" applyBorder="1"/>
    <xf numFmtId="3" fontId="0" fillId="6" borderId="31" xfId="0" applyNumberFormat="1" applyFill="1" applyBorder="1" applyAlignment="1">
      <alignment vertical="top"/>
    </xf>
    <xf numFmtId="164" fontId="0" fillId="0" borderId="32" xfId="2" applyNumberFormat="1" applyFont="1" applyBorder="1"/>
    <xf numFmtId="164" fontId="0" fillId="0" borderId="21" xfId="2" applyNumberFormat="1" applyFont="1" applyBorder="1"/>
    <xf numFmtId="164" fontId="0" fillId="0" borderId="45" xfId="2" applyNumberFormat="1" applyFont="1" applyBorder="1"/>
    <xf numFmtId="3" fontId="0" fillId="6" borderId="16" xfId="0" applyNumberFormat="1" applyFont="1" applyFill="1" applyBorder="1" applyAlignment="1">
      <alignment vertical="top"/>
    </xf>
    <xf numFmtId="3" fontId="0" fillId="6" borderId="17" xfId="0" applyNumberFormat="1" applyFont="1" applyFill="1" applyBorder="1" applyAlignment="1">
      <alignment vertical="top"/>
    </xf>
    <xf numFmtId="0" fontId="0" fillId="0" borderId="17" xfId="0" applyBorder="1"/>
    <xf numFmtId="171" fontId="0" fillId="0" borderId="1" xfId="1" applyNumberFormat="1" applyFont="1" applyBorder="1"/>
    <xf numFmtId="171" fontId="0" fillId="0" borderId="21" xfId="1" applyNumberFormat="1" applyFont="1" applyBorder="1"/>
    <xf numFmtId="0" fontId="0" fillId="0" borderId="32" xfId="0" applyBorder="1"/>
    <xf numFmtId="171" fontId="0" fillId="0" borderId="32" xfId="1" applyNumberFormat="1" applyFont="1" applyBorder="1"/>
    <xf numFmtId="171" fontId="0" fillId="0" borderId="45" xfId="1" applyNumberFormat="1" applyFont="1" applyBorder="1"/>
    <xf numFmtId="0" fontId="12" fillId="0" borderId="16" xfId="0" quotePrefix="1" applyFont="1" applyBorder="1" applyAlignment="1">
      <alignment horizontal="left"/>
    </xf>
    <xf numFmtId="0" fontId="0" fillId="0" borderId="47" xfId="0" applyBorder="1"/>
    <xf numFmtId="0" fontId="12" fillId="0" borderId="24" xfId="0" applyFont="1" applyBorder="1" applyAlignment="1">
      <alignment horizontal="left" indent="1"/>
    </xf>
    <xf numFmtId="3" fontId="12" fillId="0" borderId="1" xfId="0" applyNumberFormat="1" applyFont="1" applyBorder="1"/>
    <xf numFmtId="3" fontId="12" fillId="0" borderId="25" xfId="0" applyNumberFormat="1" applyFont="1" applyBorder="1"/>
    <xf numFmtId="0" fontId="12" fillId="0" borderId="20" xfId="0" applyFont="1" applyBorder="1" applyAlignment="1">
      <alignment horizontal="left" indent="1"/>
    </xf>
    <xf numFmtId="0" fontId="12" fillId="0" borderId="23" xfId="0" quotePrefix="1" applyFont="1" applyBorder="1" applyAlignment="1">
      <alignment horizontal="left"/>
    </xf>
    <xf numFmtId="3" fontId="12" fillId="0" borderId="36" xfId="0" applyNumberFormat="1" applyFont="1" applyBorder="1"/>
    <xf numFmtId="3" fontId="12" fillId="0" borderId="41" xfId="0" applyNumberFormat="1" applyFont="1" applyBorder="1"/>
    <xf numFmtId="0" fontId="12" fillId="0" borderId="56" xfId="0" applyFont="1" applyBorder="1" applyAlignment="1">
      <alignment horizontal="left" indent="1"/>
    </xf>
    <xf numFmtId="3" fontId="12" fillId="0" borderId="57" xfId="0" applyNumberFormat="1" applyFont="1" applyBorder="1"/>
    <xf numFmtId="3" fontId="12" fillId="0" borderId="58" xfId="0" applyNumberFormat="1" applyFont="1" applyBorder="1"/>
    <xf numFmtId="0" fontId="0" fillId="0" borderId="56" xfId="0" applyBorder="1"/>
    <xf numFmtId="0" fontId="0" fillId="0" borderId="57" xfId="0" applyBorder="1"/>
    <xf numFmtId="0" fontId="12" fillId="0" borderId="56" xfId="0" applyFont="1" applyFill="1" applyBorder="1" applyAlignment="1">
      <alignment horizontal="left" indent="1"/>
    </xf>
    <xf numFmtId="0" fontId="11" fillId="15" borderId="56" xfId="3" applyFont="1" applyFill="1" applyBorder="1" applyAlignment="1">
      <alignment horizontal="center" vertical="center" wrapText="1"/>
    </xf>
    <xf numFmtId="0" fontId="11" fillId="15" borderId="57" xfId="3" applyFont="1" applyFill="1" applyBorder="1" applyAlignment="1">
      <alignment horizontal="center" vertical="center" wrapText="1"/>
    </xf>
    <xf numFmtId="0" fontId="11" fillId="15" borderId="58" xfId="3" applyFont="1" applyFill="1" applyBorder="1" applyAlignment="1">
      <alignment horizontal="center" vertical="center" wrapText="1"/>
    </xf>
    <xf numFmtId="0" fontId="12" fillId="15" borderId="16" xfId="3" applyFont="1" applyFill="1" applyBorder="1"/>
    <xf numFmtId="0" fontId="12" fillId="15" borderId="17" xfId="3" applyFont="1" applyFill="1" applyBorder="1"/>
    <xf numFmtId="0" fontId="12" fillId="15" borderId="47" xfId="3" applyFont="1" applyFill="1" applyBorder="1"/>
    <xf numFmtId="0" fontId="12" fillId="15" borderId="24" xfId="3" applyFont="1" applyFill="1" applyBorder="1" applyAlignment="1">
      <alignment horizontal="left" indent="1"/>
    </xf>
    <xf numFmtId="3" fontId="12" fillId="15" borderId="1" xfId="3" applyNumberFormat="1" applyFont="1" applyFill="1" applyBorder="1" applyAlignment="1">
      <alignment horizontal="right"/>
    </xf>
    <xf numFmtId="3" fontId="12" fillId="15" borderId="21" xfId="0" applyNumberFormat="1" applyFont="1" applyFill="1" applyBorder="1"/>
    <xf numFmtId="0" fontId="12" fillId="15" borderId="31" xfId="3" applyFont="1" applyFill="1" applyBorder="1" applyAlignment="1">
      <alignment horizontal="left" indent="1"/>
    </xf>
    <xf numFmtId="3" fontId="12" fillId="15" borderId="32" xfId="3" applyNumberFormat="1" applyFont="1" applyFill="1" applyBorder="1" applyAlignment="1">
      <alignment horizontal="right"/>
    </xf>
    <xf numFmtId="3" fontId="12" fillId="15" borderId="45" xfId="0" applyNumberFormat="1" applyFont="1" applyFill="1" applyBorder="1"/>
    <xf numFmtId="3" fontId="0" fillId="17" borderId="0" xfId="0" applyNumberFormat="1" applyFill="1" applyAlignment="1">
      <alignment horizontal="center"/>
    </xf>
    <xf numFmtId="43" fontId="2" fillId="17" borderId="0" xfId="1" applyFont="1" applyFill="1" applyAlignment="1">
      <alignment horizontal="center"/>
    </xf>
    <xf numFmtId="10" fontId="0" fillId="17" borderId="0" xfId="2" applyNumberFormat="1" applyFont="1" applyFill="1" applyAlignment="1">
      <alignment horizontal="center"/>
    </xf>
    <xf numFmtId="37" fontId="0" fillId="17" borderId="0" xfId="0" applyNumberFormat="1" applyFill="1" applyAlignment="1">
      <alignment horizontal="center"/>
    </xf>
    <xf numFmtId="37" fontId="2" fillId="17" borderId="0" xfId="0" applyNumberFormat="1" applyFont="1" applyFill="1" applyAlignment="1">
      <alignment horizontal="center"/>
    </xf>
    <xf numFmtId="3" fontId="1" fillId="0" borderId="0" xfId="1" applyNumberFormat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1" fontId="12" fillId="12" borderId="24" xfId="3" applyNumberFormat="1" applyFont="1" applyFill="1" applyBorder="1"/>
    <xf numFmtId="0" fontId="12" fillId="0" borderId="60" xfId="3" applyFont="1" applyBorder="1" applyAlignment="1">
      <alignment horizontal="left" indent="1"/>
    </xf>
    <xf numFmtId="3" fontId="12" fillId="0" borderId="33" xfId="3" applyNumberFormat="1" applyFont="1" applyBorder="1" applyAlignment="1">
      <alignment horizontal="right"/>
    </xf>
    <xf numFmtId="3" fontId="12" fillId="0" borderId="61" xfId="0" applyNumberFormat="1" applyFont="1" applyBorder="1"/>
    <xf numFmtId="3" fontId="2" fillId="0" borderId="0" xfId="0" applyNumberFormat="1" applyFont="1" applyFill="1" applyAlignment="1">
      <alignment horizontal="center"/>
    </xf>
    <xf numFmtId="167" fontId="0" fillId="18" borderId="0" xfId="0" applyNumberFormat="1" applyFill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7" fontId="0" fillId="0" borderId="0" xfId="0" applyNumberFormat="1" applyFill="1"/>
    <xf numFmtId="170" fontId="1" fillId="0" borderId="0" xfId="1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73" fontId="2" fillId="0" borderId="0" xfId="1" applyNumberFormat="1" applyFont="1" applyFill="1" applyAlignment="1">
      <alignment horizontal="center"/>
    </xf>
    <xf numFmtId="3" fontId="1" fillId="0" borderId="0" xfId="1" applyNumberFormat="1" applyFill="1" applyAlignment="1">
      <alignment horizontal="center"/>
    </xf>
    <xf numFmtId="17" fontId="0" fillId="17" borderId="0" xfId="0" applyNumberFormat="1" applyFill="1"/>
    <xf numFmtId="173" fontId="2" fillId="17" borderId="0" xfId="1" applyNumberFormat="1" applyFont="1" applyFill="1" applyAlignment="1">
      <alignment horizontal="center"/>
    </xf>
    <xf numFmtId="1" fontId="0" fillId="17" borderId="0" xfId="0" applyNumberFormat="1" applyFill="1" applyAlignment="1">
      <alignment horizontal="center"/>
    </xf>
    <xf numFmtId="37" fontId="1" fillId="17" borderId="0" xfId="0" applyNumberFormat="1" applyFont="1" applyFill="1" applyAlignment="1">
      <alignment horizontal="center"/>
    </xf>
    <xf numFmtId="43" fontId="2" fillId="17" borderId="0" xfId="0" applyNumberFormat="1" applyFont="1" applyFill="1" applyAlignment="1">
      <alignment horizontal="center"/>
    </xf>
    <xf numFmtId="170" fontId="2" fillId="17" borderId="0" xfId="0" applyNumberFormat="1" applyFont="1" applyFill="1" applyAlignment="1">
      <alignment horizontal="center"/>
    </xf>
    <xf numFmtId="10" fontId="0" fillId="0" borderId="0" xfId="2" applyNumberFormat="1" applyFont="1" applyFill="1" applyBorder="1" applyAlignment="1"/>
    <xf numFmtId="0" fontId="0" fillId="17" borderId="0" xfId="0" applyFill="1"/>
    <xf numFmtId="171" fontId="0" fillId="17" borderId="0" xfId="1" applyNumberFormat="1" applyFont="1" applyFill="1"/>
    <xf numFmtId="164" fontId="0" fillId="17" borderId="0" xfId="2" applyNumberFormat="1" applyFont="1" applyFill="1"/>
    <xf numFmtId="3" fontId="1" fillId="17" borderId="0" xfId="3" applyNumberFormat="1" applyFill="1" applyAlignment="1">
      <alignment horizontal="center"/>
    </xf>
    <xf numFmtId="37" fontId="1" fillId="17" borderId="0" xfId="3" applyNumberFormat="1" applyFont="1" applyFill="1" applyAlignment="1">
      <alignment horizontal="center"/>
    </xf>
    <xf numFmtId="0" fontId="1" fillId="0" borderId="0" xfId="3" applyFill="1"/>
    <xf numFmtId="0" fontId="1" fillId="0" borderId="0" xfId="3" applyFill="1" applyAlignment="1">
      <alignment horizontal="center"/>
    </xf>
    <xf numFmtId="4" fontId="1" fillId="0" borderId="0" xfId="3" applyNumberForma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4" fontId="3" fillId="0" borderId="0" xfId="0" applyNumberFormat="1" applyFont="1" applyFill="1" applyAlignment="1">
      <alignment horizontal="center" wrapText="1"/>
    </xf>
    <xf numFmtId="0" fontId="3" fillId="0" borderId="0" xfId="3" applyFont="1" applyFill="1" applyAlignment="1">
      <alignment horizontal="center" wrapText="1"/>
    </xf>
    <xf numFmtId="17" fontId="1" fillId="0" borderId="0" xfId="3" applyNumberFormat="1" applyFill="1"/>
    <xf numFmtId="43" fontId="0" fillId="0" borderId="0" xfId="1" applyFont="1" applyFill="1" applyAlignment="1">
      <alignment horizontal="center"/>
    </xf>
    <xf numFmtId="37" fontId="1" fillId="0" borderId="0" xfId="3" applyNumberFormat="1" applyFont="1" applyFill="1" applyAlignment="1">
      <alignment horizontal="center"/>
    </xf>
    <xf numFmtId="3" fontId="12" fillId="17" borderId="1" xfId="3" applyNumberFormat="1" applyFont="1" applyFill="1" applyBorder="1" applyAlignment="1">
      <alignment horizontal="right"/>
    </xf>
    <xf numFmtId="3" fontId="12" fillId="17" borderId="32" xfId="3" applyNumberFormat="1" applyFont="1" applyFill="1" applyBorder="1" applyAlignment="1">
      <alignment horizontal="right"/>
    </xf>
    <xf numFmtId="0" fontId="12" fillId="17" borderId="0" xfId="0" applyFont="1" applyFill="1" applyBorder="1" applyAlignment="1">
      <alignment horizontal="right"/>
    </xf>
    <xf numFmtId="3" fontId="12" fillId="17" borderId="0" xfId="3" applyNumberFormat="1" applyFont="1" applyFill="1" applyBorder="1" applyAlignment="1">
      <alignment horizontal="right"/>
    </xf>
    <xf numFmtId="171" fontId="0" fillId="0" borderId="0" xfId="1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171" fontId="0" fillId="15" borderId="0" xfId="1" applyNumberFormat="1" applyFont="1" applyFill="1" applyAlignment="1">
      <alignment horizontal="center"/>
    </xf>
    <xf numFmtId="9" fontId="0" fillId="15" borderId="0" xfId="2" applyNumberFormat="1" applyFont="1" applyFill="1"/>
    <xf numFmtId="9" fontId="0" fillId="15" borderId="0" xfId="2" applyFont="1" applyFill="1" applyAlignment="1">
      <alignment horizontal="center"/>
    </xf>
    <xf numFmtId="3" fontId="12" fillId="8" borderId="56" xfId="3" applyNumberFormat="1" applyFont="1" applyFill="1" applyBorder="1" applyAlignment="1">
      <alignment horizontal="left"/>
    </xf>
    <xf numFmtId="3" fontId="12" fillId="0" borderId="32" xfId="0" applyNumberFormat="1" applyFont="1" applyBorder="1"/>
    <xf numFmtId="1" fontId="12" fillId="0" borderId="24" xfId="3" applyNumberFormat="1" applyFont="1" applyBorder="1" applyAlignment="1">
      <alignment horizontal="center"/>
    </xf>
    <xf numFmtId="1" fontId="12" fillId="0" borderId="31" xfId="3" applyNumberFormat="1" applyFont="1" applyBorder="1" applyAlignment="1">
      <alignment horizontal="center"/>
    </xf>
    <xf numFmtId="0" fontId="11" fillId="8" borderId="1" xfId="3" applyFont="1" applyFill="1" applyBorder="1" applyAlignment="1">
      <alignment horizontal="center" vertical="center" wrapText="1"/>
    </xf>
    <xf numFmtId="0" fontId="11" fillId="8" borderId="21" xfId="3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center"/>
    </xf>
    <xf numFmtId="0" fontId="11" fillId="8" borderId="17" xfId="3" applyFont="1" applyFill="1" applyBorder="1" applyAlignment="1">
      <alignment horizontal="center" vertical="center" wrapText="1"/>
    </xf>
    <xf numFmtId="1" fontId="12" fillId="8" borderId="24" xfId="3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1" xfId="0" applyNumberFormat="1" applyFont="1" applyFill="1" applyBorder="1"/>
    <xf numFmtId="10" fontId="12" fillId="0" borderId="1" xfId="2" applyNumberFormat="1" applyFont="1" applyBorder="1"/>
    <xf numFmtId="10" fontId="12" fillId="0" borderId="32" xfId="2" applyNumberFormat="1" applyFont="1" applyBorder="1"/>
    <xf numFmtId="10" fontId="12" fillId="0" borderId="45" xfId="2" applyNumberFormat="1" applyFont="1" applyBorder="1"/>
    <xf numFmtId="10" fontId="0" fillId="0" borderId="0" xfId="0" applyNumberFormat="1"/>
    <xf numFmtId="10" fontId="0" fillId="0" borderId="0" xfId="2" applyNumberFormat="1" applyFont="1"/>
    <xf numFmtId="171" fontId="0" fillId="0" borderId="0" xfId="0" applyNumberFormat="1"/>
    <xf numFmtId="0" fontId="4" fillId="9" borderId="38" xfId="0" applyFont="1" applyFill="1" applyBorder="1" applyAlignment="1"/>
    <xf numFmtId="0" fontId="4" fillId="9" borderId="52" xfId="0" applyFont="1" applyFill="1" applyBorder="1" applyAlignment="1"/>
    <xf numFmtId="3" fontId="0" fillId="0" borderId="82" xfId="0" applyNumberFormat="1" applyBorder="1" applyAlignment="1">
      <alignment horizontal="center" wrapText="1"/>
    </xf>
    <xf numFmtId="0" fontId="0" fillId="0" borderId="82" xfId="0" applyBorder="1" applyAlignment="1">
      <alignment horizontal="center" wrapText="1"/>
    </xf>
    <xf numFmtId="0" fontId="0" fillId="0" borderId="82" xfId="0" applyFill="1" applyBorder="1" applyAlignment="1">
      <alignment horizontal="center"/>
    </xf>
    <xf numFmtId="0" fontId="0" fillId="0" borderId="82" xfId="0" applyBorder="1" applyAlignment="1">
      <alignment horizontal="center"/>
    </xf>
    <xf numFmtId="3" fontId="0" fillId="0" borderId="82" xfId="0" applyNumberFormat="1" applyBorder="1" applyAlignment="1">
      <alignment horizontal="center"/>
    </xf>
    <xf numFmtId="3" fontId="0" fillId="0" borderId="82" xfId="0" applyNumberFormat="1" applyFill="1" applyBorder="1" applyAlignment="1">
      <alignment horizontal="center"/>
    </xf>
    <xf numFmtId="3" fontId="0" fillId="0" borderId="64" xfId="0" applyNumberFormat="1" applyBorder="1" applyAlignment="1">
      <alignment horizontal="center"/>
    </xf>
    <xf numFmtId="3" fontId="0" fillId="0" borderId="83" xfId="0" applyNumberFormat="1" applyBorder="1" applyAlignment="1">
      <alignment horizontal="center" wrapText="1"/>
    </xf>
    <xf numFmtId="164" fontId="0" fillId="0" borderId="82" xfId="0" applyNumberFormat="1" applyBorder="1" applyAlignment="1">
      <alignment horizontal="center" wrapText="1"/>
    </xf>
    <xf numFmtId="164" fontId="12" fillId="0" borderId="45" xfId="2" applyNumberFormat="1" applyFont="1" applyBorder="1"/>
    <xf numFmtId="164" fontId="0" fillId="0" borderId="0" xfId="0" applyNumberFormat="1"/>
    <xf numFmtId="0" fontId="11" fillId="8" borderId="16" xfId="3" applyFont="1" applyFill="1" applyBorder="1" applyAlignment="1">
      <alignment horizontal="center" vertical="center" wrapText="1"/>
    </xf>
    <xf numFmtId="0" fontId="11" fillId="8" borderId="17" xfId="3" applyFont="1" applyFill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11" fillId="8" borderId="18" xfId="3" applyFont="1" applyFill="1" applyBorder="1" applyAlignment="1">
      <alignment horizontal="center" vertical="center" wrapText="1"/>
    </xf>
    <xf numFmtId="0" fontId="11" fillId="8" borderId="19" xfId="3" applyFont="1" applyFill="1" applyBorder="1" applyAlignment="1">
      <alignment horizontal="center" vertical="center" wrapText="1"/>
    </xf>
    <xf numFmtId="3" fontId="12" fillId="13" borderId="26" xfId="3" applyNumberFormat="1" applyFont="1" applyFill="1" applyBorder="1" applyAlignment="1">
      <alignment horizontal="center"/>
    </xf>
    <xf numFmtId="3" fontId="12" fillId="13" borderId="27" xfId="3" applyNumberFormat="1" applyFont="1" applyFill="1" applyBorder="1" applyAlignment="1">
      <alignment horizontal="center"/>
    </xf>
    <xf numFmtId="3" fontId="12" fillId="13" borderId="29" xfId="3" applyNumberFormat="1" applyFont="1" applyFill="1" applyBorder="1" applyAlignment="1">
      <alignment horizontal="center"/>
    </xf>
    <xf numFmtId="3" fontId="12" fillId="13" borderId="30" xfId="3" applyNumberFormat="1" applyFont="1" applyFill="1" applyBorder="1" applyAlignment="1">
      <alignment horizontal="center"/>
    </xf>
    <xf numFmtId="3" fontId="12" fillId="13" borderId="34" xfId="3" applyNumberFormat="1" applyFont="1" applyFill="1" applyBorder="1" applyAlignment="1">
      <alignment horizontal="center"/>
    </xf>
    <xf numFmtId="3" fontId="12" fillId="13" borderId="35" xfId="3" applyNumberFormat="1" applyFont="1" applyFill="1" applyBorder="1" applyAlignment="1">
      <alignment horizontal="center"/>
    </xf>
    <xf numFmtId="0" fontId="4" fillId="9" borderId="38" xfId="0" applyFont="1" applyFill="1" applyBorder="1" applyAlignment="1">
      <alignment horizontal="center"/>
    </xf>
    <xf numFmtId="0" fontId="11" fillId="8" borderId="51" xfId="3" applyFont="1" applyFill="1" applyBorder="1" applyAlignment="1">
      <alignment horizontal="center" vertical="center" wrapText="1"/>
    </xf>
    <xf numFmtId="0" fontId="11" fillId="8" borderId="38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8" borderId="39" xfId="3" applyFont="1" applyFill="1" applyBorder="1" applyAlignment="1">
      <alignment horizontal="center" vertical="center" wrapText="1"/>
    </xf>
    <xf numFmtId="0" fontId="4" fillId="9" borderId="51" xfId="0" applyFont="1" applyFill="1" applyBorder="1" applyAlignment="1">
      <alignment horizontal="center"/>
    </xf>
    <xf numFmtId="0" fontId="4" fillId="9" borderId="39" xfId="0" applyFont="1" applyFill="1" applyBorder="1" applyAlignment="1">
      <alignment horizontal="center"/>
    </xf>
    <xf numFmtId="0" fontId="11" fillId="8" borderId="28" xfId="3" applyFont="1" applyFill="1" applyBorder="1" applyAlignment="1">
      <alignment horizontal="center" vertical="center" wrapText="1"/>
    </xf>
    <xf numFmtId="0" fontId="11" fillId="8" borderId="33" xfId="3" applyFont="1" applyFill="1" applyBorder="1" applyAlignment="1">
      <alignment horizontal="center" vertical="center" wrapText="1"/>
    </xf>
    <xf numFmtId="0" fontId="11" fillId="8" borderId="63" xfId="3" applyFont="1" applyFill="1" applyBorder="1" applyAlignment="1">
      <alignment horizontal="center" vertical="center" wrapText="1"/>
    </xf>
    <xf numFmtId="0" fontId="11" fillId="8" borderId="60" xfId="3" applyFont="1" applyFill="1" applyBorder="1" applyAlignment="1">
      <alignment horizontal="center" vertical="center" wrapText="1"/>
    </xf>
    <xf numFmtId="0" fontId="11" fillId="8" borderId="76" xfId="3" applyFont="1" applyFill="1" applyBorder="1" applyAlignment="1">
      <alignment horizontal="center" vertical="center" wrapText="1"/>
    </xf>
    <xf numFmtId="0" fontId="11" fillId="8" borderId="78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1" fillId="8" borderId="30" xfId="3" applyFont="1" applyFill="1" applyBorder="1" applyAlignment="1">
      <alignment horizontal="center" vertical="center" wrapText="1"/>
    </xf>
    <xf numFmtId="0" fontId="11" fillId="8" borderId="35" xfId="3" applyFont="1" applyFill="1" applyBorder="1" applyAlignment="1">
      <alignment horizontal="center" vertical="center" wrapText="1"/>
    </xf>
    <xf numFmtId="0" fontId="11" fillId="8" borderId="77" xfId="3" applyFont="1" applyFill="1" applyBorder="1" applyAlignment="1">
      <alignment horizontal="center" vertical="center" wrapText="1"/>
    </xf>
    <xf numFmtId="0" fontId="11" fillId="8" borderId="79" xfId="3" applyFont="1" applyFill="1" applyBorder="1" applyAlignment="1">
      <alignment horizontal="center" vertical="center" wrapText="1"/>
    </xf>
    <xf numFmtId="0" fontId="11" fillId="8" borderId="22" xfId="3" applyFont="1" applyFill="1" applyBorder="1" applyAlignment="1">
      <alignment horizontal="center" vertical="center" wrapText="1"/>
    </xf>
    <xf numFmtId="0" fontId="11" fillId="8" borderId="18" xfId="3" applyFont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/>
    </xf>
    <xf numFmtId="0" fontId="11" fillId="8" borderId="19" xfId="3" applyFont="1" applyFill="1" applyBorder="1" applyAlignment="1">
      <alignment horizontal="center" vertical="center"/>
    </xf>
    <xf numFmtId="3" fontId="1" fillId="6" borderId="80" xfId="0" applyNumberFormat="1" applyFont="1" applyFill="1" applyBorder="1" applyAlignment="1">
      <alignment horizontal="left" vertical="top"/>
    </xf>
    <xf numFmtId="3" fontId="1" fillId="6" borderId="13" xfId="0" applyNumberFormat="1" applyFont="1" applyFill="1" applyBorder="1" applyAlignment="1">
      <alignment horizontal="left" vertical="top"/>
    </xf>
    <xf numFmtId="3" fontId="1" fillId="6" borderId="42" xfId="0" applyNumberFormat="1" applyFont="1" applyFill="1" applyBorder="1" applyAlignment="1">
      <alignment horizontal="left" vertical="top"/>
    </xf>
    <xf numFmtId="3" fontId="1" fillId="6" borderId="44" xfId="0" applyNumberFormat="1" applyFont="1" applyFill="1" applyBorder="1" applyAlignment="1">
      <alignment horizontal="left" vertical="top"/>
    </xf>
    <xf numFmtId="0" fontId="11" fillId="8" borderId="24" xfId="3" applyFont="1" applyFill="1" applyBorder="1" applyAlignment="1">
      <alignment horizontal="center" vertical="center" wrapText="1"/>
    </xf>
    <xf numFmtId="0" fontId="11" fillId="8" borderId="17" xfId="3" applyFont="1" applyFill="1" applyBorder="1" applyAlignment="1">
      <alignment horizontal="center" wrapText="1"/>
    </xf>
    <xf numFmtId="0" fontId="11" fillId="8" borderId="18" xfId="3" applyFont="1" applyFill="1" applyBorder="1" applyAlignment="1">
      <alignment horizontal="center" wrapText="1"/>
    </xf>
    <xf numFmtId="0" fontId="11" fillId="8" borderId="3" xfId="3" applyFont="1" applyFill="1" applyBorder="1" applyAlignment="1">
      <alignment horizontal="center" wrapText="1"/>
    </xf>
    <xf numFmtId="0" fontId="11" fillId="8" borderId="81" xfId="3" applyFont="1" applyFill="1" applyBorder="1" applyAlignment="1">
      <alignment horizontal="center" wrapText="1"/>
    </xf>
    <xf numFmtId="0" fontId="11" fillId="8" borderId="19" xfId="3" applyFont="1" applyFill="1" applyBorder="1" applyAlignment="1">
      <alignment horizontal="center" wrapText="1"/>
    </xf>
  </cellXfs>
  <cellStyles count="12">
    <cellStyle name="Comma" xfId="1" builtinId="3"/>
    <cellStyle name="Comma 2" xfId="4"/>
    <cellStyle name="Comma 3" xfId="5"/>
    <cellStyle name="Comma0" xfId="6"/>
    <cellStyle name="Currency" xfId="11" builtinId="4"/>
    <cellStyle name="Currency0" xfId="7"/>
    <cellStyle name="Date" xfId="8"/>
    <cellStyle name="Fixed" xfId="9"/>
    <cellStyle name="Normal" xfId="0" builtinId="0"/>
    <cellStyle name="Normal 2" xfId="3"/>
    <cellStyle name="Note 2" xfId="1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54602800884022"/>
          <c:y val="5.1400554097404488E-2"/>
          <c:w val="0.8697749593712637"/>
          <c:h val="0.76084098862642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Chart!$C$6</c:f>
              <c:strCache>
                <c:ptCount val="1"/>
                <c:pt idx="0">
                  <c:v>Actual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Chart!$C$7:$C$18</c:f>
              <c:numCache>
                <c:formatCode>#,##0</c:formatCode>
                <c:ptCount val="12"/>
                <c:pt idx="0">
                  <c:v>1232724170</c:v>
                </c:pt>
                <c:pt idx="1">
                  <c:v>1178441190</c:v>
                </c:pt>
                <c:pt idx="2">
                  <c:v>1174501350</c:v>
                </c:pt>
                <c:pt idx="3">
                  <c:v>1151360440</c:v>
                </c:pt>
                <c:pt idx="4">
                  <c:v>1191153590</c:v>
                </c:pt>
                <c:pt idx="5">
                  <c:v>1158881926</c:v>
                </c:pt>
                <c:pt idx="6">
                  <c:v>1128390784.5107694</c:v>
                </c:pt>
                <c:pt idx="7">
                  <c:v>1148489331.8146157</c:v>
                </c:pt>
                <c:pt idx="8">
                  <c:v>1148632387.3953846</c:v>
                </c:pt>
                <c:pt idx="9">
                  <c:v>1136211952.670979</c:v>
                </c:pt>
                <c:pt idx="10">
                  <c:v>1130407041.6666667</c:v>
                </c:pt>
                <c:pt idx="11">
                  <c:v>1134970142.7733078</c:v>
                </c:pt>
              </c:numCache>
            </c:numRef>
          </c:val>
        </c:ser>
        <c:ser>
          <c:idx val="1"/>
          <c:order val="1"/>
          <c:tx>
            <c:strRef>
              <c:f>Chart!$D$6</c:f>
              <c:strCache>
                <c:ptCount val="1"/>
                <c:pt idx="0">
                  <c:v>Predicted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Chart!$D$7:$D$18</c:f>
              <c:numCache>
                <c:formatCode>#,##0</c:formatCode>
                <c:ptCount val="12"/>
                <c:pt idx="0">
                  <c:v>1232724170</c:v>
                </c:pt>
                <c:pt idx="1">
                  <c:v>1178441190</c:v>
                </c:pt>
                <c:pt idx="2">
                  <c:v>1174501350</c:v>
                </c:pt>
                <c:pt idx="3">
                  <c:v>1151360440</c:v>
                </c:pt>
                <c:pt idx="4">
                  <c:v>1191153590</c:v>
                </c:pt>
                <c:pt idx="5">
                  <c:v>1158881926</c:v>
                </c:pt>
                <c:pt idx="6">
                  <c:v>1128390784.5107694</c:v>
                </c:pt>
                <c:pt idx="7">
                  <c:v>1148489331.8146157</c:v>
                </c:pt>
                <c:pt idx="8">
                  <c:v>1148632387.3953846</c:v>
                </c:pt>
                <c:pt idx="9">
                  <c:v>1136211952.670979</c:v>
                </c:pt>
                <c:pt idx="10">
                  <c:v>1130407041.6666667</c:v>
                </c:pt>
                <c:pt idx="11">
                  <c:v>1134970142.7733078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561504"/>
        <c:axId val="650559544"/>
      </c:barChart>
      <c:catAx>
        <c:axId val="6505615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1860000" vert="horz" anchor="t" anchorCtr="0"/>
          <a:lstStyle/>
          <a:p>
            <a:pPr>
              <a:defRPr b="1" i="1" baseline="0"/>
            </a:pPr>
            <a:endParaRPr lang="en-US"/>
          </a:p>
        </c:txPr>
        <c:crossAx val="650559544"/>
        <c:crosses val="autoZero"/>
        <c:auto val="1"/>
        <c:lblAlgn val="ctr"/>
        <c:lblOffset val="100"/>
        <c:noMultiLvlLbl val="0"/>
      </c:catAx>
      <c:valAx>
        <c:axId val="650559544"/>
        <c:scaling>
          <c:orientation val="minMax"/>
          <c:max val="1300000000"/>
          <c:min val="90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 i="1" baseline="0"/>
            </a:pPr>
            <a:endParaRPr lang="en-US"/>
          </a:p>
        </c:txPr>
        <c:crossAx val="6505615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794457462915876E-2"/>
                <c:y val="0.34306724590460885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6700983604130601"/>
          <c:y val="0.1289265996922799"/>
          <c:w val="0.17051542041024939"/>
          <c:h val="0.12931124988686882"/>
        </c:manualLayout>
      </c:layout>
      <c:overlay val="0"/>
      <c:txPr>
        <a:bodyPr/>
        <a:lstStyle/>
        <a:p>
          <a:pPr>
            <a:defRPr sz="900" b="1" i="1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Chart!$C$6</c:f>
              <c:strCache>
                <c:ptCount val="1"/>
                <c:pt idx="0">
                  <c:v>Actual Purchases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</c:dPt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Chart!$B$10:$B$23</c:f>
              <c:numCache>
                <c:formatCode>0</c:formatCode>
                <c:ptCount val="14"/>
                <c:pt idx="0" formatCode="General">
                  <c:v>2006</c:v>
                </c:pt>
                <c:pt idx="1">
                  <c:v>2007</c:v>
                </c:pt>
                <c:pt idx="2" formatCode="General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 formatCode="General">
                  <c:v>2011</c:v>
                </c:pt>
                <c:pt idx="6" formatCode="General">
                  <c:v>2012</c:v>
                </c:pt>
                <c:pt idx="7" formatCode="General">
                  <c:v>2013</c:v>
                </c:pt>
                <c:pt idx="8" formatCode="General">
                  <c:v>2014</c:v>
                </c:pt>
                <c:pt idx="9" formatCode="General">
                  <c:v>2015</c:v>
                </c:pt>
                <c:pt idx="10" formatCode="General">
                  <c:v>2016</c:v>
                </c:pt>
                <c:pt idx="11" formatCode="General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</c:numCache>
            </c:numRef>
          </c:cat>
          <c:val>
            <c:numRef>
              <c:f>Chart!$C$10:$C$23</c:f>
              <c:numCache>
                <c:formatCode>#,##0</c:formatCode>
                <c:ptCount val="14"/>
                <c:pt idx="0">
                  <c:v>1151360440</c:v>
                </c:pt>
                <c:pt idx="1">
                  <c:v>1191153590</c:v>
                </c:pt>
                <c:pt idx="2">
                  <c:v>1158881926</c:v>
                </c:pt>
                <c:pt idx="3">
                  <c:v>1128390784.5107694</c:v>
                </c:pt>
                <c:pt idx="4">
                  <c:v>1148489331.8146157</c:v>
                </c:pt>
                <c:pt idx="5">
                  <c:v>1148632387.3953846</c:v>
                </c:pt>
                <c:pt idx="6">
                  <c:v>1136211952.670979</c:v>
                </c:pt>
                <c:pt idx="7">
                  <c:v>1130407041.6666667</c:v>
                </c:pt>
                <c:pt idx="8">
                  <c:v>1134970142.7733078</c:v>
                </c:pt>
                <c:pt idx="9">
                  <c:v>1123341031.2123077</c:v>
                </c:pt>
                <c:pt idx="10">
                  <c:v>1122027434.2815385</c:v>
                </c:pt>
                <c:pt idx="11">
                  <c:v>1115920797.7611427</c:v>
                </c:pt>
                <c:pt idx="12">
                  <c:v>1111394475.2315521</c:v>
                </c:pt>
                <c:pt idx="13">
                  <c:v>1106868152.7019615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561896"/>
        <c:axId val="33202032"/>
      </c:lineChart>
      <c:catAx>
        <c:axId val="65056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02032"/>
        <c:crosses val="autoZero"/>
        <c:auto val="1"/>
        <c:lblAlgn val="ctr"/>
        <c:lblOffset val="100"/>
        <c:noMultiLvlLbl val="0"/>
      </c:catAx>
      <c:valAx>
        <c:axId val="3320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6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Comparison:</a:t>
            </a:r>
            <a:r>
              <a:rPr lang="en-CA" baseline="0"/>
              <a:t> Trend and Regression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21731731564046"/>
          <c:y val="0.14675052410901468"/>
          <c:w val="0.85660845359407434"/>
          <c:h val="0.75598210601033367"/>
        </c:manualLayout>
      </c:layout>
      <c:lineChart>
        <c:grouping val="standard"/>
        <c:varyColors val="0"/>
        <c:ser>
          <c:idx val="0"/>
          <c:order val="0"/>
          <c:tx>
            <c:v>Trend of Actual Purchases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3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5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Chart!$B$10:$B$23</c:f>
              <c:numCache>
                <c:formatCode>0</c:formatCode>
                <c:ptCount val="14"/>
                <c:pt idx="0" formatCode="General">
                  <c:v>2006</c:v>
                </c:pt>
                <c:pt idx="1">
                  <c:v>2007</c:v>
                </c:pt>
                <c:pt idx="2" formatCode="General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 formatCode="General">
                  <c:v>2011</c:v>
                </c:pt>
                <c:pt idx="6" formatCode="General">
                  <c:v>2012</c:v>
                </c:pt>
                <c:pt idx="7" formatCode="General">
                  <c:v>2013</c:v>
                </c:pt>
                <c:pt idx="8" formatCode="General">
                  <c:v>2014</c:v>
                </c:pt>
                <c:pt idx="9" formatCode="General">
                  <c:v>2015</c:v>
                </c:pt>
                <c:pt idx="10" formatCode="General">
                  <c:v>2016</c:v>
                </c:pt>
                <c:pt idx="11" formatCode="General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</c:numCache>
            </c:numRef>
          </c:cat>
          <c:val>
            <c:numRef>
              <c:f>Chart!$C$10:$C$23</c:f>
              <c:numCache>
                <c:formatCode>#,##0</c:formatCode>
                <c:ptCount val="14"/>
                <c:pt idx="0">
                  <c:v>1151360440</c:v>
                </c:pt>
                <c:pt idx="1">
                  <c:v>1191153590</c:v>
                </c:pt>
                <c:pt idx="2">
                  <c:v>1158881926</c:v>
                </c:pt>
                <c:pt idx="3">
                  <c:v>1128390784.5107694</c:v>
                </c:pt>
                <c:pt idx="4">
                  <c:v>1148489331.8146157</c:v>
                </c:pt>
                <c:pt idx="5">
                  <c:v>1148632387.3953846</c:v>
                </c:pt>
                <c:pt idx="6">
                  <c:v>1136211952.670979</c:v>
                </c:pt>
                <c:pt idx="7">
                  <c:v>1130407041.6666667</c:v>
                </c:pt>
                <c:pt idx="8">
                  <c:v>1134970142.7733078</c:v>
                </c:pt>
                <c:pt idx="9">
                  <c:v>1123341031.2123077</c:v>
                </c:pt>
                <c:pt idx="10">
                  <c:v>1122027434.2815385</c:v>
                </c:pt>
                <c:pt idx="11">
                  <c:v>1115920797.7611427</c:v>
                </c:pt>
                <c:pt idx="12">
                  <c:v>1111394475.2315521</c:v>
                </c:pt>
                <c:pt idx="13">
                  <c:v>1106868152.7019615</c:v>
                </c:pt>
              </c:numCache>
            </c:numRef>
          </c:val>
          <c:smooth val="0"/>
        </c:ser>
        <c:ser>
          <c:idx val="1"/>
          <c:order val="1"/>
          <c:tx>
            <c:v>Regression Purchases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trendline>
            <c:spPr>
              <a:ln w="22225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Chart!$B$10:$B$23</c:f>
              <c:numCache>
                <c:formatCode>0</c:formatCode>
                <c:ptCount val="14"/>
                <c:pt idx="0" formatCode="General">
                  <c:v>2006</c:v>
                </c:pt>
                <c:pt idx="1">
                  <c:v>2007</c:v>
                </c:pt>
                <c:pt idx="2" formatCode="General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 formatCode="General">
                  <c:v>2011</c:v>
                </c:pt>
                <c:pt idx="6" formatCode="General">
                  <c:v>2012</c:v>
                </c:pt>
                <c:pt idx="7" formatCode="General">
                  <c:v>2013</c:v>
                </c:pt>
                <c:pt idx="8" formatCode="General">
                  <c:v>2014</c:v>
                </c:pt>
                <c:pt idx="9" formatCode="General">
                  <c:v>2015</c:v>
                </c:pt>
                <c:pt idx="10" formatCode="General">
                  <c:v>2016</c:v>
                </c:pt>
                <c:pt idx="11" formatCode="General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</c:numCache>
            </c:numRef>
          </c:cat>
          <c:val>
            <c:numRef>
              <c:f>'[4]Purchased Power Model '!$H$213:$H$226</c:f>
              <c:numCache>
                <c:formatCode>General</c:formatCode>
                <c:ptCount val="14"/>
                <c:pt idx="0">
                  <c:v>1153842860.4705679</c:v>
                </c:pt>
                <c:pt idx="1">
                  <c:v>1127871153.89165</c:v>
                </c:pt>
                <c:pt idx="2">
                  <c:v>1094855785.2248654</c:v>
                </c:pt>
                <c:pt idx="3">
                  <c:v>1121629083.8762841</c:v>
                </c:pt>
                <c:pt idx="4">
                  <c:v>1134092280.5446804</c:v>
                </c:pt>
                <c:pt idx="5">
                  <c:v>1156423557.8162477</c:v>
                </c:pt>
                <c:pt idx="6">
                  <c:v>1149518396.9534879</c:v>
                </c:pt>
                <c:pt idx="7">
                  <c:v>1148384908.6668141</c:v>
                </c:pt>
                <c:pt idx="8">
                  <c:v>1159153505.7394249</c:v>
                </c:pt>
                <c:pt idx="9">
                  <c:v>1150848175.636837</c:v>
                </c:pt>
                <c:pt idx="10">
                  <c:v>1181688633.1682065</c:v>
                </c:pt>
                <c:pt idx="11">
                  <c:v>1151574040.7466991</c:v>
                </c:pt>
                <c:pt idx="12">
                  <c:v>1156547055.1756725</c:v>
                </c:pt>
                <c:pt idx="13">
                  <c:v>1161242185.1003509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01640"/>
        <c:axId val="33202424"/>
      </c:lineChart>
      <c:catAx>
        <c:axId val="3320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02424"/>
        <c:crosses val="autoZero"/>
        <c:auto val="1"/>
        <c:lblAlgn val="ctr"/>
        <c:lblOffset val="100"/>
        <c:noMultiLvlLbl val="0"/>
      </c:catAx>
      <c:valAx>
        <c:axId val="3320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0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595598118958923"/>
          <c:y val="0.57180243978936607"/>
          <c:w val="0.28443005853270248"/>
          <c:h val="0.14151042440449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Comparison:</a:t>
            </a:r>
            <a:r>
              <a:rPr lang="en-CA" baseline="0"/>
              <a:t> Trend and Regression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39154640592572"/>
          <c:y val="9.6436058700209645E-2"/>
          <c:w val="0.85660845359407434"/>
          <c:h val="0.75598210601033367"/>
        </c:manualLayout>
      </c:layout>
      <c:lineChart>
        <c:grouping val="standard"/>
        <c:varyColors val="0"/>
        <c:ser>
          <c:idx val="0"/>
          <c:order val="0"/>
          <c:tx>
            <c:v>Actual Purchases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</c:dPt>
          <c:cat>
            <c:numRef>
              <c:f>Chart!$B$10:$B$23</c:f>
              <c:numCache>
                <c:formatCode>0</c:formatCode>
                <c:ptCount val="14"/>
                <c:pt idx="0" formatCode="General">
                  <c:v>2006</c:v>
                </c:pt>
                <c:pt idx="1">
                  <c:v>2007</c:v>
                </c:pt>
                <c:pt idx="2" formatCode="General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 formatCode="General">
                  <c:v>2011</c:v>
                </c:pt>
                <c:pt idx="6" formatCode="General">
                  <c:v>2012</c:v>
                </c:pt>
                <c:pt idx="7" formatCode="General">
                  <c:v>2013</c:v>
                </c:pt>
                <c:pt idx="8" formatCode="General">
                  <c:v>2014</c:v>
                </c:pt>
                <c:pt idx="9" formatCode="General">
                  <c:v>2015</c:v>
                </c:pt>
                <c:pt idx="10" formatCode="General">
                  <c:v>2016</c:v>
                </c:pt>
                <c:pt idx="11" formatCode="General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</c:numCache>
            </c:numRef>
          </c:cat>
          <c:val>
            <c:numRef>
              <c:f>Chart!$C$10:$C$23</c:f>
              <c:numCache>
                <c:formatCode>#,##0</c:formatCode>
                <c:ptCount val="14"/>
                <c:pt idx="0">
                  <c:v>1151360440</c:v>
                </c:pt>
                <c:pt idx="1">
                  <c:v>1191153590</c:v>
                </c:pt>
                <c:pt idx="2">
                  <c:v>1158881926</c:v>
                </c:pt>
                <c:pt idx="3">
                  <c:v>1128390784.5107694</c:v>
                </c:pt>
                <c:pt idx="4">
                  <c:v>1148489331.8146157</c:v>
                </c:pt>
                <c:pt idx="5">
                  <c:v>1148632387.3953846</c:v>
                </c:pt>
                <c:pt idx="6">
                  <c:v>1136211952.670979</c:v>
                </c:pt>
                <c:pt idx="7">
                  <c:v>1130407041.6666667</c:v>
                </c:pt>
                <c:pt idx="8">
                  <c:v>1134970142.7733078</c:v>
                </c:pt>
                <c:pt idx="9">
                  <c:v>1123341031.2123077</c:v>
                </c:pt>
                <c:pt idx="10">
                  <c:v>1122027434.2815385</c:v>
                </c:pt>
                <c:pt idx="11">
                  <c:v>1115920797.7611427</c:v>
                </c:pt>
                <c:pt idx="12">
                  <c:v>1111394475.2315521</c:v>
                </c:pt>
                <c:pt idx="13">
                  <c:v>1106868152.7019615</c:v>
                </c:pt>
              </c:numCache>
            </c:numRef>
          </c:val>
          <c:smooth val="0"/>
        </c:ser>
        <c:ser>
          <c:idx val="1"/>
          <c:order val="1"/>
          <c:tx>
            <c:v>Regression Purchases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Chart!$B$10:$B$23</c:f>
              <c:numCache>
                <c:formatCode>0</c:formatCode>
                <c:ptCount val="14"/>
                <c:pt idx="0" formatCode="General">
                  <c:v>2006</c:v>
                </c:pt>
                <c:pt idx="1">
                  <c:v>2007</c:v>
                </c:pt>
                <c:pt idx="2" formatCode="General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 formatCode="General">
                  <c:v>2011</c:v>
                </c:pt>
                <c:pt idx="6" formatCode="General">
                  <c:v>2012</c:v>
                </c:pt>
                <c:pt idx="7" formatCode="General">
                  <c:v>2013</c:v>
                </c:pt>
                <c:pt idx="8" formatCode="General">
                  <c:v>2014</c:v>
                </c:pt>
                <c:pt idx="9" formatCode="General">
                  <c:v>2015</c:v>
                </c:pt>
                <c:pt idx="10" formatCode="General">
                  <c:v>2016</c:v>
                </c:pt>
                <c:pt idx="11" formatCode="General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</c:numCache>
            </c:numRef>
          </c:cat>
          <c:val>
            <c:numRef>
              <c:f>'[4]Purchased Power Model '!$H$213:$H$226</c:f>
              <c:numCache>
                <c:formatCode>General</c:formatCode>
                <c:ptCount val="14"/>
                <c:pt idx="0">
                  <c:v>1153842860.4705679</c:v>
                </c:pt>
                <c:pt idx="1">
                  <c:v>1127871153.89165</c:v>
                </c:pt>
                <c:pt idx="2">
                  <c:v>1094855785.2248654</c:v>
                </c:pt>
                <c:pt idx="3">
                  <c:v>1121629083.8762841</c:v>
                </c:pt>
                <c:pt idx="4">
                  <c:v>1134092280.5446804</c:v>
                </c:pt>
                <c:pt idx="5">
                  <c:v>1156423557.8162477</c:v>
                </c:pt>
                <c:pt idx="6">
                  <c:v>1149518396.9534879</c:v>
                </c:pt>
                <c:pt idx="7">
                  <c:v>1148384908.6668141</c:v>
                </c:pt>
                <c:pt idx="8">
                  <c:v>1159153505.7394249</c:v>
                </c:pt>
                <c:pt idx="9">
                  <c:v>1150848175.636837</c:v>
                </c:pt>
                <c:pt idx="10">
                  <c:v>1181688633.1682065</c:v>
                </c:pt>
                <c:pt idx="11">
                  <c:v>1151574040.7466991</c:v>
                </c:pt>
                <c:pt idx="12">
                  <c:v>1156547055.1756725</c:v>
                </c:pt>
                <c:pt idx="13">
                  <c:v>1161242185.1003509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00856"/>
        <c:axId val="33202816"/>
      </c:lineChart>
      <c:catAx>
        <c:axId val="33200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02816"/>
        <c:crosses val="autoZero"/>
        <c:auto val="1"/>
        <c:lblAlgn val="ctr"/>
        <c:lblOffset val="100"/>
        <c:noMultiLvlLbl val="0"/>
      </c:catAx>
      <c:valAx>
        <c:axId val="3320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0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437382485476572"/>
          <c:y val="0.63069116360454947"/>
          <c:w val="0.19939517747833979"/>
          <c:h val="0.14151042440449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945625546806649"/>
          <c:y val="0.17823801870305053"/>
          <c:w val="0.8268622047244093"/>
          <c:h val="0.6811310099573733"/>
        </c:manualLayout>
      </c:layout>
      <c:lineChart>
        <c:grouping val="standard"/>
        <c:varyColors val="0"/>
        <c:ser>
          <c:idx val="0"/>
          <c:order val="0"/>
          <c:tx>
            <c:strRef>
              <c:f>Trends!$B$1</c:f>
              <c:strCache>
                <c:ptCount val="1"/>
                <c:pt idx="0">
                  <c:v>Heating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Trends!$B$2:$B$18</c:f>
              <c:numCache>
                <c:formatCode>_-* #,##0_-;\-* #,##0_-;_-* "-"??_-;_-@_-</c:formatCode>
                <c:ptCount val="17"/>
                <c:pt idx="0">
                  <c:v>3992.7999999999993</c:v>
                </c:pt>
                <c:pt idx="1">
                  <c:v>3838.6999999999994</c:v>
                </c:pt>
                <c:pt idx="2">
                  <c:v>3770.6999999999994</c:v>
                </c:pt>
                <c:pt idx="3">
                  <c:v>3410.1999999999994</c:v>
                </c:pt>
                <c:pt idx="4">
                  <c:v>2890.1</c:v>
                </c:pt>
                <c:pt idx="5">
                  <c:v>2408.6999999999998</c:v>
                </c:pt>
                <c:pt idx="6">
                  <c:v>3612.7000000000003</c:v>
                </c:pt>
                <c:pt idx="7">
                  <c:v>3437.7</c:v>
                </c:pt>
                <c:pt idx="8">
                  <c:v>3649.0999999999995</c:v>
                </c:pt>
                <c:pt idx="9">
                  <c:v>3217.3999999999996</c:v>
                </c:pt>
                <c:pt idx="10">
                  <c:v>3579.1000000000004</c:v>
                </c:pt>
                <c:pt idx="11">
                  <c:v>3973.8999999999996</c:v>
                </c:pt>
                <c:pt idx="12">
                  <c:v>3760.2999999999997</c:v>
                </c:pt>
                <c:pt idx="13">
                  <c:v>3509.6000000000004</c:v>
                </c:pt>
                <c:pt idx="14">
                  <c:v>3411.1399766899776</c:v>
                </c:pt>
                <c:pt idx="15">
                  <c:v>3402.8319347319375</c:v>
                </c:pt>
                <c:pt idx="16">
                  <c:v>3394.5238927738937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915472"/>
        <c:axId val="719914688"/>
      </c:lineChart>
      <c:catAx>
        <c:axId val="719915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719914688"/>
        <c:crosses val="autoZero"/>
        <c:auto val="1"/>
        <c:lblAlgn val="ctr"/>
        <c:lblOffset val="100"/>
        <c:noMultiLvlLbl val="0"/>
      </c:catAx>
      <c:valAx>
        <c:axId val="719914688"/>
        <c:scaling>
          <c:orientation val="minMax"/>
          <c:min val="2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719915472"/>
        <c:crossesAt val="1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7478817821569096E-2"/>
          <c:y val="0.18238525462242625"/>
          <c:w val="0.89444402337408357"/>
          <c:h val="0.65768056462373337"/>
        </c:manualLayout>
      </c:layout>
      <c:lineChart>
        <c:grouping val="standard"/>
        <c:varyColors val="0"/>
        <c:ser>
          <c:idx val="0"/>
          <c:order val="0"/>
          <c:tx>
            <c:strRef>
              <c:f>Trends!$C$1</c:f>
              <c:strCache>
                <c:ptCount val="1"/>
                <c:pt idx="0">
                  <c:v>Cooling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Trends!$C$2:$C$18</c:f>
              <c:numCache>
                <c:formatCode>_-* #,##0_-;\-* #,##0_-;_-* "-"??_-;_-@_-</c:formatCode>
                <c:ptCount val="17"/>
                <c:pt idx="0">
                  <c:v>208.7</c:v>
                </c:pt>
                <c:pt idx="1">
                  <c:v>165.2</c:v>
                </c:pt>
                <c:pt idx="2">
                  <c:v>384.5</c:v>
                </c:pt>
                <c:pt idx="3">
                  <c:v>243.79999999999998</c:v>
                </c:pt>
                <c:pt idx="4">
                  <c:v>179</c:v>
                </c:pt>
                <c:pt idx="5">
                  <c:v>130</c:v>
                </c:pt>
                <c:pt idx="6">
                  <c:v>138.60000000000002</c:v>
                </c:pt>
                <c:pt idx="7">
                  <c:v>309.10000000000002</c:v>
                </c:pt>
                <c:pt idx="8">
                  <c:v>295.99999999999994</c:v>
                </c:pt>
                <c:pt idx="9">
                  <c:v>368.59999999999997</c:v>
                </c:pt>
                <c:pt idx="10">
                  <c:v>221.79999999999995</c:v>
                </c:pt>
                <c:pt idx="11">
                  <c:v>177</c:v>
                </c:pt>
                <c:pt idx="12">
                  <c:v>197</c:v>
                </c:pt>
                <c:pt idx="13">
                  <c:v>355.1</c:v>
                </c:pt>
                <c:pt idx="14">
                  <c:v>256.27226107226124</c:v>
                </c:pt>
                <c:pt idx="15">
                  <c:v>258.75233100233072</c:v>
                </c:pt>
                <c:pt idx="16">
                  <c:v>261.23240093240111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296920"/>
        <c:axId val="704295744"/>
      </c:lineChart>
      <c:catAx>
        <c:axId val="704296920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704295744"/>
        <c:crosses val="autoZero"/>
        <c:auto val="1"/>
        <c:lblAlgn val="ctr"/>
        <c:lblOffset val="100"/>
        <c:noMultiLvlLbl val="0"/>
      </c:catAx>
      <c:valAx>
        <c:axId val="70429574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704296920"/>
        <c:crosses val="autoZero"/>
        <c:crossBetween val="midCat"/>
        <c:majorUnit val="25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609492563429571"/>
          <c:y val="0.22750698845571132"/>
          <c:w val="0.84820866141732287"/>
          <c:h val="0.59298849838892087"/>
        </c:manualLayout>
      </c:layout>
      <c:lineChart>
        <c:grouping val="standard"/>
        <c:varyColors val="0"/>
        <c:ser>
          <c:idx val="0"/>
          <c:order val="0"/>
          <c:tx>
            <c:strRef>
              <c:f>Trends!$D$1</c:f>
              <c:strCache>
                <c:ptCount val="1"/>
                <c:pt idx="0">
                  <c:v>Connections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Trends!$D$2:$D$18</c:f>
              <c:numCache>
                <c:formatCode>0.0%</c:formatCode>
                <c:ptCount val="17"/>
                <c:pt idx="0">
                  <c:v>1.0186171336798953</c:v>
                </c:pt>
                <c:pt idx="1">
                  <c:v>1.0132849095504697</c:v>
                </c:pt>
                <c:pt idx="2">
                  <c:v>1.015051804428704</c:v>
                </c:pt>
                <c:pt idx="3">
                  <c:v>1.0211022486140118</c:v>
                </c:pt>
                <c:pt idx="4">
                  <c:v>1.0219885826933344</c:v>
                </c:pt>
                <c:pt idx="5">
                  <c:v>1.0182202504380253</c:v>
                </c:pt>
                <c:pt idx="6">
                  <c:v>1.0123688718041819</c:v>
                </c:pt>
                <c:pt idx="7">
                  <c:v>1.0119448602794412</c:v>
                </c:pt>
                <c:pt idx="8">
                  <c:v>1.0097158442999352</c:v>
                </c:pt>
                <c:pt idx="9">
                  <c:v>1.0061427405016443</c:v>
                </c:pt>
                <c:pt idx="10">
                  <c:v>1.0099655679767015</c:v>
                </c:pt>
                <c:pt idx="11">
                  <c:v>1.0130586927790459</c:v>
                </c:pt>
                <c:pt idx="12">
                  <c:v>1.0188351975805554</c:v>
                </c:pt>
                <c:pt idx="13">
                  <c:v>1.0187489086781911</c:v>
                </c:pt>
                <c:pt idx="14">
                  <c:v>1.0147634720721599</c:v>
                </c:pt>
                <c:pt idx="15">
                  <c:v>1.0147740968901207</c:v>
                </c:pt>
                <c:pt idx="16">
                  <c:v>1.0147846495879114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296528"/>
        <c:axId val="704297312"/>
      </c:lineChart>
      <c:catAx>
        <c:axId val="704296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704297312"/>
        <c:crosses val="autoZero"/>
        <c:auto val="1"/>
        <c:lblAlgn val="ctr"/>
        <c:lblOffset val="100"/>
        <c:noMultiLvlLbl val="0"/>
      </c:catAx>
      <c:valAx>
        <c:axId val="704297312"/>
        <c:scaling>
          <c:orientation val="minMax"/>
          <c:min val="0.98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704296528"/>
        <c:crosses val="autoZero"/>
        <c:crossBetween val="midCat"/>
        <c:majorUnit val="5.0000000000000114E-3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5</xdr:row>
      <xdr:rowOff>9525</xdr:rowOff>
    </xdr:from>
    <xdr:to>
      <xdr:col>17</xdr:col>
      <xdr:colOff>219075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390524</xdr:colOff>
      <xdr:row>26</xdr:row>
      <xdr:rowOff>104775</xdr:rowOff>
    </xdr:from>
    <xdr:to>
      <xdr:col>17</xdr:col>
      <xdr:colOff>409575</xdr:colOff>
      <xdr:row>45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0.36812</cdr:x>
      <cdr:y>0.06322</cdr:y>
    </cdr:from>
    <cdr:to>
      <cdr:x>0.70945</cdr:x>
      <cdr:y>0.14943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5" y="209550"/>
          <a:ext cx="2305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CA" sz="1000" b="1" i="1" u="sng">
              <a:latin typeface="Times New Roman" pitchFamily="18" charset="0"/>
              <a:cs typeface="Times New Roman" pitchFamily="18" charset="0"/>
            </a:rPr>
            <a:t>OPUCN Purchases</a:t>
          </a:r>
          <a:r>
            <a:rPr lang="en-CA" sz="1000" b="1" i="1" u="sng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CA" sz="1000" b="1" i="1" u="sng">
              <a:latin typeface="Times New Roman" pitchFamily="18" charset="0"/>
              <a:cs typeface="Times New Roman" pitchFamily="18" charset="0"/>
            </a:rPr>
            <a:t>(Millions of kWH)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22</xdr:col>
      <xdr:colOff>219076</xdr:colOff>
      <xdr:row>20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38100</xdr:colOff>
      <xdr:row>21</xdr:row>
      <xdr:rowOff>142875</xdr:rowOff>
    </xdr:from>
    <xdr:to>
      <xdr:col>22</xdr:col>
      <xdr:colOff>257176</xdr:colOff>
      <xdr:row>40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200025</xdr:colOff>
      <xdr:row>71</xdr:row>
      <xdr:rowOff>66675</xdr:rowOff>
    </xdr:from>
    <xdr:to>
      <xdr:col>19</xdr:col>
      <xdr:colOff>447675</xdr:colOff>
      <xdr:row>81</xdr:row>
      <xdr:rowOff>28575</xdr:rowOff>
    </xdr:to>
    <xdr:sp macro="" textlink="">
      <xdr:nvSpPr>
        <xdr:cNvPr id="3" name="Right Brace 2"/>
        <xdr:cNvSpPr/>
      </xdr:nvSpPr>
      <xdr:spPr>
        <a:xfrm>
          <a:off x="15973425" y="12049125"/>
          <a:ext cx="247650" cy="1581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19</xdr:col>
      <xdr:colOff>247650</xdr:colOff>
      <xdr:row>14</xdr:row>
      <xdr:rowOff>76200</xdr:rowOff>
    </xdr:from>
    <xdr:to>
      <xdr:col>19</xdr:col>
      <xdr:colOff>304800</xdr:colOff>
      <xdr:row>60</xdr:row>
      <xdr:rowOff>76200</xdr:rowOff>
    </xdr:to>
    <xdr:sp macro="" textlink="">
      <xdr:nvSpPr>
        <xdr:cNvPr id="5" name="Right Brace 4"/>
        <xdr:cNvSpPr/>
      </xdr:nvSpPr>
      <xdr:spPr>
        <a:xfrm>
          <a:off x="16021050" y="2828925"/>
          <a:ext cx="57150" cy="7448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3</xdr:row>
      <xdr:rowOff>38100</xdr:rowOff>
    </xdr:from>
    <xdr:to>
      <xdr:col>13</xdr:col>
      <xdr:colOff>466724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3</xdr:row>
      <xdr:rowOff>47626</xdr:rowOff>
    </xdr:from>
    <xdr:to>
      <xdr:col>22</xdr:col>
      <xdr:colOff>476250</xdr:colOff>
      <xdr:row>21</xdr:row>
      <xdr:rowOff>123826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9524</xdr:colOff>
      <xdr:row>44</xdr:row>
      <xdr:rowOff>38100</xdr:rowOff>
    </xdr:from>
    <xdr:to>
      <xdr:col>13</xdr:col>
      <xdr:colOff>476249</xdr:colOff>
      <xdr:row>62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st%20of%20Service%20Rate%20Application\Weather%20Normalization%20Regression%20Model%202003-2010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DC%20FTY%20-%20LF\CostAlloc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Finance%20Mgmt\2015%20Cost%20of%20Service\Working%20Models%20-%2016%20Decision\2015_Weather%20Normalization%20Regression%20Model_Draft%20Rate%20Ord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of%20Service_2015/Mid%20Term%20Application_2017/Weather%20Normalization%20Regression%20Model_Mid%20Ter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Chart II"/>
      <sheetName val="Chart III"/>
      <sheetName val="Chart IV"/>
      <sheetName val="Year End Customer"/>
      <sheetName val="City Expansion"/>
      <sheetName val="LED"/>
      <sheetName val=" CDM Summary"/>
      <sheetName val="Summary"/>
      <sheetName val="Purchased Power Model "/>
      <sheetName val="Economic Indices"/>
      <sheetName val="Trends"/>
      <sheetName val="10 Year Average"/>
      <sheetName val="20 Year Trend"/>
      <sheetName val="Residential"/>
      <sheetName val="GS &lt; 50 kW"/>
      <sheetName val="GS &gt; 50 kW"/>
      <sheetName val="I2"/>
      <sheetName val="Large User"/>
      <sheetName val="Streetlights"/>
      <sheetName val="USL"/>
      <sheetName val="Rate Class Energy Model"/>
      <sheetName val="Rate Class Customer Model"/>
      <sheetName val="Rate Class Load Model"/>
    </sheetNames>
    <sheetDataSet>
      <sheetData sheetId="0"/>
      <sheetData sheetId="1">
        <row r="95">
          <cell r="B95">
            <v>9578.9729800543791</v>
          </cell>
          <cell r="C95">
            <v>33495.397360898445</v>
          </cell>
          <cell r="D95">
            <v>665301.39816002047</v>
          </cell>
          <cell r="E95">
            <v>42639586.096446052</v>
          </cell>
          <cell r="F95">
            <v>7368371.0185733708</v>
          </cell>
          <cell r="G95">
            <v>674.97679014233609</v>
          </cell>
          <cell r="H95">
            <v>1476.9819588959449</v>
          </cell>
          <cell r="I95">
            <v>9081.6543916956161</v>
          </cell>
          <cell r="J95">
            <v>16105.112408904137</v>
          </cell>
        </row>
        <row r="96">
          <cell r="B96">
            <v>9496.7371515016566</v>
          </cell>
          <cell r="C96">
            <v>33195.008454237439</v>
          </cell>
          <cell r="D96">
            <v>661972.69286566495</v>
          </cell>
          <cell r="E96">
            <v>42660606.445226006</v>
          </cell>
          <cell r="F96">
            <v>7343341.8016583575</v>
          </cell>
          <cell r="G96">
            <v>404.15311294377187</v>
          </cell>
          <cell r="H96">
            <v>1464.7597936363773</v>
          </cell>
          <cell r="I96">
            <v>9006.5028435422773</v>
          </cell>
          <cell r="J96">
            <v>16011.058783888126</v>
          </cell>
        </row>
        <row r="97">
          <cell r="B97">
            <v>9373.8473482470636</v>
          </cell>
          <cell r="C97">
            <v>32755.626840546236</v>
          </cell>
          <cell r="D97">
            <v>656114.35262154555</v>
          </cell>
          <cell r="E97">
            <v>42752494.396360196</v>
          </cell>
          <cell r="F97">
            <v>7291137.2323911292</v>
          </cell>
          <cell r="G97">
            <v>367.27806971799913</v>
          </cell>
          <cell r="H97">
            <v>1455.0503430521189</v>
          </cell>
          <cell r="I97">
            <v>8946.8014544979633</v>
          </cell>
          <cell r="J97">
            <v>15830.241937961313</v>
          </cell>
        </row>
        <row r="98">
          <cell r="B98">
            <v>9229.2691892047296</v>
          </cell>
          <cell r="C98">
            <v>32245.792656518071</v>
          </cell>
          <cell r="D98">
            <v>648863.11389746226</v>
          </cell>
          <cell r="E98">
            <v>42718996.835031144</v>
          </cell>
          <cell r="F98">
            <v>7236945.9471413186</v>
          </cell>
          <cell r="G98">
            <v>367.27806971799907</v>
          </cell>
          <cell r="H98">
            <v>1441.1685693544096</v>
          </cell>
          <cell r="I98">
            <v>8861.4453197753937</v>
          </cell>
          <cell r="J98">
            <v>15649.719754415772</v>
          </cell>
        </row>
        <row r="99">
          <cell r="B99">
            <v>9096.3712414133915</v>
          </cell>
          <cell r="C99">
            <v>31784.17126536146</v>
          </cell>
          <cell r="D99">
            <v>642460.50519818626</v>
          </cell>
          <cell r="E99">
            <v>42532142.041214556</v>
          </cell>
          <cell r="F99">
            <v>7174704.4731085896</v>
          </cell>
          <cell r="G99">
            <v>367.27806971799913</v>
          </cell>
          <cell r="H99">
            <v>1422.2900350805078</v>
          </cell>
          <cell r="I99">
            <v>8745.365145156662</v>
          </cell>
          <cell r="J99">
            <v>15528.683387319181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Chart II"/>
      <sheetName val="Chart III"/>
      <sheetName val="Chart IV"/>
      <sheetName val="Year End Customer"/>
      <sheetName val="City Expansion"/>
      <sheetName val="LED"/>
      <sheetName val=" CDM Summary"/>
      <sheetName val="Summary"/>
      <sheetName val="Comparison"/>
      <sheetName val="Purchased Power Model "/>
      <sheetName val="Economic Indices"/>
      <sheetName val="Trends"/>
      <sheetName val="10 Year Average"/>
      <sheetName val="20 Year Trend"/>
      <sheetName val="Residential"/>
      <sheetName val="GS &lt; 50 kW"/>
      <sheetName val="GS &gt; 50 kW"/>
      <sheetName val="I2"/>
      <sheetName val="Large User"/>
      <sheetName val="Streetlights"/>
      <sheetName val="USL"/>
      <sheetName val="Rate Class Energy Model"/>
      <sheetName val="Rate Class Customer Model"/>
      <sheetName val="Rate Class Load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3">
          <cell r="H213">
            <v>1153842860.4705679</v>
          </cell>
        </row>
        <row r="214">
          <cell r="H214">
            <v>1127871153.89165</v>
          </cell>
        </row>
        <row r="215">
          <cell r="H215">
            <v>1094855785.2248654</v>
          </cell>
        </row>
        <row r="216">
          <cell r="H216">
            <v>1121629083.8762841</v>
          </cell>
        </row>
        <row r="217">
          <cell r="H217">
            <v>1134092280.5446804</v>
          </cell>
        </row>
        <row r="218">
          <cell r="H218">
            <v>1156423557.8162477</v>
          </cell>
        </row>
        <row r="219">
          <cell r="H219">
            <v>1149518396.9534879</v>
          </cell>
        </row>
        <row r="220">
          <cell r="H220">
            <v>1148384908.6668141</v>
          </cell>
        </row>
        <row r="221">
          <cell r="H221">
            <v>1159153505.7394249</v>
          </cell>
        </row>
        <row r="222">
          <cell r="H222">
            <v>1150848175.636837</v>
          </cell>
        </row>
        <row r="223">
          <cell r="H223">
            <v>1181688633.1682065</v>
          </cell>
        </row>
        <row r="224">
          <cell r="H224">
            <v>1151574040.7466991</v>
          </cell>
        </row>
        <row r="225">
          <cell r="H225">
            <v>1156547055.1756725</v>
          </cell>
        </row>
        <row r="226">
          <cell r="H226">
            <v>1161242185.1003509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5:H43"/>
  <sheetViews>
    <sheetView showGridLines="0" workbookViewId="0">
      <selection activeCell="C23" sqref="C23"/>
    </sheetView>
  </sheetViews>
  <sheetFormatPr defaultColWidth="9.140625" defaultRowHeight="12.75" x14ac:dyDescent="0.2"/>
  <cols>
    <col min="1" max="1" width="45" style="99" bestFit="1" customWidth="1"/>
    <col min="2" max="2" width="7.85546875" style="99" customWidth="1"/>
    <col min="3" max="3" width="19" style="99" customWidth="1"/>
    <col min="4" max="6" width="18.140625" style="99" customWidth="1"/>
    <col min="7" max="7" width="10.7109375" style="99" customWidth="1"/>
    <col min="8" max="8" width="10.5703125" style="99" customWidth="1"/>
    <col min="9" max="16384" width="9.140625" style="99"/>
  </cols>
  <sheetData>
    <row r="5" spans="1:6" ht="13.5" thickBot="1" x14ac:dyDescent="0.25"/>
    <row r="6" spans="1:6" x14ac:dyDescent="0.2">
      <c r="A6" s="521" t="s">
        <v>108</v>
      </c>
      <c r="B6" s="522"/>
      <c r="C6" s="498" t="s">
        <v>109</v>
      </c>
      <c r="D6" s="498" t="s">
        <v>110</v>
      </c>
      <c r="E6" s="526" t="s">
        <v>41</v>
      </c>
      <c r="F6" s="527"/>
    </row>
    <row r="7" spans="1:6" x14ac:dyDescent="0.2">
      <c r="A7" s="523" t="s">
        <v>111</v>
      </c>
      <c r="B7" s="110">
        <v>2003</v>
      </c>
      <c r="C7" s="111">
        <f>+'Purchased Power Model '!B210</f>
        <v>1232724170</v>
      </c>
      <c r="D7" s="111">
        <f>+'Purchased Power Model '!S210</f>
        <v>1232724170</v>
      </c>
      <c r="E7" s="111">
        <f t="shared" ref="E7:E17" si="0">+D7-C7</f>
        <v>0</v>
      </c>
      <c r="F7" s="112">
        <f t="shared" ref="F7:F17" si="1">+E7/C7</f>
        <v>0</v>
      </c>
    </row>
    <row r="8" spans="1:6" x14ac:dyDescent="0.2">
      <c r="A8" s="524"/>
      <c r="B8" s="113">
        <v>2004</v>
      </c>
      <c r="C8" s="111">
        <f>+'Purchased Power Model '!B211</f>
        <v>1178441190</v>
      </c>
      <c r="D8" s="111">
        <f>+'Purchased Power Model '!S211</f>
        <v>1178441190</v>
      </c>
      <c r="E8" s="111">
        <f t="shared" si="0"/>
        <v>0</v>
      </c>
      <c r="F8" s="112">
        <f t="shared" si="1"/>
        <v>0</v>
      </c>
    </row>
    <row r="9" spans="1:6" x14ac:dyDescent="0.2">
      <c r="A9" s="524"/>
      <c r="B9" s="110">
        <v>2005</v>
      </c>
      <c r="C9" s="111">
        <f>+'Purchased Power Model '!B212</f>
        <v>1174501350</v>
      </c>
      <c r="D9" s="111">
        <f>+'Purchased Power Model '!S212</f>
        <v>1174501350</v>
      </c>
      <c r="E9" s="111">
        <f t="shared" si="0"/>
        <v>0</v>
      </c>
      <c r="F9" s="112">
        <f t="shared" si="1"/>
        <v>0</v>
      </c>
    </row>
    <row r="10" spans="1:6" x14ac:dyDescent="0.2">
      <c r="A10" s="524"/>
      <c r="B10" s="113">
        <v>2006</v>
      </c>
      <c r="C10" s="111">
        <f>+'Purchased Power Model '!B213</f>
        <v>1151360440</v>
      </c>
      <c r="D10" s="111">
        <f>+'Purchased Power Model '!S213</f>
        <v>1151360440</v>
      </c>
      <c r="E10" s="111">
        <f t="shared" si="0"/>
        <v>0</v>
      </c>
      <c r="F10" s="112">
        <f t="shared" si="1"/>
        <v>0</v>
      </c>
    </row>
    <row r="11" spans="1:6" x14ac:dyDescent="0.2">
      <c r="A11" s="524"/>
      <c r="B11" s="110">
        <v>2007</v>
      </c>
      <c r="C11" s="111">
        <f>+'Purchased Power Model '!B214</f>
        <v>1191153590</v>
      </c>
      <c r="D11" s="111">
        <f>+'Purchased Power Model '!S214</f>
        <v>1191153590</v>
      </c>
      <c r="E11" s="111">
        <f t="shared" si="0"/>
        <v>0</v>
      </c>
      <c r="F11" s="112">
        <f t="shared" si="1"/>
        <v>0</v>
      </c>
    </row>
    <row r="12" spans="1:6" x14ac:dyDescent="0.2">
      <c r="A12" s="524"/>
      <c r="B12" s="113">
        <v>2008</v>
      </c>
      <c r="C12" s="111">
        <f>+'Purchased Power Model '!B215</f>
        <v>1158881926</v>
      </c>
      <c r="D12" s="111">
        <f>+'Purchased Power Model '!S215</f>
        <v>1158881926</v>
      </c>
      <c r="E12" s="111">
        <f t="shared" si="0"/>
        <v>0</v>
      </c>
      <c r="F12" s="112">
        <f t="shared" si="1"/>
        <v>0</v>
      </c>
    </row>
    <row r="13" spans="1:6" x14ac:dyDescent="0.2">
      <c r="A13" s="524"/>
      <c r="B13" s="110">
        <v>2009</v>
      </c>
      <c r="C13" s="111">
        <f>+'Purchased Power Model '!B216</f>
        <v>1128390784.5107694</v>
      </c>
      <c r="D13" s="111">
        <f>+'Purchased Power Model '!S216</f>
        <v>1128390784.5107694</v>
      </c>
      <c r="E13" s="111">
        <f t="shared" si="0"/>
        <v>0</v>
      </c>
      <c r="F13" s="112">
        <f t="shared" si="1"/>
        <v>0</v>
      </c>
    </row>
    <row r="14" spans="1:6" x14ac:dyDescent="0.2">
      <c r="A14" s="524"/>
      <c r="B14" s="113">
        <v>2010</v>
      </c>
      <c r="C14" s="111">
        <f>+'Purchased Power Model '!B217</f>
        <v>1148489331.8146157</v>
      </c>
      <c r="D14" s="111">
        <f>+'Purchased Power Model '!S217</f>
        <v>1148489331.8146157</v>
      </c>
      <c r="E14" s="111">
        <f t="shared" si="0"/>
        <v>0</v>
      </c>
      <c r="F14" s="112">
        <f t="shared" si="1"/>
        <v>0</v>
      </c>
    </row>
    <row r="15" spans="1:6" x14ac:dyDescent="0.2">
      <c r="A15" s="524"/>
      <c r="B15" s="113">
        <v>2011</v>
      </c>
      <c r="C15" s="111">
        <f>+'Purchased Power Model '!B218</f>
        <v>1148632387.3953846</v>
      </c>
      <c r="D15" s="111">
        <f>+'Purchased Power Model '!S218</f>
        <v>1148632387.3953846</v>
      </c>
      <c r="E15" s="111">
        <f t="shared" si="0"/>
        <v>0</v>
      </c>
      <c r="F15" s="112">
        <f t="shared" si="1"/>
        <v>0</v>
      </c>
    </row>
    <row r="16" spans="1:6" x14ac:dyDescent="0.2">
      <c r="A16" s="524"/>
      <c r="B16" s="113">
        <v>2012</v>
      </c>
      <c r="C16" s="111">
        <f>+'Purchased Power Model '!B219</f>
        <v>1136211952.670979</v>
      </c>
      <c r="D16" s="111">
        <f>+'Purchased Power Model '!S219</f>
        <v>1136211952.670979</v>
      </c>
      <c r="E16" s="111">
        <f t="shared" si="0"/>
        <v>0</v>
      </c>
      <c r="F16" s="112">
        <f t="shared" si="1"/>
        <v>0</v>
      </c>
    </row>
    <row r="17" spans="1:8" x14ac:dyDescent="0.2">
      <c r="A17" s="525"/>
      <c r="B17" s="113">
        <v>2013</v>
      </c>
      <c r="C17" s="111">
        <f>+'Purchased Power Model '!B220</f>
        <v>1130407041.6666667</v>
      </c>
      <c r="D17" s="111">
        <f>+'Purchased Power Model '!S220</f>
        <v>1130407041.6666667</v>
      </c>
      <c r="E17" s="111">
        <f t="shared" si="0"/>
        <v>0</v>
      </c>
      <c r="F17" s="112">
        <f t="shared" si="1"/>
        <v>0</v>
      </c>
    </row>
    <row r="18" spans="1:8" x14ac:dyDescent="0.2">
      <c r="A18" s="114" t="s">
        <v>207</v>
      </c>
      <c r="B18" s="113">
        <v>2014</v>
      </c>
      <c r="C18" s="111">
        <f>+'Purchased Power Model '!B221</f>
        <v>1134970142.7733078</v>
      </c>
      <c r="D18" s="111">
        <f>+'Purchased Power Model '!S221</f>
        <v>1134970142.7733078</v>
      </c>
      <c r="E18" s="111">
        <f t="shared" ref="E18:E20" si="2">+D18-C18</f>
        <v>0</v>
      </c>
      <c r="F18" s="112">
        <f t="shared" ref="F18:F20" si="3">+E18/C18</f>
        <v>0</v>
      </c>
    </row>
    <row r="19" spans="1:8" x14ac:dyDescent="0.2">
      <c r="A19" s="114" t="s">
        <v>208</v>
      </c>
      <c r="B19" s="113">
        <v>2015</v>
      </c>
      <c r="C19" s="111">
        <f>+'Purchased Power Model '!B222</f>
        <v>1123341031.2123077</v>
      </c>
      <c r="D19" s="111">
        <f>+'Purchased Power Model '!S222</f>
        <v>1123341031.2123077</v>
      </c>
      <c r="E19" s="111">
        <f t="shared" si="2"/>
        <v>0</v>
      </c>
      <c r="F19" s="112">
        <f t="shared" si="3"/>
        <v>0</v>
      </c>
    </row>
    <row r="20" spans="1:8" x14ac:dyDescent="0.2">
      <c r="A20" s="114" t="s">
        <v>209</v>
      </c>
      <c r="B20" s="113">
        <v>2016</v>
      </c>
      <c r="C20" s="111">
        <f>+'Purchased Power Model '!B223</f>
        <v>1122027434.2815385</v>
      </c>
      <c r="D20" s="111">
        <f>+'Purchased Power Model '!S223</f>
        <v>1122027434.2815385</v>
      </c>
      <c r="E20" s="111">
        <f t="shared" si="2"/>
        <v>0</v>
      </c>
      <c r="F20" s="112">
        <f t="shared" si="3"/>
        <v>0</v>
      </c>
    </row>
    <row r="21" spans="1:8" x14ac:dyDescent="0.2">
      <c r="A21" s="114" t="s">
        <v>210</v>
      </c>
      <c r="B21" s="113">
        <v>2017</v>
      </c>
      <c r="C21" s="111">
        <f>+TREND(C$10:C20,B$10:B20,B21)</f>
        <v>1115920797.7611427</v>
      </c>
      <c r="D21" s="111">
        <f>+'Purchased Power Model '!S224</f>
        <v>1108402450.9587033</v>
      </c>
      <c r="E21" s="528"/>
      <c r="F21" s="529"/>
    </row>
    <row r="22" spans="1:8" x14ac:dyDescent="0.2">
      <c r="A22" s="114" t="s">
        <v>211</v>
      </c>
      <c r="B22" s="113">
        <v>2018</v>
      </c>
      <c r="C22" s="111">
        <f>+TREND(C$10:C21,B$10:B21,B22)</f>
        <v>1111394475.2315521</v>
      </c>
      <c r="D22" s="111">
        <f>+'Purchased Power Model '!S225</f>
        <v>1099681736.5142858</v>
      </c>
      <c r="E22" s="530"/>
      <c r="F22" s="531"/>
    </row>
    <row r="23" spans="1:8" ht="13.5" thickBot="1" x14ac:dyDescent="0.25">
      <c r="A23" s="115" t="s">
        <v>212</v>
      </c>
      <c r="B23" s="116">
        <v>2019</v>
      </c>
      <c r="C23" s="117">
        <f>+TREND(C$10:C22,B$10:B22,B23)</f>
        <v>1106868152.7019615</v>
      </c>
      <c r="D23" s="117">
        <f>+'Purchased Power Model '!S226</f>
        <v>1097927653.0000739</v>
      </c>
      <c r="E23" s="532"/>
      <c r="F23" s="533"/>
    </row>
    <row r="24" spans="1:8" ht="13.5" thickBot="1" x14ac:dyDescent="0.25">
      <c r="B24" s="118"/>
      <c r="C24" s="119"/>
      <c r="D24" s="119"/>
      <c r="E24" s="119"/>
      <c r="F24" s="119"/>
      <c r="G24" s="118"/>
      <c r="H24" s="118"/>
    </row>
    <row r="25" spans="1:8" ht="24" x14ac:dyDescent="0.2">
      <c r="A25" s="521" t="s">
        <v>108</v>
      </c>
      <c r="B25" s="522"/>
      <c r="C25" s="165" t="s">
        <v>109</v>
      </c>
      <c r="D25" s="165" t="s">
        <v>214</v>
      </c>
      <c r="E25" s="166" t="s">
        <v>213</v>
      </c>
      <c r="F25" s="183" t="s">
        <v>215</v>
      </c>
      <c r="G25"/>
      <c r="H25"/>
    </row>
    <row r="26" spans="1:8" x14ac:dyDescent="0.2">
      <c r="A26" s="523" t="s">
        <v>111</v>
      </c>
      <c r="B26" s="110">
        <v>2003</v>
      </c>
      <c r="C26" s="111">
        <f>+C7</f>
        <v>1232724170</v>
      </c>
      <c r="D26" s="111">
        <f t="shared" ref="D26:D42" si="4">+D7</f>
        <v>1232724170</v>
      </c>
      <c r="E26" s="111">
        <f>+'10 Year Average'!Q210</f>
        <v>1183815892.46276</v>
      </c>
      <c r="F26" s="184">
        <f>+'20 Year Trend'!Q210</f>
        <v>1183815892.46276</v>
      </c>
      <c r="G26"/>
      <c r="H26"/>
    </row>
    <row r="27" spans="1:8" x14ac:dyDescent="0.2">
      <c r="A27" s="524"/>
      <c r="B27" s="113">
        <v>2004</v>
      </c>
      <c r="C27" s="111">
        <f t="shared" ref="C27:C42" si="5">+C8</f>
        <v>1178441190</v>
      </c>
      <c r="D27" s="111">
        <f t="shared" si="4"/>
        <v>1178441190</v>
      </c>
      <c r="E27" s="111">
        <f>+'10 Year Average'!Q211</f>
        <v>1172093429.9426394</v>
      </c>
      <c r="F27" s="184">
        <f>+'20 Year Trend'!Q211</f>
        <v>1172093429.9426394</v>
      </c>
      <c r="G27"/>
      <c r="H27"/>
    </row>
    <row r="28" spans="1:8" x14ac:dyDescent="0.2">
      <c r="A28" s="524"/>
      <c r="B28" s="110">
        <v>2005</v>
      </c>
      <c r="C28" s="111">
        <f t="shared" si="5"/>
        <v>1174501350</v>
      </c>
      <c r="D28" s="111">
        <f t="shared" si="4"/>
        <v>1174501350</v>
      </c>
      <c r="E28" s="111">
        <f>+'10 Year Average'!Q212</f>
        <v>1190184872.5411994</v>
      </c>
      <c r="F28" s="184">
        <f>+'20 Year Trend'!Q212</f>
        <v>1190184872.5411994</v>
      </c>
      <c r="G28"/>
      <c r="H28"/>
    </row>
    <row r="29" spans="1:8" x14ac:dyDescent="0.2">
      <c r="A29" s="524"/>
      <c r="B29" s="113">
        <v>2006</v>
      </c>
      <c r="C29" s="111">
        <f t="shared" si="5"/>
        <v>1151360440</v>
      </c>
      <c r="D29" s="111">
        <f t="shared" si="4"/>
        <v>1151360440</v>
      </c>
      <c r="E29" s="111">
        <f>+'10 Year Average'!Q213</f>
        <v>1153842860.4705679</v>
      </c>
      <c r="F29" s="184">
        <f>+'20 Year Trend'!Q213</f>
        <v>1153842860.4705679</v>
      </c>
      <c r="G29"/>
      <c r="H29"/>
    </row>
    <row r="30" spans="1:8" x14ac:dyDescent="0.2">
      <c r="A30" s="524"/>
      <c r="B30" s="110">
        <v>2007</v>
      </c>
      <c r="C30" s="111">
        <f t="shared" si="5"/>
        <v>1191153590</v>
      </c>
      <c r="D30" s="111">
        <f t="shared" si="4"/>
        <v>1191153590</v>
      </c>
      <c r="E30" s="111">
        <f>+'10 Year Average'!Q214</f>
        <v>1127871153.89165</v>
      </c>
      <c r="F30" s="184">
        <f>+'20 Year Trend'!Q214</f>
        <v>1127871153.89165</v>
      </c>
      <c r="G30"/>
      <c r="H30"/>
    </row>
    <row r="31" spans="1:8" x14ac:dyDescent="0.2">
      <c r="A31" s="524"/>
      <c r="B31" s="113">
        <v>2008</v>
      </c>
      <c r="C31" s="111">
        <f t="shared" si="5"/>
        <v>1158881926</v>
      </c>
      <c r="D31" s="111">
        <f t="shared" si="4"/>
        <v>1158881926</v>
      </c>
      <c r="E31" s="111">
        <f>+'10 Year Average'!Q215</f>
        <v>1094855785.2248654</v>
      </c>
      <c r="F31" s="184">
        <f>+'20 Year Trend'!Q215</f>
        <v>1094855785.2248654</v>
      </c>
      <c r="G31"/>
      <c r="H31"/>
    </row>
    <row r="32" spans="1:8" x14ac:dyDescent="0.2">
      <c r="A32" s="524"/>
      <c r="B32" s="110">
        <v>2009</v>
      </c>
      <c r="C32" s="111">
        <f t="shared" si="5"/>
        <v>1128390784.5107694</v>
      </c>
      <c r="D32" s="111">
        <f t="shared" si="4"/>
        <v>1128390784.5107694</v>
      </c>
      <c r="E32" s="111">
        <f>+'10 Year Average'!Q216</f>
        <v>1121629083.8762841</v>
      </c>
      <c r="F32" s="184">
        <f>+'20 Year Trend'!Q216</f>
        <v>1121629083.8762841</v>
      </c>
      <c r="G32"/>
      <c r="H32"/>
    </row>
    <row r="33" spans="1:8" x14ac:dyDescent="0.2">
      <c r="A33" s="524"/>
      <c r="B33" s="113">
        <v>2010</v>
      </c>
      <c r="C33" s="111">
        <f t="shared" si="5"/>
        <v>1148489331.8146157</v>
      </c>
      <c r="D33" s="111">
        <f t="shared" si="4"/>
        <v>1148489331.8146157</v>
      </c>
      <c r="E33" s="111">
        <f>+'10 Year Average'!Q217</f>
        <v>1134092280.5446804</v>
      </c>
      <c r="F33" s="184">
        <f>+'20 Year Trend'!Q217</f>
        <v>1134092280.5446804</v>
      </c>
      <c r="G33"/>
      <c r="H33"/>
    </row>
    <row r="34" spans="1:8" x14ac:dyDescent="0.2">
      <c r="A34" s="524"/>
      <c r="B34" s="113">
        <v>2011</v>
      </c>
      <c r="C34" s="111">
        <f t="shared" si="5"/>
        <v>1148632387.3953846</v>
      </c>
      <c r="D34" s="111">
        <f t="shared" si="4"/>
        <v>1148632387.3953846</v>
      </c>
      <c r="E34" s="111">
        <f>+'10 Year Average'!Q218</f>
        <v>1156423557.8162477</v>
      </c>
      <c r="F34" s="184">
        <f>+'20 Year Trend'!Q218</f>
        <v>1156423557.8162477</v>
      </c>
      <c r="G34"/>
      <c r="H34"/>
    </row>
    <row r="35" spans="1:8" x14ac:dyDescent="0.2">
      <c r="A35" s="524"/>
      <c r="B35" s="113">
        <v>2012</v>
      </c>
      <c r="C35" s="111">
        <f t="shared" si="5"/>
        <v>1136211952.670979</v>
      </c>
      <c r="D35" s="111">
        <f t="shared" si="4"/>
        <v>1136211952.670979</v>
      </c>
      <c r="E35" s="111">
        <f>+'10 Year Average'!Q219</f>
        <v>1149518396.9534879</v>
      </c>
      <c r="F35" s="184">
        <f>+'20 Year Trend'!Q219</f>
        <v>1149518396.9534879</v>
      </c>
      <c r="G35"/>
      <c r="H35"/>
    </row>
    <row r="36" spans="1:8" x14ac:dyDescent="0.2">
      <c r="A36" s="525"/>
      <c r="B36" s="113">
        <v>2013</v>
      </c>
      <c r="C36" s="111">
        <f t="shared" si="5"/>
        <v>1130407041.6666667</v>
      </c>
      <c r="D36" s="111">
        <f t="shared" si="4"/>
        <v>1130407041.6666667</v>
      </c>
      <c r="E36" s="111">
        <f ca="1">+'10 Year Average'!Q220</f>
        <v>1148384908.6668141</v>
      </c>
      <c r="F36" s="184">
        <f ca="1">+'20 Year Trend'!Q220</f>
        <v>1148384908.6668141</v>
      </c>
      <c r="G36"/>
      <c r="H36"/>
    </row>
    <row r="37" spans="1:8" x14ac:dyDescent="0.2">
      <c r="A37" s="114" t="s">
        <v>207</v>
      </c>
      <c r="B37" s="113">
        <v>2014</v>
      </c>
      <c r="C37" s="111">
        <f t="shared" si="5"/>
        <v>1134970142.7733078</v>
      </c>
      <c r="D37" s="111">
        <f t="shared" si="4"/>
        <v>1134970142.7733078</v>
      </c>
      <c r="E37" s="111">
        <f>+'10 Year Average'!Q221</f>
        <v>1159153505.7394249</v>
      </c>
      <c r="F37" s="184">
        <f>+'20 Year Trend'!Q221</f>
        <v>1159153505.7394249</v>
      </c>
      <c r="G37"/>
      <c r="H37"/>
    </row>
    <row r="38" spans="1:8" x14ac:dyDescent="0.2">
      <c r="A38" s="114" t="s">
        <v>208</v>
      </c>
      <c r="B38" s="113">
        <v>2015</v>
      </c>
      <c r="C38" s="111">
        <f t="shared" si="5"/>
        <v>1123341031.2123077</v>
      </c>
      <c r="D38" s="111">
        <f t="shared" si="4"/>
        <v>1123341031.2123077</v>
      </c>
      <c r="E38" s="111">
        <f>+'10 Year Average'!Q222</f>
        <v>1150848175.636837</v>
      </c>
      <c r="F38" s="184">
        <f>+'20 Year Trend'!Q222</f>
        <v>1150848175.636837</v>
      </c>
      <c r="G38"/>
      <c r="H38"/>
    </row>
    <row r="39" spans="1:8" x14ac:dyDescent="0.2">
      <c r="A39" s="114" t="s">
        <v>209</v>
      </c>
      <c r="B39" s="113">
        <v>2016</v>
      </c>
      <c r="C39" s="111">
        <f t="shared" si="5"/>
        <v>1122027434.2815385</v>
      </c>
      <c r="D39" s="111">
        <f t="shared" si="4"/>
        <v>1122027434.2815385</v>
      </c>
      <c r="E39" s="111">
        <f>+'10 Year Average'!Q223</f>
        <v>1181688633.1682065</v>
      </c>
      <c r="F39" s="184">
        <f>+'20 Year Trend'!Q223</f>
        <v>1181688633.1682065</v>
      </c>
      <c r="G39"/>
      <c r="H39"/>
    </row>
    <row r="40" spans="1:8" x14ac:dyDescent="0.2">
      <c r="A40" s="114" t="s">
        <v>210</v>
      </c>
      <c r="B40" s="113">
        <v>2017</v>
      </c>
      <c r="C40" s="111">
        <f t="shared" si="5"/>
        <v>1115920797.7611427</v>
      </c>
      <c r="D40" s="111">
        <f t="shared" si="4"/>
        <v>1108402450.9587033</v>
      </c>
      <c r="E40" s="111">
        <f ca="1">+'10 Year Average'!Q224</f>
        <v>1140884588.92979</v>
      </c>
      <c r="F40" s="184">
        <f ca="1">+'20 Year Trend'!Q224</f>
        <v>1145917318.0282004</v>
      </c>
      <c r="G40"/>
      <c r="H40"/>
    </row>
    <row r="41" spans="1:8" x14ac:dyDescent="0.2">
      <c r="A41" s="114" t="s">
        <v>211</v>
      </c>
      <c r="B41" s="113">
        <v>2018</v>
      </c>
      <c r="C41" s="111">
        <f t="shared" si="5"/>
        <v>1111394475.2315521</v>
      </c>
      <c r="D41" s="111">
        <f t="shared" si="4"/>
        <v>1099681736.5142858</v>
      </c>
      <c r="E41" s="111">
        <f ca="1">+'10 Year Average'!Q225</f>
        <v>1109662858.0389667</v>
      </c>
      <c r="F41" s="184">
        <f ca="1">+'20 Year Trend'!Q225</f>
        <v>1137162437.0100465</v>
      </c>
      <c r="G41"/>
      <c r="H41"/>
    </row>
    <row r="42" spans="1:8" ht="13.5" thickBot="1" x14ac:dyDescent="0.25">
      <c r="A42" s="115" t="s">
        <v>212</v>
      </c>
      <c r="B42" s="116">
        <v>2019</v>
      </c>
      <c r="C42" s="117">
        <f t="shared" si="5"/>
        <v>1106868152.7019615</v>
      </c>
      <c r="D42" s="117">
        <f t="shared" si="4"/>
        <v>1097927653.0000739</v>
      </c>
      <c r="E42" s="117">
        <f ca="1">+'10 Year Average'!Q226</f>
        <v>1090203721.2237964</v>
      </c>
      <c r="F42" s="185">
        <f ca="1">+'20 Year Trend'!Q226</f>
        <v>1129646986.6441786</v>
      </c>
      <c r="G42"/>
      <c r="H42"/>
    </row>
    <row r="43" spans="1:8" x14ac:dyDescent="0.2">
      <c r="A43" s="355"/>
      <c r="B43" s="355"/>
      <c r="C43"/>
      <c r="D43" s="356"/>
      <c r="E43" s="356"/>
      <c r="F43" s="356"/>
      <c r="G43"/>
      <c r="H43"/>
    </row>
  </sheetData>
  <mergeCells count="6">
    <mergeCell ref="A25:B25"/>
    <mergeCell ref="A26:A36"/>
    <mergeCell ref="A6:B6"/>
    <mergeCell ref="E6:F6"/>
    <mergeCell ref="A7:A17"/>
    <mergeCell ref="E21:F2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1"/>
  <sheetViews>
    <sheetView workbookViewId="0"/>
  </sheetViews>
  <sheetFormatPr defaultRowHeight="12.75" x14ac:dyDescent="0.2"/>
  <cols>
    <col min="1" max="10" width="10.7109375" customWidth="1"/>
  </cols>
  <sheetData>
    <row r="2" spans="1:13" ht="13.5" thickBot="1" x14ac:dyDescent="0.25"/>
    <row r="3" spans="1:13" x14ac:dyDescent="0.2">
      <c r="A3" s="521" t="s">
        <v>355</v>
      </c>
      <c r="B3" s="561" t="s">
        <v>233</v>
      </c>
      <c r="C3" s="561"/>
      <c r="D3" s="561"/>
      <c r="E3" s="562" t="s">
        <v>359</v>
      </c>
      <c r="F3" s="563"/>
      <c r="G3" s="564"/>
      <c r="H3" s="562" t="s">
        <v>360</v>
      </c>
      <c r="I3" s="563"/>
      <c r="J3" s="565"/>
    </row>
    <row r="4" spans="1:13" x14ac:dyDescent="0.2">
      <c r="A4" s="560"/>
      <c r="B4" s="495" t="s">
        <v>356</v>
      </c>
      <c r="C4" s="495" t="s">
        <v>357</v>
      </c>
      <c r="D4" s="495" t="s">
        <v>358</v>
      </c>
      <c r="E4" s="495" t="s">
        <v>356</v>
      </c>
      <c r="F4" s="495" t="s">
        <v>357</v>
      </c>
      <c r="G4" s="495" t="s">
        <v>358</v>
      </c>
      <c r="H4" s="495" t="s">
        <v>356</v>
      </c>
      <c r="I4" s="495" t="s">
        <v>357</v>
      </c>
      <c r="J4" s="496" t="s">
        <v>358</v>
      </c>
    </row>
    <row r="5" spans="1:13" x14ac:dyDescent="0.2">
      <c r="A5" s="493">
        <v>2013</v>
      </c>
      <c r="B5" s="411">
        <v>66571.5</v>
      </c>
      <c r="C5" s="411">
        <v>66584</v>
      </c>
      <c r="D5" s="411">
        <f>+'Chart II'!J49</f>
        <v>66584</v>
      </c>
      <c r="E5" s="411">
        <v>1130407041.6666667</v>
      </c>
      <c r="F5" s="411">
        <v>1130407041.6666667</v>
      </c>
      <c r="G5" s="411">
        <f>+'Chart II'!B21</f>
        <v>1130407041.6666667</v>
      </c>
      <c r="H5" s="411">
        <v>1078161209</v>
      </c>
      <c r="I5" s="411">
        <v>1078161209</v>
      </c>
      <c r="J5" s="250">
        <f>+'Chart II'!J77</f>
        <v>1078161209</v>
      </c>
    </row>
    <row r="6" spans="1:13" x14ac:dyDescent="0.2">
      <c r="A6" s="493">
        <v>2014</v>
      </c>
      <c r="B6" s="411">
        <v>67512.040898196501</v>
      </c>
      <c r="C6" s="411">
        <v>67453.5</v>
      </c>
      <c r="D6" s="411">
        <f>+'Chart II'!J50</f>
        <v>67453.5</v>
      </c>
      <c r="E6" s="411">
        <v>1146348131.8266783</v>
      </c>
      <c r="F6" s="411">
        <v>1134970142.7733078</v>
      </c>
      <c r="G6" s="411">
        <f>+'Chart II'!B22</f>
        <v>1134970142.7733078</v>
      </c>
      <c r="H6" s="411">
        <v>1093217749.2148373</v>
      </c>
      <c r="I6" s="411">
        <v>1091642390</v>
      </c>
      <c r="J6" s="250">
        <f>+'Chart II'!J78</f>
        <v>1091642390</v>
      </c>
    </row>
    <row r="7" spans="1:13" x14ac:dyDescent="0.2">
      <c r="A7" s="493">
        <v>2015</v>
      </c>
      <c r="B7" s="411">
        <v>69527.294577676308</v>
      </c>
      <c r="C7" s="411">
        <v>68528.684052257042</v>
      </c>
      <c r="D7" s="411">
        <f>+'Chart II'!J51</f>
        <v>68724</v>
      </c>
      <c r="E7" s="411">
        <v>1161409405.5438561</v>
      </c>
      <c r="F7" s="411">
        <v>1155695984.2165191</v>
      </c>
      <c r="G7" s="411">
        <f>+'Chart II'!B23</f>
        <v>1123341031.2123077</v>
      </c>
      <c r="H7" s="411">
        <v>1107580970.3832314</v>
      </c>
      <c r="I7" s="411">
        <v>1102132351.913522</v>
      </c>
      <c r="J7" s="250">
        <f>+'Chart II'!J79</f>
        <v>1079760469</v>
      </c>
    </row>
    <row r="8" spans="1:13" x14ac:dyDescent="0.2">
      <c r="A8" s="493">
        <v>2016</v>
      </c>
      <c r="B8" s="411">
        <v>71603.187982798801</v>
      </c>
      <c r="C8" s="411">
        <v>69610.723355824943</v>
      </c>
      <c r="D8" s="411">
        <f>+'Chart II'!J52</f>
        <v>70012.5</v>
      </c>
      <c r="E8" s="411">
        <v>1179453259.4483292</v>
      </c>
      <c r="F8" s="411">
        <v>1159527660.9021561</v>
      </c>
      <c r="G8" s="411">
        <f>+'Chart II'!B24</f>
        <v>1122027434.2815385</v>
      </c>
      <c r="H8" s="411">
        <v>1124788536.5709801</v>
      </c>
      <c r="I8" s="411">
        <v>1105786439.9219494</v>
      </c>
      <c r="J8" s="250">
        <f>+'Chart II'!J80</f>
        <v>1074433920</v>
      </c>
    </row>
    <row r="9" spans="1:13" x14ac:dyDescent="0.2">
      <c r="A9" s="493">
        <v>2017</v>
      </c>
      <c r="B9" s="411">
        <v>73741.051916484168</v>
      </c>
      <c r="C9" s="411">
        <v>70710.136538212828</v>
      </c>
      <c r="D9" s="411">
        <f>+'Chart II'!J53</f>
        <v>71046.127588452102</v>
      </c>
      <c r="E9" s="411">
        <v>1191117841.5283267</v>
      </c>
      <c r="F9" s="411">
        <v>1161962823.0962443</v>
      </c>
      <c r="G9" s="411">
        <f>+'Chart II'!B25</f>
        <v>1108402450.9587033</v>
      </c>
      <c r="H9" s="411">
        <v>1135912494.3050995</v>
      </c>
      <c r="I9" s="411">
        <v>1108108738.4095409</v>
      </c>
      <c r="J9" s="250">
        <f>+'Chart II'!J81</f>
        <v>1070015150.858888</v>
      </c>
    </row>
    <row r="10" spans="1:13" x14ac:dyDescent="0.2">
      <c r="A10" s="493">
        <v>2018</v>
      </c>
      <c r="B10" s="411">
        <v>75943.42110575884</v>
      </c>
      <c r="C10" s="411">
        <v>72685.845796300433</v>
      </c>
      <c r="D10" s="411">
        <f>+'Chart II'!J54</f>
        <v>72339.66996111178</v>
      </c>
      <c r="E10" s="411">
        <v>1205768874.1562457</v>
      </c>
      <c r="F10" s="411">
        <v>1184986073.4868262</v>
      </c>
      <c r="G10" s="411">
        <f>+'Chart II'!B26</f>
        <v>1099681736.5142858</v>
      </c>
      <c r="H10" s="411">
        <v>1149884488.0376174</v>
      </c>
      <c r="I10" s="411">
        <v>1130064918.4501493</v>
      </c>
      <c r="J10" s="250">
        <f>+'Chart II'!J82</f>
        <v>1061596460.9022121</v>
      </c>
    </row>
    <row r="11" spans="1:13" ht="13.5" thickBot="1" x14ac:dyDescent="0.25">
      <c r="A11" s="494">
        <v>2019</v>
      </c>
      <c r="B11" s="492">
        <v>78211.734268570421</v>
      </c>
      <c r="C11" s="492">
        <v>74717.076954820091</v>
      </c>
      <c r="D11" s="492">
        <f>+'Chart II'!J55</f>
        <v>73657.780656757473</v>
      </c>
      <c r="E11" s="492">
        <v>1220192559.2700689</v>
      </c>
      <c r="F11" s="492">
        <v>1201477091.6635661</v>
      </c>
      <c r="G11" s="492">
        <f>+'Chart II'!B27</f>
        <v>1097927653.0000739</v>
      </c>
      <c r="H11" s="492">
        <v>1163639671.2474432</v>
      </c>
      <c r="I11" s="492">
        <v>1145791618.9810855</v>
      </c>
      <c r="J11" s="251">
        <f>+'Chart II'!J83</f>
        <v>1059903126.5592082</v>
      </c>
      <c r="L11" s="506"/>
      <c r="M11" s="505"/>
    </row>
    <row r="12" spans="1:13" ht="13.5" thickBot="1" x14ac:dyDescent="0.25">
      <c r="M12" s="505"/>
    </row>
    <row r="13" spans="1:13" x14ac:dyDescent="0.2">
      <c r="A13" s="521" t="s">
        <v>355</v>
      </c>
      <c r="B13" s="561" t="s">
        <v>233</v>
      </c>
      <c r="C13" s="561"/>
      <c r="D13" s="561"/>
      <c r="E13" s="562" t="s">
        <v>359</v>
      </c>
      <c r="F13" s="563"/>
      <c r="G13" s="564"/>
      <c r="H13" s="562" t="s">
        <v>360</v>
      </c>
      <c r="I13" s="563"/>
      <c r="J13" s="565"/>
    </row>
    <row r="14" spans="1:13" x14ac:dyDescent="0.2">
      <c r="A14" s="560"/>
      <c r="B14" s="495" t="s">
        <v>356</v>
      </c>
      <c r="C14" s="495" t="s">
        <v>357</v>
      </c>
      <c r="D14" s="495" t="s">
        <v>358</v>
      </c>
      <c r="E14" s="495" t="s">
        <v>356</v>
      </c>
      <c r="F14" s="495" t="s">
        <v>357</v>
      </c>
      <c r="G14" s="495" t="s">
        <v>358</v>
      </c>
      <c r="H14" s="495" t="s">
        <v>356</v>
      </c>
      <c r="I14" s="495" t="s">
        <v>357</v>
      </c>
      <c r="J14" s="496" t="s">
        <v>358</v>
      </c>
    </row>
    <row r="15" spans="1:13" x14ac:dyDescent="0.2">
      <c r="A15" s="499">
        <v>2013</v>
      </c>
      <c r="B15" s="500"/>
      <c r="C15" s="500"/>
      <c r="D15" s="500"/>
      <c r="E15" s="500"/>
      <c r="F15" s="500"/>
      <c r="G15" s="500"/>
      <c r="H15" s="500"/>
      <c r="I15" s="500"/>
      <c r="J15" s="501"/>
    </row>
    <row r="16" spans="1:13" x14ac:dyDescent="0.2">
      <c r="A16" s="493">
        <v>2014</v>
      </c>
      <c r="B16" s="502">
        <f>(+B6/B5)-1</f>
        <v>1.4128281594924186E-2</v>
      </c>
      <c r="C16" s="502">
        <f t="shared" ref="C16:J16" si="0">(+C6/C5)-1</f>
        <v>1.3058692779045922E-2</v>
      </c>
      <c r="D16" s="502">
        <f t="shared" si="0"/>
        <v>1.3058692779045922E-2</v>
      </c>
      <c r="E16" s="502">
        <f t="shared" si="0"/>
        <v>1.4102079669026102E-2</v>
      </c>
      <c r="F16" s="502">
        <f t="shared" si="0"/>
        <v>4.0366885010847398E-3</v>
      </c>
      <c r="G16" s="502">
        <f t="shared" si="0"/>
        <v>4.0366885010847398E-3</v>
      </c>
      <c r="H16" s="502">
        <f t="shared" si="0"/>
        <v>1.3965017558740023E-2</v>
      </c>
      <c r="I16" s="502">
        <f t="shared" si="0"/>
        <v>1.2503863881825117E-2</v>
      </c>
      <c r="J16" s="374">
        <f t="shared" si="0"/>
        <v>1.2503863881825117E-2</v>
      </c>
    </row>
    <row r="17" spans="1:10" x14ac:dyDescent="0.2">
      <c r="A17" s="493">
        <v>2015</v>
      </c>
      <c r="B17" s="502">
        <f t="shared" ref="B17:J21" si="1">(+B7/B6)-1</f>
        <v>2.9850285262723375E-2</v>
      </c>
      <c r="C17" s="502">
        <f t="shared" si="1"/>
        <v>1.5939633262277653E-2</v>
      </c>
      <c r="D17" s="502">
        <f t="shared" si="1"/>
        <v>1.8835197580555407E-2</v>
      </c>
      <c r="E17" s="502">
        <f t="shared" si="1"/>
        <v>1.3138481495301058E-2</v>
      </c>
      <c r="F17" s="502">
        <f t="shared" si="1"/>
        <v>1.8261133629971615E-2</v>
      </c>
      <c r="G17" s="502">
        <f t="shared" si="1"/>
        <v>-1.0246182804936388E-2</v>
      </c>
      <c r="H17" s="502">
        <f t="shared" si="1"/>
        <v>1.313848149530128E-2</v>
      </c>
      <c r="I17" s="502">
        <f t="shared" si="1"/>
        <v>9.6093391110636528E-3</v>
      </c>
      <c r="J17" s="374">
        <f t="shared" si="1"/>
        <v>-1.0884444492852641E-2</v>
      </c>
    </row>
    <row r="18" spans="1:10" x14ac:dyDescent="0.2">
      <c r="A18" s="493">
        <v>2016</v>
      </c>
      <c r="B18" s="502">
        <f t="shared" si="1"/>
        <v>2.9857244089992463E-2</v>
      </c>
      <c r="C18" s="502">
        <f t="shared" si="1"/>
        <v>1.5789582399434066E-2</v>
      </c>
      <c r="D18" s="502">
        <f t="shared" si="1"/>
        <v>1.8748908678191123E-2</v>
      </c>
      <c r="E18" s="502">
        <f t="shared" si="1"/>
        <v>1.5536169948635381E-2</v>
      </c>
      <c r="F18" s="502">
        <f t="shared" si="1"/>
        <v>3.3154711429015382E-3</v>
      </c>
      <c r="G18" s="502">
        <f t="shared" si="1"/>
        <v>-1.1693661090181884E-3</v>
      </c>
      <c r="H18" s="502">
        <f t="shared" si="1"/>
        <v>1.5536169948635603E-2</v>
      </c>
      <c r="I18" s="502">
        <f t="shared" si="1"/>
        <v>3.3154711429015382E-3</v>
      </c>
      <c r="J18" s="374">
        <f t="shared" si="1"/>
        <v>-4.933083913447156E-3</v>
      </c>
    </row>
    <row r="19" spans="1:10" x14ac:dyDescent="0.2">
      <c r="A19" s="493">
        <v>2017</v>
      </c>
      <c r="B19" s="502">
        <f t="shared" si="1"/>
        <v>2.985710544339093E-2</v>
      </c>
      <c r="C19" s="502">
        <f t="shared" si="1"/>
        <v>1.5793733054145775E-2</v>
      </c>
      <c r="D19" s="502">
        <f t="shared" si="1"/>
        <v>1.4763472072159889E-2</v>
      </c>
      <c r="E19" s="502">
        <f t="shared" si="1"/>
        <v>9.8898213952569591E-3</v>
      </c>
      <c r="F19" s="502">
        <f t="shared" si="1"/>
        <v>2.1001329042840133E-3</v>
      </c>
      <c r="G19" s="502">
        <f t="shared" si="1"/>
        <v>-1.2143181981606022E-2</v>
      </c>
      <c r="H19" s="502">
        <f t="shared" si="1"/>
        <v>9.8898213952569591E-3</v>
      </c>
      <c r="I19" s="502">
        <f t="shared" si="1"/>
        <v>2.1001329042842354E-3</v>
      </c>
      <c r="J19" s="374">
        <f t="shared" si="1"/>
        <v>-4.112648585323897E-3</v>
      </c>
    </row>
    <row r="20" spans="1:10" x14ac:dyDescent="0.2">
      <c r="A20" s="493">
        <v>2018</v>
      </c>
      <c r="B20" s="502">
        <f t="shared" si="1"/>
        <v>2.9866256746228448E-2</v>
      </c>
      <c r="C20" s="502">
        <f t="shared" si="1"/>
        <v>2.7940962283673487E-2</v>
      </c>
      <c r="D20" s="502">
        <f t="shared" si="1"/>
        <v>1.8207077803772176E-2</v>
      </c>
      <c r="E20" s="502">
        <f t="shared" si="1"/>
        <v>1.2300237740642261E-2</v>
      </c>
      <c r="F20" s="502">
        <f t="shared" si="1"/>
        <v>1.9814102424751123E-2</v>
      </c>
      <c r="G20" s="502">
        <f t="shared" si="1"/>
        <v>-7.8678231330818749E-3</v>
      </c>
      <c r="H20" s="502">
        <f t="shared" si="1"/>
        <v>1.2300237740641595E-2</v>
      </c>
      <c r="I20" s="502">
        <f t="shared" si="1"/>
        <v>1.9814102424751123E-2</v>
      </c>
      <c r="J20" s="374">
        <f t="shared" si="1"/>
        <v>-7.8678231330820969E-3</v>
      </c>
    </row>
    <row r="21" spans="1:10" ht="13.5" thickBot="1" x14ac:dyDescent="0.25">
      <c r="A21" s="494">
        <v>2019</v>
      </c>
      <c r="B21" s="503">
        <f t="shared" si="1"/>
        <v>2.986846167560353E-2</v>
      </c>
      <c r="C21" s="503">
        <f t="shared" si="1"/>
        <v>2.7945346666421234E-2</v>
      </c>
      <c r="D21" s="503">
        <f t="shared" si="1"/>
        <v>1.8221132282664199E-2</v>
      </c>
      <c r="E21" s="503">
        <f t="shared" si="1"/>
        <v>1.1962230426553644E-2</v>
      </c>
      <c r="F21" s="503">
        <f t="shared" si="1"/>
        <v>1.391663458813075E-2</v>
      </c>
      <c r="G21" s="503">
        <f t="shared" si="1"/>
        <v>-1.5950828825910257E-3</v>
      </c>
      <c r="H21" s="503">
        <f t="shared" si="1"/>
        <v>1.1962230426553644E-2</v>
      </c>
      <c r="I21" s="503">
        <f t="shared" si="1"/>
        <v>1.3916634588130528E-2</v>
      </c>
      <c r="J21" s="504">
        <f t="shared" si="1"/>
        <v>-1.5950828825906926E-3</v>
      </c>
    </row>
  </sheetData>
  <mergeCells count="8">
    <mergeCell ref="A3:A4"/>
    <mergeCell ref="B3:D3"/>
    <mergeCell ref="E3:G3"/>
    <mergeCell ref="H3:J3"/>
    <mergeCell ref="A13:A14"/>
    <mergeCell ref="B13:D13"/>
    <mergeCell ref="E13:G13"/>
    <mergeCell ref="H13:J13"/>
  </mergeCells>
  <pageMargins left="0.70866141732283472" right="0.70866141732283472" top="0.74803149606299213" bottom="0.74803149606299213" header="0.31496062992125984" footer="0.31496062992125984"/>
  <pageSetup scale="4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386"/>
  <sheetViews>
    <sheetView workbookViewId="0">
      <pane xSplit="1" ySplit="2" topLeftCell="H210" activePane="bottomRight" state="frozen"/>
      <selection pane="topRight"/>
      <selection pane="bottomLeft"/>
      <selection pane="bottomRight" activeCell="S229" sqref="S229:S230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3.85546875" style="34" customWidth="1"/>
    <col min="6" max="6" width="13.5703125" style="1" customWidth="1"/>
    <col min="7" max="7" width="12.42578125" style="1" customWidth="1"/>
    <col min="8" max="8" width="17.5703125" style="1" bestFit="1" customWidth="1"/>
    <col min="9" max="9" width="17" style="1" customWidth="1"/>
    <col min="10" max="10" width="13" style="1" customWidth="1"/>
    <col min="11" max="11" width="2.5703125" customWidth="1"/>
    <col min="12" max="12" width="30.42578125" bestFit="1" customWidth="1"/>
    <col min="13" max="13" width="15.5703125" bestFit="1" customWidth="1"/>
    <col min="14" max="14" width="25" bestFit="1" customWidth="1"/>
    <col min="15" max="15" width="24" bestFit="1" customWidth="1"/>
    <col min="16" max="16" width="17.42578125" bestFit="1" customWidth="1"/>
    <col min="17" max="17" width="24" bestFit="1" customWidth="1"/>
    <col min="18" max="18" width="16.5703125" bestFit="1" customWidth="1"/>
    <col min="19" max="19" width="15.7109375" bestFit="1" customWidth="1"/>
    <col min="20" max="20" width="14" style="6" bestFit="1" customWidth="1"/>
    <col min="21" max="21" width="12" bestFit="1" customWidth="1"/>
  </cols>
  <sheetData>
    <row r="2" spans="1:20" ht="42" customHeight="1" x14ac:dyDescent="0.2">
      <c r="B2" s="7" t="s">
        <v>0</v>
      </c>
      <c r="C2" s="12" t="s">
        <v>3</v>
      </c>
      <c r="D2" s="12" t="s">
        <v>4</v>
      </c>
      <c r="E2" s="32" t="s">
        <v>217</v>
      </c>
      <c r="F2" s="12" t="s">
        <v>5</v>
      </c>
      <c r="G2" s="12" t="s">
        <v>17</v>
      </c>
      <c r="H2" s="12" t="s">
        <v>10</v>
      </c>
      <c r="I2" s="12" t="s">
        <v>11</v>
      </c>
      <c r="L2" t="s">
        <v>18</v>
      </c>
      <c r="T2"/>
    </row>
    <row r="3" spans="1:20" ht="13.5" thickBot="1" x14ac:dyDescent="0.25">
      <c r="A3" s="3">
        <v>37622</v>
      </c>
      <c r="B3" s="440">
        <v>126011890</v>
      </c>
      <c r="C3" s="441">
        <v>786</v>
      </c>
      <c r="D3" s="441">
        <v>0</v>
      </c>
      <c r="E3" s="92">
        <f>+'Economic Indices'!P15</f>
        <v>5.2000000000000005E-2</v>
      </c>
      <c r="F3" s="10">
        <v>31</v>
      </c>
      <c r="G3" s="10">
        <v>0</v>
      </c>
      <c r="H3" s="10">
        <f t="shared" ref="H3:H66" si="0">$M$18+C3*$M$19+D3*$M$20+E3*$M$21+F3*$M$22+G3*$M$23</f>
        <v>118335604.95606168</v>
      </c>
      <c r="I3" s="36">
        <f t="shared" ref="I3:I34" si="1">H3-B3</f>
        <v>-7676285.0439383239</v>
      </c>
      <c r="J3" s="5">
        <f t="shared" ref="J3:J29" si="2">I3/B3</f>
        <v>-6.0917148722539782E-2</v>
      </c>
      <c r="T3"/>
    </row>
    <row r="4" spans="1:20" x14ac:dyDescent="0.2">
      <c r="A4" s="3">
        <v>37653</v>
      </c>
      <c r="B4" s="440">
        <v>112581000</v>
      </c>
      <c r="C4" s="441">
        <v>686.5</v>
      </c>
      <c r="D4" s="441">
        <v>0</v>
      </c>
      <c r="E4" s="92">
        <f>+E3</f>
        <v>5.2000000000000005E-2</v>
      </c>
      <c r="F4" s="10">
        <v>28</v>
      </c>
      <c r="G4" s="10">
        <v>0</v>
      </c>
      <c r="H4" s="10">
        <f t="shared" si="0"/>
        <v>106358375.85138433</v>
      </c>
      <c r="I4" s="36">
        <f t="shared" si="1"/>
        <v>-6222624.1486156732</v>
      </c>
      <c r="J4" s="5">
        <f t="shared" si="2"/>
        <v>-5.5272418513032155E-2</v>
      </c>
      <c r="L4" s="49" t="s">
        <v>19</v>
      </c>
      <c r="M4" s="49"/>
      <c r="T4"/>
    </row>
    <row r="5" spans="1:20" x14ac:dyDescent="0.2">
      <c r="A5" s="3">
        <v>37681</v>
      </c>
      <c r="B5" s="440">
        <v>110536430</v>
      </c>
      <c r="C5" s="441">
        <v>572.5</v>
      </c>
      <c r="D5" s="441">
        <v>0</v>
      </c>
      <c r="E5" s="92">
        <f>+E4</f>
        <v>5.2000000000000005E-2</v>
      </c>
      <c r="F5" s="10">
        <v>31</v>
      </c>
      <c r="G5" s="10">
        <v>1</v>
      </c>
      <c r="H5" s="10">
        <f t="shared" si="0"/>
        <v>103387848.88866398</v>
      </c>
      <c r="I5" s="36">
        <f t="shared" si="1"/>
        <v>-7148581.1113360226</v>
      </c>
      <c r="J5" s="5">
        <f t="shared" si="2"/>
        <v>-6.4671720548022241E-2</v>
      </c>
      <c r="L5" s="35" t="s">
        <v>20</v>
      </c>
      <c r="M5" s="87">
        <v>0.89900817580650394</v>
      </c>
      <c r="T5"/>
    </row>
    <row r="6" spans="1:20" x14ac:dyDescent="0.2">
      <c r="A6" s="3">
        <v>37712</v>
      </c>
      <c r="B6" s="440">
        <v>97712940</v>
      </c>
      <c r="C6" s="441">
        <v>403.9</v>
      </c>
      <c r="D6" s="441">
        <v>0</v>
      </c>
      <c r="E6" s="92">
        <f>+'Economic Indices'!P16</f>
        <v>5.5999999999999994E-2</v>
      </c>
      <c r="F6" s="10">
        <v>30</v>
      </c>
      <c r="G6" s="10">
        <v>1</v>
      </c>
      <c r="H6" s="10">
        <f t="shared" si="0"/>
        <v>93884411.207610041</v>
      </c>
      <c r="I6" s="36">
        <f t="shared" si="1"/>
        <v>-3828528.7923899591</v>
      </c>
      <c r="J6" s="5">
        <f t="shared" si="2"/>
        <v>-3.9181389817868124E-2</v>
      </c>
      <c r="L6" s="35" t="s">
        <v>21</v>
      </c>
      <c r="M6" s="87">
        <v>0.80821570016693789</v>
      </c>
      <c r="T6"/>
    </row>
    <row r="7" spans="1:20" x14ac:dyDescent="0.2">
      <c r="A7" s="3">
        <v>37742</v>
      </c>
      <c r="B7" s="440">
        <v>90261150</v>
      </c>
      <c r="C7" s="441">
        <v>192</v>
      </c>
      <c r="D7" s="441">
        <v>0</v>
      </c>
      <c r="E7" s="92">
        <f>+E6</f>
        <v>5.5999999999999994E-2</v>
      </c>
      <c r="F7" s="10">
        <v>31</v>
      </c>
      <c r="G7" s="10">
        <v>1</v>
      </c>
      <c r="H7" s="10">
        <f t="shared" si="0"/>
        <v>88463641.782313541</v>
      </c>
      <c r="I7" s="36">
        <f t="shared" si="1"/>
        <v>-1797508.2176864594</v>
      </c>
      <c r="J7" s="5">
        <f t="shared" si="2"/>
        <v>-1.9914528207168415E-2</v>
      </c>
      <c r="L7" s="35" t="s">
        <v>22</v>
      </c>
      <c r="M7" s="87">
        <v>0.80240405471745124</v>
      </c>
      <c r="T7"/>
    </row>
    <row r="8" spans="1:20" x14ac:dyDescent="0.2">
      <c r="A8" s="3">
        <v>37773</v>
      </c>
      <c r="B8" s="440">
        <v>92476040</v>
      </c>
      <c r="C8" s="441">
        <v>55.1</v>
      </c>
      <c r="D8" s="441">
        <v>31</v>
      </c>
      <c r="E8" s="92">
        <f>+E7</f>
        <v>5.5999999999999994E-2</v>
      </c>
      <c r="F8" s="10">
        <v>30</v>
      </c>
      <c r="G8" s="10">
        <v>0</v>
      </c>
      <c r="H8" s="10">
        <f t="shared" si="0"/>
        <v>91985879.438937098</v>
      </c>
      <c r="I8" s="36">
        <f t="shared" si="1"/>
        <v>-490160.56106290221</v>
      </c>
      <c r="J8" s="5">
        <f t="shared" si="2"/>
        <v>-5.3004060409907496E-3</v>
      </c>
      <c r="L8" s="35" t="s">
        <v>23</v>
      </c>
      <c r="M8" s="59">
        <v>4591291.7862805864</v>
      </c>
      <c r="T8"/>
    </row>
    <row r="9" spans="1:20" ht="13.5" thickBot="1" x14ac:dyDescent="0.25">
      <c r="A9" s="3">
        <v>37803</v>
      </c>
      <c r="B9" s="440">
        <v>100371630</v>
      </c>
      <c r="C9" s="441">
        <v>5.7</v>
      </c>
      <c r="D9" s="441">
        <v>59.1</v>
      </c>
      <c r="E9" s="92">
        <f>+'Economic Indices'!P17</f>
        <v>5.0999999999999997E-2</v>
      </c>
      <c r="F9" s="10">
        <v>31</v>
      </c>
      <c r="G9" s="10">
        <v>0</v>
      </c>
      <c r="H9" s="10">
        <f t="shared" si="0"/>
        <v>97500518.259077847</v>
      </c>
      <c r="I9" s="36">
        <f t="shared" si="1"/>
        <v>-2871111.740922153</v>
      </c>
      <c r="J9" s="5">
        <f t="shared" si="2"/>
        <v>-2.8604813341400883E-2</v>
      </c>
      <c r="L9" s="47" t="s">
        <v>24</v>
      </c>
      <c r="M9" s="60">
        <v>171</v>
      </c>
      <c r="T9"/>
    </row>
    <row r="10" spans="1:20" x14ac:dyDescent="0.2">
      <c r="A10" s="3">
        <v>37834</v>
      </c>
      <c r="B10" s="440">
        <v>101507680</v>
      </c>
      <c r="C10" s="441">
        <v>10.4</v>
      </c>
      <c r="D10" s="441">
        <v>106.5</v>
      </c>
      <c r="E10" s="92">
        <f>+E9</f>
        <v>5.0999999999999997E-2</v>
      </c>
      <c r="F10" s="10">
        <v>31</v>
      </c>
      <c r="G10" s="10">
        <v>0</v>
      </c>
      <c r="H10" s="10">
        <f t="shared" si="0"/>
        <v>104947073.52873427</v>
      </c>
      <c r="I10" s="36">
        <f t="shared" si="1"/>
        <v>3439393.5287342668</v>
      </c>
      <c r="J10" s="5">
        <f t="shared" si="2"/>
        <v>3.3883086764807023E-2</v>
      </c>
      <c r="T10"/>
    </row>
    <row r="11" spans="1:20" ht="13.5" thickBot="1" x14ac:dyDescent="0.25">
      <c r="A11" s="3">
        <v>37865</v>
      </c>
      <c r="B11" s="440">
        <v>91341000</v>
      </c>
      <c r="C11" s="441">
        <v>55.2</v>
      </c>
      <c r="D11" s="441">
        <v>12.1</v>
      </c>
      <c r="E11" s="92">
        <f>+E10</f>
        <v>5.0999999999999997E-2</v>
      </c>
      <c r="F11" s="10">
        <v>30</v>
      </c>
      <c r="G11" s="10">
        <v>1</v>
      </c>
      <c r="H11" s="10">
        <f t="shared" si="0"/>
        <v>82731609.371544942</v>
      </c>
      <c r="I11" s="36">
        <f t="shared" si="1"/>
        <v>-8609390.6284550577</v>
      </c>
      <c r="J11" s="5">
        <f t="shared" si="2"/>
        <v>-9.4255489084365818E-2</v>
      </c>
      <c r="L11" t="s">
        <v>25</v>
      </c>
      <c r="T11"/>
    </row>
    <row r="12" spans="1:20" x14ac:dyDescent="0.2">
      <c r="A12" s="3">
        <v>37895</v>
      </c>
      <c r="B12" s="440">
        <v>95672250</v>
      </c>
      <c r="C12" s="441">
        <v>289.7</v>
      </c>
      <c r="D12" s="441">
        <v>0</v>
      </c>
      <c r="E12" s="92">
        <f>+'Economic Indices'!P18</f>
        <v>4.8000000000000001E-2</v>
      </c>
      <c r="F12" s="10">
        <v>31</v>
      </c>
      <c r="G12" s="10">
        <v>1</v>
      </c>
      <c r="H12" s="10">
        <f t="shared" si="0"/>
        <v>92834247.03890723</v>
      </c>
      <c r="I12" s="36">
        <f t="shared" si="1"/>
        <v>-2838002.9610927701</v>
      </c>
      <c r="J12" s="5">
        <f t="shared" si="2"/>
        <v>-2.9663804928730851E-2</v>
      </c>
      <c r="L12" s="48"/>
      <c r="M12" s="48" t="s">
        <v>29</v>
      </c>
      <c r="N12" s="48" t="s">
        <v>30</v>
      </c>
      <c r="O12" s="48" t="s">
        <v>31</v>
      </c>
      <c r="P12" s="48" t="s">
        <v>32</v>
      </c>
      <c r="Q12" s="48" t="s">
        <v>33</v>
      </c>
      <c r="T12"/>
    </row>
    <row r="13" spans="1:20" x14ac:dyDescent="0.2">
      <c r="A13" s="3">
        <v>37926</v>
      </c>
      <c r="B13" s="440">
        <v>101404920</v>
      </c>
      <c r="C13" s="441">
        <v>387.6</v>
      </c>
      <c r="D13" s="441">
        <v>0</v>
      </c>
      <c r="E13" s="92">
        <f>+E12</f>
        <v>4.8000000000000001E-2</v>
      </c>
      <c r="F13" s="10">
        <v>30</v>
      </c>
      <c r="G13" s="10">
        <v>1</v>
      </c>
      <c r="H13" s="10">
        <f t="shared" si="0"/>
        <v>93876198.099970028</v>
      </c>
      <c r="I13" s="36">
        <f t="shared" si="1"/>
        <v>-7528721.9000299722</v>
      </c>
      <c r="J13" s="5">
        <f t="shared" si="2"/>
        <v>-7.4244148114607972E-2</v>
      </c>
      <c r="L13" s="35" t="s">
        <v>26</v>
      </c>
      <c r="M13" s="59">
        <v>5</v>
      </c>
      <c r="N13" s="59">
        <v>1.4657772049739774E+16</v>
      </c>
      <c r="O13" s="59">
        <v>2931554409947955</v>
      </c>
      <c r="P13" s="59">
        <v>139.06830813953346</v>
      </c>
      <c r="Q13" s="59">
        <v>2.8579444866555155E-57</v>
      </c>
      <c r="T13"/>
    </row>
    <row r="14" spans="1:20" x14ac:dyDescent="0.2">
      <c r="A14" s="3">
        <v>37956</v>
      </c>
      <c r="B14" s="440">
        <v>112847240</v>
      </c>
      <c r="C14" s="441">
        <v>548.20000000000005</v>
      </c>
      <c r="D14" s="441">
        <v>0</v>
      </c>
      <c r="E14" s="92">
        <f>+E13</f>
        <v>4.8000000000000001E-2</v>
      </c>
      <c r="F14" s="10">
        <v>31</v>
      </c>
      <c r="G14" s="10">
        <v>0</v>
      </c>
      <c r="H14" s="10">
        <f t="shared" si="0"/>
        <v>109510484.03955507</v>
      </c>
      <c r="I14" s="36">
        <f t="shared" si="1"/>
        <v>-3336755.9604449272</v>
      </c>
      <c r="J14" s="5">
        <f t="shared" si="2"/>
        <v>-2.9568786622029278E-2</v>
      </c>
      <c r="L14" s="35" t="s">
        <v>27</v>
      </c>
      <c r="M14" s="59">
        <v>165</v>
      </c>
      <c r="N14" s="59">
        <v>3478193444016649.5</v>
      </c>
      <c r="O14" s="59">
        <v>21079960266767.574</v>
      </c>
      <c r="P14" s="59"/>
      <c r="Q14" s="59"/>
      <c r="T14"/>
    </row>
    <row r="15" spans="1:20" ht="13.5" thickBot="1" x14ac:dyDescent="0.25">
      <c r="A15" s="3">
        <v>37987</v>
      </c>
      <c r="B15" s="440">
        <v>127196340</v>
      </c>
      <c r="C15" s="441">
        <v>828.8</v>
      </c>
      <c r="D15" s="441">
        <v>0</v>
      </c>
      <c r="E15" s="92">
        <f>+'Economic Indices'!P19</f>
        <v>5.0999999999999997E-2</v>
      </c>
      <c r="F15" s="10">
        <v>31</v>
      </c>
      <c r="G15" s="10">
        <v>0</v>
      </c>
      <c r="H15" s="10">
        <f t="shared" si="0"/>
        <v>120056817.51415342</v>
      </c>
      <c r="I15" s="36">
        <f t="shared" si="1"/>
        <v>-7139522.4858465791</v>
      </c>
      <c r="J15" s="5">
        <f t="shared" si="2"/>
        <v>-5.612993648910479E-2</v>
      </c>
      <c r="L15" s="47" t="s">
        <v>9</v>
      </c>
      <c r="M15" s="60">
        <v>170</v>
      </c>
      <c r="N15" s="60">
        <v>1.8135965493756424E+16</v>
      </c>
      <c r="O15" s="60"/>
      <c r="P15" s="60"/>
      <c r="Q15" s="60"/>
      <c r="T15"/>
    </row>
    <row r="16" spans="1:20" ht="13.5" thickBot="1" x14ac:dyDescent="0.25">
      <c r="A16" s="3">
        <v>38018</v>
      </c>
      <c r="B16" s="440">
        <v>108928270</v>
      </c>
      <c r="C16" s="441">
        <v>615.6</v>
      </c>
      <c r="D16" s="441">
        <v>0</v>
      </c>
      <c r="E16" s="92">
        <f>+E15</f>
        <v>5.0999999999999997E-2</v>
      </c>
      <c r="F16" s="10">
        <v>29</v>
      </c>
      <c r="G16" s="10">
        <v>0</v>
      </c>
      <c r="H16" s="10">
        <f t="shared" si="0"/>
        <v>106430748.48740545</v>
      </c>
      <c r="I16" s="36">
        <f t="shared" si="1"/>
        <v>-2497521.5125945508</v>
      </c>
      <c r="J16" s="5">
        <f t="shared" si="2"/>
        <v>-2.2928129792151759E-2</v>
      </c>
      <c r="T16"/>
    </row>
    <row r="17" spans="1:20" x14ac:dyDescent="0.2">
      <c r="A17" s="3">
        <v>38047</v>
      </c>
      <c r="B17" s="440">
        <v>105064150</v>
      </c>
      <c r="C17" s="441">
        <v>487.1</v>
      </c>
      <c r="D17" s="441">
        <v>0</v>
      </c>
      <c r="E17" s="92">
        <f>+E16</f>
        <v>5.0999999999999997E-2</v>
      </c>
      <c r="F17" s="10">
        <v>31</v>
      </c>
      <c r="G17" s="10">
        <v>1</v>
      </c>
      <c r="H17" s="10">
        <f t="shared" si="0"/>
        <v>100184811.32136308</v>
      </c>
      <c r="I17" s="36">
        <f t="shared" si="1"/>
        <v>-4879338.6786369234</v>
      </c>
      <c r="J17" s="5">
        <f t="shared" si="2"/>
        <v>-4.6441518621117894E-2</v>
      </c>
      <c r="L17" s="48"/>
      <c r="M17" s="48" t="s">
        <v>34</v>
      </c>
      <c r="N17" s="48" t="s">
        <v>23</v>
      </c>
      <c r="O17" s="48" t="s">
        <v>35</v>
      </c>
      <c r="P17" s="48" t="s">
        <v>36</v>
      </c>
      <c r="Q17" s="48" t="s">
        <v>37</v>
      </c>
      <c r="R17" s="48" t="s">
        <v>38</v>
      </c>
      <c r="S17" s="48" t="s">
        <v>39</v>
      </c>
      <c r="T17" s="48" t="s">
        <v>40</v>
      </c>
    </row>
    <row r="18" spans="1:20" x14ac:dyDescent="0.2">
      <c r="A18" s="3">
        <v>38078</v>
      </c>
      <c r="B18" s="440">
        <v>91322380</v>
      </c>
      <c r="C18" s="441">
        <v>345</v>
      </c>
      <c r="D18" s="441">
        <v>0</v>
      </c>
      <c r="E18" s="92">
        <f>+'Economic Indices'!P20</f>
        <v>5.2999999999999999E-2</v>
      </c>
      <c r="F18" s="10">
        <v>30</v>
      </c>
      <c r="G18" s="10">
        <v>1</v>
      </c>
      <c r="H18" s="10">
        <f t="shared" si="0"/>
        <v>91853727.130824104</v>
      </c>
      <c r="I18" s="36">
        <f t="shared" si="1"/>
        <v>531347.13082410395</v>
      </c>
      <c r="J18" s="5">
        <f t="shared" si="2"/>
        <v>5.8183670949454444E-3</v>
      </c>
      <c r="L18" s="35" t="s">
        <v>28</v>
      </c>
      <c r="M18" s="59">
        <v>7888919.4720674306</v>
      </c>
      <c r="N18" s="59">
        <v>13635771.283267884</v>
      </c>
      <c r="O18" s="59">
        <v>0.57854589287132796</v>
      </c>
      <c r="P18" s="59">
        <v>0.56368448051201214</v>
      </c>
      <c r="Q18" s="59">
        <v>-19034169.551120035</v>
      </c>
      <c r="R18" s="59">
        <v>34812008.495254897</v>
      </c>
      <c r="S18" s="59">
        <v>-19034169.551120035</v>
      </c>
      <c r="T18" s="59">
        <v>34812008.495254897</v>
      </c>
    </row>
    <row r="19" spans="1:20" x14ac:dyDescent="0.2">
      <c r="A19" s="3">
        <v>38108</v>
      </c>
      <c r="B19" s="440">
        <v>86885250</v>
      </c>
      <c r="C19" s="441">
        <v>177.5</v>
      </c>
      <c r="D19" s="441">
        <v>0</v>
      </c>
      <c r="E19" s="92">
        <f>+E18</f>
        <v>5.2999999999999999E-2</v>
      </c>
      <c r="F19" s="10">
        <v>31</v>
      </c>
      <c r="G19" s="10">
        <v>1</v>
      </c>
      <c r="H19" s="10">
        <f t="shared" si="0"/>
        <v>88138392.226334408</v>
      </c>
      <c r="I19" s="36">
        <f t="shared" si="1"/>
        <v>1253142.2263344079</v>
      </c>
      <c r="J19" s="5">
        <f t="shared" si="2"/>
        <v>1.4422957018992382E-2</v>
      </c>
      <c r="L19" s="35" t="s">
        <v>3</v>
      </c>
      <c r="M19" s="59">
        <v>38410.687405558827</v>
      </c>
      <c r="N19" s="59">
        <v>2119.9194743133048</v>
      </c>
      <c r="O19" s="59">
        <v>18.118937002548652</v>
      </c>
      <c r="P19" s="59">
        <v>4.3724150311917488E-41</v>
      </c>
      <c r="Q19" s="59">
        <v>34225.021663353182</v>
      </c>
      <c r="R19" s="59">
        <v>42596.353147764472</v>
      </c>
      <c r="S19" s="59">
        <v>34225.021663353182</v>
      </c>
      <c r="T19" s="59">
        <v>42596.353147764472</v>
      </c>
    </row>
    <row r="20" spans="1:20" x14ac:dyDescent="0.2">
      <c r="A20" s="3">
        <v>38139</v>
      </c>
      <c r="B20" s="440">
        <v>86876500</v>
      </c>
      <c r="C20" s="441">
        <v>73.2</v>
      </c>
      <c r="D20" s="441">
        <v>15.6</v>
      </c>
      <c r="E20" s="92">
        <f>+E19</f>
        <v>5.2999999999999999E-2</v>
      </c>
      <c r="F20" s="10">
        <v>30</v>
      </c>
      <c r="G20" s="10">
        <v>0</v>
      </c>
      <c r="H20" s="10">
        <f t="shared" si="0"/>
        <v>90552126.613090277</v>
      </c>
      <c r="I20" s="36">
        <f t="shared" si="1"/>
        <v>3675626.6130902767</v>
      </c>
      <c r="J20" s="5">
        <f t="shared" si="2"/>
        <v>4.2308640577029197E-2</v>
      </c>
      <c r="L20" s="35" t="s">
        <v>4</v>
      </c>
      <c r="M20" s="59">
        <v>153291.6674862928</v>
      </c>
      <c r="N20" s="59">
        <v>16325.570824503289</v>
      </c>
      <c r="O20" s="59">
        <v>9.3896666238594904</v>
      </c>
      <c r="P20" s="59">
        <v>4.7682338785921327E-17</v>
      </c>
      <c r="Q20" s="59">
        <v>121057.71551308859</v>
      </c>
      <c r="R20" s="59">
        <v>185525.61945949701</v>
      </c>
      <c r="S20" s="59">
        <v>121057.71551308859</v>
      </c>
      <c r="T20" s="59">
        <v>185525.61945949701</v>
      </c>
    </row>
    <row r="21" spans="1:20" x14ac:dyDescent="0.2">
      <c r="A21" s="3">
        <v>38169</v>
      </c>
      <c r="B21" s="440">
        <v>92903530</v>
      </c>
      <c r="C21" s="441">
        <v>2</v>
      </c>
      <c r="D21" s="441">
        <v>69.3</v>
      </c>
      <c r="E21" s="92">
        <f>+'Economic Indices'!P21</f>
        <v>5.2999999999999999E-2</v>
      </c>
      <c r="F21" s="10">
        <v>31</v>
      </c>
      <c r="G21" s="10">
        <v>0</v>
      </c>
      <c r="H21" s="10">
        <f t="shared" si="0"/>
        <v>98767503.449769825</v>
      </c>
      <c r="I21" s="36">
        <f t="shared" si="1"/>
        <v>5863973.4497698247</v>
      </c>
      <c r="J21" s="5">
        <f t="shared" si="2"/>
        <v>6.31189519899817E-2</v>
      </c>
      <c r="L21" s="35" t="s">
        <v>217</v>
      </c>
      <c r="M21" s="59">
        <v>-77235137.133823559</v>
      </c>
      <c r="N21" s="59">
        <v>24570515.844764173</v>
      </c>
      <c r="O21" s="59">
        <v>-3.1434072292902999</v>
      </c>
      <c r="P21" s="59">
        <v>1.9804606870269239E-3</v>
      </c>
      <c r="Q21" s="59">
        <v>-125748284.77263382</v>
      </c>
      <c r="R21" s="59">
        <v>-28721989.495013304</v>
      </c>
      <c r="S21" s="59">
        <v>-125748284.77263382</v>
      </c>
      <c r="T21" s="59">
        <v>-28721989.495013304</v>
      </c>
    </row>
    <row r="22" spans="1:20" x14ac:dyDescent="0.2">
      <c r="A22" s="3">
        <v>38200</v>
      </c>
      <c r="B22" s="440">
        <v>94121760</v>
      </c>
      <c r="C22" s="441">
        <v>19.600000000000001</v>
      </c>
      <c r="D22" s="441">
        <v>53.6</v>
      </c>
      <c r="E22" s="92">
        <f>+E21</f>
        <v>5.2999999999999999E-2</v>
      </c>
      <c r="F22" s="10">
        <v>31</v>
      </c>
      <c r="G22" s="10">
        <v>0</v>
      </c>
      <c r="H22" s="10">
        <f t="shared" si="0"/>
        <v>97036852.368572861</v>
      </c>
      <c r="I22" s="36">
        <f t="shared" si="1"/>
        <v>2915092.368572861</v>
      </c>
      <c r="J22" s="5">
        <f t="shared" si="2"/>
        <v>3.0971502961407233E-2</v>
      </c>
      <c r="L22" s="35" t="s">
        <v>5</v>
      </c>
      <c r="M22" s="59">
        <v>2718455.2359414138</v>
      </c>
      <c r="N22" s="59">
        <v>445568.99283711897</v>
      </c>
      <c r="O22" s="59">
        <v>6.1010871035524801</v>
      </c>
      <c r="P22" s="59">
        <v>7.2535642525279285E-9</v>
      </c>
      <c r="Q22" s="59">
        <v>1838703.4851295003</v>
      </c>
      <c r="R22" s="59">
        <v>3598206.9867533273</v>
      </c>
      <c r="S22" s="59">
        <v>1838703.4851295003</v>
      </c>
      <c r="T22" s="59">
        <v>3598206.9867533273</v>
      </c>
    </row>
    <row r="23" spans="1:20" ht="13.5" thickBot="1" x14ac:dyDescent="0.25">
      <c r="A23" s="3">
        <v>38231</v>
      </c>
      <c r="B23" s="440">
        <v>88536700</v>
      </c>
      <c r="C23" s="441">
        <v>41.7</v>
      </c>
      <c r="D23" s="441">
        <v>26.7</v>
      </c>
      <c r="E23" s="92">
        <f>+E22</f>
        <v>5.2999999999999999E-2</v>
      </c>
      <c r="F23" s="10">
        <v>30</v>
      </c>
      <c r="G23" s="10">
        <v>1</v>
      </c>
      <c r="H23" s="10">
        <f t="shared" si="0"/>
        <v>84296653.162602127</v>
      </c>
      <c r="I23" s="36">
        <f t="shared" si="1"/>
        <v>-4240046.8373978734</v>
      </c>
      <c r="J23" s="5">
        <f t="shared" si="2"/>
        <v>-4.7890274173284904E-2</v>
      </c>
      <c r="L23" s="47" t="s">
        <v>17</v>
      </c>
      <c r="M23" s="60">
        <v>-6747074.3063108958</v>
      </c>
      <c r="N23" s="60">
        <v>896017.0185557066</v>
      </c>
      <c r="O23" s="60">
        <v>-7.530073834073522</v>
      </c>
      <c r="P23" s="60">
        <v>3.1462215848568049E-12</v>
      </c>
      <c r="Q23" s="60">
        <v>-8516211.1930866148</v>
      </c>
      <c r="R23" s="60">
        <v>-4977937.4195351759</v>
      </c>
      <c r="S23" s="60">
        <v>-8516211.1930866148</v>
      </c>
      <c r="T23" s="60">
        <v>-4977937.4195351759</v>
      </c>
    </row>
    <row r="24" spans="1:20" x14ac:dyDescent="0.2">
      <c r="A24" s="3">
        <v>38261</v>
      </c>
      <c r="B24" s="440">
        <v>88377710</v>
      </c>
      <c r="C24" s="441">
        <v>235</v>
      </c>
      <c r="D24" s="441">
        <v>0</v>
      </c>
      <c r="E24" s="92">
        <f>+'Economic Indices'!P22</f>
        <v>5.7999999999999996E-2</v>
      </c>
      <c r="F24" s="10">
        <v>31</v>
      </c>
      <c r="G24" s="10">
        <v>1</v>
      </c>
      <c r="H24" s="10">
        <f t="shared" si="0"/>
        <v>89960831.066484928</v>
      </c>
      <c r="I24" s="36">
        <f t="shared" si="1"/>
        <v>1583121.0664849281</v>
      </c>
      <c r="J24" s="5">
        <f t="shared" si="2"/>
        <v>1.7913126131972962E-2</v>
      </c>
      <c r="T24"/>
    </row>
    <row r="25" spans="1:20" x14ac:dyDescent="0.2">
      <c r="A25" s="3">
        <v>38292</v>
      </c>
      <c r="B25" s="440">
        <v>94905100</v>
      </c>
      <c r="C25" s="441">
        <v>385.7</v>
      </c>
      <c r="D25" s="441">
        <v>0</v>
      </c>
      <c r="E25" s="92">
        <f>+E24</f>
        <v>5.7999999999999996E-2</v>
      </c>
      <c r="F25" s="10">
        <v>30</v>
      </c>
      <c r="G25" s="10">
        <v>1</v>
      </c>
      <c r="H25" s="10">
        <f t="shared" si="0"/>
        <v>93030866.422561228</v>
      </c>
      <c r="I25" s="36">
        <f t="shared" si="1"/>
        <v>-1874233.5774387717</v>
      </c>
      <c r="J25" s="5">
        <f t="shared" si="2"/>
        <v>-1.9748502213672098E-2</v>
      </c>
      <c r="T25"/>
    </row>
    <row r="26" spans="1:20" x14ac:dyDescent="0.2">
      <c r="A26" s="3">
        <v>38322</v>
      </c>
      <c r="B26" s="440">
        <v>113323500</v>
      </c>
      <c r="C26" s="441">
        <v>627.5</v>
      </c>
      <c r="D26" s="441">
        <v>0</v>
      </c>
      <c r="E26" s="92">
        <f>+E25</f>
        <v>5.7999999999999996E-2</v>
      </c>
      <c r="F26" s="10">
        <v>31</v>
      </c>
      <c r="G26" s="10">
        <v>0</v>
      </c>
      <c r="H26" s="10">
        <f t="shared" si="0"/>
        <v>111784100.17947766</v>
      </c>
      <c r="I26" s="36">
        <f t="shared" si="1"/>
        <v>-1539399.8205223382</v>
      </c>
      <c r="J26" s="5">
        <f t="shared" si="2"/>
        <v>-1.3584118214865744E-2</v>
      </c>
      <c r="T26"/>
    </row>
    <row r="27" spans="1:20" x14ac:dyDescent="0.2">
      <c r="A27" s="3">
        <v>38353</v>
      </c>
      <c r="B27" s="440">
        <v>118166820</v>
      </c>
      <c r="C27" s="441">
        <v>745.5</v>
      </c>
      <c r="D27" s="441">
        <v>0</v>
      </c>
      <c r="E27" s="92">
        <f>+'Economic Indices'!P23</f>
        <v>7.2000000000000008E-2</v>
      </c>
      <c r="F27" s="10">
        <v>31</v>
      </c>
      <c r="G27" s="10">
        <v>0</v>
      </c>
      <c r="H27" s="10">
        <f t="shared" si="0"/>
        <v>115235269.37346007</v>
      </c>
      <c r="I27" s="36">
        <f t="shared" si="1"/>
        <v>-2931550.6265399307</v>
      </c>
      <c r="J27" s="5">
        <f t="shared" si="2"/>
        <v>-2.4808576777643088E-2</v>
      </c>
      <c r="T27"/>
    </row>
    <row r="28" spans="1:20" x14ac:dyDescent="0.2">
      <c r="A28" s="3">
        <v>38384</v>
      </c>
      <c r="B28" s="440">
        <v>100566840</v>
      </c>
      <c r="C28" s="441">
        <v>589.5</v>
      </c>
      <c r="D28" s="441">
        <v>0</v>
      </c>
      <c r="E28" s="92">
        <f>+E27</f>
        <v>7.2000000000000008E-2</v>
      </c>
      <c r="F28" s="10">
        <v>28</v>
      </c>
      <c r="G28" s="10">
        <v>0</v>
      </c>
      <c r="H28" s="10">
        <f t="shared" si="0"/>
        <v>101087836.43036865</v>
      </c>
      <c r="I28" s="36">
        <f t="shared" si="1"/>
        <v>520996.43036864698</v>
      </c>
      <c r="J28" s="5">
        <f t="shared" si="2"/>
        <v>5.1805985985902206E-3</v>
      </c>
      <c r="T28"/>
    </row>
    <row r="29" spans="1:20" x14ac:dyDescent="0.2">
      <c r="A29" s="3">
        <v>38412</v>
      </c>
      <c r="B29" s="440">
        <v>104158730</v>
      </c>
      <c r="C29" s="441">
        <v>578.29999999999995</v>
      </c>
      <c r="D29" s="441">
        <v>0</v>
      </c>
      <c r="E29" s="92">
        <f>+E28</f>
        <v>7.2000000000000008E-2</v>
      </c>
      <c r="F29" s="10">
        <v>31</v>
      </c>
      <c r="G29" s="10">
        <v>1</v>
      </c>
      <c r="H29" s="10">
        <f t="shared" si="0"/>
        <v>102065928.13293974</v>
      </c>
      <c r="I29" s="36">
        <f t="shared" si="1"/>
        <v>-2092801.867060259</v>
      </c>
      <c r="J29" s="5">
        <f t="shared" si="2"/>
        <v>-2.0092428806114081E-2</v>
      </c>
      <c r="T29"/>
    </row>
    <row r="30" spans="1:20" x14ac:dyDescent="0.2">
      <c r="A30" s="3">
        <v>38443</v>
      </c>
      <c r="B30" s="440">
        <v>84434840</v>
      </c>
      <c r="C30" s="441">
        <v>325.3</v>
      </c>
      <c r="D30" s="441">
        <v>0</v>
      </c>
      <c r="E30" s="92">
        <f>+'Economic Indices'!P24</f>
        <v>6.3E-2</v>
      </c>
      <c r="F30" s="10">
        <v>30</v>
      </c>
      <c r="G30" s="10">
        <v>1</v>
      </c>
      <c r="H30" s="10">
        <f t="shared" si="0"/>
        <v>90324685.217596367</v>
      </c>
      <c r="I30" s="36">
        <f t="shared" si="1"/>
        <v>5889845.217596367</v>
      </c>
      <c r="J30" s="5">
        <f t="shared" ref="J30:J61" si="3">I30/B30</f>
        <v>6.9756100889116004E-2</v>
      </c>
      <c r="T30"/>
    </row>
    <row r="31" spans="1:20" x14ac:dyDescent="0.2">
      <c r="A31" s="3">
        <v>38473</v>
      </c>
      <c r="B31" s="440">
        <v>81831370</v>
      </c>
      <c r="C31" s="441">
        <v>216.1</v>
      </c>
      <c r="D31" s="441">
        <v>0.3</v>
      </c>
      <c r="E31" s="92">
        <f>+E30</f>
        <v>6.3E-2</v>
      </c>
      <c r="F31" s="10">
        <v>31</v>
      </c>
      <c r="G31" s="10">
        <v>1</v>
      </c>
      <c r="H31" s="10">
        <f t="shared" si="0"/>
        <v>88894680.889096633</v>
      </c>
      <c r="I31" s="36">
        <f t="shared" si="1"/>
        <v>7063310.8890966326</v>
      </c>
      <c r="J31" s="5">
        <f t="shared" si="3"/>
        <v>8.631544222095551E-2</v>
      </c>
      <c r="T31"/>
    </row>
    <row r="32" spans="1:20" x14ac:dyDescent="0.2">
      <c r="A32" s="3">
        <v>38504</v>
      </c>
      <c r="B32" s="440">
        <v>98362500</v>
      </c>
      <c r="C32" s="441">
        <v>13.7</v>
      </c>
      <c r="D32" s="441">
        <v>89.9</v>
      </c>
      <c r="E32" s="92">
        <f>+E31</f>
        <v>6.3E-2</v>
      </c>
      <c r="F32" s="10">
        <v>30</v>
      </c>
      <c r="G32" s="10">
        <v>0</v>
      </c>
      <c r="H32" s="10">
        <f t="shared" si="0"/>
        <v>98883910.235352844</v>
      </c>
      <c r="I32" s="36">
        <f t="shared" si="1"/>
        <v>521410.235352844</v>
      </c>
      <c r="J32" s="5">
        <f t="shared" si="3"/>
        <v>5.3009046674580658E-3</v>
      </c>
      <c r="T32"/>
    </row>
    <row r="33" spans="1:20" x14ac:dyDescent="0.2">
      <c r="A33" s="3">
        <v>38534</v>
      </c>
      <c r="B33" s="440">
        <v>103745750</v>
      </c>
      <c r="C33" s="441">
        <v>2.2000000000000002</v>
      </c>
      <c r="D33" s="441">
        <v>153</v>
      </c>
      <c r="E33" s="92">
        <f>+'Economic Indices'!P25</f>
        <v>5.7000000000000002E-2</v>
      </c>
      <c r="F33" s="10">
        <v>31</v>
      </c>
      <c r="G33" s="10">
        <v>0</v>
      </c>
      <c r="H33" s="10">
        <f t="shared" si="0"/>
        <v>111296757.60731834</v>
      </c>
      <c r="I33" s="36">
        <f t="shared" si="1"/>
        <v>7551007.6073183417</v>
      </c>
      <c r="J33" s="5">
        <f t="shared" si="3"/>
        <v>7.2783777719264087E-2</v>
      </c>
      <c r="T33"/>
    </row>
    <row r="34" spans="1:20" x14ac:dyDescent="0.2">
      <c r="A34" s="3">
        <v>38565</v>
      </c>
      <c r="B34" s="440">
        <v>101425330</v>
      </c>
      <c r="C34" s="441">
        <v>0</v>
      </c>
      <c r="D34" s="441">
        <v>108</v>
      </c>
      <c r="E34" s="92">
        <f>+E33</f>
        <v>5.7000000000000002E-2</v>
      </c>
      <c r="F34" s="10">
        <v>31</v>
      </c>
      <c r="G34" s="10">
        <v>0</v>
      </c>
      <c r="H34" s="10">
        <f t="shared" si="0"/>
        <v>104314129.05814295</v>
      </c>
      <c r="I34" s="36">
        <f t="shared" si="1"/>
        <v>2888799.0581429452</v>
      </c>
      <c r="J34" s="5">
        <f t="shared" si="3"/>
        <v>2.848202769606907E-2</v>
      </c>
      <c r="T34"/>
    </row>
    <row r="35" spans="1:20" x14ac:dyDescent="0.2">
      <c r="A35" s="3">
        <v>38596</v>
      </c>
      <c r="B35" s="440">
        <v>87813850</v>
      </c>
      <c r="C35" s="441">
        <v>36.700000000000003</v>
      </c>
      <c r="D35" s="441">
        <v>32.799999999999997</v>
      </c>
      <c r="E35" s="92">
        <f>+E34</f>
        <v>5.7000000000000002E-2</v>
      </c>
      <c r="F35" s="10">
        <v>30</v>
      </c>
      <c r="G35" s="10">
        <v>1</v>
      </c>
      <c r="H35" s="10">
        <f t="shared" si="0"/>
        <v>84730738.348705426</v>
      </c>
      <c r="I35" s="36">
        <f t="shared" ref="I35:I66" si="4">H35-B35</f>
        <v>-3083111.6512945741</v>
      </c>
      <c r="J35" s="5">
        <f t="shared" si="3"/>
        <v>-3.5109628507286425E-2</v>
      </c>
      <c r="T35"/>
    </row>
    <row r="36" spans="1:20" x14ac:dyDescent="0.2">
      <c r="A36" s="3">
        <v>38626</v>
      </c>
      <c r="B36" s="440">
        <v>87350690</v>
      </c>
      <c r="C36" s="441">
        <v>223.8</v>
      </c>
      <c r="D36" s="441">
        <v>0.5</v>
      </c>
      <c r="E36" s="92">
        <f>+'Economic Indices'!P26</f>
        <v>6.7000000000000004E-2</v>
      </c>
      <c r="F36" s="10">
        <v>31</v>
      </c>
      <c r="G36" s="10">
        <v>1</v>
      </c>
      <c r="H36" s="10">
        <f t="shared" si="0"/>
        <v>88912160.967081398</v>
      </c>
      <c r="I36" s="36">
        <f t="shared" si="4"/>
        <v>1561470.9670813978</v>
      </c>
      <c r="J36" s="5">
        <f t="shared" si="3"/>
        <v>1.7875885892617422E-2</v>
      </c>
      <c r="T36"/>
    </row>
    <row r="37" spans="1:20" x14ac:dyDescent="0.2">
      <c r="A37" s="3">
        <v>38657</v>
      </c>
      <c r="B37" s="440">
        <v>94515140</v>
      </c>
      <c r="C37" s="441">
        <v>398.5</v>
      </c>
      <c r="D37" s="441">
        <v>0</v>
      </c>
      <c r="E37" s="92">
        <f>+E36</f>
        <v>6.7000000000000004E-2</v>
      </c>
      <c r="F37" s="10">
        <v>30</v>
      </c>
      <c r="G37" s="10">
        <v>1</v>
      </c>
      <c r="H37" s="10">
        <f t="shared" si="0"/>
        <v>92827406.987147972</v>
      </c>
      <c r="I37" s="36">
        <f t="shared" si="4"/>
        <v>-1687733.012852028</v>
      </c>
      <c r="J37" s="5">
        <f t="shared" si="3"/>
        <v>-1.7856747742764047E-2</v>
      </c>
      <c r="T37"/>
    </row>
    <row r="38" spans="1:20" x14ac:dyDescent="0.2">
      <c r="A38" s="3">
        <v>38687</v>
      </c>
      <c r="B38" s="440">
        <v>112129490</v>
      </c>
      <c r="C38" s="441">
        <v>641.1</v>
      </c>
      <c r="D38" s="441">
        <v>0</v>
      </c>
      <c r="E38" s="92">
        <f>+E37</f>
        <v>6.7000000000000004E-2</v>
      </c>
      <c r="F38" s="10">
        <v>31</v>
      </c>
      <c r="G38" s="10">
        <v>0</v>
      </c>
      <c r="H38" s="10">
        <f t="shared" si="0"/>
        <v>111611369.29398885</v>
      </c>
      <c r="I38" s="36">
        <f t="shared" si="4"/>
        <v>-518120.70601114631</v>
      </c>
      <c r="J38" s="5">
        <f t="shared" si="3"/>
        <v>-4.6207354194792672E-3</v>
      </c>
      <c r="T38"/>
    </row>
    <row r="39" spans="1:20" x14ac:dyDescent="0.2">
      <c r="A39" s="3">
        <v>38718</v>
      </c>
      <c r="B39" s="442">
        <v>108586490</v>
      </c>
      <c r="C39" s="441">
        <v>558.20000000000005</v>
      </c>
      <c r="D39" s="441">
        <v>0</v>
      </c>
      <c r="E39" s="92">
        <f>+'Economic Indices'!P27</f>
        <v>6.7000000000000004E-2</v>
      </c>
      <c r="F39" s="10">
        <v>31</v>
      </c>
      <c r="G39" s="10">
        <v>0</v>
      </c>
      <c r="H39" s="10">
        <f t="shared" si="0"/>
        <v>108427123.30806802</v>
      </c>
      <c r="I39" s="36">
        <f t="shared" si="4"/>
        <v>-159366.69193197787</v>
      </c>
      <c r="J39" s="5">
        <f t="shared" si="3"/>
        <v>-1.4676475124297495E-3</v>
      </c>
      <c r="T39"/>
    </row>
    <row r="40" spans="1:20" x14ac:dyDescent="0.2">
      <c r="A40" s="3">
        <v>38749</v>
      </c>
      <c r="B40" s="442">
        <v>101769990</v>
      </c>
      <c r="C40" s="441">
        <v>608.79999999999995</v>
      </c>
      <c r="D40" s="441">
        <v>0</v>
      </c>
      <c r="E40" s="92">
        <f>+E39</f>
        <v>6.7000000000000004E-2</v>
      </c>
      <c r="F40" s="10">
        <v>28</v>
      </c>
      <c r="G40" s="10">
        <v>0</v>
      </c>
      <c r="H40" s="10">
        <f t="shared" si="0"/>
        <v>102215338.38296506</v>
      </c>
      <c r="I40" s="36">
        <f t="shared" si="4"/>
        <v>445348.38296505809</v>
      </c>
      <c r="J40" s="5">
        <f t="shared" si="3"/>
        <v>4.3760285617111495E-3</v>
      </c>
      <c r="T40"/>
    </row>
    <row r="41" spans="1:20" x14ac:dyDescent="0.2">
      <c r="A41" s="3">
        <v>38777</v>
      </c>
      <c r="B41" s="442">
        <v>102729300</v>
      </c>
      <c r="C41" s="441">
        <v>534</v>
      </c>
      <c r="D41" s="441">
        <v>0</v>
      </c>
      <c r="E41" s="92">
        <f>+E40</f>
        <v>6.7000000000000004E-2</v>
      </c>
      <c r="F41" s="10">
        <v>31</v>
      </c>
      <c r="G41" s="10">
        <v>1</v>
      </c>
      <c r="H41" s="10">
        <f t="shared" si="0"/>
        <v>100750510.36654261</v>
      </c>
      <c r="I41" s="36">
        <f t="shared" si="4"/>
        <v>-1978789.6334573925</v>
      </c>
      <c r="J41" s="5">
        <f t="shared" si="3"/>
        <v>-1.9262173824384984E-2</v>
      </c>
      <c r="T41"/>
    </row>
    <row r="42" spans="1:20" x14ac:dyDescent="0.2">
      <c r="A42" s="3">
        <v>38808</v>
      </c>
      <c r="B42" s="442">
        <v>85245280</v>
      </c>
      <c r="C42" s="441">
        <v>323.60000000000002</v>
      </c>
      <c r="D42" s="441">
        <v>0</v>
      </c>
      <c r="E42" s="92">
        <f>+'Economic Indices'!P28</f>
        <v>6.3E-2</v>
      </c>
      <c r="F42" s="10">
        <v>30</v>
      </c>
      <c r="G42" s="10">
        <v>1</v>
      </c>
      <c r="H42" s="10">
        <f t="shared" si="0"/>
        <v>90259387.049006909</v>
      </c>
      <c r="I42" s="36">
        <f t="shared" si="4"/>
        <v>5014107.0490069091</v>
      </c>
      <c r="J42" s="5">
        <f t="shared" si="3"/>
        <v>5.8819761622073495E-2</v>
      </c>
      <c r="T42"/>
    </row>
    <row r="43" spans="1:20" x14ac:dyDescent="0.2">
      <c r="A43" s="3">
        <v>38838</v>
      </c>
      <c r="B43" s="442">
        <v>85191000</v>
      </c>
      <c r="C43" s="441">
        <v>172.6</v>
      </c>
      <c r="D43" s="441">
        <v>12.8</v>
      </c>
      <c r="E43" s="92">
        <f>+E42</f>
        <v>6.3E-2</v>
      </c>
      <c r="F43" s="10">
        <v>31</v>
      </c>
      <c r="G43" s="10">
        <v>1</v>
      </c>
      <c r="H43" s="10">
        <f t="shared" si="0"/>
        <v>89139961.83053349</v>
      </c>
      <c r="I43" s="36">
        <f t="shared" si="4"/>
        <v>3948961.8305334896</v>
      </c>
      <c r="J43" s="5">
        <f t="shared" si="3"/>
        <v>4.6354213831666366E-2</v>
      </c>
      <c r="T43"/>
    </row>
    <row r="44" spans="1:20" x14ac:dyDescent="0.2">
      <c r="A44" s="3">
        <v>38869</v>
      </c>
      <c r="B44" s="442">
        <v>91808310</v>
      </c>
      <c r="C44" s="441">
        <v>22.6</v>
      </c>
      <c r="D44" s="441">
        <v>36.200000000000003</v>
      </c>
      <c r="E44" s="92">
        <f>+E43</f>
        <v>6.3E-2</v>
      </c>
      <c r="F44" s="10">
        <v>30</v>
      </c>
      <c r="G44" s="10">
        <v>0</v>
      </c>
      <c r="H44" s="10">
        <f t="shared" si="0"/>
        <v>90994002.809248403</v>
      </c>
      <c r="I44" s="36">
        <f t="shared" si="4"/>
        <v>-814307.19075159729</v>
      </c>
      <c r="J44" s="5">
        <f t="shared" si="3"/>
        <v>-8.8696457951529372E-3</v>
      </c>
      <c r="T44"/>
    </row>
    <row r="45" spans="1:20" x14ac:dyDescent="0.2">
      <c r="A45" s="3">
        <v>38899</v>
      </c>
      <c r="B45" s="442">
        <v>103610940</v>
      </c>
      <c r="C45" s="441">
        <v>1.7</v>
      </c>
      <c r="D45" s="441">
        <v>107.6</v>
      </c>
      <c r="E45" s="92">
        <f>+'Economic Indices'!P29</f>
        <v>6.6000000000000003E-2</v>
      </c>
      <c r="F45" s="10">
        <v>31</v>
      </c>
      <c r="G45" s="10">
        <v>0</v>
      </c>
      <c r="H45" s="10">
        <f t="shared" si="0"/>
        <v>103622994.32553346</v>
      </c>
      <c r="I45" s="36">
        <f t="shared" si="4"/>
        <v>12054.325533464551</v>
      </c>
      <c r="J45" s="5">
        <f t="shared" si="3"/>
        <v>1.163422080087735E-4</v>
      </c>
      <c r="T45"/>
    </row>
    <row r="46" spans="1:20" x14ac:dyDescent="0.2">
      <c r="A46" s="3">
        <v>38930</v>
      </c>
      <c r="B46" s="442">
        <v>98252830</v>
      </c>
      <c r="C46" s="441">
        <v>4.4000000000000004</v>
      </c>
      <c r="D46" s="441">
        <v>82.1</v>
      </c>
      <c r="E46" s="92">
        <f>+E45</f>
        <v>6.6000000000000003E-2</v>
      </c>
      <c r="F46" s="10">
        <v>31</v>
      </c>
      <c r="G46" s="10">
        <v>0</v>
      </c>
      <c r="H46" s="10">
        <f t="shared" si="0"/>
        <v>99817765.660628006</v>
      </c>
      <c r="I46" s="36">
        <f t="shared" si="4"/>
        <v>1564935.6606280059</v>
      </c>
      <c r="J46" s="5">
        <f t="shared" si="3"/>
        <v>1.5927639546138322E-2</v>
      </c>
      <c r="T46"/>
    </row>
    <row r="47" spans="1:20" x14ac:dyDescent="0.2">
      <c r="A47" s="3">
        <v>38961</v>
      </c>
      <c r="B47" s="442">
        <v>83090470</v>
      </c>
      <c r="C47" s="441">
        <v>70.7</v>
      </c>
      <c r="D47" s="441">
        <v>5.0999999999999996</v>
      </c>
      <c r="E47" s="92">
        <f>+E46</f>
        <v>6.6000000000000003E-2</v>
      </c>
      <c r="F47" s="10">
        <v>30</v>
      </c>
      <c r="G47" s="10">
        <v>1</v>
      </c>
      <c r="H47" s="10">
        <f t="shared" si="0"/>
        <v>81095406.296919703</v>
      </c>
      <c r="I47" s="36">
        <f t="shared" si="4"/>
        <v>-1995063.7030802965</v>
      </c>
      <c r="J47" s="5">
        <f t="shared" si="3"/>
        <v>-2.4010740378292438E-2</v>
      </c>
      <c r="T47"/>
    </row>
    <row r="48" spans="1:20" x14ac:dyDescent="0.2">
      <c r="A48" s="3">
        <v>38991</v>
      </c>
      <c r="B48" s="442">
        <v>90859410</v>
      </c>
      <c r="C48" s="441">
        <v>274.60000000000002</v>
      </c>
      <c r="D48" s="441">
        <v>0</v>
      </c>
      <c r="E48" s="92">
        <f>+'Economic Indices'!P30</f>
        <v>6.7000000000000004E-2</v>
      </c>
      <c r="F48" s="10">
        <v>31</v>
      </c>
      <c r="G48" s="10">
        <v>1</v>
      </c>
      <c r="H48" s="10">
        <f t="shared" si="0"/>
        <v>90786778.053540647</v>
      </c>
      <c r="I48" s="36">
        <f t="shared" si="4"/>
        <v>-72631.94645935297</v>
      </c>
      <c r="J48" s="5">
        <f t="shared" si="3"/>
        <v>-7.9938826874787069E-4</v>
      </c>
      <c r="T48"/>
    </row>
    <row r="49" spans="1:20" x14ac:dyDescent="0.2">
      <c r="A49" s="3">
        <v>39022</v>
      </c>
      <c r="B49" s="442">
        <v>95117460</v>
      </c>
      <c r="C49" s="441">
        <v>367.5</v>
      </c>
      <c r="D49" s="441">
        <v>0</v>
      </c>
      <c r="E49" s="92">
        <f>+E48</f>
        <v>6.7000000000000004E-2</v>
      </c>
      <c r="F49" s="10">
        <v>30</v>
      </c>
      <c r="G49" s="10">
        <v>1</v>
      </c>
      <c r="H49" s="10">
        <f t="shared" si="0"/>
        <v>91636675.677575648</v>
      </c>
      <c r="I49" s="36">
        <f t="shared" si="4"/>
        <v>-3480784.3224243522</v>
      </c>
      <c r="J49" s="5">
        <f t="shared" si="3"/>
        <v>-3.6594588653064877E-2</v>
      </c>
      <c r="T49"/>
    </row>
    <row r="50" spans="1:20" x14ac:dyDescent="0.2">
      <c r="A50" s="3">
        <v>39052</v>
      </c>
      <c r="B50" s="442">
        <v>105098960</v>
      </c>
      <c r="C50" s="441">
        <v>471.5</v>
      </c>
      <c r="D50" s="441">
        <v>0</v>
      </c>
      <c r="E50" s="92">
        <f>+E49</f>
        <v>6.7000000000000004E-2</v>
      </c>
      <c r="F50" s="10">
        <v>31</v>
      </c>
      <c r="G50" s="10">
        <v>0</v>
      </c>
      <c r="H50" s="10">
        <f t="shared" si="0"/>
        <v>105096916.71000607</v>
      </c>
      <c r="I50" s="36">
        <f t="shared" si="4"/>
        <v>-2043.2899939268827</v>
      </c>
      <c r="J50" s="5">
        <f t="shared" si="3"/>
        <v>-1.9441581476418823E-5</v>
      </c>
      <c r="T50"/>
    </row>
    <row r="51" spans="1:20" x14ac:dyDescent="0.2">
      <c r="A51" s="3">
        <v>39083</v>
      </c>
      <c r="B51" s="442">
        <v>112093789.99999999</v>
      </c>
      <c r="C51" s="441">
        <v>573.1</v>
      </c>
      <c r="D51" s="441">
        <v>0</v>
      </c>
      <c r="E51" s="92">
        <f>+'Economic Indices'!P31</f>
        <v>6.2E-2</v>
      </c>
      <c r="F51" s="10">
        <v>31</v>
      </c>
      <c r="G51" s="10">
        <v>0</v>
      </c>
      <c r="H51" s="10">
        <f t="shared" si="0"/>
        <v>109385618.23607996</v>
      </c>
      <c r="I51" s="36">
        <f t="shared" si="4"/>
        <v>-2708171.763920024</v>
      </c>
      <c r="J51" s="5">
        <f t="shared" si="3"/>
        <v>-2.4159873298244483E-2</v>
      </c>
      <c r="T51"/>
    </row>
    <row r="52" spans="1:20" x14ac:dyDescent="0.2">
      <c r="A52" s="3">
        <v>39114</v>
      </c>
      <c r="B52" s="442">
        <v>109302770</v>
      </c>
      <c r="C52" s="441">
        <v>693.5</v>
      </c>
      <c r="D52" s="441">
        <v>0</v>
      </c>
      <c r="E52" s="92">
        <f>+E51</f>
        <v>6.2E-2</v>
      </c>
      <c r="F52" s="10">
        <v>28</v>
      </c>
      <c r="G52" s="10">
        <v>0</v>
      </c>
      <c r="H52" s="10">
        <f t="shared" si="0"/>
        <v>105854899.291885</v>
      </c>
      <c r="I52" s="36">
        <f t="shared" si="4"/>
        <v>-3447870.7081149966</v>
      </c>
      <c r="J52" s="5">
        <f t="shared" si="3"/>
        <v>-3.1544220774231031E-2</v>
      </c>
      <c r="T52"/>
    </row>
    <row r="53" spans="1:20" x14ac:dyDescent="0.2">
      <c r="A53" s="3">
        <v>39142</v>
      </c>
      <c r="B53" s="442">
        <v>106781890</v>
      </c>
      <c r="C53" s="441">
        <v>477.9</v>
      </c>
      <c r="D53" s="441">
        <v>0</v>
      </c>
      <c r="E53" s="92">
        <f>+E52</f>
        <v>6.2E-2</v>
      </c>
      <c r="F53" s="10">
        <v>31</v>
      </c>
      <c r="G53" s="10">
        <v>1</v>
      </c>
      <c r="H53" s="10">
        <f t="shared" si="0"/>
        <v>98981846.488759875</v>
      </c>
      <c r="I53" s="36">
        <f t="shared" si="4"/>
        <v>-7800043.5112401247</v>
      </c>
      <c r="J53" s="5">
        <f t="shared" si="3"/>
        <v>-7.3046501717099449E-2</v>
      </c>
      <c r="T53"/>
    </row>
    <row r="54" spans="1:20" x14ac:dyDescent="0.2">
      <c r="A54" s="3">
        <v>39173</v>
      </c>
      <c r="B54" s="442">
        <v>92267850</v>
      </c>
      <c r="C54" s="441">
        <v>280.39999999999998</v>
      </c>
      <c r="D54" s="441">
        <v>0</v>
      </c>
      <c r="E54" s="92">
        <f>+'Economic Indices'!P32</f>
        <v>5.9000000000000004E-2</v>
      </c>
      <c r="F54" s="10">
        <v>30</v>
      </c>
      <c r="G54" s="10">
        <v>1</v>
      </c>
      <c r="H54" s="10">
        <f t="shared" si="0"/>
        <v>88908985.901622057</v>
      </c>
      <c r="I54" s="36">
        <f t="shared" si="4"/>
        <v>-3358864.098377943</v>
      </c>
      <c r="J54" s="5">
        <f t="shared" si="3"/>
        <v>-3.6403407019649239E-2</v>
      </c>
      <c r="T54"/>
    </row>
    <row r="55" spans="1:20" x14ac:dyDescent="0.2">
      <c r="A55" s="3">
        <v>39203</v>
      </c>
      <c r="B55" s="442">
        <v>86029130</v>
      </c>
      <c r="C55" s="441">
        <v>72.8</v>
      </c>
      <c r="D55" s="441">
        <v>4.5</v>
      </c>
      <c r="E55" s="92">
        <f>+E54</f>
        <v>5.9000000000000004E-2</v>
      </c>
      <c r="F55" s="10">
        <v>31</v>
      </c>
      <c r="G55" s="10">
        <v>1</v>
      </c>
      <c r="H55" s="10">
        <f t="shared" si="0"/>
        <v>84343194.935857773</v>
      </c>
      <c r="I55" s="36">
        <f t="shared" si="4"/>
        <v>-1685935.0641422272</v>
      </c>
      <c r="J55" s="5">
        <f t="shared" si="3"/>
        <v>-1.9597258093185729E-2</v>
      </c>
      <c r="T55"/>
    </row>
    <row r="56" spans="1:20" x14ac:dyDescent="0.2">
      <c r="A56" s="3">
        <v>39234</v>
      </c>
      <c r="B56" s="442">
        <v>96829929.999999985</v>
      </c>
      <c r="C56" s="441">
        <v>6.2</v>
      </c>
      <c r="D56" s="441">
        <v>32.799999999999997</v>
      </c>
      <c r="E56" s="92">
        <f>+E55</f>
        <v>5.9000000000000004E-2</v>
      </c>
      <c r="F56" s="10">
        <v>30</v>
      </c>
      <c r="G56" s="10">
        <v>0</v>
      </c>
      <c r="H56" s="10">
        <f t="shared" si="0"/>
        <v>90151816.414879128</v>
      </c>
      <c r="I56" s="36">
        <f t="shared" si="4"/>
        <v>-6678113.5851208568</v>
      </c>
      <c r="J56" s="5">
        <f t="shared" si="3"/>
        <v>-6.8967452368506904E-2</v>
      </c>
      <c r="T56"/>
    </row>
    <row r="57" spans="1:20" x14ac:dyDescent="0.2">
      <c r="A57" s="3">
        <v>39264</v>
      </c>
      <c r="B57" s="442">
        <v>96919610</v>
      </c>
      <c r="C57" s="441">
        <v>8.6999999999999993</v>
      </c>
      <c r="D57" s="441">
        <v>41.6</v>
      </c>
      <c r="E57" s="92">
        <f>+'Economic Indices'!P33</f>
        <v>6.4000000000000001E-2</v>
      </c>
      <c r="F57" s="10">
        <v>31</v>
      </c>
      <c r="G57" s="10">
        <v>0</v>
      </c>
      <c r="H57" s="10">
        <f t="shared" si="0"/>
        <v>93929089.35754469</v>
      </c>
      <c r="I57" s="36">
        <f t="shared" si="4"/>
        <v>-2990520.6424553096</v>
      </c>
      <c r="J57" s="5">
        <f t="shared" si="3"/>
        <v>-3.0855681759917417E-2</v>
      </c>
      <c r="T57"/>
    </row>
    <row r="58" spans="1:20" x14ac:dyDescent="0.2">
      <c r="A58" s="3">
        <v>39295</v>
      </c>
      <c r="B58" s="442">
        <v>103644560</v>
      </c>
      <c r="C58" s="441">
        <v>4</v>
      </c>
      <c r="D58" s="441">
        <v>87.8</v>
      </c>
      <c r="E58" s="92">
        <f>+E57</f>
        <v>6.4000000000000001E-2</v>
      </c>
      <c r="F58" s="10">
        <v>31</v>
      </c>
      <c r="G58" s="10">
        <v>0</v>
      </c>
      <c r="H58" s="10">
        <f t="shared" si="0"/>
        <v>100830634.1646053</v>
      </c>
      <c r="I58" s="36">
        <f t="shared" si="4"/>
        <v>-2813925.8353946954</v>
      </c>
      <c r="J58" s="5">
        <f t="shared" si="3"/>
        <v>-2.7149768742273549E-2</v>
      </c>
      <c r="T58"/>
    </row>
    <row r="59" spans="1:20" x14ac:dyDescent="0.2">
      <c r="A59" s="3">
        <v>39326</v>
      </c>
      <c r="B59" s="442">
        <v>87760000</v>
      </c>
      <c r="C59" s="441">
        <v>20.100000000000001</v>
      </c>
      <c r="D59" s="441">
        <v>12.3</v>
      </c>
      <c r="E59" s="92">
        <f>+E58</f>
        <v>6.4000000000000001E-2</v>
      </c>
      <c r="F59" s="10">
        <v>30</v>
      </c>
      <c r="G59" s="10">
        <v>1</v>
      </c>
      <c r="H59" s="10">
        <f t="shared" si="0"/>
        <v>80409995.794367388</v>
      </c>
      <c r="I59" s="36">
        <f t="shared" si="4"/>
        <v>-7350004.2056326121</v>
      </c>
      <c r="J59" s="5">
        <f t="shared" si="3"/>
        <v>-8.3751187393261303E-2</v>
      </c>
      <c r="T59"/>
    </row>
    <row r="60" spans="1:20" x14ac:dyDescent="0.2">
      <c r="A60" s="3">
        <v>39356</v>
      </c>
      <c r="B60" s="442">
        <v>88883380</v>
      </c>
      <c r="C60" s="441">
        <v>101.5</v>
      </c>
      <c r="D60" s="441">
        <v>0</v>
      </c>
      <c r="E60" s="92">
        <f>+'Economic Indices'!P34</f>
        <v>6.0999999999999999E-2</v>
      </c>
      <c r="F60" s="10">
        <v>31</v>
      </c>
      <c r="G60" s="10">
        <v>1</v>
      </c>
      <c r="H60" s="10">
        <f t="shared" si="0"/>
        <v>84601298.88644135</v>
      </c>
      <c r="I60" s="36">
        <f t="shared" si="4"/>
        <v>-4282081.11355865</v>
      </c>
      <c r="J60" s="5">
        <f t="shared" si="3"/>
        <v>-4.8176398259816962E-2</v>
      </c>
      <c r="T60"/>
    </row>
    <row r="61" spans="1:20" x14ac:dyDescent="0.2">
      <c r="A61" s="3">
        <v>39387</v>
      </c>
      <c r="B61" s="442">
        <v>97788230</v>
      </c>
      <c r="C61" s="441">
        <v>314.10000000000002</v>
      </c>
      <c r="D61" s="441">
        <v>0</v>
      </c>
      <c r="E61" s="92">
        <f>+E60</f>
        <v>6.0999999999999999E-2</v>
      </c>
      <c r="F61" s="10">
        <v>30</v>
      </c>
      <c r="G61" s="10">
        <v>1</v>
      </c>
      <c r="H61" s="10">
        <f t="shared" si="0"/>
        <v>90048955.792921752</v>
      </c>
      <c r="I61" s="36">
        <f t="shared" si="4"/>
        <v>-7739274.2070782483</v>
      </c>
      <c r="J61" s="5">
        <f t="shared" si="3"/>
        <v>-7.9143207797893966E-2</v>
      </c>
      <c r="T61"/>
    </row>
    <row r="62" spans="1:20" x14ac:dyDescent="0.2">
      <c r="A62" s="3">
        <v>39417</v>
      </c>
      <c r="B62" s="442">
        <v>112852450</v>
      </c>
      <c r="C62" s="441">
        <v>337.8</v>
      </c>
      <c r="D62" s="441">
        <v>0</v>
      </c>
      <c r="E62" s="92">
        <f>+E61</f>
        <v>6.0999999999999999E-2</v>
      </c>
      <c r="F62" s="10">
        <v>31</v>
      </c>
      <c r="G62" s="10">
        <v>0</v>
      </c>
      <c r="H62" s="10">
        <f t="shared" si="0"/>
        <v>100424818.6266858</v>
      </c>
      <c r="I62" s="36">
        <f t="shared" si="4"/>
        <v>-12427631.373314202</v>
      </c>
      <c r="J62" s="5">
        <f t="shared" ref="J62:J93" si="5">I62/B62</f>
        <v>-0.11012283183319638</v>
      </c>
      <c r="T62"/>
    </row>
    <row r="63" spans="1:20" x14ac:dyDescent="0.2">
      <c r="A63" s="3">
        <v>39448</v>
      </c>
      <c r="B63" s="170">
        <v>111423480</v>
      </c>
      <c r="C63" s="441">
        <v>432.8</v>
      </c>
      <c r="D63" s="441">
        <v>0</v>
      </c>
      <c r="E63" s="92">
        <f>+'Economic Indices'!P35</f>
        <v>6.6000000000000003E-2</v>
      </c>
      <c r="F63" s="10">
        <v>31</v>
      </c>
      <c r="G63" s="10">
        <v>0</v>
      </c>
      <c r="H63" s="10">
        <f t="shared" si="0"/>
        <v>103687658.24454477</v>
      </c>
      <c r="I63" s="36">
        <f t="shared" si="4"/>
        <v>-7735821.7554552257</v>
      </c>
      <c r="J63" s="5">
        <f t="shared" si="5"/>
        <v>-6.9427213684720906E-2</v>
      </c>
      <c r="T63"/>
    </row>
    <row r="64" spans="1:20" x14ac:dyDescent="0.2">
      <c r="A64" s="3">
        <v>39479</v>
      </c>
      <c r="B64" s="170">
        <v>106527560</v>
      </c>
      <c r="C64" s="441">
        <v>317.60000000000002</v>
      </c>
      <c r="D64" s="441">
        <v>0</v>
      </c>
      <c r="E64" s="92">
        <f>+E63</f>
        <v>6.6000000000000003E-2</v>
      </c>
      <c r="F64" s="10">
        <v>29</v>
      </c>
      <c r="G64" s="10">
        <v>0</v>
      </c>
      <c r="H64" s="10">
        <f t="shared" si="0"/>
        <v>93825836.583541557</v>
      </c>
      <c r="I64" s="36">
        <f t="shared" si="4"/>
        <v>-12701723.416458443</v>
      </c>
      <c r="J64" s="5">
        <f t="shared" si="5"/>
        <v>-0.1192341532694304</v>
      </c>
      <c r="T64"/>
    </row>
    <row r="65" spans="1:36" x14ac:dyDescent="0.2">
      <c r="A65" s="3">
        <v>39508</v>
      </c>
      <c r="B65" s="170">
        <v>105633899.99999999</v>
      </c>
      <c r="C65" s="441">
        <v>430</v>
      </c>
      <c r="D65" s="441">
        <v>0</v>
      </c>
      <c r="E65" s="92">
        <f>+E64</f>
        <v>6.6000000000000003E-2</v>
      </c>
      <c r="F65" s="10">
        <v>31</v>
      </c>
      <c r="G65" s="10">
        <v>1</v>
      </c>
      <c r="H65" s="10">
        <f t="shared" si="0"/>
        <v>96833034.013498306</v>
      </c>
      <c r="I65" s="36">
        <f t="shared" si="4"/>
        <v>-8800865.9865016788</v>
      </c>
      <c r="J65" s="5">
        <f t="shared" si="5"/>
        <v>-8.3314788022610928E-2</v>
      </c>
      <c r="T65"/>
    </row>
    <row r="66" spans="1:36" x14ac:dyDescent="0.2">
      <c r="A66" s="3">
        <v>39539</v>
      </c>
      <c r="B66" s="170">
        <v>86147429.999999985</v>
      </c>
      <c r="C66" s="441">
        <v>144.6</v>
      </c>
      <c r="D66" s="441">
        <v>0</v>
      </c>
      <c r="E66" s="92">
        <f>+'Economic Indices'!P36</f>
        <v>7.400000000000001E-2</v>
      </c>
      <c r="F66" s="10">
        <v>30</v>
      </c>
      <c r="G66" s="10">
        <v>1</v>
      </c>
      <c r="H66" s="10">
        <f t="shared" si="0"/>
        <v>82534287.494939819</v>
      </c>
      <c r="I66" s="36">
        <f t="shared" si="4"/>
        <v>-3613142.5050601661</v>
      </c>
      <c r="J66" s="5">
        <f t="shared" si="5"/>
        <v>-4.1941384729180742E-2</v>
      </c>
      <c r="T66"/>
    </row>
    <row r="67" spans="1:36" x14ac:dyDescent="0.2">
      <c r="A67" s="3">
        <v>39569</v>
      </c>
      <c r="B67" s="170">
        <v>82776310</v>
      </c>
      <c r="C67" s="441">
        <v>151</v>
      </c>
      <c r="D67" s="441">
        <v>0</v>
      </c>
      <c r="E67" s="92">
        <f>+E66</f>
        <v>7.400000000000001E-2</v>
      </c>
      <c r="F67" s="10">
        <v>31</v>
      </c>
      <c r="G67" s="10">
        <v>1</v>
      </c>
      <c r="H67" s="10">
        <f t="shared" ref="H67:H130" si="6">$M$18+C67*$M$19+D67*$M$20+E67*$M$21+F67*$M$22+G67*$M$23</f>
        <v>85498571.130276814</v>
      </c>
      <c r="I67" s="36">
        <f t="shared" ref="I67:I98" si="7">H67-B67</f>
        <v>2722261.1302768141</v>
      </c>
      <c r="J67" s="5">
        <f t="shared" si="5"/>
        <v>3.288695920701E-2</v>
      </c>
      <c r="T67"/>
    </row>
    <row r="68" spans="1:36" x14ac:dyDescent="0.2">
      <c r="A68" s="3">
        <v>39600</v>
      </c>
      <c r="B68" s="170">
        <v>90692793</v>
      </c>
      <c r="C68" s="441">
        <v>15.5</v>
      </c>
      <c r="D68" s="441">
        <v>23.6</v>
      </c>
      <c r="E68" s="92">
        <f>+E67</f>
        <v>7.400000000000001E-2</v>
      </c>
      <c r="F68" s="10">
        <v>30</v>
      </c>
      <c r="G68" s="10">
        <v>0</v>
      </c>
      <c r="H68" s="10">
        <f t="shared" si="6"/>
        <v>87940225.409869581</v>
      </c>
      <c r="I68" s="36">
        <f t="shared" si="7"/>
        <v>-2752567.5901304185</v>
      </c>
      <c r="J68" s="5">
        <f t="shared" si="5"/>
        <v>-3.0350455632460437E-2</v>
      </c>
      <c r="T68"/>
    </row>
    <row r="69" spans="1:36" x14ac:dyDescent="0.2">
      <c r="A69" s="3">
        <v>39630</v>
      </c>
      <c r="B69" s="170">
        <v>98868440</v>
      </c>
      <c r="C69" s="441">
        <v>1</v>
      </c>
      <c r="D69" s="441">
        <v>61.4</v>
      </c>
      <c r="E69" s="92">
        <f>+'Economic Indices'!P37</f>
        <v>6.8000000000000005E-2</v>
      </c>
      <c r="F69" s="10">
        <v>31</v>
      </c>
      <c r="G69" s="10">
        <v>0</v>
      </c>
      <c r="H69" s="10">
        <f t="shared" si="6"/>
        <v>96359561.532215193</v>
      </c>
      <c r="I69" s="36">
        <f t="shared" si="7"/>
        <v>-2508878.4677848071</v>
      </c>
      <c r="J69" s="5">
        <f t="shared" si="5"/>
        <v>-2.5375928534776184E-2</v>
      </c>
      <c r="T69"/>
    </row>
    <row r="70" spans="1:36" x14ac:dyDescent="0.2">
      <c r="A70" s="3">
        <v>39661</v>
      </c>
      <c r="B70" s="170">
        <v>93432320</v>
      </c>
      <c r="C70" s="441">
        <v>13.8</v>
      </c>
      <c r="D70" s="441">
        <v>29.9</v>
      </c>
      <c r="E70" s="92">
        <f>+E69</f>
        <v>6.8000000000000005E-2</v>
      </c>
      <c r="F70" s="10">
        <v>31</v>
      </c>
      <c r="G70" s="10">
        <v>0</v>
      </c>
      <c r="H70" s="10">
        <f t="shared" si="6"/>
        <v>92022530.805188119</v>
      </c>
      <c r="I70" s="36">
        <f t="shared" si="7"/>
        <v>-1409789.1948118806</v>
      </c>
      <c r="J70" s="5">
        <f t="shared" si="5"/>
        <v>-1.5088881393632103E-2</v>
      </c>
      <c r="T70"/>
    </row>
    <row r="71" spans="1:36" x14ac:dyDescent="0.2">
      <c r="A71" s="3">
        <v>39692</v>
      </c>
      <c r="B71" s="170">
        <v>86855072</v>
      </c>
      <c r="C71" s="441">
        <v>51.6</v>
      </c>
      <c r="D71" s="441">
        <v>15.1</v>
      </c>
      <c r="E71" s="92">
        <f>+E70</f>
        <v>6.8000000000000005E-2</v>
      </c>
      <c r="F71" s="10">
        <v>30</v>
      </c>
      <c r="G71" s="10">
        <v>1</v>
      </c>
      <c r="H71" s="10">
        <f t="shared" si="6"/>
        <v>81740208.568068817</v>
      </c>
      <c r="I71" s="36">
        <f t="shared" si="7"/>
        <v>-5114863.4319311827</v>
      </c>
      <c r="J71" s="5">
        <f t="shared" si="5"/>
        <v>-5.8889634354700467E-2</v>
      </c>
      <c r="T71"/>
    </row>
    <row r="72" spans="1:36" x14ac:dyDescent="0.2">
      <c r="A72" s="3">
        <v>39722</v>
      </c>
      <c r="B72" s="170">
        <v>88294618</v>
      </c>
      <c r="C72" s="441">
        <v>203.1</v>
      </c>
      <c r="D72" s="441">
        <v>0</v>
      </c>
      <c r="E72" s="92">
        <f>+'Economic Indices'!P38</f>
        <v>0.08</v>
      </c>
      <c r="F72" s="10">
        <v>31</v>
      </c>
      <c r="G72" s="10">
        <v>1</v>
      </c>
      <c r="H72" s="10">
        <f t="shared" si="6"/>
        <v>87036357.121303484</v>
      </c>
      <c r="I72" s="36">
        <f t="shared" si="7"/>
        <v>-1258260.8786965162</v>
      </c>
      <c r="J72" s="5">
        <f t="shared" si="5"/>
        <v>-1.4250708675091796E-2</v>
      </c>
      <c r="T72"/>
    </row>
    <row r="73" spans="1:36" x14ac:dyDescent="0.2">
      <c r="A73" s="3">
        <v>39753</v>
      </c>
      <c r="B73" s="170">
        <v>95870835</v>
      </c>
      <c r="C73" s="441">
        <v>268.8</v>
      </c>
      <c r="D73" s="441">
        <v>0</v>
      </c>
      <c r="E73" s="92">
        <f>+E72</f>
        <v>0.08</v>
      </c>
      <c r="F73" s="10">
        <v>30</v>
      </c>
      <c r="G73" s="10">
        <v>1</v>
      </c>
      <c r="H73" s="10">
        <f t="shared" si="6"/>
        <v>86841484.047907293</v>
      </c>
      <c r="I73" s="36">
        <f t="shared" si="7"/>
        <v>-9029350.9520927072</v>
      </c>
      <c r="J73" s="5">
        <f t="shared" si="5"/>
        <v>-9.4182458639196234E-2</v>
      </c>
      <c r="T73"/>
    </row>
    <row r="74" spans="1:36" x14ac:dyDescent="0.2">
      <c r="A74" s="3">
        <v>39783</v>
      </c>
      <c r="B74" s="170">
        <v>112359168</v>
      </c>
      <c r="C74" s="441">
        <v>378.9</v>
      </c>
      <c r="D74" s="441">
        <v>0</v>
      </c>
      <c r="E74" s="92">
        <f>+E73</f>
        <v>0.08</v>
      </c>
      <c r="F74" s="10">
        <v>31</v>
      </c>
      <c r="G74" s="10">
        <v>0</v>
      </c>
      <c r="H74" s="10">
        <f t="shared" si="6"/>
        <v>100536030.27351162</v>
      </c>
      <c r="I74" s="36">
        <f t="shared" si="7"/>
        <v>-11823137.726488382</v>
      </c>
      <c r="J74" s="5">
        <f t="shared" si="5"/>
        <v>-0.1052262840401985</v>
      </c>
      <c r="T74"/>
    </row>
    <row r="75" spans="1:36" s="14" customFormat="1" x14ac:dyDescent="0.2">
      <c r="A75" s="3">
        <v>39814</v>
      </c>
      <c r="B75" s="442">
        <v>119321706</v>
      </c>
      <c r="C75" s="441">
        <v>684.3</v>
      </c>
      <c r="D75" s="441">
        <v>0</v>
      </c>
      <c r="E75" s="92">
        <f>+'Economic Indices'!P39</f>
        <v>8.3000000000000004E-2</v>
      </c>
      <c r="F75" s="10">
        <v>31</v>
      </c>
      <c r="G75" s="10">
        <v>0</v>
      </c>
      <c r="H75" s="10">
        <f t="shared" si="6"/>
        <v>112034948.79576781</v>
      </c>
      <c r="I75" s="36">
        <f t="shared" si="7"/>
        <v>-7286757.2042321861</v>
      </c>
      <c r="J75" s="5">
        <f t="shared" si="5"/>
        <v>-6.1068161431015629E-2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x14ac:dyDescent="0.2">
      <c r="A76" s="3">
        <v>39845</v>
      </c>
      <c r="B76" s="442">
        <v>99385016</v>
      </c>
      <c r="C76" s="441">
        <v>595.29999999999995</v>
      </c>
      <c r="D76" s="441">
        <v>0</v>
      </c>
      <c r="E76" s="92">
        <f>+E75</f>
        <v>8.3000000000000004E-2</v>
      </c>
      <c r="F76" s="10">
        <v>28</v>
      </c>
      <c r="G76" s="10">
        <v>0</v>
      </c>
      <c r="H76" s="10">
        <f t="shared" si="6"/>
        <v>100461031.90884882</v>
      </c>
      <c r="I76" s="36">
        <f t="shared" si="7"/>
        <v>1076015.9088488221</v>
      </c>
      <c r="J76" s="5">
        <f t="shared" si="5"/>
        <v>1.0826741818392644E-2</v>
      </c>
      <c r="T76"/>
    </row>
    <row r="77" spans="1:36" x14ac:dyDescent="0.2">
      <c r="A77" s="3">
        <v>39873</v>
      </c>
      <c r="B77" s="442">
        <v>100852310</v>
      </c>
      <c r="C77" s="441">
        <v>442.2</v>
      </c>
      <c r="D77" s="441">
        <v>0</v>
      </c>
      <c r="E77" s="92">
        <f>+E76</f>
        <v>8.3000000000000004E-2</v>
      </c>
      <c r="F77" s="10">
        <v>31</v>
      </c>
      <c r="G77" s="10">
        <v>1</v>
      </c>
      <c r="H77" s="10">
        <f t="shared" si="6"/>
        <v>95988647.068571121</v>
      </c>
      <c r="I77" s="36">
        <f t="shared" si="7"/>
        <v>-4863662.9314288795</v>
      </c>
      <c r="J77" s="5">
        <f t="shared" si="5"/>
        <v>-4.8225597722341508E-2</v>
      </c>
      <c r="T77"/>
    </row>
    <row r="78" spans="1:36" x14ac:dyDescent="0.2">
      <c r="A78" s="3">
        <v>39904</v>
      </c>
      <c r="B78" s="442">
        <v>86741668</v>
      </c>
      <c r="C78" s="441">
        <v>313.8</v>
      </c>
      <c r="D78" s="441">
        <v>0</v>
      </c>
      <c r="E78" s="92">
        <f>+'Economic Indices'!P40</f>
        <v>8.8000000000000009E-2</v>
      </c>
      <c r="F78" s="10">
        <v>30</v>
      </c>
      <c r="G78" s="10">
        <v>1</v>
      </c>
      <c r="H78" s="10">
        <f t="shared" si="6"/>
        <v>87952083.884086847</v>
      </c>
      <c r="I78" s="36">
        <f t="shared" si="7"/>
        <v>1210415.8840868473</v>
      </c>
      <c r="J78" s="5">
        <f t="shared" si="5"/>
        <v>1.3954261106517428E-2</v>
      </c>
      <c r="T78"/>
    </row>
    <row r="79" spans="1:36" x14ac:dyDescent="0.2">
      <c r="A79" s="3">
        <v>39934</v>
      </c>
      <c r="B79" s="442">
        <v>80591893.384615391</v>
      </c>
      <c r="C79" s="441">
        <v>170.1</v>
      </c>
      <c r="D79" s="441">
        <v>0</v>
      </c>
      <c r="E79" s="92">
        <f>+E78</f>
        <v>8.8000000000000009E-2</v>
      </c>
      <c r="F79" s="10">
        <v>31</v>
      </c>
      <c r="G79" s="10">
        <v>1</v>
      </c>
      <c r="H79" s="10">
        <f t="shared" si="6"/>
        <v>85150923.339849457</v>
      </c>
      <c r="I79" s="36">
        <f t="shared" si="7"/>
        <v>4559029.9552340657</v>
      </c>
      <c r="J79" s="5">
        <f t="shared" si="5"/>
        <v>5.6569336738083918E-2</v>
      </c>
      <c r="T79"/>
    </row>
    <row r="80" spans="1:36" x14ac:dyDescent="0.2">
      <c r="A80" s="3">
        <v>39965</v>
      </c>
      <c r="B80" s="442">
        <v>84198050.923076928</v>
      </c>
      <c r="C80" s="441">
        <v>57.9</v>
      </c>
      <c r="D80" s="441">
        <v>26.3</v>
      </c>
      <c r="E80" s="92">
        <f>+E79</f>
        <v>8.8000000000000009E-2</v>
      </c>
      <c r="F80" s="10">
        <v>30</v>
      </c>
      <c r="G80" s="10">
        <v>0</v>
      </c>
      <c r="H80" s="10">
        <f t="shared" si="6"/>
        <v>88901434.138204738</v>
      </c>
      <c r="I80" s="36">
        <f t="shared" si="7"/>
        <v>4703383.2151278108</v>
      </c>
      <c r="J80" s="5">
        <f t="shared" si="5"/>
        <v>5.5860951216374438E-2</v>
      </c>
      <c r="T80"/>
    </row>
    <row r="81" spans="1:20" x14ac:dyDescent="0.2">
      <c r="A81" s="3">
        <v>39995</v>
      </c>
      <c r="B81" s="442">
        <v>87831701.059230775</v>
      </c>
      <c r="C81" s="441">
        <v>16.8</v>
      </c>
      <c r="D81" s="441">
        <v>25.6</v>
      </c>
      <c r="E81" s="92">
        <f>+'Economic Indices'!P41</f>
        <v>9.5000000000000001E-2</v>
      </c>
      <c r="F81" s="10">
        <v>31</v>
      </c>
      <c r="G81" s="10">
        <v>0</v>
      </c>
      <c r="H81" s="10">
        <f t="shared" si="6"/>
        <v>89393259.994600505</v>
      </c>
      <c r="I81" s="36">
        <f t="shared" si="7"/>
        <v>1561558.93536973</v>
      </c>
      <c r="J81" s="5">
        <f t="shared" si="5"/>
        <v>1.7778990006315221E-2</v>
      </c>
      <c r="T81"/>
    </row>
    <row r="82" spans="1:20" x14ac:dyDescent="0.2">
      <c r="A82" s="3">
        <v>40026</v>
      </c>
      <c r="B82" s="442">
        <v>97879755</v>
      </c>
      <c r="C82" s="441">
        <v>13.1</v>
      </c>
      <c r="D82" s="441">
        <v>77.7</v>
      </c>
      <c r="E82" s="92">
        <f>+E81</f>
        <v>9.5000000000000001E-2</v>
      </c>
      <c r="F82" s="10">
        <v>31</v>
      </c>
      <c r="G82" s="10">
        <v>0</v>
      </c>
      <c r="H82" s="10">
        <f t="shared" si="6"/>
        <v>97237636.327235788</v>
      </c>
      <c r="I82" s="36">
        <f t="shared" si="7"/>
        <v>-642118.67276421189</v>
      </c>
      <c r="J82" s="5">
        <f t="shared" si="5"/>
        <v>-6.5602807522782613E-3</v>
      </c>
      <c r="T82"/>
    </row>
    <row r="83" spans="1:20" x14ac:dyDescent="0.2">
      <c r="A83" s="3">
        <v>40057</v>
      </c>
      <c r="B83" s="442">
        <v>83907661.687692314</v>
      </c>
      <c r="C83" s="441">
        <v>64.8</v>
      </c>
      <c r="D83" s="441">
        <v>9</v>
      </c>
      <c r="E83" s="92">
        <f>+E82</f>
        <v>9.5000000000000001E-2</v>
      </c>
      <c r="F83" s="10">
        <v>30</v>
      </c>
      <c r="G83" s="10">
        <v>1</v>
      </c>
      <c r="H83" s="10">
        <f t="shared" si="6"/>
        <v>79226801.767542571</v>
      </c>
      <c r="I83" s="36">
        <f t="shared" si="7"/>
        <v>-4680859.9201497436</v>
      </c>
      <c r="J83" s="5">
        <f t="shared" si="5"/>
        <v>-5.5785846322021132E-2</v>
      </c>
      <c r="T83"/>
    </row>
    <row r="84" spans="1:20" x14ac:dyDescent="0.2">
      <c r="A84" s="3">
        <v>40087</v>
      </c>
      <c r="B84" s="442">
        <v>88097164.336923078</v>
      </c>
      <c r="C84" s="441">
        <v>287.89999999999998</v>
      </c>
      <c r="D84" s="441">
        <v>0</v>
      </c>
      <c r="E84" s="92">
        <f>+'Economic Indices'!P42</f>
        <v>0.1</v>
      </c>
      <c r="F84" s="10">
        <v>31</v>
      </c>
      <c r="G84" s="10">
        <v>1</v>
      </c>
      <c r="H84" s="10">
        <f t="shared" si="6"/>
        <v>88748880.6706184</v>
      </c>
      <c r="I84" s="36">
        <f t="shared" si="7"/>
        <v>651716.33369532228</v>
      </c>
      <c r="J84" s="5">
        <f t="shared" si="5"/>
        <v>7.3976993311937562E-3</v>
      </c>
      <c r="T84"/>
    </row>
    <row r="85" spans="1:20" x14ac:dyDescent="0.2">
      <c r="A85" s="3">
        <v>40118</v>
      </c>
      <c r="B85" s="442">
        <v>89873866.688461557</v>
      </c>
      <c r="C85" s="441">
        <v>347.4</v>
      </c>
      <c r="D85" s="441">
        <v>0</v>
      </c>
      <c r="E85" s="92">
        <f>+E84</f>
        <v>0.1</v>
      </c>
      <c r="F85" s="10">
        <v>30</v>
      </c>
      <c r="G85" s="10">
        <v>1</v>
      </c>
      <c r="H85" s="10">
        <f t="shared" si="6"/>
        <v>88315861.335307747</v>
      </c>
      <c r="I85" s="36">
        <f t="shared" si="7"/>
        <v>-1558005.3531538099</v>
      </c>
      <c r="J85" s="5">
        <f t="shared" si="5"/>
        <v>-1.7335465920860778E-2</v>
      </c>
      <c r="T85"/>
    </row>
    <row r="86" spans="1:20" s="31" customFormat="1" x14ac:dyDescent="0.2">
      <c r="A86" s="3">
        <v>40148</v>
      </c>
      <c r="B86" s="442">
        <v>109709991.43076923</v>
      </c>
      <c r="C86" s="441">
        <v>619.1</v>
      </c>
      <c r="D86" s="441">
        <v>0</v>
      </c>
      <c r="E86" s="92">
        <f>+E85</f>
        <v>0.1</v>
      </c>
      <c r="F86" s="10">
        <v>31</v>
      </c>
      <c r="G86" s="10">
        <v>0</v>
      </c>
      <c r="H86" s="10">
        <f t="shared" si="6"/>
        <v>108217574.64565037</v>
      </c>
      <c r="I86" s="36">
        <f t="shared" si="7"/>
        <v>-1492416.785118863</v>
      </c>
      <c r="J86" s="5">
        <f t="shared" si="5"/>
        <v>-1.3603289597015684E-2</v>
      </c>
      <c r="K86"/>
      <c r="L86"/>
      <c r="M86"/>
      <c r="N86"/>
      <c r="O86"/>
      <c r="P86"/>
      <c r="Q86"/>
      <c r="R86"/>
      <c r="S86"/>
      <c r="T86"/>
    </row>
    <row r="87" spans="1:20" x14ac:dyDescent="0.2">
      <c r="A87" s="3">
        <v>40179</v>
      </c>
      <c r="B87" s="442">
        <v>114148404.02769232</v>
      </c>
      <c r="C87" s="441">
        <v>699.9</v>
      </c>
      <c r="D87" s="441">
        <v>0</v>
      </c>
      <c r="E87" s="92">
        <f>+'Economic Indices'!P43</f>
        <v>0.10300000000000001</v>
      </c>
      <c r="F87" s="10">
        <v>31</v>
      </c>
      <c r="G87" s="10">
        <v>0</v>
      </c>
      <c r="H87" s="10">
        <f t="shared" si="6"/>
        <v>111089452.77661806</v>
      </c>
      <c r="I87" s="36">
        <f t="shared" si="7"/>
        <v>-3058951.2510742545</v>
      </c>
      <c r="J87" s="5">
        <f t="shared" si="5"/>
        <v>-2.6798020323894806E-2</v>
      </c>
      <c r="T87"/>
    </row>
    <row r="88" spans="1:20" x14ac:dyDescent="0.2">
      <c r="A88" s="3">
        <v>40210</v>
      </c>
      <c r="B88" s="442">
        <v>100280891.65769231</v>
      </c>
      <c r="C88" s="441">
        <v>583.79999999999995</v>
      </c>
      <c r="D88" s="441">
        <v>0</v>
      </c>
      <c r="E88" s="92">
        <f>+E87</f>
        <v>0.10300000000000001</v>
      </c>
      <c r="F88" s="10">
        <v>28</v>
      </c>
      <c r="G88" s="10">
        <v>0</v>
      </c>
      <c r="H88" s="10">
        <f t="shared" si="6"/>
        <v>98474606.261008441</v>
      </c>
      <c r="I88" s="36">
        <f t="shared" si="7"/>
        <v>-1806285.3966838717</v>
      </c>
      <c r="J88" s="5">
        <f t="shared" si="5"/>
        <v>-1.8012259033850699E-2</v>
      </c>
      <c r="T88"/>
    </row>
    <row r="89" spans="1:20" x14ac:dyDescent="0.2">
      <c r="A89" s="3">
        <v>40238</v>
      </c>
      <c r="B89" s="442">
        <v>95443611.384615391</v>
      </c>
      <c r="C89" s="441">
        <v>411</v>
      </c>
      <c r="D89" s="441">
        <v>0</v>
      </c>
      <c r="E89" s="92">
        <f>+E88</f>
        <v>0.10300000000000001</v>
      </c>
      <c r="F89" s="10">
        <v>31</v>
      </c>
      <c r="G89" s="10">
        <v>1</v>
      </c>
      <c r="H89" s="10">
        <f t="shared" si="6"/>
        <v>93245530.878841221</v>
      </c>
      <c r="I89" s="36">
        <f t="shared" si="7"/>
        <v>-2198080.5057741702</v>
      </c>
      <c r="J89" s="5">
        <f t="shared" si="5"/>
        <v>-2.3030148104061367E-2</v>
      </c>
      <c r="T89"/>
    </row>
    <row r="90" spans="1:20" x14ac:dyDescent="0.2">
      <c r="A90" s="3">
        <v>40269</v>
      </c>
      <c r="B90" s="442">
        <v>80941805.90538463</v>
      </c>
      <c r="C90" s="441">
        <v>244</v>
      </c>
      <c r="D90" s="441">
        <v>0</v>
      </c>
      <c r="E90" s="92">
        <f>+'Economic Indices'!P44</f>
        <v>9.9000000000000005E-2</v>
      </c>
      <c r="F90" s="10">
        <v>30</v>
      </c>
      <c r="G90" s="10">
        <v>1</v>
      </c>
      <c r="H90" s="10">
        <f t="shared" si="6"/>
        <v>84421431.394706786</v>
      </c>
      <c r="I90" s="36">
        <f t="shared" si="7"/>
        <v>3479625.4893221557</v>
      </c>
      <c r="J90" s="5">
        <f t="shared" si="5"/>
        <v>4.2989224794287358E-2</v>
      </c>
      <c r="T90"/>
    </row>
    <row r="91" spans="1:20" x14ac:dyDescent="0.2">
      <c r="A91" s="3">
        <v>40299</v>
      </c>
      <c r="B91" s="442">
        <v>87418768.25846155</v>
      </c>
      <c r="C91" s="441">
        <v>121.7</v>
      </c>
      <c r="D91" s="441">
        <v>23.2</v>
      </c>
      <c r="E91" s="92">
        <f>+E90</f>
        <v>9.9000000000000005E-2</v>
      </c>
      <c r="F91" s="10">
        <v>31</v>
      </c>
      <c r="G91" s="10">
        <v>1</v>
      </c>
      <c r="H91" s="10">
        <f t="shared" si="6"/>
        <v>85998626.246630341</v>
      </c>
      <c r="I91" s="36">
        <f t="shared" si="7"/>
        <v>-1420142.0118312091</v>
      </c>
      <c r="J91" s="5">
        <f t="shared" si="5"/>
        <v>-1.6245275930134705E-2</v>
      </c>
      <c r="T91"/>
    </row>
    <row r="92" spans="1:20" x14ac:dyDescent="0.2">
      <c r="A92" s="3">
        <v>40330</v>
      </c>
      <c r="B92" s="442">
        <v>89087288.937692314</v>
      </c>
      <c r="C92" s="441">
        <v>19.399999999999999</v>
      </c>
      <c r="D92" s="441">
        <v>46.6</v>
      </c>
      <c r="E92" s="92">
        <f>+E91</f>
        <v>9.9000000000000005E-2</v>
      </c>
      <c r="F92" s="10">
        <v>30</v>
      </c>
      <c r="G92" s="10">
        <v>0</v>
      </c>
      <c r="H92" s="10">
        <f t="shared" si="6"/>
        <v>89684857.014590412</v>
      </c>
      <c r="I92" s="36">
        <f t="shared" si="7"/>
        <v>597568.07689809799</v>
      </c>
      <c r="J92" s="5">
        <f t="shared" si="5"/>
        <v>6.7076693434462613E-3</v>
      </c>
      <c r="T92"/>
    </row>
    <row r="93" spans="1:20" x14ac:dyDescent="0.2">
      <c r="A93" s="3">
        <v>40360</v>
      </c>
      <c r="B93" s="442">
        <v>107904059.08</v>
      </c>
      <c r="C93" s="441">
        <v>3.5</v>
      </c>
      <c r="D93" s="441">
        <v>124</v>
      </c>
      <c r="E93" s="92">
        <f>+'Economic Indices'!P45</f>
        <v>0.10099999999999999</v>
      </c>
      <c r="F93" s="10">
        <v>31</v>
      </c>
      <c r="G93" s="10">
        <v>0</v>
      </c>
      <c r="H93" s="10">
        <f t="shared" si="6"/>
        <v>103502887.10995485</v>
      </c>
      <c r="I93" s="36">
        <f t="shared" si="7"/>
        <v>-4401171.9700451493</v>
      </c>
      <c r="J93" s="5">
        <f t="shared" si="5"/>
        <v>-4.0787825847979672E-2</v>
      </c>
      <c r="T93"/>
    </row>
    <row r="94" spans="1:20" x14ac:dyDescent="0.2">
      <c r="A94" s="3">
        <v>40391</v>
      </c>
      <c r="B94" s="442">
        <v>102274426.19461538</v>
      </c>
      <c r="C94" s="441">
        <v>3.2</v>
      </c>
      <c r="D94" s="441">
        <v>96.8</v>
      </c>
      <c r="E94" s="92">
        <f>+E93</f>
        <v>0.10099999999999999</v>
      </c>
      <c r="F94" s="10">
        <v>31</v>
      </c>
      <c r="G94" s="10">
        <v>0</v>
      </c>
      <c r="H94" s="10">
        <f t="shared" si="6"/>
        <v>99321830.548106015</v>
      </c>
      <c r="I94" s="36">
        <f t="shared" si="7"/>
        <v>-2952595.6465093642</v>
      </c>
      <c r="J94" s="5">
        <f t="shared" ref="J94:J125" si="8">I94/B94</f>
        <v>-2.8869344530869777E-2</v>
      </c>
      <c r="T94"/>
    </row>
    <row r="95" spans="1:20" x14ac:dyDescent="0.2">
      <c r="A95" s="3">
        <v>40422</v>
      </c>
      <c r="B95" s="442">
        <v>83491002.500769228</v>
      </c>
      <c r="C95" s="441">
        <v>85.5</v>
      </c>
      <c r="D95" s="441">
        <v>18.5</v>
      </c>
      <c r="E95" s="92">
        <f>+E94</f>
        <v>0.10099999999999999</v>
      </c>
      <c r="F95" s="10">
        <v>30</v>
      </c>
      <c r="G95" s="10">
        <v>1</v>
      </c>
      <c r="H95" s="10">
        <f t="shared" si="6"/>
        <v>81014763.015154481</v>
      </c>
      <c r="I95" s="36">
        <f t="shared" si="7"/>
        <v>-2476239.4856147468</v>
      </c>
      <c r="J95" s="5">
        <f t="shared" si="8"/>
        <v>-2.9658758566133307E-2</v>
      </c>
      <c r="T95"/>
    </row>
    <row r="96" spans="1:20" x14ac:dyDescent="0.2">
      <c r="A96" s="3">
        <v>40452</v>
      </c>
      <c r="B96" s="442">
        <v>84900189.230769232</v>
      </c>
      <c r="C96" s="441">
        <v>247.8</v>
      </c>
      <c r="D96" s="441">
        <v>0</v>
      </c>
      <c r="E96" s="92">
        <f>+'Economic Indices'!P46</f>
        <v>9.3000000000000013E-2</v>
      </c>
      <c r="F96" s="10">
        <v>31</v>
      </c>
      <c r="G96" s="10">
        <v>1</v>
      </c>
      <c r="H96" s="10">
        <f t="shared" si="6"/>
        <v>87749258.065592259</v>
      </c>
      <c r="I96" s="36">
        <f t="shared" si="7"/>
        <v>2849068.8348230273</v>
      </c>
      <c r="J96" s="5">
        <f t="shared" si="8"/>
        <v>3.3557862009929156E-2</v>
      </c>
      <c r="T96"/>
    </row>
    <row r="97" spans="1:20" x14ac:dyDescent="0.2">
      <c r="A97" s="3">
        <v>40483</v>
      </c>
      <c r="B97" s="442">
        <v>91736751.63692309</v>
      </c>
      <c r="C97" s="441">
        <v>389.2</v>
      </c>
      <c r="D97" s="441">
        <v>0</v>
      </c>
      <c r="E97" s="92">
        <f>+E96</f>
        <v>9.3000000000000013E-2</v>
      </c>
      <c r="F97" s="10">
        <v>30</v>
      </c>
      <c r="G97" s="10">
        <v>1</v>
      </c>
      <c r="H97" s="10">
        <f t="shared" si="6"/>
        <v>90462074.028796867</v>
      </c>
      <c r="I97" s="36">
        <f t="shared" si="7"/>
        <v>-1274677.6081262231</v>
      </c>
      <c r="J97" s="5">
        <f t="shared" si="8"/>
        <v>-1.3894950337582899E-2</v>
      </c>
      <c r="T97"/>
    </row>
    <row r="98" spans="1:20" x14ac:dyDescent="0.2">
      <c r="A98" s="3">
        <v>40513</v>
      </c>
      <c r="B98" s="442">
        <v>110862133</v>
      </c>
      <c r="C98" s="441">
        <v>628.70000000000005</v>
      </c>
      <c r="D98" s="441">
        <v>0</v>
      </c>
      <c r="E98" s="92">
        <f>+E97</f>
        <v>9.3000000000000013E-2</v>
      </c>
      <c r="F98" s="10">
        <v>31</v>
      </c>
      <c r="G98" s="10">
        <v>0</v>
      </c>
      <c r="H98" s="10">
        <f t="shared" si="6"/>
        <v>109126963.2046805</v>
      </c>
      <c r="I98" s="36">
        <f t="shared" si="7"/>
        <v>-1735169.7953194976</v>
      </c>
      <c r="J98" s="5">
        <f t="shared" si="8"/>
        <v>-1.5651600310806736E-2</v>
      </c>
      <c r="T98"/>
    </row>
    <row r="99" spans="1:20" x14ac:dyDescent="0.2">
      <c r="A99" s="3">
        <v>40544</v>
      </c>
      <c r="B99" s="442">
        <v>113644387.32076925</v>
      </c>
      <c r="C99" s="441">
        <v>760.9</v>
      </c>
      <c r="D99" s="441">
        <v>0</v>
      </c>
      <c r="E99" s="92">
        <f>+'Economic Indices'!P47</f>
        <v>8.8000000000000009E-2</v>
      </c>
      <c r="F99" s="43">
        <v>31</v>
      </c>
      <c r="G99" s="10">
        <v>0</v>
      </c>
      <c r="H99" s="10">
        <f t="shared" si="6"/>
        <v>114591031.7653645</v>
      </c>
      <c r="I99" s="36">
        <f t="shared" ref="I99:I130" si="9">H99-B99</f>
        <v>946644.44459524751</v>
      </c>
      <c r="J99" s="5">
        <f t="shared" si="8"/>
        <v>8.3298829525410446E-3</v>
      </c>
      <c r="T99"/>
    </row>
    <row r="100" spans="1:20" x14ac:dyDescent="0.2">
      <c r="A100" s="3">
        <v>40575</v>
      </c>
      <c r="B100" s="442">
        <v>100561048.38461539</v>
      </c>
      <c r="C100" s="441">
        <v>634.19999999999993</v>
      </c>
      <c r="D100" s="441">
        <v>0</v>
      </c>
      <c r="E100" s="92">
        <f>+E99</f>
        <v>8.8000000000000009E-2</v>
      </c>
      <c r="F100" s="43">
        <v>28</v>
      </c>
      <c r="G100" s="10">
        <v>0</v>
      </c>
      <c r="H100" s="10">
        <f t="shared" si="6"/>
        <v>101569031.96325594</v>
      </c>
      <c r="I100" s="36">
        <f t="shared" si="9"/>
        <v>1007983.5786405504</v>
      </c>
      <c r="J100" s="5">
        <f t="shared" si="8"/>
        <v>1.0023598548667871E-2</v>
      </c>
      <c r="T100"/>
    </row>
    <row r="101" spans="1:20" x14ac:dyDescent="0.2">
      <c r="A101" s="3">
        <v>40603</v>
      </c>
      <c r="B101" s="442">
        <v>102613396.81846155</v>
      </c>
      <c r="C101" s="441">
        <v>559.80000000000007</v>
      </c>
      <c r="D101" s="441">
        <v>0</v>
      </c>
      <c r="E101" s="92">
        <f>+E100</f>
        <v>8.8000000000000009E-2</v>
      </c>
      <c r="F101" s="43">
        <v>31</v>
      </c>
      <c r="G101" s="10">
        <v>1</v>
      </c>
      <c r="H101" s="10">
        <f t="shared" si="6"/>
        <v>100119568.22179574</v>
      </c>
      <c r="I101" s="36">
        <f t="shared" si="9"/>
        <v>-2493828.5966658145</v>
      </c>
      <c r="J101" s="5">
        <f t="shared" si="8"/>
        <v>-2.4303148263162658E-2</v>
      </c>
      <c r="T101"/>
    </row>
    <row r="102" spans="1:20" x14ac:dyDescent="0.2">
      <c r="A102" s="3">
        <v>40634</v>
      </c>
      <c r="B102" s="442">
        <v>87015565.163076922</v>
      </c>
      <c r="C102" s="441">
        <v>350.79999999999995</v>
      </c>
      <c r="D102" s="441">
        <v>0</v>
      </c>
      <c r="E102" s="92">
        <f>+'Economic Indices'!P48</f>
        <v>9.0999999999999998E-2</v>
      </c>
      <c r="F102" s="43">
        <v>30</v>
      </c>
      <c r="G102" s="10">
        <v>1</v>
      </c>
      <c r="H102" s="10">
        <f t="shared" si="6"/>
        <v>89141573.906691045</v>
      </c>
      <c r="I102" s="36">
        <f t="shared" si="9"/>
        <v>2126008.7436141223</v>
      </c>
      <c r="J102" s="5">
        <f t="shared" si="8"/>
        <v>2.443251089192771E-2</v>
      </c>
      <c r="T102"/>
    </row>
    <row r="103" spans="1:20" x14ac:dyDescent="0.2">
      <c r="A103" s="3">
        <v>40664</v>
      </c>
      <c r="B103" s="442">
        <v>82921009.75</v>
      </c>
      <c r="C103" s="441">
        <v>157.69999999999996</v>
      </c>
      <c r="D103" s="441">
        <v>2.8</v>
      </c>
      <c r="E103" s="92">
        <f>+E102</f>
        <v>9.0999999999999998E-2</v>
      </c>
      <c r="F103" s="43">
        <v>31</v>
      </c>
      <c r="G103" s="10">
        <v>1</v>
      </c>
      <c r="H103" s="10">
        <f t="shared" si="6"/>
        <v>84872142.073580667</v>
      </c>
      <c r="I103" s="36">
        <f t="shared" si="9"/>
        <v>1951132.3235806674</v>
      </c>
      <c r="J103" s="5">
        <f t="shared" si="8"/>
        <v>2.3530011627489467E-2</v>
      </c>
      <c r="T103"/>
    </row>
    <row r="104" spans="1:20" x14ac:dyDescent="0.2">
      <c r="A104" s="3">
        <v>40695</v>
      </c>
      <c r="B104" s="442">
        <v>88149132.009230778</v>
      </c>
      <c r="C104" s="441">
        <v>26.699999999999996</v>
      </c>
      <c r="D104" s="441">
        <v>36.900000000000006</v>
      </c>
      <c r="E104" s="92">
        <f>+E103</f>
        <v>9.0999999999999998E-2</v>
      </c>
      <c r="F104" s="43">
        <v>30</v>
      </c>
      <c r="G104" s="10">
        <v>0</v>
      </c>
      <c r="H104" s="10">
        <f t="shared" si="6"/>
        <v>89096206.95510453</v>
      </c>
      <c r="I104" s="36">
        <f t="shared" si="9"/>
        <v>947074.94587375224</v>
      </c>
      <c r="J104" s="5">
        <f t="shared" si="8"/>
        <v>1.0744007618527392E-2</v>
      </c>
      <c r="T104"/>
    </row>
    <row r="105" spans="1:20" x14ac:dyDescent="0.2">
      <c r="A105" s="3">
        <v>40725</v>
      </c>
      <c r="B105" s="442">
        <v>108927664.71923079</v>
      </c>
      <c r="C105" s="441">
        <v>0.2</v>
      </c>
      <c r="D105" s="441">
        <v>141.19999999999999</v>
      </c>
      <c r="E105" s="92">
        <f>+'Economic Indices'!P49</f>
        <v>7.2999999999999995E-2</v>
      </c>
      <c r="F105" s="43">
        <v>31</v>
      </c>
      <c r="G105" s="10">
        <v>0</v>
      </c>
      <c r="H105" s="10">
        <f t="shared" si="6"/>
        <v>108175332.36202779</v>
      </c>
      <c r="I105" s="36">
        <f t="shared" si="9"/>
        <v>-752332.35720299184</v>
      </c>
      <c r="J105" s="5">
        <f t="shared" si="8"/>
        <v>-6.9067151962009365E-3</v>
      </c>
      <c r="T105"/>
    </row>
    <row r="106" spans="1:20" x14ac:dyDescent="0.2">
      <c r="A106" s="3">
        <v>40756</v>
      </c>
      <c r="B106" s="442">
        <v>100307973.92692308</v>
      </c>
      <c r="C106" s="441">
        <v>3.7</v>
      </c>
      <c r="D106" s="441">
        <v>80.499999999999957</v>
      </c>
      <c r="E106" s="92">
        <f>+E105</f>
        <v>7.2999999999999995E-2</v>
      </c>
      <c r="F106" s="43">
        <v>31</v>
      </c>
      <c r="G106" s="10">
        <v>0</v>
      </c>
      <c r="H106" s="10">
        <f t="shared" si="6"/>
        <v>99004965.551529273</v>
      </c>
      <c r="I106" s="36">
        <f t="shared" si="9"/>
        <v>-1303008.3753938079</v>
      </c>
      <c r="J106" s="5">
        <f t="shared" si="8"/>
        <v>-1.2990077701530316E-2</v>
      </c>
      <c r="T106"/>
    </row>
    <row r="107" spans="1:20" x14ac:dyDescent="0.2">
      <c r="A107" s="3">
        <v>40787</v>
      </c>
      <c r="B107" s="442">
        <v>85805170.040769234</v>
      </c>
      <c r="C107" s="441">
        <v>48.900000000000006</v>
      </c>
      <c r="D107" s="441">
        <v>34.6</v>
      </c>
      <c r="E107" s="92">
        <f>+E106</f>
        <v>7.2999999999999995E-2</v>
      </c>
      <c r="F107" s="43">
        <v>30</v>
      </c>
      <c r="G107" s="10">
        <v>1</v>
      </c>
      <c r="H107" s="10">
        <f t="shared" si="6"/>
        <v>84239511.542387396</v>
      </c>
      <c r="I107" s="36">
        <f t="shared" si="9"/>
        <v>-1565658.4983818382</v>
      </c>
      <c r="J107" s="5">
        <f t="shared" si="8"/>
        <v>-1.8246668558991673E-2</v>
      </c>
      <c r="T107"/>
    </row>
    <row r="108" spans="1:20" x14ac:dyDescent="0.2">
      <c r="A108" s="3">
        <v>40817</v>
      </c>
      <c r="B108" s="442">
        <v>85767949.723076925</v>
      </c>
      <c r="C108" s="441">
        <v>225.29999999999998</v>
      </c>
      <c r="D108" s="441">
        <v>0</v>
      </c>
      <c r="E108" s="92">
        <f>+'Economic Indices'!P50</f>
        <v>7.400000000000001E-2</v>
      </c>
      <c r="F108" s="43">
        <v>31</v>
      </c>
      <c r="G108" s="10">
        <v>1</v>
      </c>
      <c r="H108" s="10">
        <f t="shared" si="6"/>
        <v>88352485.204509825</v>
      </c>
      <c r="I108" s="36">
        <f t="shared" si="9"/>
        <v>2584535.4814328998</v>
      </c>
      <c r="J108" s="5">
        <f t="shared" si="8"/>
        <v>3.013404762242438E-2</v>
      </c>
      <c r="T108"/>
    </row>
    <row r="109" spans="1:20" x14ac:dyDescent="0.2">
      <c r="A109" s="3">
        <v>40848</v>
      </c>
      <c r="B109" s="442">
        <v>89407468.154615387</v>
      </c>
      <c r="C109" s="441">
        <v>349.69999999999993</v>
      </c>
      <c r="D109" s="441">
        <v>0</v>
      </c>
      <c r="E109" s="92">
        <f>+E108</f>
        <v>7.400000000000001E-2</v>
      </c>
      <c r="F109" s="43">
        <v>30</v>
      </c>
      <c r="G109" s="10">
        <v>1</v>
      </c>
      <c r="H109" s="10">
        <f t="shared" si="6"/>
        <v>90412319.481819928</v>
      </c>
      <c r="I109" s="36">
        <f t="shared" si="9"/>
        <v>1004851.3272045404</v>
      </c>
      <c r="J109" s="5">
        <f t="shared" si="8"/>
        <v>1.1239008865196996E-2</v>
      </c>
      <c r="T109"/>
    </row>
    <row r="110" spans="1:20" x14ac:dyDescent="0.2">
      <c r="A110" s="3">
        <v>40878</v>
      </c>
      <c r="B110" s="442">
        <v>103511621.38461539</v>
      </c>
      <c r="C110" s="441">
        <v>531.20000000000005</v>
      </c>
      <c r="D110" s="441">
        <v>0</v>
      </c>
      <c r="E110" s="92">
        <f>+E109</f>
        <v>7.400000000000001E-2</v>
      </c>
      <c r="F110" s="43">
        <v>31</v>
      </c>
      <c r="G110" s="10">
        <v>0</v>
      </c>
      <c r="H110" s="10">
        <f t="shared" si="6"/>
        <v>106849388.78818117</v>
      </c>
      <c r="I110" s="36">
        <f t="shared" si="9"/>
        <v>3337767.4035657793</v>
      </c>
      <c r="J110" s="5">
        <f t="shared" si="8"/>
        <v>3.2245339788116403E-2</v>
      </c>
      <c r="T110"/>
    </row>
    <row r="111" spans="1:20" x14ac:dyDescent="0.2">
      <c r="A111" s="3">
        <v>40909</v>
      </c>
      <c r="B111" s="442">
        <v>107982172.33461541</v>
      </c>
      <c r="C111" s="441">
        <v>611</v>
      </c>
      <c r="D111" s="441">
        <v>0</v>
      </c>
      <c r="E111" s="92">
        <f>+'Economic Indices'!P51</f>
        <v>7.9000000000000001E-2</v>
      </c>
      <c r="F111" s="10">
        <v>31</v>
      </c>
      <c r="G111" s="10">
        <v>0</v>
      </c>
      <c r="H111" s="10">
        <f t="shared" si="6"/>
        <v>109528385.95747565</v>
      </c>
      <c r="I111" s="36">
        <f t="shared" si="9"/>
        <v>1546213.622860238</v>
      </c>
      <c r="J111" s="5">
        <f t="shared" si="8"/>
        <v>1.431915648139424E-2</v>
      </c>
      <c r="T111"/>
    </row>
    <row r="112" spans="1:20" x14ac:dyDescent="0.2">
      <c r="A112" s="3">
        <v>40940</v>
      </c>
      <c r="B112" s="442">
        <v>97310518.529230773</v>
      </c>
      <c r="C112" s="441">
        <v>536.20000000000005</v>
      </c>
      <c r="D112" s="441">
        <v>0</v>
      </c>
      <c r="E112" s="92">
        <f>+E111</f>
        <v>7.9000000000000001E-2</v>
      </c>
      <c r="F112" s="10">
        <v>29</v>
      </c>
      <c r="G112" s="10">
        <v>0</v>
      </c>
      <c r="H112" s="10">
        <f t="shared" si="6"/>
        <v>101218356.06765701</v>
      </c>
      <c r="I112" s="36">
        <f t="shared" si="9"/>
        <v>3907837.5384262353</v>
      </c>
      <c r="J112" s="5">
        <f t="shared" si="8"/>
        <v>4.0158428888161492E-2</v>
      </c>
      <c r="T112"/>
    </row>
    <row r="113" spans="1:20" x14ac:dyDescent="0.2">
      <c r="A113" s="3">
        <v>40969</v>
      </c>
      <c r="B113" s="442">
        <v>92940593.720769227</v>
      </c>
      <c r="C113" s="441">
        <v>399.39999999999992</v>
      </c>
      <c r="D113" s="441">
        <v>0</v>
      </c>
      <c r="E113" s="92">
        <f>+E112</f>
        <v>7.9000000000000001E-2</v>
      </c>
      <c r="F113" s="10">
        <v>31</v>
      </c>
      <c r="G113" s="10">
        <v>1</v>
      </c>
      <c r="H113" s="10">
        <f t="shared" si="6"/>
        <v>94653610.1961485</v>
      </c>
      <c r="I113" s="36">
        <f t="shared" si="9"/>
        <v>1713016.4753792733</v>
      </c>
      <c r="J113" s="5">
        <f t="shared" si="8"/>
        <v>1.8431305490966207E-2</v>
      </c>
      <c r="T113"/>
    </row>
    <row r="114" spans="1:20" x14ac:dyDescent="0.2">
      <c r="A114" s="3">
        <v>41000</v>
      </c>
      <c r="B114" s="442">
        <v>84061512.170000002</v>
      </c>
      <c r="C114" s="441">
        <v>336.89999999999992</v>
      </c>
      <c r="D114" s="441">
        <v>0</v>
      </c>
      <c r="E114" s="92">
        <f>+'Economic Indices'!P52</f>
        <v>8.4000000000000005E-2</v>
      </c>
      <c r="F114" s="10">
        <v>30</v>
      </c>
      <c r="G114" s="10">
        <v>1</v>
      </c>
      <c r="H114" s="10">
        <f t="shared" si="6"/>
        <v>89148311.311690539</v>
      </c>
      <c r="I114" s="36">
        <f t="shared" si="9"/>
        <v>5086799.1416905373</v>
      </c>
      <c r="J114" s="5">
        <f t="shared" si="8"/>
        <v>6.0512819843204314E-2</v>
      </c>
      <c r="T114"/>
    </row>
    <row r="115" spans="1:20" x14ac:dyDescent="0.2">
      <c r="A115" s="3">
        <v>41030</v>
      </c>
      <c r="B115" s="442">
        <v>84298340.921818167</v>
      </c>
      <c r="C115" s="441">
        <v>109.30000000000001</v>
      </c>
      <c r="D115" s="441">
        <v>21.8</v>
      </c>
      <c r="E115" s="92">
        <f>+E114</f>
        <v>8.4000000000000005E-2</v>
      </c>
      <c r="F115" s="10">
        <v>31</v>
      </c>
      <c r="G115" s="10">
        <v>1</v>
      </c>
      <c r="H115" s="10">
        <f t="shared" si="6"/>
        <v>86466252.445327953</v>
      </c>
      <c r="I115" s="36">
        <f t="shared" si="9"/>
        <v>2167911.5235097855</v>
      </c>
      <c r="J115" s="5">
        <f t="shared" si="8"/>
        <v>2.571713155684046E-2</v>
      </c>
      <c r="T115"/>
    </row>
    <row r="116" spans="1:20" x14ac:dyDescent="0.2">
      <c r="A116" s="3">
        <v>41061</v>
      </c>
      <c r="B116" s="442">
        <v>93187121.853636354</v>
      </c>
      <c r="C116" s="441">
        <v>28.2</v>
      </c>
      <c r="D116" s="441">
        <v>64.3</v>
      </c>
      <c r="E116" s="92">
        <f>+E115</f>
        <v>8.4000000000000005E-2</v>
      </c>
      <c r="F116" s="10">
        <v>30</v>
      </c>
      <c r="G116" s="10">
        <v>0</v>
      </c>
      <c r="H116" s="10">
        <f t="shared" si="6"/>
        <v>93894660.635274053</v>
      </c>
      <c r="I116" s="36">
        <f t="shared" si="9"/>
        <v>707538.78163769841</v>
      </c>
      <c r="J116" s="5">
        <f t="shared" si="8"/>
        <v>7.5926669647442147E-3</v>
      </c>
      <c r="T116"/>
    </row>
    <row r="117" spans="1:20" x14ac:dyDescent="0.2">
      <c r="A117" s="3">
        <v>41091</v>
      </c>
      <c r="B117" s="442">
        <v>110767074.55090907</v>
      </c>
      <c r="C117" s="441">
        <v>0</v>
      </c>
      <c r="D117" s="441">
        <v>155.30000000000001</v>
      </c>
      <c r="E117" s="92">
        <f>+'Economic Indices'!P53</f>
        <v>8.900000000000001E-2</v>
      </c>
      <c r="F117" s="10">
        <v>31</v>
      </c>
      <c r="G117" s="10">
        <v>0</v>
      </c>
      <c r="H117" s="10">
        <f t="shared" si="6"/>
        <v>109093300.54196224</v>
      </c>
      <c r="I117" s="36">
        <f t="shared" si="9"/>
        <v>-1673774.008946836</v>
      </c>
      <c r="J117" s="5">
        <f t="shared" si="8"/>
        <v>-1.5110753946810806E-2</v>
      </c>
      <c r="K117" s="163"/>
      <c r="T117"/>
    </row>
    <row r="118" spans="1:20" x14ac:dyDescent="0.2">
      <c r="A118" s="3">
        <v>41122</v>
      </c>
      <c r="B118" s="442">
        <v>101373951.59181817</v>
      </c>
      <c r="C118" s="441">
        <v>4.4000000000000004</v>
      </c>
      <c r="D118" s="441">
        <v>102.79999999999998</v>
      </c>
      <c r="E118" s="92">
        <f>+E117</f>
        <v>8.900000000000001E-2</v>
      </c>
      <c r="F118" s="10">
        <v>31</v>
      </c>
      <c r="G118" s="10">
        <v>0</v>
      </c>
      <c r="H118" s="10">
        <f t="shared" si="6"/>
        <v>101214495.02351633</v>
      </c>
      <c r="I118" s="36">
        <f t="shared" si="9"/>
        <v>-159456.56830184162</v>
      </c>
      <c r="J118" s="5">
        <f t="shared" si="8"/>
        <v>-1.5729540557311299E-3</v>
      </c>
      <c r="K118" s="163"/>
      <c r="T118"/>
    </row>
    <row r="119" spans="1:20" x14ac:dyDescent="0.2">
      <c r="A119" s="3">
        <v>41153</v>
      </c>
      <c r="B119" s="442">
        <v>85023139.218181819</v>
      </c>
      <c r="C119" s="441">
        <v>84</v>
      </c>
      <c r="D119" s="441">
        <v>24.400000000000002</v>
      </c>
      <c r="E119" s="92">
        <f>+E118</f>
        <v>8.900000000000001E-2</v>
      </c>
      <c r="F119" s="10">
        <v>30</v>
      </c>
      <c r="G119" s="10">
        <v>1</v>
      </c>
      <c r="H119" s="10">
        <f t="shared" si="6"/>
        <v>82788389.467821151</v>
      </c>
      <c r="I119" s="36">
        <f t="shared" si="9"/>
        <v>-2234749.7503606677</v>
      </c>
      <c r="J119" s="5">
        <f t="shared" si="8"/>
        <v>-2.6284018337948835E-2</v>
      </c>
      <c r="K119" s="163"/>
      <c r="T119"/>
    </row>
    <row r="120" spans="1:20" x14ac:dyDescent="0.2">
      <c r="A120" s="3">
        <v>41183</v>
      </c>
      <c r="B120" s="442">
        <v>85295690.281818166</v>
      </c>
      <c r="C120" s="441">
        <v>228.99999999999994</v>
      </c>
      <c r="D120" s="441">
        <v>0</v>
      </c>
      <c r="E120" s="92">
        <f>+'Economic Indices'!P54</f>
        <v>9.1999999999999998E-2</v>
      </c>
      <c r="F120" s="10">
        <v>31</v>
      </c>
      <c r="G120" s="10">
        <v>1</v>
      </c>
      <c r="H120" s="10">
        <f t="shared" si="6"/>
        <v>87104372.279501572</v>
      </c>
      <c r="I120" s="36">
        <f t="shared" si="9"/>
        <v>1808681.9976834059</v>
      </c>
      <c r="J120" s="5">
        <f t="shared" si="8"/>
        <v>2.1204846243784357E-2</v>
      </c>
      <c r="K120" s="163"/>
      <c r="T120"/>
    </row>
    <row r="121" spans="1:20" x14ac:dyDescent="0.2">
      <c r="A121" s="3">
        <v>41214</v>
      </c>
      <c r="B121" s="442">
        <v>91679199.734545454</v>
      </c>
      <c r="C121" s="441">
        <v>427.89999999999992</v>
      </c>
      <c r="D121" s="441">
        <v>0</v>
      </c>
      <c r="E121" s="92">
        <f>+E120</f>
        <v>9.1999999999999998E-2</v>
      </c>
      <c r="F121" s="10">
        <v>30</v>
      </c>
      <c r="G121" s="10">
        <v>1</v>
      </c>
      <c r="H121" s="10">
        <f t="shared" si="6"/>
        <v>92025802.768525809</v>
      </c>
      <c r="I121" s="36">
        <f t="shared" si="9"/>
        <v>346603.03398035467</v>
      </c>
      <c r="J121" s="5">
        <f t="shared" si="8"/>
        <v>3.7806071059077089E-3</v>
      </c>
      <c r="K121" s="163"/>
      <c r="T121"/>
    </row>
    <row r="122" spans="1:20" x14ac:dyDescent="0.2">
      <c r="A122" s="3">
        <v>41244</v>
      </c>
      <c r="B122" s="442">
        <v>102292637.76363637</v>
      </c>
      <c r="C122" s="441">
        <v>451.09999999999997</v>
      </c>
      <c r="D122" s="441">
        <v>0</v>
      </c>
      <c r="E122" s="92">
        <f>+E121</f>
        <v>9.1999999999999998E-2</v>
      </c>
      <c r="F122" s="10">
        <v>31</v>
      </c>
      <c r="G122" s="10">
        <v>0</v>
      </c>
      <c r="H122" s="10">
        <f t="shared" si="6"/>
        <v>102382460.25858708</v>
      </c>
      <c r="I122" s="36">
        <f t="shared" si="9"/>
        <v>89822.494950711727</v>
      </c>
      <c r="J122" s="5">
        <f t="shared" si="8"/>
        <v>8.7809344752904977E-4</v>
      </c>
      <c r="K122" s="163"/>
      <c r="T122"/>
    </row>
    <row r="123" spans="1:20" x14ac:dyDescent="0.2">
      <c r="A123" s="3">
        <v>41275</v>
      </c>
      <c r="B123" s="442">
        <v>107376383.33333334</v>
      </c>
      <c r="C123" s="441">
        <v>615.40000000000009</v>
      </c>
      <c r="D123" s="441">
        <v>0</v>
      </c>
      <c r="E123" s="92">
        <f>+'Economic Indices'!P55</f>
        <v>8.8000000000000009E-2</v>
      </c>
      <c r="F123" s="43">
        <v>31</v>
      </c>
      <c r="G123" s="10">
        <v>0</v>
      </c>
      <c r="H123" s="10">
        <f t="shared" si="6"/>
        <v>109002276.74785569</v>
      </c>
      <c r="I123" s="36">
        <f t="shared" si="9"/>
        <v>1625893.4145223498</v>
      </c>
      <c r="J123" s="5">
        <f t="shared" si="8"/>
        <v>1.514200203107061E-2</v>
      </c>
      <c r="K123" s="163"/>
      <c r="T123"/>
    </row>
    <row r="124" spans="1:20" x14ac:dyDescent="0.2">
      <c r="A124" s="3">
        <v>41306</v>
      </c>
      <c r="B124" s="442">
        <v>98702891.666666672</v>
      </c>
      <c r="C124" s="441">
        <v>611.5</v>
      </c>
      <c r="D124" s="441">
        <v>0</v>
      </c>
      <c r="E124" s="92">
        <f>+E123</f>
        <v>8.8000000000000009E-2</v>
      </c>
      <c r="F124" s="43">
        <v>28</v>
      </c>
      <c r="G124" s="10">
        <v>0</v>
      </c>
      <c r="H124" s="10">
        <f t="shared" si="6"/>
        <v>100697109.35914977</v>
      </c>
      <c r="I124" s="36">
        <f t="shared" si="9"/>
        <v>1994217.6924830973</v>
      </c>
      <c r="J124" s="5">
        <f t="shared" si="8"/>
        <v>2.0204247908134715E-2</v>
      </c>
      <c r="K124" s="163"/>
      <c r="T124"/>
    </row>
    <row r="125" spans="1:20" x14ac:dyDescent="0.2">
      <c r="A125" s="3">
        <v>41334</v>
      </c>
      <c r="B125" s="442">
        <v>98851083.333333343</v>
      </c>
      <c r="C125" s="441">
        <v>545</v>
      </c>
      <c r="D125" s="441">
        <v>0</v>
      </c>
      <c r="E125" s="92">
        <f>+E124</f>
        <v>8.8000000000000009E-2</v>
      </c>
      <c r="F125" s="43">
        <v>31</v>
      </c>
      <c r="G125" s="10">
        <v>1</v>
      </c>
      <c r="H125" s="10">
        <f t="shared" si="6"/>
        <v>99551090.048193455</v>
      </c>
      <c r="I125" s="36">
        <f t="shared" si="9"/>
        <v>700006.71486011147</v>
      </c>
      <c r="J125" s="5">
        <f t="shared" si="8"/>
        <v>7.0814268418246448E-3</v>
      </c>
      <c r="K125" s="163"/>
      <c r="T125"/>
    </row>
    <row r="126" spans="1:20" x14ac:dyDescent="0.2">
      <c r="A126" s="3">
        <v>41365</v>
      </c>
      <c r="B126" s="442">
        <v>87330008.333333343</v>
      </c>
      <c r="C126" s="441">
        <v>366.49999999999994</v>
      </c>
      <c r="D126" s="441">
        <v>0</v>
      </c>
      <c r="E126" s="92">
        <f>+'Economic Indices'!P56</f>
        <v>7.400000000000001E-2</v>
      </c>
      <c r="F126" s="43">
        <v>30</v>
      </c>
      <c r="G126" s="10">
        <v>1</v>
      </c>
      <c r="H126" s="10">
        <f t="shared" si="6"/>
        <v>91057619.030233324</v>
      </c>
      <c r="I126" s="36">
        <f t="shared" si="9"/>
        <v>3727610.6968999803</v>
      </c>
      <c r="J126" s="5">
        <f t="shared" ref="J126:J133" si="10">I126/B126</f>
        <v>4.2684190326329939E-2</v>
      </c>
      <c r="K126" s="163"/>
      <c r="T126"/>
    </row>
    <row r="127" spans="1:20" x14ac:dyDescent="0.2">
      <c r="A127" s="3">
        <v>41395</v>
      </c>
      <c r="B127" s="442">
        <v>81913958.333333343</v>
      </c>
      <c r="C127" s="441">
        <v>133.4</v>
      </c>
      <c r="D127" s="441">
        <v>3</v>
      </c>
      <c r="E127" s="92">
        <f>+E126</f>
        <v>7.400000000000001E-2</v>
      </c>
      <c r="F127" s="43">
        <v>31</v>
      </c>
      <c r="G127" s="10">
        <v>1</v>
      </c>
      <c r="H127" s="10">
        <f t="shared" si="6"/>
        <v>85282418.034397855</v>
      </c>
      <c r="I127" s="36">
        <f t="shared" si="9"/>
        <v>3368459.7010645121</v>
      </c>
      <c r="J127" s="5">
        <f t="shared" si="10"/>
        <v>4.1121925610739053E-2</v>
      </c>
      <c r="K127" s="163"/>
      <c r="T127"/>
    </row>
    <row r="128" spans="1:20" x14ac:dyDescent="0.2">
      <c r="A128" s="3">
        <v>41426</v>
      </c>
      <c r="B128" s="442">
        <v>86391933.333333343</v>
      </c>
      <c r="C128" s="441">
        <v>42.900000000000006</v>
      </c>
      <c r="D128" s="441">
        <v>32.200000000000003</v>
      </c>
      <c r="E128" s="92">
        <f>+E127</f>
        <v>7.400000000000001E-2</v>
      </c>
      <c r="F128" s="43">
        <v>30</v>
      </c>
      <c r="G128" s="10">
        <v>0</v>
      </c>
      <c r="H128" s="10">
        <f t="shared" si="6"/>
        <v>90310986.585164011</v>
      </c>
      <c r="I128" s="36">
        <f t="shared" si="9"/>
        <v>3919053.2518306673</v>
      </c>
      <c r="J128" s="5">
        <f t="shared" si="10"/>
        <v>4.536364797751951E-2</v>
      </c>
      <c r="K128" s="163"/>
      <c r="T128"/>
    </row>
    <row r="129" spans="1:20" x14ac:dyDescent="0.2">
      <c r="A129" s="3">
        <v>41456</v>
      </c>
      <c r="B129" s="442">
        <v>104037066.66666667</v>
      </c>
      <c r="C129" s="441">
        <v>4.4000000000000004</v>
      </c>
      <c r="D129" s="441">
        <v>109.99999999999999</v>
      </c>
      <c r="E129" s="92">
        <f>+'Economic Indices'!P57</f>
        <v>6.2E-2</v>
      </c>
      <c r="F129" s="43">
        <v>31</v>
      </c>
      <c r="G129" s="10">
        <v>0</v>
      </c>
      <c r="H129" s="10">
        <f t="shared" si="6"/>
        <v>104403543.73203087</v>
      </c>
      <c r="I129" s="36">
        <f t="shared" si="9"/>
        <v>366477.0653641969</v>
      </c>
      <c r="J129" s="5">
        <f t="shared" si="10"/>
        <v>3.5225624588050368E-3</v>
      </c>
      <c r="K129" s="163"/>
      <c r="T129"/>
    </row>
    <row r="130" spans="1:20" x14ac:dyDescent="0.2">
      <c r="A130" s="3">
        <v>41487</v>
      </c>
      <c r="B130" s="442">
        <v>95663441.666666672</v>
      </c>
      <c r="C130" s="441">
        <v>11</v>
      </c>
      <c r="D130" s="441">
        <v>57.899999999999991</v>
      </c>
      <c r="E130" s="92">
        <f>+E129</f>
        <v>6.2E-2</v>
      </c>
      <c r="F130" s="43">
        <v>31</v>
      </c>
      <c r="G130" s="10">
        <v>0</v>
      </c>
      <c r="H130" s="10">
        <f t="shared" si="6"/>
        <v>96670558.392871693</v>
      </c>
      <c r="I130" s="36">
        <f t="shared" si="9"/>
        <v>1007116.7262050211</v>
      </c>
      <c r="J130" s="5">
        <f t="shared" si="10"/>
        <v>1.0527707436182955E-2</v>
      </c>
      <c r="K130" s="163"/>
      <c r="T130"/>
    </row>
    <row r="131" spans="1:20" x14ac:dyDescent="0.2">
      <c r="A131" s="3">
        <v>41518</v>
      </c>
      <c r="B131" s="442">
        <v>83012108.333333343</v>
      </c>
      <c r="C131" s="441">
        <v>96.600000000000009</v>
      </c>
      <c r="D131" s="441">
        <v>15.700000000000001</v>
      </c>
      <c r="E131" s="92">
        <f>+E130</f>
        <v>6.2E-2</v>
      </c>
      <c r="F131" s="43">
        <v>30</v>
      </c>
      <c r="G131" s="10">
        <v>1</v>
      </c>
      <c r="H131" s="10">
        <f t="shared" ref="H131:H194" si="11">$M$18+C131*$M$19+D131*$M$20+E131*$M$21+F131*$M$22+G131*$M$23</f>
        <v>84024075.324613675</v>
      </c>
      <c r="I131" s="36">
        <f t="shared" ref="I131:I133" si="12">H131-B131</f>
        <v>1011966.9912803322</v>
      </c>
      <c r="J131" s="5">
        <f t="shared" si="10"/>
        <v>1.2190594981840485E-2</v>
      </c>
      <c r="K131" s="163"/>
      <c r="T131"/>
    </row>
    <row r="132" spans="1:20" x14ac:dyDescent="0.2">
      <c r="A132" s="3">
        <v>41548</v>
      </c>
      <c r="B132" s="442">
        <v>84463400.000000015</v>
      </c>
      <c r="C132" s="441">
        <v>221</v>
      </c>
      <c r="D132" s="441">
        <v>3</v>
      </c>
      <c r="E132" s="92">
        <f>+'Economic Indices'!P58</f>
        <v>7.5999999999999998E-2</v>
      </c>
      <c r="F132" s="43">
        <v>31</v>
      </c>
      <c r="G132" s="10">
        <v>1</v>
      </c>
      <c r="H132" s="10">
        <f t="shared" si="11"/>
        <v>88492723.976857156</v>
      </c>
      <c r="I132" s="36">
        <f t="shared" si="12"/>
        <v>4029323.9768571407</v>
      </c>
      <c r="J132" s="5">
        <f t="shared" si="10"/>
        <v>4.7704970162900616E-2</v>
      </c>
      <c r="K132" s="163"/>
      <c r="T132"/>
    </row>
    <row r="133" spans="1:20" x14ac:dyDescent="0.2">
      <c r="A133" s="3">
        <v>41579</v>
      </c>
      <c r="B133" s="442">
        <v>94249183.333333343</v>
      </c>
      <c r="C133" s="441">
        <v>458.6</v>
      </c>
      <c r="D133" s="441">
        <v>0</v>
      </c>
      <c r="E133" s="92">
        <f>+E132</f>
        <v>7.5999999999999998E-2</v>
      </c>
      <c r="F133" s="43">
        <v>30</v>
      </c>
      <c r="G133" s="10">
        <v>1</v>
      </c>
      <c r="H133" s="10">
        <f t="shared" si="11"/>
        <v>94440773.066017643</v>
      </c>
      <c r="I133" s="36">
        <f t="shared" si="12"/>
        <v>191589.73268429935</v>
      </c>
      <c r="J133" s="5">
        <f t="shared" si="10"/>
        <v>2.0327999236523816E-3</v>
      </c>
      <c r="K133" s="163"/>
      <c r="T133"/>
    </row>
    <row r="134" spans="1:20" x14ac:dyDescent="0.2">
      <c r="A134" s="3">
        <v>41609</v>
      </c>
      <c r="B134" s="442">
        <v>108415583.33333334</v>
      </c>
      <c r="C134" s="441">
        <v>472.8</v>
      </c>
      <c r="D134" s="441">
        <f ca="1">(+D122/SUM(D$122:D$133))*Trends!C$20</f>
        <v>0</v>
      </c>
      <c r="E134" s="92">
        <f>+E133</f>
        <v>7.5999999999999998E-2</v>
      </c>
      <c r="F134" s="43">
        <v>31</v>
      </c>
      <c r="G134" s="10">
        <v>0</v>
      </c>
      <c r="H134" s="10">
        <f t="shared" ca="1" si="11"/>
        <v>104451734.36942889</v>
      </c>
      <c r="I134" s="36">
        <f t="shared" ref="I134" ca="1" si="13">H134-B134</f>
        <v>-3963848.9639044553</v>
      </c>
      <c r="J134" s="5">
        <f t="shared" ref="J134" ca="1" si="14">I134/B134</f>
        <v>-3.6561616347322037E-2</v>
      </c>
      <c r="K134" s="163"/>
      <c r="T134"/>
    </row>
    <row r="135" spans="1:20" x14ac:dyDescent="0.2">
      <c r="A135" s="3">
        <v>41640</v>
      </c>
      <c r="B135" s="27">
        <v>117702582.33333334</v>
      </c>
      <c r="C135" s="383">
        <v>771.3</v>
      </c>
      <c r="D135" s="383">
        <v>0</v>
      </c>
      <c r="E135" s="92">
        <f>+'Economic Indices'!P59</f>
        <v>7.6999999999999999E-2</v>
      </c>
      <c r="F135" s="43">
        <v>31</v>
      </c>
      <c r="G135" s="10">
        <v>0</v>
      </c>
      <c r="H135" s="10">
        <f>$M$18+C135*$M$19+D135*$M$20+E135*$M$21+F135*$M$22+G135*$M$23</f>
        <v>115840089.42285436</v>
      </c>
      <c r="I135" s="36"/>
      <c r="J135" s="5"/>
      <c r="K135" s="163"/>
      <c r="T135"/>
    </row>
    <row r="136" spans="1:20" x14ac:dyDescent="0.2">
      <c r="A136" s="3">
        <v>41671</v>
      </c>
      <c r="B136" s="27">
        <v>101945538.33333334</v>
      </c>
      <c r="C136" s="383">
        <v>690.84999999999991</v>
      </c>
      <c r="D136" s="383">
        <v>0</v>
      </c>
      <c r="E136" s="92">
        <f t="shared" ref="E136:E143" si="15">+E135</f>
        <v>7.6999999999999999E-2</v>
      </c>
      <c r="F136" s="43">
        <v>28</v>
      </c>
      <c r="G136" s="10">
        <v>0</v>
      </c>
      <c r="H136" s="10">
        <f t="shared" si="11"/>
        <v>104594583.91325292</v>
      </c>
      <c r="I136" s="36"/>
      <c r="J136" s="5"/>
      <c r="K136" s="163"/>
      <c r="T136"/>
    </row>
    <row r="137" spans="1:20" x14ac:dyDescent="0.2">
      <c r="A137" s="3">
        <v>41699</v>
      </c>
      <c r="B137" s="27">
        <v>106417935.35000001</v>
      </c>
      <c r="C137" s="383">
        <v>677.95</v>
      </c>
      <c r="D137" s="383">
        <v>0</v>
      </c>
      <c r="E137" s="92">
        <f t="shared" si="15"/>
        <v>7.6999999999999999E-2</v>
      </c>
      <c r="F137" s="43">
        <v>31</v>
      </c>
      <c r="G137" s="10">
        <v>1</v>
      </c>
      <c r="H137" s="10">
        <f t="shared" si="11"/>
        <v>105507377.44723457</v>
      </c>
      <c r="I137" s="36"/>
      <c r="J137" s="5"/>
      <c r="K137" s="163"/>
      <c r="T137"/>
    </row>
    <row r="138" spans="1:20" x14ac:dyDescent="0.2">
      <c r="A138" s="3">
        <v>41730</v>
      </c>
      <c r="B138" s="27">
        <v>86925100.333333343</v>
      </c>
      <c r="C138" s="383">
        <v>371.2999999999999</v>
      </c>
      <c r="D138" s="383">
        <v>0</v>
      </c>
      <c r="E138" s="92">
        <f>+'Economic Indices'!P60</f>
        <v>6.7000000000000004E-2</v>
      </c>
      <c r="F138" s="43">
        <v>30</v>
      </c>
      <c r="G138" s="10">
        <v>1</v>
      </c>
      <c r="H138" s="10">
        <f t="shared" si="11"/>
        <v>91782636.289716765</v>
      </c>
      <c r="I138" s="36"/>
      <c r="J138" s="5"/>
      <c r="K138" s="163"/>
      <c r="T138"/>
    </row>
    <row r="139" spans="1:20" x14ac:dyDescent="0.2">
      <c r="A139" s="3">
        <v>41760</v>
      </c>
      <c r="B139" s="27">
        <v>81755065.176384613</v>
      </c>
      <c r="C139" s="383">
        <v>160.49999999999994</v>
      </c>
      <c r="D139" s="383">
        <v>1.3</v>
      </c>
      <c r="E139" s="92">
        <f t="shared" si="15"/>
        <v>6.7000000000000004E-2</v>
      </c>
      <c r="F139" s="43">
        <v>31</v>
      </c>
      <c r="G139" s="10">
        <v>1</v>
      </c>
      <c r="H139" s="10">
        <f t="shared" si="11"/>
        <v>86603397.788298562</v>
      </c>
      <c r="I139" s="36"/>
      <c r="J139" s="5"/>
      <c r="K139" s="163"/>
      <c r="T139"/>
    </row>
    <row r="140" spans="1:20" x14ac:dyDescent="0.2">
      <c r="A140" s="3">
        <v>41791</v>
      </c>
      <c r="B140" s="27">
        <v>88119245.461538464</v>
      </c>
      <c r="C140" s="383">
        <v>26.9</v>
      </c>
      <c r="D140" s="383">
        <v>40.1</v>
      </c>
      <c r="E140" s="92">
        <f t="shared" si="15"/>
        <v>6.7000000000000004E-2</v>
      </c>
      <c r="F140" s="43">
        <v>30</v>
      </c>
      <c r="G140" s="10">
        <v>0</v>
      </c>
      <c r="H140" s="10">
        <f t="shared" si="11"/>
        <v>91448065.719753549</v>
      </c>
      <c r="I140" s="36"/>
      <c r="J140" s="5"/>
      <c r="K140" s="163"/>
      <c r="T140"/>
    </row>
    <row r="141" spans="1:20" x14ac:dyDescent="0.2">
      <c r="A141" s="3">
        <v>41821</v>
      </c>
      <c r="B141" s="27">
        <v>93045474.15384616</v>
      </c>
      <c r="C141" s="383">
        <v>9.5999999999999979</v>
      </c>
      <c r="D141" s="383">
        <v>54.599999999999994</v>
      </c>
      <c r="E141" s="92">
        <f>+'Economic Indices'!P61</f>
        <v>7.5999999999999998E-2</v>
      </c>
      <c r="F141" s="43">
        <v>31</v>
      </c>
      <c r="G141" s="10">
        <v>0</v>
      </c>
      <c r="H141" s="10">
        <f t="shared" si="11"/>
        <v>95029629.00792563</v>
      </c>
      <c r="I141" s="36"/>
      <c r="J141" s="5"/>
      <c r="K141" s="163"/>
      <c r="T141"/>
    </row>
    <row r="142" spans="1:20" x14ac:dyDescent="0.2">
      <c r="A142" s="3">
        <v>41852</v>
      </c>
      <c r="B142" s="27">
        <v>92680248.923076928</v>
      </c>
      <c r="C142" s="383">
        <v>12.7</v>
      </c>
      <c r="D142" s="383">
        <v>58</v>
      </c>
      <c r="E142" s="92">
        <f t="shared" si="15"/>
        <v>7.5999999999999998E-2</v>
      </c>
      <c r="F142" s="43">
        <v>31</v>
      </c>
      <c r="G142" s="10">
        <v>0</v>
      </c>
      <c r="H142" s="10">
        <f t="shared" si="11"/>
        <v>95669893.808336258</v>
      </c>
      <c r="I142" s="36"/>
      <c r="J142" s="5"/>
      <c r="K142" s="163"/>
      <c r="T142"/>
    </row>
    <row r="143" spans="1:20" x14ac:dyDescent="0.2">
      <c r="A143" s="3">
        <v>41883</v>
      </c>
      <c r="B143" s="27">
        <v>84852396.923076928</v>
      </c>
      <c r="C143" s="383">
        <v>77.400000000000006</v>
      </c>
      <c r="D143" s="383">
        <v>22.5</v>
      </c>
      <c r="E143" s="92">
        <f t="shared" si="15"/>
        <v>7.5999999999999998E-2</v>
      </c>
      <c r="F143" s="43">
        <v>30</v>
      </c>
      <c r="G143" s="10">
        <v>1</v>
      </c>
      <c r="H143" s="10">
        <f t="shared" si="11"/>
        <v>83247681.545460209</v>
      </c>
      <c r="I143" s="36"/>
      <c r="J143" s="5"/>
      <c r="K143" s="163"/>
      <c r="T143"/>
    </row>
    <row r="144" spans="1:20" x14ac:dyDescent="0.2">
      <c r="A144" s="3">
        <v>41913</v>
      </c>
      <c r="B144" s="27">
        <v>84720129.461538464</v>
      </c>
      <c r="C144" s="383">
        <v>216.29999999999998</v>
      </c>
      <c r="D144" s="383">
        <v>0.5</v>
      </c>
      <c r="E144" s="92">
        <v>7.400000000000001E-2</v>
      </c>
      <c r="F144" s="43">
        <v>31</v>
      </c>
      <c r="G144" s="10">
        <v>1</v>
      </c>
      <c r="H144" s="10">
        <f t="shared" si="11"/>
        <v>88083434.851602942</v>
      </c>
      <c r="I144" s="36"/>
      <c r="J144" s="5"/>
      <c r="K144" s="163"/>
      <c r="T144"/>
    </row>
    <row r="145" spans="1:20" x14ac:dyDescent="0.2">
      <c r="A145" s="3">
        <v>41944</v>
      </c>
      <c r="B145" s="27">
        <v>94073964.750000015</v>
      </c>
      <c r="C145" s="383">
        <v>407.30000000000013</v>
      </c>
      <c r="D145" s="383">
        <v>0</v>
      </c>
      <c r="E145" s="92">
        <v>6.8000000000000005E-2</v>
      </c>
      <c r="F145" s="43">
        <v>30</v>
      </c>
      <c r="G145" s="10">
        <v>1</v>
      </c>
      <c r="H145" s="10">
        <f t="shared" si="11"/>
        <v>93088185.899183065</v>
      </c>
      <c r="I145" s="36"/>
      <c r="J145" s="5"/>
      <c r="K145" s="163"/>
      <c r="T145"/>
    </row>
    <row r="146" spans="1:20" x14ac:dyDescent="0.2">
      <c r="A146" s="3">
        <v>41974</v>
      </c>
      <c r="B146" s="27">
        <v>102732461.57384616</v>
      </c>
      <c r="C146" s="383">
        <v>551.79999999999995</v>
      </c>
      <c r="D146" s="383">
        <v>0</v>
      </c>
      <c r="E146" s="92">
        <v>6.6000000000000003E-2</v>
      </c>
      <c r="F146" s="43">
        <v>31</v>
      </c>
      <c r="G146" s="10">
        <v>0</v>
      </c>
      <c r="H146" s="10">
        <f t="shared" si="11"/>
        <v>108258530.04580626</v>
      </c>
      <c r="I146" s="36"/>
      <c r="J146" s="5"/>
      <c r="K146" s="163"/>
      <c r="T146"/>
    </row>
    <row r="147" spans="1:20" x14ac:dyDescent="0.2">
      <c r="A147" s="3">
        <v>42005</v>
      </c>
      <c r="B147" s="6">
        <v>113173667.85769232</v>
      </c>
      <c r="C147" s="383">
        <v>775.6</v>
      </c>
      <c r="D147" s="383">
        <v>0</v>
      </c>
      <c r="E147" s="92">
        <v>6.7000000000000004E-2</v>
      </c>
      <c r="F147" s="43">
        <v>31</v>
      </c>
      <c r="G147" s="10">
        <v>0</v>
      </c>
      <c r="H147" s="10">
        <f t="shared" si="11"/>
        <v>116777606.75003651</v>
      </c>
      <c r="I147" s="36"/>
      <c r="J147" s="5"/>
      <c r="K147" s="163"/>
      <c r="T147"/>
    </row>
    <row r="148" spans="1:20" x14ac:dyDescent="0.2">
      <c r="A148" s="3">
        <v>42036</v>
      </c>
      <c r="B148" s="6">
        <v>107355854.70923078</v>
      </c>
      <c r="C148" s="383">
        <v>809.4</v>
      </c>
      <c r="D148" s="383">
        <v>0</v>
      </c>
      <c r="E148" s="92">
        <v>6.8000000000000005E-2</v>
      </c>
      <c r="F148" s="43">
        <v>28</v>
      </c>
      <c r="G148" s="10">
        <v>0</v>
      </c>
      <c r="H148" s="10">
        <f t="shared" si="11"/>
        <v>109843287.13938633</v>
      </c>
      <c r="I148" s="36"/>
      <c r="J148" s="5"/>
      <c r="K148" s="163"/>
      <c r="T148"/>
    </row>
    <row r="149" spans="1:20" x14ac:dyDescent="0.2">
      <c r="A149" s="3">
        <v>42064</v>
      </c>
      <c r="B149" s="6">
        <v>101615899.94538462</v>
      </c>
      <c r="C149" s="383">
        <v>611.6</v>
      </c>
      <c r="D149" s="383">
        <v>0</v>
      </c>
      <c r="E149" s="92">
        <v>7.2000000000000008E-2</v>
      </c>
      <c r="F149" s="43">
        <v>31</v>
      </c>
      <c r="G149" s="10">
        <v>1</v>
      </c>
      <c r="H149" s="10">
        <f t="shared" si="11"/>
        <v>103345004.02354485</v>
      </c>
      <c r="I149" s="36"/>
      <c r="J149" s="5"/>
      <c r="K149" s="163"/>
      <c r="T149"/>
    </row>
    <row r="150" spans="1:20" x14ac:dyDescent="0.2">
      <c r="A150" s="3">
        <v>42095</v>
      </c>
      <c r="B150" s="6">
        <v>84454597.615384623</v>
      </c>
      <c r="C150" s="383">
        <v>335.6</v>
      </c>
      <c r="D150" s="383">
        <v>0</v>
      </c>
      <c r="E150" s="92">
        <v>7.5999999999999998E-2</v>
      </c>
      <c r="F150" s="43">
        <v>30</v>
      </c>
      <c r="G150" s="10">
        <v>1</v>
      </c>
      <c r="H150" s="10">
        <f t="shared" si="11"/>
        <v>89716258.515133917</v>
      </c>
      <c r="I150" s="36"/>
      <c r="J150" s="5"/>
      <c r="K150" s="163"/>
      <c r="T150"/>
    </row>
    <row r="151" spans="1:20" x14ac:dyDescent="0.2">
      <c r="A151" s="3">
        <v>42125</v>
      </c>
      <c r="B151" s="6">
        <v>81506281.84615384</v>
      </c>
      <c r="C151" s="383">
        <v>120.5</v>
      </c>
      <c r="D151" s="383">
        <v>1.8</v>
      </c>
      <c r="E151" s="92">
        <v>7.8E-2</v>
      </c>
      <c r="F151" s="43">
        <v>31</v>
      </c>
      <c r="G151" s="10">
        <v>1</v>
      </c>
      <c r="H151" s="10">
        <f t="shared" si="11"/>
        <v>84294029.6173473</v>
      </c>
      <c r="I151" s="36"/>
      <c r="J151" s="5"/>
      <c r="K151" s="163"/>
      <c r="T151"/>
    </row>
    <row r="152" spans="1:20" x14ac:dyDescent="0.2">
      <c r="A152" s="3">
        <v>42156</v>
      </c>
      <c r="B152" s="6">
        <v>83276943.692307696</v>
      </c>
      <c r="C152" s="383">
        <v>50.2</v>
      </c>
      <c r="D152" s="383">
        <v>13.1</v>
      </c>
      <c r="E152" s="92">
        <v>7.8E-2</v>
      </c>
      <c r="F152" s="43">
        <v>30</v>
      </c>
      <c r="G152" s="10">
        <v>0</v>
      </c>
      <c r="H152" s="10">
        <f t="shared" si="11"/>
        <v>87354573.205701098</v>
      </c>
      <c r="I152" s="36"/>
      <c r="J152" s="5"/>
      <c r="K152" s="163"/>
      <c r="T152"/>
    </row>
    <row r="153" spans="1:20" x14ac:dyDescent="0.2">
      <c r="A153" s="3">
        <v>42186</v>
      </c>
      <c r="B153" s="6">
        <v>99414180.230769232</v>
      </c>
      <c r="C153" s="383">
        <v>6.8</v>
      </c>
      <c r="D153" s="383">
        <v>71.5</v>
      </c>
      <c r="E153" s="92">
        <v>7.8E-2</v>
      </c>
      <c r="F153" s="43">
        <v>31</v>
      </c>
      <c r="G153" s="10">
        <v>0</v>
      </c>
      <c r="H153" s="10">
        <f t="shared" si="11"/>
        <v>97358237.989440769</v>
      </c>
      <c r="I153" s="36"/>
      <c r="J153" s="5"/>
      <c r="K153" s="163"/>
      <c r="T153"/>
    </row>
    <row r="154" spans="1:20" x14ac:dyDescent="0.2">
      <c r="A154" s="3">
        <v>42217</v>
      </c>
      <c r="B154" s="6">
        <v>95068872.238461539</v>
      </c>
      <c r="C154" s="383">
        <v>4.9000000000000004</v>
      </c>
      <c r="D154" s="383">
        <v>62</v>
      </c>
      <c r="E154" s="92">
        <v>0.08</v>
      </c>
      <c r="F154" s="43">
        <v>31</v>
      </c>
      <c r="G154" s="10">
        <v>0</v>
      </c>
      <c r="H154" s="10">
        <f t="shared" si="11"/>
        <v>95674516.567982763</v>
      </c>
      <c r="I154" s="36"/>
      <c r="J154" s="5"/>
      <c r="K154" s="163"/>
      <c r="T154"/>
    </row>
    <row r="155" spans="1:20" x14ac:dyDescent="0.2">
      <c r="A155" s="3">
        <v>42248</v>
      </c>
      <c r="B155" s="6">
        <v>91662129.461538464</v>
      </c>
      <c r="C155" s="383">
        <v>37</v>
      </c>
      <c r="D155" s="383">
        <v>48.6</v>
      </c>
      <c r="E155" s="92">
        <v>8.3000000000000004E-2</v>
      </c>
      <c r="F155" s="43">
        <v>30</v>
      </c>
      <c r="G155" s="10">
        <v>1</v>
      </c>
      <c r="H155" s="10">
        <f t="shared" si="11"/>
        <v>85156156.335731119</v>
      </c>
      <c r="I155" s="36"/>
      <c r="J155" s="5"/>
      <c r="K155" s="163"/>
      <c r="T155"/>
    </row>
    <row r="156" spans="1:20" x14ac:dyDescent="0.2">
      <c r="A156" s="3">
        <v>42278</v>
      </c>
      <c r="B156" s="6">
        <v>83968946.230769232</v>
      </c>
      <c r="C156" s="383">
        <v>248.1</v>
      </c>
      <c r="D156" s="383">
        <v>0</v>
      </c>
      <c r="E156" s="92">
        <v>8.1000000000000003E-2</v>
      </c>
      <c r="F156" s="43">
        <v>31</v>
      </c>
      <c r="G156" s="10">
        <v>1</v>
      </c>
      <c r="H156" s="10">
        <f t="shared" si="11"/>
        <v>88687602.917419806</v>
      </c>
      <c r="I156" s="36"/>
      <c r="J156" s="5"/>
      <c r="K156" s="163"/>
      <c r="T156"/>
    </row>
    <row r="157" spans="1:20" x14ac:dyDescent="0.2">
      <c r="A157" s="3">
        <v>42309</v>
      </c>
      <c r="B157" s="6">
        <v>87046492.692307696</v>
      </c>
      <c r="C157" s="383">
        <v>345.6</v>
      </c>
      <c r="D157" s="383">
        <v>0</v>
      </c>
      <c r="E157" s="92">
        <v>7.8E-2</v>
      </c>
      <c r="F157" s="43">
        <v>30</v>
      </c>
      <c r="G157" s="10">
        <v>1</v>
      </c>
      <c r="H157" s="10">
        <f t="shared" si="11"/>
        <v>89945895.114921853</v>
      </c>
      <c r="I157" s="36"/>
      <c r="J157" s="5"/>
      <c r="K157" s="163"/>
      <c r="T157"/>
    </row>
    <row r="158" spans="1:20" x14ac:dyDescent="0.2">
      <c r="A158" s="3">
        <v>42339</v>
      </c>
      <c r="B158" s="6">
        <v>94797164.692307696</v>
      </c>
      <c r="C158" s="383">
        <v>415</v>
      </c>
      <c r="D158" s="383">
        <v>0</v>
      </c>
      <c r="E158" s="92">
        <v>7.0000000000000007E-2</v>
      </c>
      <c r="F158" s="43">
        <v>31</v>
      </c>
      <c r="G158" s="10">
        <v>0</v>
      </c>
      <c r="H158" s="10">
        <f t="shared" si="11"/>
        <v>102695007.46019053</v>
      </c>
      <c r="I158" s="36"/>
      <c r="J158" s="5"/>
      <c r="K158" s="163"/>
      <c r="T158"/>
    </row>
    <row r="159" spans="1:20" x14ac:dyDescent="0.2">
      <c r="A159" s="3">
        <v>42370</v>
      </c>
      <c r="B159" s="6">
        <v>105036543.53846155</v>
      </c>
      <c r="C159" s="383">
        <v>689.4</v>
      </c>
      <c r="D159" s="383">
        <v>0</v>
      </c>
      <c r="E159" s="92">
        <v>6.4000000000000001E-2</v>
      </c>
      <c r="F159" s="43">
        <v>31</v>
      </c>
      <c r="G159" s="10">
        <v>0</v>
      </c>
      <c r="H159" s="10">
        <f t="shared" si="11"/>
        <v>113698310.9070788</v>
      </c>
      <c r="I159" s="36"/>
      <c r="J159" s="5"/>
      <c r="K159" s="163"/>
      <c r="T159"/>
    </row>
    <row r="160" spans="1:20" x14ac:dyDescent="0.2">
      <c r="A160" s="3">
        <v>42401</v>
      </c>
      <c r="B160" s="6">
        <v>96391484.384615391</v>
      </c>
      <c r="C160" s="383">
        <v>623.20000000000005</v>
      </c>
      <c r="D160" s="383">
        <v>0</v>
      </c>
      <c r="E160" s="92">
        <v>6.0999999999999999E-2</v>
      </c>
      <c r="F160" s="43">
        <v>29</v>
      </c>
      <c r="G160" s="10">
        <v>0</v>
      </c>
      <c r="H160" s="10">
        <f t="shared" si="11"/>
        <v>105950318.34034945</v>
      </c>
      <c r="I160" s="36"/>
      <c r="J160" s="5"/>
      <c r="K160" s="163"/>
      <c r="T160"/>
    </row>
    <row r="161" spans="1:20" x14ac:dyDescent="0.2">
      <c r="A161" s="3">
        <v>42430</v>
      </c>
      <c r="B161" s="6">
        <v>93754132.461538464</v>
      </c>
      <c r="C161" s="383">
        <v>531.20000000000005</v>
      </c>
      <c r="D161" s="383">
        <v>0</v>
      </c>
      <c r="E161" s="92">
        <v>6.0999999999999999E-2</v>
      </c>
      <c r="F161" s="43">
        <v>31</v>
      </c>
      <c r="G161" s="10">
        <v>1</v>
      </c>
      <c r="H161" s="10">
        <f t="shared" si="11"/>
        <v>101106371.26460999</v>
      </c>
      <c r="I161" s="36"/>
      <c r="J161" s="5"/>
      <c r="K161" s="163"/>
      <c r="T161"/>
    </row>
    <row r="162" spans="1:20" x14ac:dyDescent="0.2">
      <c r="A162" s="3">
        <v>42461</v>
      </c>
      <c r="B162" s="6">
        <v>84646746.000000015</v>
      </c>
      <c r="C162" s="383">
        <v>421.9</v>
      </c>
      <c r="D162" s="383">
        <v>0</v>
      </c>
      <c r="E162" s="92">
        <v>6.0999999999999999E-2</v>
      </c>
      <c r="F162" s="43">
        <v>30</v>
      </c>
      <c r="G162" s="10">
        <v>1</v>
      </c>
      <c r="H162" s="10">
        <f t="shared" si="11"/>
        <v>94189627.895240992</v>
      </c>
      <c r="I162" s="36"/>
      <c r="J162" s="5"/>
      <c r="K162" s="163"/>
      <c r="T162"/>
    </row>
    <row r="163" spans="1:20" x14ac:dyDescent="0.2">
      <c r="A163" s="3">
        <v>42491</v>
      </c>
      <c r="B163" s="6">
        <v>82523654.769230768</v>
      </c>
      <c r="C163" s="383">
        <v>164.3</v>
      </c>
      <c r="D163" s="383">
        <v>19.399999999999999</v>
      </c>
      <c r="E163" s="92">
        <v>5.7999999999999996E-2</v>
      </c>
      <c r="F163" s="43">
        <v>31</v>
      </c>
      <c r="G163" s="10">
        <v>1</v>
      </c>
      <c r="H163" s="10">
        <f t="shared" si="11"/>
        <v>90219053.816146001</v>
      </c>
      <c r="I163" s="36"/>
      <c r="J163" s="5"/>
      <c r="K163" s="163"/>
      <c r="T163"/>
    </row>
    <row r="164" spans="1:20" x14ac:dyDescent="0.2">
      <c r="A164" s="3">
        <v>42522</v>
      </c>
      <c r="B164" s="6">
        <v>88597407.692307696</v>
      </c>
      <c r="C164" s="383">
        <v>39.1</v>
      </c>
      <c r="D164" s="383">
        <v>43.8</v>
      </c>
      <c r="E164" s="92">
        <v>6.5000000000000002E-2</v>
      </c>
      <c r="F164" s="43">
        <v>30</v>
      </c>
      <c r="G164" s="10">
        <v>0</v>
      </c>
      <c r="H164" s="10">
        <f t="shared" si="11"/>
        <v>92638325.550068289</v>
      </c>
      <c r="I164" s="36"/>
      <c r="J164" s="5"/>
      <c r="K164" s="163"/>
      <c r="T164"/>
    </row>
    <row r="165" spans="1:20" x14ac:dyDescent="0.2">
      <c r="A165" s="3">
        <v>42552</v>
      </c>
      <c r="B165" s="6">
        <v>105096208.07692309</v>
      </c>
      <c r="C165" s="383">
        <v>2.4</v>
      </c>
      <c r="D165" s="383">
        <v>120.7</v>
      </c>
      <c r="E165" s="92">
        <v>6.5000000000000002E-2</v>
      </c>
      <c r="F165" s="43">
        <v>31</v>
      </c>
      <c r="G165" s="10">
        <v>0</v>
      </c>
      <c r="H165" s="10">
        <f t="shared" si="11"/>
        <v>105735237.78792161</v>
      </c>
      <c r="I165" s="36"/>
      <c r="J165" s="5"/>
      <c r="K165" s="163"/>
      <c r="T165"/>
    </row>
    <row r="166" spans="1:20" x14ac:dyDescent="0.2">
      <c r="A166" s="3">
        <v>42583</v>
      </c>
      <c r="B166" s="6">
        <v>110653600</v>
      </c>
      <c r="C166" s="383">
        <v>1.4</v>
      </c>
      <c r="D166" s="383">
        <v>135.6</v>
      </c>
      <c r="E166" s="92">
        <v>6.9000000000000006E-2</v>
      </c>
      <c r="F166" s="43">
        <v>31</v>
      </c>
      <c r="G166" s="10">
        <v>0</v>
      </c>
      <c r="H166" s="10">
        <f t="shared" si="11"/>
        <v>107671932.39752652</v>
      </c>
      <c r="I166" s="36"/>
      <c r="J166" s="5"/>
      <c r="K166" s="163"/>
      <c r="T166"/>
    </row>
    <row r="167" spans="1:20" x14ac:dyDescent="0.2">
      <c r="A167" s="3">
        <v>42614</v>
      </c>
      <c r="B167" s="6">
        <v>88623306</v>
      </c>
      <c r="C167" s="383">
        <v>50.8</v>
      </c>
      <c r="D167" s="383">
        <v>35.299999999999997</v>
      </c>
      <c r="E167" s="92">
        <v>6.4000000000000001E-2</v>
      </c>
      <c r="F167" s="43">
        <v>30</v>
      </c>
      <c r="G167" s="10">
        <v>1</v>
      </c>
      <c r="H167" s="10">
        <f t="shared" si="11"/>
        <v>85114912.24990277</v>
      </c>
      <c r="I167" s="36"/>
      <c r="J167" s="5"/>
      <c r="K167" s="163"/>
      <c r="T167"/>
    </row>
    <row r="168" spans="1:20" x14ac:dyDescent="0.2">
      <c r="A168" s="3">
        <v>42644</v>
      </c>
      <c r="B168" s="6">
        <v>81876959.846153855</v>
      </c>
      <c r="C168" s="383">
        <v>204</v>
      </c>
      <c r="D168" s="383">
        <v>0.3</v>
      </c>
      <c r="E168" s="92">
        <v>0.06</v>
      </c>
      <c r="F168" s="43">
        <v>31</v>
      </c>
      <c r="G168" s="10">
        <v>1</v>
      </c>
      <c r="H168" s="10">
        <f t="shared" si="11"/>
        <v>88661616.982890844</v>
      </c>
      <c r="I168" s="36"/>
      <c r="J168" s="5"/>
      <c r="K168" s="163"/>
      <c r="T168"/>
    </row>
    <row r="169" spans="1:20" x14ac:dyDescent="0.2">
      <c r="A169" s="3">
        <v>42675</v>
      </c>
      <c r="B169" s="6">
        <v>84765722.742307693</v>
      </c>
      <c r="C169" s="383">
        <v>298.5</v>
      </c>
      <c r="D169" s="383">
        <v>0</v>
      </c>
      <c r="E169" s="92">
        <v>5.4000000000000006E-2</v>
      </c>
      <c r="F169" s="43">
        <v>30</v>
      </c>
      <c r="G169" s="10">
        <v>1</v>
      </c>
      <c r="H169" s="10">
        <f t="shared" si="11"/>
        <v>89990395.029331803</v>
      </c>
      <c r="I169" s="36"/>
      <c r="J169" s="5"/>
      <c r="K169" s="163"/>
      <c r="T169"/>
    </row>
    <row r="170" spans="1:20" x14ac:dyDescent="0.2">
      <c r="A170" s="3">
        <v>42705</v>
      </c>
      <c r="B170" s="6">
        <v>100061668.77</v>
      </c>
      <c r="C170" s="383">
        <v>483.4</v>
      </c>
      <c r="D170" s="383">
        <v>0</v>
      </c>
      <c r="E170" s="92">
        <v>5.2000000000000005E-2</v>
      </c>
      <c r="F170" s="43">
        <v>31</v>
      </c>
      <c r="G170" s="10">
        <v>0</v>
      </c>
      <c r="H170" s="10">
        <f t="shared" si="11"/>
        <v>106712530.94713958</v>
      </c>
      <c r="I170" s="36"/>
      <c r="J170" s="5"/>
      <c r="K170" s="163"/>
      <c r="T170"/>
    </row>
    <row r="171" spans="1:20" x14ac:dyDescent="0.2">
      <c r="A171" s="3">
        <v>42736</v>
      </c>
      <c r="B171" s="27">
        <v>100646849</v>
      </c>
      <c r="C171" s="383">
        <v>584</v>
      </c>
      <c r="D171" s="383">
        <f ca="1">(+D159/SUM(D$159:D$170))*Trends!C$16</f>
        <v>0</v>
      </c>
      <c r="E171" s="443">
        <v>5.2999999999999999E-2</v>
      </c>
      <c r="F171" s="444">
        <v>31</v>
      </c>
      <c r="G171" s="17">
        <v>0</v>
      </c>
      <c r="H171" s="17">
        <f ca="1">$M$18+C171*$M$19+D171*$M$20+E171*$M$21+F171*$M$22+G171*$M$23</f>
        <v>110499410.96300498</v>
      </c>
      <c r="I171" s="36"/>
      <c r="J171" s="5"/>
      <c r="K171" s="163"/>
      <c r="T171"/>
    </row>
    <row r="172" spans="1:20" x14ac:dyDescent="0.2">
      <c r="A172" s="3">
        <v>42767</v>
      </c>
      <c r="B172" s="27">
        <v>87854689</v>
      </c>
      <c r="C172" s="383">
        <v>506</v>
      </c>
      <c r="D172" s="383">
        <f ca="1">(+D160/SUM(D$159:D$170))*Trends!C$16</f>
        <v>0</v>
      </c>
      <c r="E172" s="443">
        <v>5.9000000000000004E-2</v>
      </c>
      <c r="F172" s="444">
        <v>28</v>
      </c>
      <c r="G172" s="17">
        <v>0</v>
      </c>
      <c r="H172" s="17">
        <f t="shared" ca="1" si="11"/>
        <v>98884600.814744189</v>
      </c>
      <c r="I172" s="36"/>
      <c r="J172" s="5"/>
      <c r="K172" s="163"/>
      <c r="T172"/>
    </row>
    <row r="173" spans="1:20" x14ac:dyDescent="0.2">
      <c r="A173" s="3">
        <v>42795</v>
      </c>
      <c r="B173" s="27">
        <v>87926013</v>
      </c>
      <c r="C173" s="383">
        <v>561</v>
      </c>
      <c r="D173" s="383">
        <f ca="1">(+D161/SUM(D$159:D$170))*Trends!C$16</f>
        <v>0</v>
      </c>
      <c r="E173" s="443">
        <v>6.2E-2</v>
      </c>
      <c r="F173" s="444">
        <v>31</v>
      </c>
      <c r="G173" s="17">
        <v>1</v>
      </c>
      <c r="H173" s="17">
        <f t="shared" ca="1" si="11"/>
        <v>102173774.61216182</v>
      </c>
      <c r="I173" s="36"/>
      <c r="J173" s="5"/>
      <c r="K173" s="163"/>
      <c r="T173"/>
    </row>
    <row r="174" spans="1:20" x14ac:dyDescent="0.2">
      <c r="A174" s="3">
        <v>42826</v>
      </c>
      <c r="B174" s="435">
        <f t="shared" ref="B174:B206" ca="1" si="16">+H174</f>
        <v>93247444.991928399</v>
      </c>
      <c r="C174" s="436">
        <f>(+C162/SUM(C$159:C$170))*Trends!B$16</f>
        <v>410.06381244743028</v>
      </c>
      <c r="D174" s="436">
        <f ca="1">(+D162/SUM(D$159:D$170))*Trends!C$16</f>
        <v>0</v>
      </c>
      <c r="E174" s="437">
        <v>6.7312499999999997E-2</v>
      </c>
      <c r="F174" s="438">
        <v>30</v>
      </c>
      <c r="G174" s="439">
        <v>1</v>
      </c>
      <c r="H174" s="439">
        <f t="shared" ca="1" si="11"/>
        <v>93247444.991928399</v>
      </c>
      <c r="I174" s="36"/>
      <c r="J174" s="5"/>
      <c r="K174" s="163"/>
      <c r="T174"/>
    </row>
    <row r="175" spans="1:20" x14ac:dyDescent="0.2">
      <c r="A175" s="3">
        <v>42856</v>
      </c>
      <c r="B175" s="435">
        <f t="shared" ca="1" si="16"/>
        <v>88495099.894857064</v>
      </c>
      <c r="C175" s="436">
        <f>(+C163/SUM(C$159:C$170))*Trends!B$16</f>
        <v>159.69064798557193</v>
      </c>
      <c r="D175" s="436">
        <f ca="1">(+D163/SUM(D$159:D$170))*Trends!C$16</f>
        <v>14.000793761762511</v>
      </c>
      <c r="E175" s="437">
        <v>6.7312499999999997E-2</v>
      </c>
      <c r="F175" s="438">
        <v>31</v>
      </c>
      <c r="G175" s="439">
        <v>1</v>
      </c>
      <c r="H175" s="439">
        <f t="shared" ca="1" si="11"/>
        <v>88495099.894857064</v>
      </c>
      <c r="I175" s="36"/>
      <c r="J175" s="5"/>
      <c r="K175" s="163"/>
      <c r="T175"/>
    </row>
    <row r="176" spans="1:20" x14ac:dyDescent="0.2">
      <c r="A176" s="3">
        <v>42887</v>
      </c>
      <c r="B176" s="435">
        <f t="shared" ca="1" si="16"/>
        <v>90548966.077008516</v>
      </c>
      <c r="C176" s="436">
        <f>(+C164/SUM(C$159:C$170))*Trends!B$16</f>
        <v>38.003069605817792</v>
      </c>
      <c r="D176" s="436">
        <f ca="1">(+D164/SUM(D$159:D$170))*Trends!C$16</f>
        <v>31.610039523979275</v>
      </c>
      <c r="E176" s="437">
        <v>6.7312499999999997E-2</v>
      </c>
      <c r="F176" s="438">
        <v>30</v>
      </c>
      <c r="G176" s="439">
        <v>0</v>
      </c>
      <c r="H176" s="439">
        <f t="shared" ca="1" si="11"/>
        <v>90548966.077008516</v>
      </c>
      <c r="I176" s="36"/>
      <c r="J176" s="5"/>
      <c r="K176" s="163"/>
      <c r="T176"/>
    </row>
    <row r="177" spans="1:20" x14ac:dyDescent="0.2">
      <c r="A177" s="3">
        <v>42917</v>
      </c>
      <c r="B177" s="435">
        <f t="shared" ca="1" si="16"/>
        <v>100462590.40997171</v>
      </c>
      <c r="C177" s="436">
        <f>(+C165/SUM(C$159:C$170))*Trends!B$16</f>
        <v>2.3326692341166928</v>
      </c>
      <c r="D177" s="436">
        <f ca="1">(+D165/SUM(D$159:D$170))*Trends!C$16</f>
        <v>87.108031290965727</v>
      </c>
      <c r="E177" s="437">
        <v>6.6562659999999996E-2</v>
      </c>
      <c r="F177" s="438">
        <v>31</v>
      </c>
      <c r="G177" s="439">
        <v>0</v>
      </c>
      <c r="H177" s="439">
        <f t="shared" ca="1" si="11"/>
        <v>100462590.40997171</v>
      </c>
      <c r="I177" s="36"/>
      <c r="J177" s="5"/>
      <c r="K177" s="163"/>
      <c r="T177"/>
    </row>
    <row r="178" spans="1:20" x14ac:dyDescent="0.2">
      <c r="A178" s="3">
        <v>42948</v>
      </c>
      <c r="B178" s="435">
        <f t="shared" ca="1" si="16"/>
        <v>102073631.27474773</v>
      </c>
      <c r="C178" s="436">
        <f>(+C166/SUM(C$159:C$170))*Trends!B$16</f>
        <v>1.3607237199014042</v>
      </c>
      <c r="D178" s="436">
        <f ca="1">(+D166/SUM(D$159:D$170))*Trends!C$16</f>
        <v>97.861218252319404</v>
      </c>
      <c r="E178" s="437">
        <v>6.6562659999999996E-2</v>
      </c>
      <c r="F178" s="438">
        <v>31</v>
      </c>
      <c r="G178" s="439">
        <v>0</v>
      </c>
      <c r="H178" s="439">
        <f t="shared" ca="1" si="11"/>
        <v>102073631.27474773</v>
      </c>
      <c r="I178" s="36"/>
      <c r="J178" s="5"/>
      <c r="K178" s="163"/>
      <c r="T178"/>
    </row>
    <row r="179" spans="1:20" x14ac:dyDescent="0.2">
      <c r="A179" s="3">
        <v>42979</v>
      </c>
      <c r="B179" s="435">
        <f t="shared" ca="1" si="16"/>
        <v>83356255.420061022</v>
      </c>
      <c r="C179" s="436">
        <f>(+C167/SUM(C$159:C$170))*Trends!B$16</f>
        <v>49.374832122136667</v>
      </c>
      <c r="D179" s="436">
        <f ca="1">(+D167/SUM(D$159:D$170))*Trends!C$16</f>
        <v>25.475671123207043</v>
      </c>
      <c r="E179" s="437">
        <v>6.6562659999999996E-2</v>
      </c>
      <c r="F179" s="438">
        <v>30</v>
      </c>
      <c r="G179" s="439">
        <v>1</v>
      </c>
      <c r="H179" s="439">
        <f t="shared" ca="1" si="11"/>
        <v>83356255.420061022</v>
      </c>
      <c r="I179" s="36"/>
      <c r="J179" s="5"/>
      <c r="K179" s="163"/>
      <c r="T179"/>
    </row>
    <row r="180" spans="1:20" x14ac:dyDescent="0.2">
      <c r="A180" s="3">
        <v>43009</v>
      </c>
      <c r="B180" s="435">
        <f t="shared" ca="1" si="16"/>
        <v>87970393.450647324</v>
      </c>
      <c r="C180" s="436">
        <f>(+C168/SUM(C$159:C$170))*Trends!B$16</f>
        <v>198.27688489991891</v>
      </c>
      <c r="D180" s="436">
        <f ca="1">(+D168/SUM(D$159:D$170))*Trends!C$16</f>
        <v>0.21650712002725533</v>
      </c>
      <c r="E180" s="437">
        <v>6.5937659999999995E-2</v>
      </c>
      <c r="F180" s="438">
        <v>31</v>
      </c>
      <c r="G180" s="439">
        <v>1</v>
      </c>
      <c r="H180" s="439">
        <f t="shared" ca="1" si="11"/>
        <v>87970393.450647324</v>
      </c>
      <c r="I180" s="36"/>
      <c r="J180" s="5"/>
      <c r="K180" s="163"/>
      <c r="T180"/>
    </row>
    <row r="181" spans="1:20" x14ac:dyDescent="0.2">
      <c r="A181" s="3">
        <v>43040</v>
      </c>
      <c r="B181" s="435">
        <f t="shared" ca="1" si="16"/>
        <v>88746726.98516047</v>
      </c>
      <c r="C181" s="436">
        <f>(+C169/SUM(C$159:C$170))*Trends!B$16</f>
        <v>290.12573599326367</v>
      </c>
      <c r="D181" s="436">
        <f ca="1">(+D169/SUM(D$159:D$170))*Trends!C$16</f>
        <v>0</v>
      </c>
      <c r="E181" s="437">
        <v>6.5937659999999995E-2</v>
      </c>
      <c r="F181" s="438">
        <v>30</v>
      </c>
      <c r="G181" s="439">
        <v>1</v>
      </c>
      <c r="H181" s="439">
        <f t="shared" ca="1" si="11"/>
        <v>88746726.98516047</v>
      </c>
      <c r="I181" s="36"/>
      <c r="J181" s="5"/>
      <c r="K181" s="163"/>
      <c r="T181"/>
    </row>
    <row r="182" spans="1:20" x14ac:dyDescent="0.2">
      <c r="A182" s="3">
        <v>43070</v>
      </c>
      <c r="B182" s="435">
        <f t="shared" ca="1" si="16"/>
        <v>105115145.85240594</v>
      </c>
      <c r="C182" s="436">
        <f>(+C170/SUM(C$159:C$170))*Trends!B$16</f>
        <v>469.83846157167056</v>
      </c>
      <c r="D182" s="436">
        <f ca="1">(+D170/SUM(D$159:D$170))*Trends!C$16</f>
        <v>0</v>
      </c>
      <c r="E182" s="437">
        <v>6.5937659999999995E-2</v>
      </c>
      <c r="F182" s="438">
        <v>31</v>
      </c>
      <c r="G182" s="439">
        <v>0</v>
      </c>
      <c r="H182" s="439">
        <f t="shared" ca="1" si="11"/>
        <v>105115145.85240594</v>
      </c>
      <c r="I182" s="36"/>
      <c r="J182" s="5"/>
      <c r="K182" s="163"/>
      <c r="T182"/>
    </row>
    <row r="183" spans="1:20" x14ac:dyDescent="0.2">
      <c r="A183" s="3">
        <v>43101</v>
      </c>
      <c r="B183" s="435">
        <f t="shared" ca="1" si="16"/>
        <v>110389173.53422323</v>
      </c>
      <c r="C183" s="436">
        <f>(+C171/SUM(C$171:C$182))*Trends!B$17</f>
        <v>607.71046849740094</v>
      </c>
      <c r="D183" s="436">
        <f ca="1">(+D171/SUM(D$171:D$182))*Trends!C$17</f>
        <v>0</v>
      </c>
      <c r="E183" s="437">
        <v>6.6219020000000003E-2</v>
      </c>
      <c r="F183" s="438">
        <v>31</v>
      </c>
      <c r="G183" s="439">
        <v>0</v>
      </c>
      <c r="H183" s="439">
        <f t="shared" ca="1" si="11"/>
        <v>110389173.53422323</v>
      </c>
      <c r="I183" s="36"/>
      <c r="J183" s="5"/>
      <c r="K183" s="163"/>
      <c r="T183"/>
    </row>
    <row r="184" spans="1:20" x14ac:dyDescent="0.2">
      <c r="A184" s="3">
        <v>43132</v>
      </c>
      <c r="B184" s="435">
        <f t="shared" ca="1" si="16"/>
        <v>99116134.892484486</v>
      </c>
      <c r="C184" s="436">
        <f>(+C172/SUM(C$171:C$182))*Trends!B$17</f>
        <v>526.54365934877546</v>
      </c>
      <c r="D184" s="436">
        <f ca="1">(+D172/SUM(D$171:D$182))*Trends!C$17</f>
        <v>0</v>
      </c>
      <c r="E184" s="437">
        <v>6.6219020000000003E-2</v>
      </c>
      <c r="F184" s="438">
        <v>28</v>
      </c>
      <c r="G184" s="439">
        <v>0</v>
      </c>
      <c r="H184" s="439">
        <f t="shared" ca="1" si="11"/>
        <v>99116134.892484486</v>
      </c>
      <c r="I184" s="36"/>
      <c r="J184" s="5"/>
      <c r="K184" s="163"/>
      <c r="T184"/>
    </row>
    <row r="185" spans="1:20" x14ac:dyDescent="0.2">
      <c r="A185" s="3">
        <v>43160</v>
      </c>
      <c r="B185" s="435">
        <f t="shared" ca="1" si="16"/>
        <v>102722785.41406575</v>
      </c>
      <c r="C185" s="436">
        <f>(+C173/SUM(C$171:C$182))*Trends!B$17</f>
        <v>583.77666579972936</v>
      </c>
      <c r="D185" s="436">
        <f ca="1">(+D173/SUM(D$171:D$182))*Trends!C$17</f>
        <v>0</v>
      </c>
      <c r="E185" s="437">
        <v>6.6219020000000003E-2</v>
      </c>
      <c r="F185" s="438">
        <v>31</v>
      </c>
      <c r="G185" s="439">
        <v>1</v>
      </c>
      <c r="H185" s="439">
        <f t="shared" ca="1" si="11"/>
        <v>102722785.41406575</v>
      </c>
      <c r="I185" s="36"/>
      <c r="J185" s="5"/>
      <c r="K185" s="163"/>
      <c r="T185"/>
    </row>
    <row r="186" spans="1:20" x14ac:dyDescent="0.2">
      <c r="A186" s="3">
        <v>43191</v>
      </c>
      <c r="B186" s="435">
        <f t="shared" ca="1" si="16"/>
        <v>94024521.963142872</v>
      </c>
      <c r="C186" s="436">
        <f>(+C174/SUM(C$171:C$182))*Trends!B$17</f>
        <v>426.71245132920933</v>
      </c>
      <c r="D186" s="436">
        <f ca="1">(+D174/SUM(D$171:D$182))*Trends!C$17</f>
        <v>0</v>
      </c>
      <c r="E186" s="437">
        <v>6.5531039999999999E-2</v>
      </c>
      <c r="F186" s="438">
        <v>30</v>
      </c>
      <c r="G186" s="439">
        <v>1</v>
      </c>
      <c r="H186" s="439">
        <f t="shared" ca="1" si="11"/>
        <v>94024521.963142872</v>
      </c>
      <c r="I186" s="36"/>
      <c r="J186" s="5"/>
      <c r="K186" s="163"/>
      <c r="T186"/>
    </row>
    <row r="187" spans="1:20" x14ac:dyDescent="0.2">
      <c r="A187" s="3">
        <v>43221</v>
      </c>
      <c r="B187" s="435">
        <f t="shared" ca="1" si="16"/>
        <v>88902495.178944245</v>
      </c>
      <c r="C187" s="436">
        <f>(+C175/SUM(C$171:C$182))*Trends!B$17</f>
        <v>166.17410702391345</v>
      </c>
      <c r="D187" s="436">
        <f ca="1">(+D175/SUM(D$171:D$182))*Trends!C$17</f>
        <v>14.136286176978922</v>
      </c>
      <c r="E187" s="437">
        <v>6.5531039999999999E-2</v>
      </c>
      <c r="F187" s="438">
        <v>31</v>
      </c>
      <c r="G187" s="439">
        <v>1</v>
      </c>
      <c r="H187" s="439">
        <f t="shared" ca="1" si="11"/>
        <v>88902495.178944245</v>
      </c>
      <c r="I187" s="36"/>
      <c r="J187" s="5"/>
      <c r="K187" s="163"/>
      <c r="T187"/>
    </row>
    <row r="188" spans="1:20" x14ac:dyDescent="0.2">
      <c r="A188" s="3">
        <v>43252</v>
      </c>
      <c r="B188" s="435">
        <f t="shared" ca="1" si="16"/>
        <v>90792715.123890743</v>
      </c>
      <c r="C188" s="436">
        <f>(+C176/SUM(C$171:C$182))*Trends!B$17</f>
        <v>39.545998689196693</v>
      </c>
      <c r="D188" s="436">
        <f ca="1">(+D176/SUM(D$171:D$182))*Trends!C$17</f>
        <v>31.915945079983338</v>
      </c>
      <c r="E188" s="437">
        <v>6.5531039999999999E-2</v>
      </c>
      <c r="F188" s="438">
        <v>30</v>
      </c>
      <c r="G188" s="439">
        <v>0</v>
      </c>
      <c r="H188" s="439">
        <f t="shared" ca="1" si="11"/>
        <v>90792715.123890743</v>
      </c>
      <c r="I188" s="36"/>
      <c r="J188" s="5"/>
      <c r="K188" s="163"/>
      <c r="T188"/>
    </row>
    <row r="189" spans="1:20" x14ac:dyDescent="0.2">
      <c r="A189" s="3">
        <v>43282</v>
      </c>
      <c r="B189" s="435">
        <f t="shared" ca="1" si="16"/>
        <v>100742689.68360569</v>
      </c>
      <c r="C189" s="436">
        <f>(+C177/SUM(C$171:C$182))*Trends!B$17</f>
        <v>2.4273758786207686</v>
      </c>
      <c r="D189" s="436">
        <f ca="1">(+D177/SUM(D$171:D$182))*Trends!C$17</f>
        <v>87.951017606255462</v>
      </c>
      <c r="E189" s="437">
        <v>6.4656290000000005E-2</v>
      </c>
      <c r="F189" s="438">
        <v>31</v>
      </c>
      <c r="G189" s="439">
        <v>0</v>
      </c>
      <c r="H189" s="439">
        <f t="shared" ca="1" si="11"/>
        <v>100742689.68360569</v>
      </c>
      <c r="I189" s="36"/>
      <c r="J189" s="5"/>
      <c r="K189" s="163"/>
      <c r="T189"/>
    </row>
    <row r="190" spans="1:20" x14ac:dyDescent="0.2">
      <c r="A190" s="3">
        <v>43313</v>
      </c>
      <c r="B190" s="435">
        <f t="shared" ca="1" si="16"/>
        <v>102368166.92796573</v>
      </c>
      <c r="C190" s="436">
        <f>(+C178/SUM(C$171:C$182))*Trends!B$17</f>
        <v>1.4159692625287819</v>
      </c>
      <c r="D190" s="436">
        <f ca="1">(+D178/SUM(D$171:D$182))*Trends!C$17</f>
        <v>98.80826832981144</v>
      </c>
      <c r="E190" s="437">
        <v>6.4656290000000005E-2</v>
      </c>
      <c r="F190" s="438">
        <v>31</v>
      </c>
      <c r="G190" s="439">
        <v>0</v>
      </c>
      <c r="H190" s="439">
        <f t="shared" ca="1" si="11"/>
        <v>102368166.92796573</v>
      </c>
      <c r="I190" s="36"/>
      <c r="J190" s="5"/>
      <c r="K190" s="163"/>
      <c r="T190"/>
    </row>
    <row r="191" spans="1:20" x14ac:dyDescent="0.2">
      <c r="A191" s="3">
        <v>43344</v>
      </c>
      <c r="B191" s="435">
        <f t="shared" ca="1" si="16"/>
        <v>83618285.730464846</v>
      </c>
      <c r="C191" s="436">
        <f>(+C179/SUM(C$171:C$182))*Trends!B$17</f>
        <v>51.379456097472939</v>
      </c>
      <c r="D191" s="436">
        <f ca="1">(+D179/SUM(D$171:D$182))*Trends!C$17</f>
        <v>25.722211445739998</v>
      </c>
      <c r="E191" s="437">
        <v>6.4656290000000005E-2</v>
      </c>
      <c r="F191" s="438">
        <v>30</v>
      </c>
      <c r="G191" s="439">
        <v>1</v>
      </c>
      <c r="H191" s="439">
        <f t="shared" ca="1" si="11"/>
        <v>83618285.730464846</v>
      </c>
      <c r="I191" s="36"/>
      <c r="J191" s="5"/>
      <c r="K191" s="163"/>
      <c r="T191"/>
    </row>
    <row r="192" spans="1:20" x14ac:dyDescent="0.2">
      <c r="A192" s="3">
        <v>43374</v>
      </c>
      <c r="B192" s="435">
        <f t="shared" ca="1" si="16"/>
        <v>88460970.813297659</v>
      </c>
      <c r="C192" s="436">
        <f>(+C180/SUM(C$171:C$182))*Trends!B$17</f>
        <v>206.32694968276536</v>
      </c>
      <c r="D192" s="436">
        <f ca="1">(+D180/SUM(D$171:D$182))*Trends!C$17</f>
        <v>0.21860236356152973</v>
      </c>
      <c r="E192" s="437">
        <v>6.3593549999999999E-2</v>
      </c>
      <c r="F192" s="438">
        <v>31</v>
      </c>
      <c r="G192" s="439">
        <v>1</v>
      </c>
      <c r="H192" s="439">
        <f t="shared" ca="1" si="11"/>
        <v>88460970.813297659</v>
      </c>
      <c r="I192" s="36"/>
      <c r="J192" s="5"/>
      <c r="K192" s="163"/>
      <c r="T192"/>
    </row>
    <row r="193" spans="1:20" x14ac:dyDescent="0.2">
      <c r="A193" s="3">
        <v>43405</v>
      </c>
      <c r="B193" s="435">
        <f t="shared" ca="1" si="16"/>
        <v>89380219.465053365</v>
      </c>
      <c r="C193" s="436">
        <f>(+C181/SUM(C$171:C$182))*Trends!B$17</f>
        <v>301.90487490345811</v>
      </c>
      <c r="D193" s="436">
        <f ca="1">(+D181/SUM(D$171:D$182))*Trends!C$17</f>
        <v>0</v>
      </c>
      <c r="E193" s="437">
        <v>6.3593549999999999E-2</v>
      </c>
      <c r="F193" s="438">
        <v>30</v>
      </c>
      <c r="G193" s="439">
        <v>1</v>
      </c>
      <c r="H193" s="439">
        <f t="shared" ca="1" si="11"/>
        <v>89380219.465053365</v>
      </c>
      <c r="I193" s="36"/>
      <c r="J193" s="5"/>
      <c r="K193" s="163"/>
      <c r="T193"/>
    </row>
    <row r="194" spans="1:20" x14ac:dyDescent="0.2">
      <c r="A194" s="3">
        <v>43435</v>
      </c>
      <c r="B194" s="435">
        <f t="shared" ca="1" si="16"/>
        <v>106028896.44853392</v>
      </c>
      <c r="C194" s="436">
        <f>(+C182/SUM(C$171:C$182))*Trends!B$17</f>
        <v>488.91395821886647</v>
      </c>
      <c r="D194" s="436">
        <f ca="1">(+D182/SUM(D$171:D$182))*Trends!C$17</f>
        <v>0</v>
      </c>
      <c r="E194" s="437">
        <v>6.3593549999999999E-2</v>
      </c>
      <c r="F194" s="438">
        <v>31</v>
      </c>
      <c r="G194" s="439">
        <v>0</v>
      </c>
      <c r="H194" s="439">
        <f t="shared" ca="1" si="11"/>
        <v>106028896.44853392</v>
      </c>
      <c r="I194" s="36"/>
      <c r="J194" s="5"/>
      <c r="K194" s="163"/>
      <c r="T194"/>
    </row>
    <row r="195" spans="1:20" x14ac:dyDescent="0.2">
      <c r="A195" s="3">
        <v>43466</v>
      </c>
      <c r="B195" s="435">
        <f t="shared" ca="1" si="16"/>
        <v>110631483.27331324</v>
      </c>
      <c r="C195" s="436">
        <f>(+C183/SUM(C$183:C$194))*Trends!B$18</f>
        <v>606.22673842566678</v>
      </c>
      <c r="D195" s="436">
        <f ca="1">(+D183/SUM(D$183:D$194))*Trends!C$18</f>
        <v>0</v>
      </c>
      <c r="E195" s="437">
        <v>6.2343830000000003E-2</v>
      </c>
      <c r="F195" s="438">
        <v>31</v>
      </c>
      <c r="G195" s="439">
        <v>0</v>
      </c>
      <c r="H195" s="439">
        <f t="shared" ref="H195:H206" ca="1" si="17">$M$18+C195*$M$19+D195*$M$20+E195*$M$21+F195*$M$22+G195*$M$23</f>
        <v>110631483.27331324</v>
      </c>
      <c r="I195" s="36"/>
      <c r="J195" s="5"/>
      <c r="K195" s="163"/>
      <c r="T195"/>
    </row>
    <row r="196" spans="1:20" x14ac:dyDescent="0.2">
      <c r="A196" s="3">
        <v>43497</v>
      </c>
      <c r="B196" s="435">
        <f t="shared" ca="1" si="16"/>
        <v>99366056.455503285</v>
      </c>
      <c r="C196" s="436">
        <f>(+C184/SUM(C$183:C$194))*Trends!B$18</f>
        <v>525.25809870443049</v>
      </c>
      <c r="D196" s="436">
        <f ca="1">(+D184/SUM(D$183:D$194))*Trends!C$18</f>
        <v>0</v>
      </c>
      <c r="E196" s="437">
        <v>6.2343830000000003E-2</v>
      </c>
      <c r="F196" s="438">
        <v>28</v>
      </c>
      <c r="G196" s="439">
        <v>0</v>
      </c>
      <c r="H196" s="439">
        <f t="shared" ca="1" si="17"/>
        <v>99366056.455503285</v>
      </c>
      <c r="I196" s="36"/>
      <c r="J196" s="5"/>
      <c r="K196" s="163"/>
      <c r="T196"/>
    </row>
    <row r="197" spans="1:20" x14ac:dyDescent="0.2">
      <c r="A197" s="3">
        <v>43525</v>
      </c>
      <c r="B197" s="435">
        <f t="shared" ca="1" si="16"/>
        <v>102967339.6653399</v>
      </c>
      <c r="C197" s="436">
        <f>(+C185/SUM(C$183:C$194))*Trends!B$18</f>
        <v>582.35137030273825</v>
      </c>
      <c r="D197" s="436">
        <f ca="1">(+D185/SUM(D$183:D$194))*Trends!C$18</f>
        <v>0</v>
      </c>
      <c r="E197" s="437">
        <v>6.2343830000000003E-2</v>
      </c>
      <c r="F197" s="438">
        <v>31</v>
      </c>
      <c r="G197" s="439">
        <v>1</v>
      </c>
      <c r="H197" s="439">
        <f t="shared" ca="1" si="17"/>
        <v>102967339.6653399</v>
      </c>
      <c r="I197" s="36"/>
      <c r="J197" s="5"/>
      <c r="K197" s="163"/>
      <c r="T197"/>
    </row>
    <row r="198" spans="1:20" x14ac:dyDescent="0.2">
      <c r="A198" s="3">
        <v>43556</v>
      </c>
      <c r="B198" s="435">
        <f t="shared" ca="1" si="16"/>
        <v>94341693.432828724</v>
      </c>
      <c r="C198" s="436">
        <f>(+C186/SUM(C$183:C$194))*Trends!B$18</f>
        <v>425.67062939452069</v>
      </c>
      <c r="D198" s="436">
        <f ca="1">(+D186/SUM(D$183:D$194))*Trends!C$18</f>
        <v>0</v>
      </c>
      <c r="E198" s="437">
        <v>6.0906349999999998E-2</v>
      </c>
      <c r="F198" s="438">
        <v>30</v>
      </c>
      <c r="G198" s="439">
        <v>1</v>
      </c>
      <c r="H198" s="439">
        <f t="shared" ca="1" si="17"/>
        <v>94341693.432828724</v>
      </c>
      <c r="I198" s="36"/>
      <c r="J198" s="5"/>
      <c r="K198" s="163"/>
      <c r="T198"/>
    </row>
    <row r="199" spans="1:20" x14ac:dyDescent="0.2">
      <c r="A199" s="3">
        <v>43586</v>
      </c>
      <c r="B199" s="435">
        <f t="shared" ca="1" si="16"/>
        <v>89264869.794638768</v>
      </c>
      <c r="C199" s="436">
        <f>(+C187/SUM(C$183:C$194))*Trends!B$18</f>
        <v>165.76839158454547</v>
      </c>
      <c r="D199" s="436">
        <f ca="1">(+D187/SUM(D$183:D$194))*Trends!C$18</f>
        <v>14.271778592195387</v>
      </c>
      <c r="E199" s="437">
        <v>6.0906349999999998E-2</v>
      </c>
      <c r="F199" s="438">
        <v>31</v>
      </c>
      <c r="G199" s="439">
        <v>1</v>
      </c>
      <c r="H199" s="439">
        <f t="shared" ca="1" si="17"/>
        <v>89264869.794638768</v>
      </c>
      <c r="I199" s="36"/>
      <c r="J199" s="5"/>
      <c r="K199" s="163"/>
      <c r="T199"/>
    </row>
    <row r="200" spans="1:20" x14ac:dyDescent="0.2">
      <c r="A200" s="3">
        <v>43617</v>
      </c>
      <c r="B200" s="435">
        <f t="shared" ca="1" si="16"/>
        <v>91193087.83898212</v>
      </c>
      <c r="C200" s="436">
        <f>(+C188/SUM(C$183:C$194))*Trends!B$18</f>
        <v>39.449446810442659</v>
      </c>
      <c r="D200" s="436">
        <f ca="1">(+D188/SUM(D$183:D$194))*Trends!C$18</f>
        <v>32.221850635987522</v>
      </c>
      <c r="E200" s="437">
        <v>6.0906349999999998E-2</v>
      </c>
      <c r="F200" s="438">
        <v>30</v>
      </c>
      <c r="G200" s="439">
        <v>0</v>
      </c>
      <c r="H200" s="439">
        <f t="shared" ca="1" si="17"/>
        <v>91193087.83898212</v>
      </c>
      <c r="I200" s="36"/>
      <c r="J200" s="5"/>
      <c r="K200" s="163"/>
      <c r="T200"/>
    </row>
    <row r="201" spans="1:20" x14ac:dyDescent="0.2">
      <c r="A201" s="3">
        <v>43647</v>
      </c>
      <c r="B201" s="435">
        <f t="shared" ca="1" si="16"/>
        <v>101286823.68431208</v>
      </c>
      <c r="C201" s="436">
        <f>(+C189/SUM(C$183:C$194))*Trends!B$18</f>
        <v>2.4214494205898305</v>
      </c>
      <c r="D201" s="436">
        <f ca="1">(+D189/SUM(D$183:D$194))*Trends!C$18</f>
        <v>88.794003921545524</v>
      </c>
      <c r="E201" s="437">
        <v>5.928129E-2</v>
      </c>
      <c r="F201" s="438">
        <v>31</v>
      </c>
      <c r="G201" s="439">
        <v>0</v>
      </c>
      <c r="H201" s="439">
        <f t="shared" ca="1" si="17"/>
        <v>101286823.68431208</v>
      </c>
      <c r="I201" s="36"/>
      <c r="J201" s="5"/>
      <c r="K201" s="163"/>
      <c r="T201"/>
    </row>
    <row r="202" spans="1:20" x14ac:dyDescent="0.2">
      <c r="A202" s="3">
        <v>43678</v>
      </c>
      <c r="B202" s="435">
        <f t="shared" ca="1" si="16"/>
        <v>102928347.88602453</v>
      </c>
      <c r="C202" s="436">
        <f>(+C190/SUM(C$183:C$194))*Trends!B$18</f>
        <v>1.4125121620107346</v>
      </c>
      <c r="D202" s="436">
        <f ca="1">(+D190/SUM(D$183:D$194))*Trends!C$18</f>
        <v>99.755318407303832</v>
      </c>
      <c r="E202" s="437">
        <v>5.928129E-2</v>
      </c>
      <c r="F202" s="438">
        <v>31</v>
      </c>
      <c r="G202" s="439">
        <v>0</v>
      </c>
      <c r="H202" s="439">
        <f t="shared" ca="1" si="17"/>
        <v>102928347.88602453</v>
      </c>
      <c r="I202" s="36"/>
      <c r="J202" s="5"/>
      <c r="K202" s="163"/>
      <c r="T202"/>
    </row>
    <row r="203" spans="1:20" x14ac:dyDescent="0.2">
      <c r="A203" s="3">
        <v>43709</v>
      </c>
      <c r="B203" s="435">
        <f t="shared" ca="1" si="16"/>
        <v>84066398.803951234</v>
      </c>
      <c r="C203" s="436">
        <f>(+C191/SUM(C$183:C$194))*Trends!B$18</f>
        <v>51.254012735818087</v>
      </c>
      <c r="D203" s="436">
        <f ca="1">(+D191/SUM(D$183:D$194))*Trends!C$18</f>
        <v>25.968751768273048</v>
      </c>
      <c r="E203" s="437">
        <v>5.928129E-2</v>
      </c>
      <c r="F203" s="438">
        <v>30</v>
      </c>
      <c r="G203" s="439">
        <v>1</v>
      </c>
      <c r="H203" s="439">
        <f t="shared" ca="1" si="17"/>
        <v>84066398.803951234</v>
      </c>
      <c r="I203" s="36"/>
      <c r="J203" s="5"/>
      <c r="K203" s="163"/>
      <c r="T203"/>
    </row>
    <row r="204" spans="1:20" x14ac:dyDescent="0.2">
      <c r="A204" s="3">
        <v>43739</v>
      </c>
      <c r="B204" s="435">
        <f t="shared" ca="1" si="16"/>
        <v>88915005.551781252</v>
      </c>
      <c r="C204" s="436">
        <f>(+C192/SUM(C$183:C$194))*Trends!B$18</f>
        <v>205.82320075013561</v>
      </c>
      <c r="D204" s="436">
        <f ca="1">(+D192/SUM(D$183:D$194))*Trends!C$18</f>
        <v>0.22069760709580494</v>
      </c>
      <c r="E204" s="437">
        <v>5.7468579999999998E-2</v>
      </c>
      <c r="F204" s="438">
        <v>31</v>
      </c>
      <c r="G204" s="439">
        <v>1</v>
      </c>
      <c r="H204" s="439">
        <f t="shared" ca="1" si="17"/>
        <v>88915005.551781252</v>
      </c>
      <c r="I204" s="36"/>
      <c r="J204" s="5"/>
      <c r="K204" s="163"/>
      <c r="T204"/>
    </row>
    <row r="205" spans="1:20" x14ac:dyDescent="0.2">
      <c r="A205" s="3">
        <v>43770</v>
      </c>
      <c r="B205" s="435">
        <f t="shared" ca="1" si="16"/>
        <v>89824969.721667141</v>
      </c>
      <c r="C205" s="436">
        <f>(+C193/SUM(C$183:C$194))*Trends!B$18</f>
        <v>301.1677716858602</v>
      </c>
      <c r="D205" s="436">
        <f ca="1">(+D193/SUM(D$183:D$194))*Trends!C$18</f>
        <v>0</v>
      </c>
      <c r="E205" s="437">
        <v>5.7468579999999998E-2</v>
      </c>
      <c r="F205" s="438">
        <v>30</v>
      </c>
      <c r="G205" s="439">
        <v>1</v>
      </c>
      <c r="H205" s="439">
        <f t="shared" ca="1" si="17"/>
        <v>89824969.721667141</v>
      </c>
      <c r="I205" s="36"/>
      <c r="J205" s="5"/>
      <c r="K205" s="163"/>
      <c r="T205"/>
    </row>
    <row r="206" spans="1:20" x14ac:dyDescent="0.2">
      <c r="A206" s="3">
        <v>43800</v>
      </c>
      <c r="B206" s="435">
        <f t="shared" ca="1" si="16"/>
        <v>106456108.9920084</v>
      </c>
      <c r="C206" s="436">
        <f>(+C194/SUM(C$183:C$194))*Trends!B$18</f>
        <v>487.72027079713502</v>
      </c>
      <c r="D206" s="436">
        <f ca="1">(+D194/SUM(D$183:D$194))*Trends!C$18</f>
        <v>0</v>
      </c>
      <c r="E206" s="437">
        <v>5.7468579999999998E-2</v>
      </c>
      <c r="F206" s="438">
        <v>31</v>
      </c>
      <c r="G206" s="439">
        <v>0</v>
      </c>
      <c r="H206" s="439">
        <f t="shared" ca="1" si="17"/>
        <v>106456108.9920084</v>
      </c>
      <c r="I206" s="36"/>
      <c r="J206" s="5"/>
      <c r="K206" s="163"/>
      <c r="T206"/>
    </row>
    <row r="207" spans="1:20" x14ac:dyDescent="0.2">
      <c r="A207" s="3"/>
      <c r="I207" s="36"/>
      <c r="J207" s="5"/>
      <c r="K207" s="163"/>
      <c r="T207"/>
    </row>
    <row r="208" spans="1:20" x14ac:dyDescent="0.2">
      <c r="A208" s="3"/>
      <c r="C208" s="18"/>
      <c r="D208" s="1" t="s">
        <v>60</v>
      </c>
      <c r="H208" s="43">
        <f ca="1">SUM(H3:H206)</f>
        <v>19593765817.958374</v>
      </c>
      <c r="I208" s="36"/>
      <c r="J208" s="5"/>
      <c r="K208" s="163"/>
      <c r="T208"/>
    </row>
    <row r="209" spans="1:21" ht="38.25" customHeight="1" x14ac:dyDescent="0.2">
      <c r="A209" s="3"/>
      <c r="C209" s="23"/>
      <c r="D209" s="23"/>
      <c r="I209" s="36"/>
      <c r="J209" s="5" t="s">
        <v>196</v>
      </c>
      <c r="K209" s="163"/>
      <c r="L209" s="354" t="s">
        <v>281</v>
      </c>
      <c r="M209" s="351" t="s">
        <v>279</v>
      </c>
      <c r="N209" s="354" t="s">
        <v>283</v>
      </c>
      <c r="O209" s="352" t="s">
        <v>280</v>
      </c>
      <c r="P209" s="354" t="s">
        <v>347</v>
      </c>
      <c r="Q209" s="352" t="s">
        <v>282</v>
      </c>
      <c r="R209" s="354" t="s">
        <v>351</v>
      </c>
      <c r="S209" s="352" t="s">
        <v>282</v>
      </c>
      <c r="T209"/>
    </row>
    <row r="210" spans="1:21" x14ac:dyDescent="0.2">
      <c r="A210" s="16">
        <v>2003</v>
      </c>
      <c r="B210" s="6">
        <f>SUM(B3:B14)</f>
        <v>1232724170</v>
      </c>
      <c r="C210" s="96"/>
      <c r="D210" s="23" t="s">
        <v>195</v>
      </c>
      <c r="E210" s="97" t="s">
        <v>107</v>
      </c>
      <c r="H210" s="6">
        <f>SUM(H3:H14)</f>
        <v>1183815892.46276</v>
      </c>
      <c r="I210" s="36">
        <f t="shared" ref="I210:I224" si="18">H210-B210</f>
        <v>-48908277.537240028</v>
      </c>
      <c r="J210" s="5">
        <f t="shared" ref="J210:J226" si="19">I210/B210</f>
        <v>-3.9674956269608985E-2</v>
      </c>
      <c r="K210" s="163"/>
      <c r="L210" s="167"/>
      <c r="M210" s="353">
        <f>+B210-L210</f>
        <v>1232724170</v>
      </c>
      <c r="N210" s="167"/>
      <c r="O210" s="353">
        <f>+M210-N210</f>
        <v>1232724170</v>
      </c>
      <c r="P210" s="167"/>
      <c r="Q210" s="353">
        <f>+O210+P210</f>
        <v>1232724170</v>
      </c>
      <c r="R210" s="167"/>
      <c r="S210" s="353">
        <f>+Q210+R210</f>
        <v>1232724170</v>
      </c>
      <c r="T210" s="62"/>
      <c r="U210" s="62"/>
    </row>
    <row r="211" spans="1:21" x14ac:dyDescent="0.2">
      <c r="A211">
        <v>2004</v>
      </c>
      <c r="B211" s="6">
        <f>SUM(B15:B26)</f>
        <v>1178441190</v>
      </c>
      <c r="C211" s="96">
        <f>+B211-B210</f>
        <v>-54282980</v>
      </c>
      <c r="D211" s="98">
        <f>+C211/B210</f>
        <v>-4.4034976616058402E-2</v>
      </c>
      <c r="E211" s="98">
        <f>RATE(1,0,-B$210,B211)</f>
        <v>-4.4034976616058499E-2</v>
      </c>
      <c r="H211" s="6">
        <f>SUM(H15:H26)</f>
        <v>1172093429.9426394</v>
      </c>
      <c r="I211" s="36">
        <f t="shared" si="18"/>
        <v>-6347760.0573606491</v>
      </c>
      <c r="J211" s="5">
        <f t="shared" si="19"/>
        <v>-5.3865734762382576E-3</v>
      </c>
      <c r="K211" s="163"/>
      <c r="L211" s="167"/>
      <c r="M211" s="353">
        <f t="shared" ref="M211:M224" si="20">+B211-L211</f>
        <v>1178441190</v>
      </c>
      <c r="N211" s="167"/>
      <c r="O211" s="353">
        <f t="shared" ref="O211:O226" si="21">+M211-N211</f>
        <v>1178441190</v>
      </c>
      <c r="P211" s="167"/>
      <c r="Q211" s="353">
        <f t="shared" ref="Q211:Q226" si="22">+O211+P211</f>
        <v>1178441190</v>
      </c>
      <c r="R211" s="167"/>
      <c r="S211" s="353">
        <f t="shared" ref="S211:S226" si="23">+Q211+R211</f>
        <v>1178441190</v>
      </c>
      <c r="T211" s="62"/>
      <c r="U211" s="62"/>
    </row>
    <row r="212" spans="1:21" x14ac:dyDescent="0.2">
      <c r="A212" s="16">
        <v>2005</v>
      </c>
      <c r="B212" s="6">
        <f>SUM(B27:B38)</f>
        <v>1174501350</v>
      </c>
      <c r="C212" s="96">
        <f t="shared" ref="C212:C219" si="24">+B212-B211</f>
        <v>-3939840</v>
      </c>
      <c r="D212" s="98">
        <f t="shared" ref="D212:D219" si="25">+C212/B211</f>
        <v>-3.3432639943619079E-3</v>
      </c>
      <c r="E212" s="98">
        <f>RATE(2,0,-B$210,B212)</f>
        <v>-2.3901142331683341E-2</v>
      </c>
      <c r="H212" s="6">
        <f>SUM(H27:H38)</f>
        <v>1190184872.5411994</v>
      </c>
      <c r="I212" s="36">
        <f t="shared" si="18"/>
        <v>15683522.541199446</v>
      </c>
      <c r="J212" s="5">
        <f t="shared" si="19"/>
        <v>1.335334569108792E-2</v>
      </c>
      <c r="K212" s="163"/>
      <c r="L212" s="167"/>
      <c r="M212" s="353">
        <f t="shared" si="20"/>
        <v>1174501350</v>
      </c>
      <c r="N212" s="167"/>
      <c r="O212" s="353">
        <f t="shared" si="21"/>
        <v>1174501350</v>
      </c>
      <c r="P212" s="167"/>
      <c r="Q212" s="353">
        <f t="shared" si="22"/>
        <v>1174501350</v>
      </c>
      <c r="R212" s="167"/>
      <c r="S212" s="353">
        <f t="shared" si="23"/>
        <v>1174501350</v>
      </c>
      <c r="T212" s="62"/>
      <c r="U212" s="62"/>
    </row>
    <row r="213" spans="1:21" x14ac:dyDescent="0.2">
      <c r="A213">
        <v>2006</v>
      </c>
      <c r="B213" s="6">
        <f>SUM(B39:B50)</f>
        <v>1151360440</v>
      </c>
      <c r="C213" s="96">
        <f t="shared" si="24"/>
        <v>-23140910</v>
      </c>
      <c r="D213" s="98">
        <f t="shared" si="25"/>
        <v>-1.9702753002369899E-2</v>
      </c>
      <c r="E213" s="98">
        <f>RATE(3,0,-B$210,B213)</f>
        <v>-2.2503680894619967E-2</v>
      </c>
      <c r="H213" s="6">
        <f>SUM(H39:H50)</f>
        <v>1153842860.4705679</v>
      </c>
      <c r="I213" s="36">
        <f t="shared" si="18"/>
        <v>2482420.4705679417</v>
      </c>
      <c r="J213" s="5">
        <f t="shared" si="19"/>
        <v>2.1560758771318753E-3</v>
      </c>
      <c r="K213" s="163"/>
      <c r="L213" s="167"/>
      <c r="M213" s="353">
        <f t="shared" si="20"/>
        <v>1151360440</v>
      </c>
      <c r="N213" s="167"/>
      <c r="O213" s="353">
        <f t="shared" si="21"/>
        <v>1151360440</v>
      </c>
      <c r="P213" s="167"/>
      <c r="Q213" s="353">
        <f t="shared" si="22"/>
        <v>1151360440</v>
      </c>
      <c r="R213" s="167"/>
      <c r="S213" s="353">
        <f t="shared" si="23"/>
        <v>1151360440</v>
      </c>
      <c r="T213" s="62"/>
      <c r="U213" s="62"/>
    </row>
    <row r="214" spans="1:21" x14ac:dyDescent="0.2">
      <c r="A214" s="16">
        <v>2007</v>
      </c>
      <c r="B214" s="6">
        <f>SUM(B51:B62)</f>
        <v>1191153590</v>
      </c>
      <c r="C214" s="96">
        <f t="shared" si="24"/>
        <v>39793150</v>
      </c>
      <c r="D214" s="98">
        <f t="shared" si="25"/>
        <v>3.4561852759158546E-2</v>
      </c>
      <c r="E214" s="98">
        <f>RATE(4,0,-B$210,B214)</f>
        <v>-8.5393934317338754E-3</v>
      </c>
      <c r="H214" s="6">
        <f>SUM(H51:H62)</f>
        <v>1127871153.89165</v>
      </c>
      <c r="I214" s="36">
        <f t="shared" si="18"/>
        <v>-63282436.108350039</v>
      </c>
      <c r="J214" s="5">
        <f t="shared" si="19"/>
        <v>-5.3127016229997708E-2</v>
      </c>
      <c r="K214" s="163"/>
      <c r="L214" s="167"/>
      <c r="M214" s="353">
        <f t="shared" si="20"/>
        <v>1191153590</v>
      </c>
      <c r="N214" s="167"/>
      <c r="O214" s="353">
        <f t="shared" si="21"/>
        <v>1191153590</v>
      </c>
      <c r="P214" s="167"/>
      <c r="Q214" s="353">
        <f t="shared" si="22"/>
        <v>1191153590</v>
      </c>
      <c r="R214" s="167"/>
      <c r="S214" s="353">
        <f t="shared" si="23"/>
        <v>1191153590</v>
      </c>
      <c r="T214" s="62"/>
      <c r="U214" s="62"/>
    </row>
    <row r="215" spans="1:21" x14ac:dyDescent="0.2">
      <c r="A215">
        <v>2008</v>
      </c>
      <c r="B215" s="6">
        <f>SUM(B63:B74)</f>
        <v>1158881926</v>
      </c>
      <c r="C215" s="96">
        <f t="shared" si="24"/>
        <v>-32271664</v>
      </c>
      <c r="D215" s="98">
        <f t="shared" si="25"/>
        <v>-2.70927815446537E-2</v>
      </c>
      <c r="E215" s="98">
        <f>RATE(5,0,-B$210,B215)</f>
        <v>-1.2278162500929547E-2</v>
      </c>
      <c r="H215" s="6">
        <f>SUM(H63:H74)</f>
        <v>1094855785.2248654</v>
      </c>
      <c r="I215" s="36">
        <f t="shared" si="18"/>
        <v>-64026140.775134563</v>
      </c>
      <c r="J215" s="5">
        <f t="shared" si="19"/>
        <v>-5.5248200302965601E-2</v>
      </c>
      <c r="K215" s="163"/>
      <c r="L215" s="167"/>
      <c r="M215" s="353">
        <f t="shared" si="20"/>
        <v>1158881926</v>
      </c>
      <c r="N215" s="167"/>
      <c r="O215" s="353">
        <f t="shared" si="21"/>
        <v>1158881926</v>
      </c>
      <c r="P215" s="167"/>
      <c r="Q215" s="353">
        <f t="shared" si="22"/>
        <v>1158881926</v>
      </c>
      <c r="R215" s="167"/>
      <c r="S215" s="353">
        <f t="shared" si="23"/>
        <v>1158881926</v>
      </c>
      <c r="T215" s="62"/>
      <c r="U215" s="62"/>
    </row>
    <row r="216" spans="1:21" x14ac:dyDescent="0.2">
      <c r="A216" s="16">
        <v>2009</v>
      </c>
      <c r="B216" s="6">
        <f>SUM(B75:B86)</f>
        <v>1128390784.5107694</v>
      </c>
      <c r="C216" s="96">
        <f t="shared" si="24"/>
        <v>-30491141.489230633</v>
      </c>
      <c r="D216" s="98">
        <f t="shared" si="25"/>
        <v>-2.6310826672803447E-2</v>
      </c>
      <c r="E216" s="98">
        <f>RATE(6,0,-B$210,B216)</f>
        <v>-1.4630905973235077E-2</v>
      </c>
      <c r="H216" s="6">
        <f>SUM(H75:H86)</f>
        <v>1121629083.8762841</v>
      </c>
      <c r="I216" s="36">
        <f t="shared" si="18"/>
        <v>-6761700.6344852448</v>
      </c>
      <c r="J216" s="5">
        <f t="shared" si="19"/>
        <v>-5.9923394690048629E-3</v>
      </c>
      <c r="K216" s="163"/>
      <c r="L216" s="167"/>
      <c r="M216" s="353">
        <f t="shared" si="20"/>
        <v>1128390784.5107694</v>
      </c>
      <c r="N216" s="167"/>
      <c r="O216" s="353">
        <f t="shared" si="21"/>
        <v>1128390784.5107694</v>
      </c>
      <c r="P216" s="167"/>
      <c r="Q216" s="353">
        <f t="shared" si="22"/>
        <v>1128390784.5107694</v>
      </c>
      <c r="R216" s="167"/>
      <c r="S216" s="353">
        <f t="shared" si="23"/>
        <v>1128390784.5107694</v>
      </c>
      <c r="T216" s="62"/>
      <c r="U216" s="62"/>
    </row>
    <row r="217" spans="1:21" x14ac:dyDescent="0.2">
      <c r="A217">
        <v>2010</v>
      </c>
      <c r="B217" s="6">
        <f>SUM(B87:B98)</f>
        <v>1148489331.8146157</v>
      </c>
      <c r="C217" s="96">
        <f t="shared" si="24"/>
        <v>20098547.303846359</v>
      </c>
      <c r="D217" s="98">
        <f t="shared" si="25"/>
        <v>1.781169039993568E-2</v>
      </c>
      <c r="E217" s="98">
        <f>RATE(7,0,-B$210,B217)</f>
        <v>-1.0060343960087228E-2</v>
      </c>
      <c r="H217" s="6">
        <f>SUM(H87:H98)</f>
        <v>1134092280.5446804</v>
      </c>
      <c r="I217" s="36">
        <f t="shared" si="18"/>
        <v>-14397051.269935369</v>
      </c>
      <c r="J217" s="5">
        <f t="shared" si="19"/>
        <v>-1.2535642144092011E-2</v>
      </c>
      <c r="K217" s="163"/>
      <c r="L217" s="167"/>
      <c r="M217" s="353">
        <f t="shared" si="20"/>
        <v>1148489331.8146157</v>
      </c>
      <c r="N217" s="167"/>
      <c r="O217" s="353">
        <f t="shared" si="21"/>
        <v>1148489331.8146157</v>
      </c>
      <c r="P217" s="167"/>
      <c r="Q217" s="353">
        <f t="shared" si="22"/>
        <v>1148489331.8146157</v>
      </c>
      <c r="R217" s="167"/>
      <c r="S217" s="353">
        <f t="shared" si="23"/>
        <v>1148489331.8146157</v>
      </c>
      <c r="T217" s="62"/>
      <c r="U217" s="62"/>
    </row>
    <row r="218" spans="1:21" x14ac:dyDescent="0.2">
      <c r="A218">
        <v>2011</v>
      </c>
      <c r="B218" s="6">
        <f>SUM(B99:B110)</f>
        <v>1148632387.3953846</v>
      </c>
      <c r="C218" s="96">
        <f t="shared" si="24"/>
        <v>143055.58076882362</v>
      </c>
      <c r="D218" s="98">
        <f t="shared" si="25"/>
        <v>1.2455978197272019E-4</v>
      </c>
      <c r="E218" s="98">
        <f>RATE(8,0,-B$210,B218)</f>
        <v>-8.7929249231188996E-3</v>
      </c>
      <c r="H218" s="6">
        <f>SUM(H99:H110)</f>
        <v>1156423557.8162477</v>
      </c>
      <c r="I218" s="36">
        <f t="shared" si="18"/>
        <v>7791170.4208631516</v>
      </c>
      <c r="J218" s="5">
        <f t="shared" si="19"/>
        <v>6.7829973334900045E-3</v>
      </c>
      <c r="K218" s="163"/>
      <c r="L218" s="167"/>
      <c r="M218" s="353">
        <f t="shared" si="20"/>
        <v>1148632387.3953846</v>
      </c>
      <c r="N218" s="167"/>
      <c r="O218" s="353">
        <f t="shared" si="21"/>
        <v>1148632387.3953846</v>
      </c>
      <c r="P218" s="167"/>
      <c r="Q218" s="353">
        <f t="shared" si="22"/>
        <v>1148632387.3953846</v>
      </c>
      <c r="R218" s="167"/>
      <c r="S218" s="353">
        <f t="shared" si="23"/>
        <v>1148632387.3953846</v>
      </c>
      <c r="T218" s="62"/>
      <c r="U218" s="62"/>
    </row>
    <row r="219" spans="1:21" x14ac:dyDescent="0.2">
      <c r="A219">
        <v>2012</v>
      </c>
      <c r="B219" s="6">
        <f>SUM(B111:B122)</f>
        <v>1136211952.670979</v>
      </c>
      <c r="C219" s="96">
        <f t="shared" si="24"/>
        <v>-12420434.724405527</v>
      </c>
      <c r="D219" s="98">
        <f t="shared" si="25"/>
        <v>-1.0813237429748827E-2</v>
      </c>
      <c r="E219" s="98">
        <f>RATE(9,0,-B$210,B219)</f>
        <v>-9.0176077035169049E-3</v>
      </c>
      <c r="H219" s="6">
        <f>SUM(H111:H122)</f>
        <v>1149518396.9534879</v>
      </c>
      <c r="I219" s="36">
        <f t="shared" si="18"/>
        <v>13306444.28250885</v>
      </c>
      <c r="J219" s="5">
        <f t="shared" si="19"/>
        <v>1.1711234203467398E-2</v>
      </c>
      <c r="K219" s="163"/>
      <c r="L219" s="167"/>
      <c r="M219" s="353">
        <f t="shared" si="20"/>
        <v>1136211952.670979</v>
      </c>
      <c r="N219" s="167"/>
      <c r="O219" s="353">
        <f t="shared" si="21"/>
        <v>1136211952.670979</v>
      </c>
      <c r="P219" s="167"/>
      <c r="Q219" s="353">
        <f t="shared" si="22"/>
        <v>1136211952.670979</v>
      </c>
      <c r="R219" s="167"/>
      <c r="S219" s="353">
        <f t="shared" si="23"/>
        <v>1136211952.670979</v>
      </c>
      <c r="T219" s="62"/>
      <c r="U219" s="62"/>
    </row>
    <row r="220" spans="1:21" x14ac:dyDescent="0.2">
      <c r="A220">
        <v>2013</v>
      </c>
      <c r="B220" s="6">
        <f>SUM(B123:B134)</f>
        <v>1130407041.6666667</v>
      </c>
      <c r="C220" s="96">
        <f t="shared" ref="C220:C226" si="26">+B220-B219</f>
        <v>-5804911.0043122768</v>
      </c>
      <c r="D220" s="98">
        <f t="shared" ref="D220:D226" si="27">+C220/B219</f>
        <v>-5.1090036420284399E-3</v>
      </c>
      <c r="E220" s="98">
        <f>RATE(10,0,-B$210,B220)</f>
        <v>-8.6274392985243292E-3</v>
      </c>
      <c r="G220" s="161"/>
      <c r="H220" s="6">
        <f ca="1">SUM(H123:H134)</f>
        <v>1148384908.6668141</v>
      </c>
      <c r="I220" s="36">
        <f t="shared" ca="1" si="18"/>
        <v>17977867.000147343</v>
      </c>
      <c r="J220" s="5">
        <f t="shared" ca="1" si="19"/>
        <v>1.5903888013330897E-2</v>
      </c>
      <c r="K220" s="163"/>
      <c r="L220" s="167"/>
      <c r="M220" s="353">
        <f t="shared" si="20"/>
        <v>1130407041.6666667</v>
      </c>
      <c r="N220" s="167"/>
      <c r="O220" s="353">
        <f t="shared" si="21"/>
        <v>1130407041.6666667</v>
      </c>
      <c r="P220" s="167"/>
      <c r="Q220" s="353">
        <f t="shared" si="22"/>
        <v>1130407041.6666667</v>
      </c>
      <c r="R220" s="167"/>
      <c r="S220" s="353">
        <f t="shared" si="23"/>
        <v>1130407041.6666667</v>
      </c>
      <c r="T220" s="62"/>
      <c r="U220" s="62"/>
    </row>
    <row r="221" spans="1:21" x14ac:dyDescent="0.2">
      <c r="A221">
        <v>2014</v>
      </c>
      <c r="B221" s="6">
        <f>SUM(B135:B146)</f>
        <v>1134970142.7733078</v>
      </c>
      <c r="C221" s="96">
        <f t="shared" ref="C221" si="28">+B221-B220</f>
        <v>4563101.1066410542</v>
      </c>
      <c r="D221" s="98">
        <f t="shared" ref="D221" si="29">+C221/B220</f>
        <v>4.0366885010847415E-3</v>
      </c>
      <c r="E221" s="98">
        <f>RATE(11,0,-B$210,B221)</f>
        <v>-7.4827860624175138E-3</v>
      </c>
      <c r="G221" s="6"/>
      <c r="H221" s="6">
        <f>SUM(H135:H146)</f>
        <v>1159153505.7394249</v>
      </c>
      <c r="I221" s="36">
        <f t="shared" si="18"/>
        <v>24183362.966117144</v>
      </c>
      <c r="J221" s="5">
        <f t="shared" si="19"/>
        <v>2.1307488236672834E-2</v>
      </c>
      <c r="K221" s="163"/>
      <c r="M221" s="353">
        <f t="shared" si="20"/>
        <v>1134970142.7733078</v>
      </c>
      <c r="O221" s="353">
        <f t="shared" si="21"/>
        <v>1134970142.7733078</v>
      </c>
      <c r="Q221" s="353">
        <f t="shared" si="22"/>
        <v>1134970142.7733078</v>
      </c>
      <c r="S221" s="353">
        <f t="shared" si="23"/>
        <v>1134970142.7733078</v>
      </c>
      <c r="T221" s="62"/>
      <c r="U221" s="62"/>
    </row>
    <row r="222" spans="1:21" x14ac:dyDescent="0.2">
      <c r="A222">
        <v>2015</v>
      </c>
      <c r="B222" s="6">
        <f>SUM(B147:B158)</f>
        <v>1123341031.2123077</v>
      </c>
      <c r="C222" s="96">
        <f t="shared" si="26"/>
        <v>-11629111.561000109</v>
      </c>
      <c r="D222" s="98">
        <f t="shared" si="27"/>
        <v>-1.0246182804936428E-2</v>
      </c>
      <c r="E222" s="98">
        <f>RATE(12,0,-B$210,B222)</f>
        <v>-7.7133635136097944E-3</v>
      </c>
      <c r="G222" s="6"/>
      <c r="H222" s="6">
        <f>SUM(H147:H158)</f>
        <v>1150848175.636837</v>
      </c>
      <c r="I222" s="36">
        <f t="shared" si="18"/>
        <v>27507144.424529314</v>
      </c>
      <c r="J222" s="5">
        <f t="shared" si="19"/>
        <v>2.448690438632305E-2</v>
      </c>
      <c r="K222" s="163"/>
      <c r="L222" s="364"/>
      <c r="M222" s="353">
        <f t="shared" si="20"/>
        <v>1123341031.2123077</v>
      </c>
      <c r="N222" s="364"/>
      <c r="O222" s="353">
        <f t="shared" si="21"/>
        <v>1123341031.2123077</v>
      </c>
      <c r="P222" s="364"/>
      <c r="Q222" s="353">
        <f t="shared" si="22"/>
        <v>1123341031.2123077</v>
      </c>
      <c r="R222" s="364"/>
      <c r="S222" s="353">
        <f t="shared" si="23"/>
        <v>1123341031.2123077</v>
      </c>
      <c r="T222" s="62"/>
      <c r="U222" s="62"/>
    </row>
    <row r="223" spans="1:21" x14ac:dyDescent="0.2">
      <c r="A223">
        <v>2016</v>
      </c>
      <c r="B223" s="6">
        <f>SUM(B159:B170)</f>
        <v>1122027434.2815385</v>
      </c>
      <c r="C223" s="96">
        <f t="shared" si="26"/>
        <v>-1313596.9307692051</v>
      </c>
      <c r="D223" s="98">
        <f t="shared" si="27"/>
        <v>-1.1693661090181791E-3</v>
      </c>
      <c r="E223" s="98">
        <f>RATE(13,0,-B$210,B223)</f>
        <v>-7.2115048451986642E-3</v>
      </c>
      <c r="G223" s="6"/>
      <c r="H223" s="6">
        <f>SUM(H159:H170)</f>
        <v>1181688633.1682065</v>
      </c>
      <c r="I223" s="36">
        <f t="shared" si="18"/>
        <v>59661198.886667967</v>
      </c>
      <c r="J223" s="5">
        <f t="shared" si="19"/>
        <v>5.3172673914939066E-2</v>
      </c>
      <c r="K223" s="163"/>
      <c r="L223" s="364"/>
      <c r="M223" s="353">
        <f t="shared" si="20"/>
        <v>1122027434.2815385</v>
      </c>
      <c r="N223" s="364"/>
      <c r="O223" s="353">
        <f t="shared" si="21"/>
        <v>1122027434.2815385</v>
      </c>
      <c r="P223" s="364"/>
      <c r="Q223" s="353">
        <f t="shared" si="22"/>
        <v>1122027434.2815385</v>
      </c>
      <c r="R223" s="364"/>
      <c r="S223" s="353">
        <f t="shared" si="23"/>
        <v>1122027434.2815385</v>
      </c>
      <c r="T223" s="62"/>
      <c r="U223" s="62"/>
    </row>
    <row r="224" spans="1:21" x14ac:dyDescent="0.2">
      <c r="A224">
        <v>2017</v>
      </c>
      <c r="B224" s="6">
        <f>TREND(B$213:B223,A$213:A223,A224)</f>
        <v>1115920797.7611427</v>
      </c>
      <c r="C224" s="96">
        <f t="shared" si="26"/>
        <v>-6106636.5203957558</v>
      </c>
      <c r="D224" s="98">
        <f t="shared" si="27"/>
        <v>-5.4425019690414111E-3</v>
      </c>
      <c r="E224" s="98">
        <f>RATE(14,0,-B$210,B224)</f>
        <v>-7.0852519113306488E-3</v>
      </c>
      <c r="F224" s="486">
        <f ca="1">+H223+G229</f>
        <v>1174873150.4789212</v>
      </c>
      <c r="G224" s="6">
        <f ca="1">+H224-H223</f>
        <v>-30114592.421507359</v>
      </c>
      <c r="H224" s="6">
        <f ca="1">SUM(H171:H182)</f>
        <v>1151574040.7466991</v>
      </c>
      <c r="I224" s="36">
        <f t="shared" ca="1" si="18"/>
        <v>35653242.985556364</v>
      </c>
      <c r="J224" s="5">
        <f t="shared" ca="1" si="19"/>
        <v>3.1949617801807259E-2</v>
      </c>
      <c r="K224" s="163"/>
      <c r="L224" s="364">
        <f>+' CDM Summary'!M$19*'Rate Class Energy Model'!$F$25</f>
        <v>4941368.3109572101</v>
      </c>
      <c r="M224" s="353">
        <f t="shared" si="20"/>
        <v>1110979429.4501855</v>
      </c>
      <c r="N224" s="364">
        <f>+' CDM Summary'!M$18*'Rate Class Energy Model'!$F$25</f>
        <v>2576978.491482255</v>
      </c>
      <c r="O224" s="353">
        <f t="shared" si="21"/>
        <v>1108402450.9587033</v>
      </c>
      <c r="P224" s="488"/>
      <c r="Q224" s="353">
        <f t="shared" si="22"/>
        <v>1108402450.9587033</v>
      </c>
      <c r="R224" s="488">
        <f>+'City Expansion'!C107</f>
        <v>0</v>
      </c>
      <c r="S224" s="353">
        <f t="shared" si="23"/>
        <v>1108402450.9587033</v>
      </c>
      <c r="T224" s="62"/>
      <c r="U224" s="62"/>
    </row>
    <row r="225" spans="1:21" x14ac:dyDescent="0.2">
      <c r="A225">
        <v>2018</v>
      </c>
      <c r="B225" s="6">
        <f>TREND(B$213:B224,A$213:A224,A225)</f>
        <v>1111394475.2315521</v>
      </c>
      <c r="C225" s="96">
        <f t="shared" si="26"/>
        <v>-4526322.5295906067</v>
      </c>
      <c r="D225" s="98">
        <f t="shared" si="27"/>
        <v>-4.056132423261318E-3</v>
      </c>
      <c r="E225" s="98">
        <f>RATE(15,0,-B$210,B225)</f>
        <v>-6.8835975471773538E-3</v>
      </c>
      <c r="F225" s="486">
        <f ca="1">+F224+G229</f>
        <v>1168057667.7896359</v>
      </c>
      <c r="G225" s="6">
        <f t="shared" ref="G225:G226" ca="1" si="30">+H225-H224</f>
        <v>4973014.4289734364</v>
      </c>
      <c r="H225" s="6">
        <f ca="1">SUM(H183:H194)</f>
        <v>1156547055.1756725</v>
      </c>
      <c r="I225" s="36">
        <f ca="1">H225-B225</f>
        <v>45152579.944120407</v>
      </c>
      <c r="J225" s="5">
        <f t="shared" ca="1" si="19"/>
        <v>4.0626960948958422E-2</v>
      </c>
      <c r="K225" s="163"/>
      <c r="L225" s="364">
        <f>+' CDM Summary'!N$19*'Rate Class Energy Model'!$F$25</f>
        <v>17000279.164718885</v>
      </c>
      <c r="M225" s="353">
        <f>+B225-L225</f>
        <v>1094394196.0668333</v>
      </c>
      <c r="N225" s="364">
        <f>+' CDM Summary'!N$18*'Rate Class Energy Model'!$F$25</f>
        <v>5153956.9829645101</v>
      </c>
      <c r="O225" s="353">
        <f t="shared" si="21"/>
        <v>1089240239.0838687</v>
      </c>
      <c r="P225" s="488"/>
      <c r="Q225" s="353">
        <f t="shared" si="22"/>
        <v>1089240239.0838687</v>
      </c>
      <c r="R225" s="488">
        <f>+'City Expansion'!C108</f>
        <v>10441497.430416999</v>
      </c>
      <c r="S225" s="353">
        <f t="shared" si="23"/>
        <v>1099681736.5142858</v>
      </c>
      <c r="T225" s="62"/>
      <c r="U225" s="62"/>
    </row>
    <row r="226" spans="1:21" x14ac:dyDescent="0.2">
      <c r="A226">
        <v>2019</v>
      </c>
      <c r="B226" s="6">
        <f>TREND(B$213:B225,A$213:A225,A226)</f>
        <v>1106868152.7019615</v>
      </c>
      <c r="C226" s="96">
        <f t="shared" si="26"/>
        <v>-4526322.5295906067</v>
      </c>
      <c r="D226" s="98">
        <f t="shared" si="27"/>
        <v>-4.0726516376173054E-3</v>
      </c>
      <c r="E226" s="98">
        <f>RATE(16,0,-B$210,B226)</f>
        <v>-6.7081460939562385E-3</v>
      </c>
      <c r="F226" s="486">
        <f ca="1">+F225+G229</f>
        <v>1161242185.1003506</v>
      </c>
      <c r="G226" s="6">
        <f t="shared" ca="1" si="30"/>
        <v>4695129.9246783257</v>
      </c>
      <c r="H226" s="6">
        <f ca="1">SUM(H195:H206)</f>
        <v>1161242185.1003509</v>
      </c>
      <c r="I226" s="36">
        <f ca="1">H226-B226</f>
        <v>54374032.398389339</v>
      </c>
      <c r="J226" s="5">
        <f t="shared" ca="1" si="19"/>
        <v>4.9124217970909718E-2</v>
      </c>
      <c r="K226" s="163"/>
      <c r="L226" s="364">
        <f>+' CDM Summary'!O$19*'Rate Class Energy Model'!$F$25</f>
        <v>29149803.002804432</v>
      </c>
      <c r="M226" s="353">
        <f>+B226-L226</f>
        <v>1077718349.699157</v>
      </c>
      <c r="N226" s="364">
        <f>+' CDM Summary'!O$18*'Rate Class Energy Model'!$F$25</f>
        <v>5153956.9829645101</v>
      </c>
      <c r="O226" s="353">
        <f t="shared" si="21"/>
        <v>1072564392.7161925</v>
      </c>
      <c r="P226" s="488"/>
      <c r="Q226" s="353">
        <f t="shared" si="22"/>
        <v>1072564392.7161925</v>
      </c>
      <c r="R226" s="488">
        <f>+'City Expansion'!C109</f>
        <v>25363260.283881385</v>
      </c>
      <c r="S226" s="353">
        <f t="shared" si="23"/>
        <v>1097927653.0000739</v>
      </c>
      <c r="T226" s="62"/>
      <c r="U226" s="62"/>
    </row>
    <row r="227" spans="1:21" x14ac:dyDescent="0.2">
      <c r="C227" s="90"/>
      <c r="F227" s="6"/>
      <c r="H227" s="6"/>
      <c r="K227" s="163"/>
      <c r="T227"/>
    </row>
    <row r="228" spans="1:21" x14ac:dyDescent="0.2">
      <c r="A228" t="s">
        <v>9</v>
      </c>
      <c r="B228" s="6">
        <f>SUM(B210:B226)</f>
        <v>19493716198.020222</v>
      </c>
      <c r="C228" s="90"/>
      <c r="F228" s="487">
        <f ca="1">SUM(F224:F227)</f>
        <v>3504173003.3689079</v>
      </c>
      <c r="H228" s="6">
        <f ca="1">SUM(H210:H226)</f>
        <v>19593765817.958389</v>
      </c>
      <c r="I228" s="168">
        <f ca="1">H228-B228</f>
        <v>100049619.93816757</v>
      </c>
      <c r="K228" s="163"/>
      <c r="T228"/>
    </row>
    <row r="229" spans="1:21" x14ac:dyDescent="0.2">
      <c r="C229" s="90">
        <f>AVERAGE(C224:C226)</f>
        <v>-5053093.8598589897</v>
      </c>
      <c r="G229" s="90">
        <f ca="1">AVERAGE(G224:G226)</f>
        <v>-6815482.6892851992</v>
      </c>
      <c r="I229" s="54"/>
      <c r="K229" s="163"/>
      <c r="L229" s="159">
        <f>+B226</f>
        <v>1106868152.7019615</v>
      </c>
      <c r="N229" s="159">
        <f>+N226+L226</f>
        <v>34303759.985768944</v>
      </c>
      <c r="R229" s="507">
        <f>+R226</f>
        <v>25363260.283881385</v>
      </c>
      <c r="S229" s="159">
        <f>+L229-N229+R229</f>
        <v>1097927653.0000739</v>
      </c>
      <c r="T229" s="159"/>
      <c r="U229" s="159"/>
    </row>
    <row r="230" spans="1:21" x14ac:dyDescent="0.2">
      <c r="H230" s="6">
        <f ca="1">SUM(H210:H226)</f>
        <v>19593765817.958389</v>
      </c>
      <c r="I230" s="168">
        <f ca="1">H208-H230</f>
        <v>0</v>
      </c>
      <c r="K230" s="163"/>
      <c r="L230" s="159">
        <f>+'Rate Class Energy Model'!G23</f>
        <v>1068533989.9509252</v>
      </c>
      <c r="N230" s="159">
        <f>+'Rate Class Energy Model'!G103</f>
        <v>33115717.927591637</v>
      </c>
      <c r="R230" s="159">
        <f>+'Rate Class Energy Model'!G116</f>
        <v>24484854.535874467</v>
      </c>
      <c r="S230" s="159">
        <f>+L230-N230+R230</f>
        <v>1059903126.559208</v>
      </c>
      <c r="T230" s="159"/>
      <c r="U230" s="159"/>
    </row>
    <row r="231" spans="1:21" x14ac:dyDescent="0.2">
      <c r="H231" s="23"/>
      <c r="I231" s="169" t="s">
        <v>69</v>
      </c>
      <c r="J231" s="18"/>
      <c r="K231" s="163"/>
      <c r="L231" s="506">
        <f>+L229/L230</f>
        <v>1.0358754734164299</v>
      </c>
      <c r="N231" s="506">
        <f>+N229/N230</f>
        <v>1.0358754734164299</v>
      </c>
      <c r="R231" s="506">
        <f>+R229/R230</f>
        <v>1.0358754734164299</v>
      </c>
      <c r="S231" s="506">
        <f>+S229/S230</f>
        <v>1.0358754734164299</v>
      </c>
      <c r="T231" s="159"/>
      <c r="U231" s="159"/>
    </row>
    <row r="232" spans="1:21" x14ac:dyDescent="0.2">
      <c r="K232" s="163"/>
      <c r="S232" s="159"/>
      <c r="T232" s="159"/>
      <c r="U232" s="159"/>
    </row>
    <row r="233" spans="1:21" x14ac:dyDescent="0.2">
      <c r="K233" s="163"/>
      <c r="S233" s="159"/>
      <c r="T233" s="159"/>
      <c r="U233" s="159"/>
    </row>
    <row r="234" spans="1:21" x14ac:dyDescent="0.2">
      <c r="E234" s="149"/>
      <c r="S234" s="159"/>
      <c r="T234" s="159"/>
      <c r="U234" s="159"/>
    </row>
    <row r="235" spans="1:21" x14ac:dyDescent="0.2">
      <c r="E235" s="149"/>
      <c r="H235" s="90"/>
      <c r="T235" s="159"/>
    </row>
    <row r="236" spans="1:21" x14ac:dyDescent="0.2">
      <c r="F236" s="6"/>
      <c r="H236" s="90"/>
      <c r="T236" s="159"/>
    </row>
    <row r="237" spans="1:21" x14ac:dyDescent="0.2">
      <c r="L237" s="159"/>
      <c r="P237" s="159"/>
      <c r="T237" s="159"/>
    </row>
    <row r="238" spans="1:21" x14ac:dyDescent="0.2">
      <c r="L238" s="159"/>
      <c r="P238" s="159"/>
      <c r="T238"/>
    </row>
    <row r="239" spans="1:21" x14ac:dyDescent="0.2">
      <c r="T239"/>
    </row>
    <row r="240" spans="1:21" x14ac:dyDescent="0.2">
      <c r="C240" s="6"/>
      <c r="D240" s="6"/>
      <c r="F240" s="6"/>
      <c r="G240" s="6"/>
      <c r="H240" s="6"/>
      <c r="T240"/>
    </row>
    <row r="241" spans="8:20" x14ac:dyDescent="0.2">
      <c r="H241" s="6"/>
      <c r="K241" s="163"/>
      <c r="T241"/>
    </row>
    <row r="242" spans="8:20" x14ac:dyDescent="0.2">
      <c r="T242"/>
    </row>
    <row r="243" spans="8:20" x14ac:dyDescent="0.2">
      <c r="T243"/>
    </row>
    <row r="244" spans="8:20" x14ac:dyDescent="0.2">
      <c r="T244"/>
    </row>
    <row r="245" spans="8:20" x14ac:dyDescent="0.2">
      <c r="T245"/>
    </row>
    <row r="246" spans="8:20" x14ac:dyDescent="0.2">
      <c r="T246"/>
    </row>
    <row r="247" spans="8:20" x14ac:dyDescent="0.2">
      <c r="T247"/>
    </row>
    <row r="248" spans="8:20" x14ac:dyDescent="0.2">
      <c r="T248"/>
    </row>
    <row r="249" spans="8:20" x14ac:dyDescent="0.2">
      <c r="T249"/>
    </row>
    <row r="250" spans="8:20" x14ac:dyDescent="0.2">
      <c r="T250"/>
    </row>
    <row r="251" spans="8:20" x14ac:dyDescent="0.2">
      <c r="T251"/>
    </row>
    <row r="252" spans="8:20" x14ac:dyDescent="0.2">
      <c r="T252"/>
    </row>
    <row r="253" spans="8:20" x14ac:dyDescent="0.2">
      <c r="T253"/>
    </row>
    <row r="254" spans="8:20" x14ac:dyDescent="0.2">
      <c r="T254"/>
    </row>
    <row r="255" spans="8:20" x14ac:dyDescent="0.2">
      <c r="T255"/>
    </row>
    <row r="256" spans="8:20" x14ac:dyDescent="0.2">
      <c r="T256"/>
    </row>
    <row r="257" spans="20:20" x14ac:dyDescent="0.2">
      <c r="T257"/>
    </row>
    <row r="258" spans="20:20" x14ac:dyDescent="0.2">
      <c r="T258"/>
    </row>
    <row r="259" spans="20:20" x14ac:dyDescent="0.2">
      <c r="T259"/>
    </row>
    <row r="260" spans="20:20" x14ac:dyDescent="0.2">
      <c r="T260"/>
    </row>
    <row r="261" spans="20:20" x14ac:dyDescent="0.2">
      <c r="T261"/>
    </row>
    <row r="262" spans="20:20" x14ac:dyDescent="0.2">
      <c r="T262"/>
    </row>
    <row r="263" spans="20:20" x14ac:dyDescent="0.2">
      <c r="T263"/>
    </row>
    <row r="264" spans="20:20" x14ac:dyDescent="0.2">
      <c r="T264"/>
    </row>
    <row r="265" spans="20:20" x14ac:dyDescent="0.2">
      <c r="T265"/>
    </row>
    <row r="266" spans="20:20" x14ac:dyDescent="0.2">
      <c r="T266"/>
    </row>
    <row r="267" spans="20:20" x14ac:dyDescent="0.2">
      <c r="T267"/>
    </row>
    <row r="268" spans="20:20" x14ac:dyDescent="0.2">
      <c r="T268"/>
    </row>
    <row r="269" spans="20:20" x14ac:dyDescent="0.2">
      <c r="T269"/>
    </row>
    <row r="270" spans="20:20" x14ac:dyDescent="0.2">
      <c r="T270"/>
    </row>
    <row r="271" spans="20:20" x14ac:dyDescent="0.2">
      <c r="T271"/>
    </row>
    <row r="272" spans="20:20" x14ac:dyDescent="0.2">
      <c r="T272"/>
    </row>
    <row r="273" spans="20:20" x14ac:dyDescent="0.2">
      <c r="T273"/>
    </row>
    <row r="274" spans="20:20" x14ac:dyDescent="0.2">
      <c r="T274"/>
    </row>
    <row r="275" spans="20:20" x14ac:dyDescent="0.2">
      <c r="T275"/>
    </row>
    <row r="276" spans="20:20" x14ac:dyDescent="0.2">
      <c r="T276"/>
    </row>
    <row r="277" spans="20:20" x14ac:dyDescent="0.2">
      <c r="T277"/>
    </row>
    <row r="278" spans="20:20" x14ac:dyDescent="0.2">
      <c r="T278"/>
    </row>
    <row r="279" spans="20:20" x14ac:dyDescent="0.2">
      <c r="T279"/>
    </row>
    <row r="280" spans="20:20" x14ac:dyDescent="0.2">
      <c r="T280"/>
    </row>
    <row r="281" spans="20:20" x14ac:dyDescent="0.2">
      <c r="T281"/>
    </row>
    <row r="282" spans="20:20" x14ac:dyDescent="0.2">
      <c r="T282"/>
    </row>
    <row r="283" spans="20:20" x14ac:dyDescent="0.2">
      <c r="T283"/>
    </row>
    <row r="284" spans="20:20" x14ac:dyDescent="0.2">
      <c r="T284"/>
    </row>
    <row r="285" spans="20:20" x14ac:dyDescent="0.2">
      <c r="T285"/>
    </row>
    <row r="286" spans="20:20" x14ac:dyDescent="0.2">
      <c r="T286"/>
    </row>
    <row r="287" spans="20:20" x14ac:dyDescent="0.2">
      <c r="T287"/>
    </row>
    <row r="288" spans="20:20" x14ac:dyDescent="0.2">
      <c r="T288"/>
    </row>
    <row r="289" spans="20:20" x14ac:dyDescent="0.2">
      <c r="T289"/>
    </row>
    <row r="290" spans="20:20" x14ac:dyDescent="0.2">
      <c r="T290"/>
    </row>
    <row r="291" spans="20:20" x14ac:dyDescent="0.2">
      <c r="T291"/>
    </row>
    <row r="292" spans="20:20" x14ac:dyDescent="0.2">
      <c r="T292"/>
    </row>
    <row r="293" spans="20:20" x14ac:dyDescent="0.2">
      <c r="T293"/>
    </row>
    <row r="294" spans="20:20" x14ac:dyDescent="0.2">
      <c r="T294"/>
    </row>
    <row r="295" spans="20:20" x14ac:dyDescent="0.2">
      <c r="T295"/>
    </row>
    <row r="296" spans="20:20" x14ac:dyDescent="0.2">
      <c r="T296"/>
    </row>
    <row r="297" spans="20:20" x14ac:dyDescent="0.2">
      <c r="T297"/>
    </row>
    <row r="298" spans="20:20" x14ac:dyDescent="0.2">
      <c r="T298"/>
    </row>
    <row r="299" spans="20:20" x14ac:dyDescent="0.2">
      <c r="T299"/>
    </row>
    <row r="300" spans="20:20" x14ac:dyDescent="0.2">
      <c r="T300"/>
    </row>
    <row r="301" spans="20:20" x14ac:dyDescent="0.2">
      <c r="T301"/>
    </row>
    <row r="302" spans="20:20" x14ac:dyDescent="0.2">
      <c r="T302"/>
    </row>
    <row r="303" spans="20:20" x14ac:dyDescent="0.2">
      <c r="T303"/>
    </row>
    <row r="304" spans="20:20" x14ac:dyDescent="0.2">
      <c r="T304"/>
    </row>
    <row r="305" spans="20:20" x14ac:dyDescent="0.2">
      <c r="T305"/>
    </row>
    <row r="306" spans="20:20" x14ac:dyDescent="0.2">
      <c r="T306"/>
    </row>
    <row r="307" spans="20:20" x14ac:dyDescent="0.2">
      <c r="T307"/>
    </row>
    <row r="308" spans="20:20" x14ac:dyDescent="0.2">
      <c r="T308"/>
    </row>
    <row r="309" spans="20:20" x14ac:dyDescent="0.2">
      <c r="T309"/>
    </row>
    <row r="310" spans="20:20" x14ac:dyDescent="0.2">
      <c r="T310"/>
    </row>
    <row r="311" spans="20:20" x14ac:dyDescent="0.2">
      <c r="T311"/>
    </row>
    <row r="312" spans="20:20" x14ac:dyDescent="0.2">
      <c r="T312"/>
    </row>
    <row r="313" spans="20:20" x14ac:dyDescent="0.2">
      <c r="T313"/>
    </row>
    <row r="314" spans="20:20" x14ac:dyDescent="0.2">
      <c r="T314"/>
    </row>
    <row r="315" spans="20:20" x14ac:dyDescent="0.2">
      <c r="T315"/>
    </row>
    <row r="316" spans="20:20" x14ac:dyDescent="0.2">
      <c r="T316"/>
    </row>
    <row r="317" spans="20:20" x14ac:dyDescent="0.2">
      <c r="T317"/>
    </row>
    <row r="318" spans="20:20" x14ac:dyDescent="0.2">
      <c r="T318"/>
    </row>
    <row r="319" spans="20:20" x14ac:dyDescent="0.2">
      <c r="T319"/>
    </row>
    <row r="320" spans="20:20" x14ac:dyDescent="0.2">
      <c r="T320"/>
    </row>
    <row r="321" spans="20:20" x14ac:dyDescent="0.2">
      <c r="T321"/>
    </row>
    <row r="322" spans="20:20" x14ac:dyDescent="0.2">
      <c r="T322"/>
    </row>
    <row r="323" spans="20:20" x14ac:dyDescent="0.2">
      <c r="T323"/>
    </row>
    <row r="324" spans="20:20" x14ac:dyDescent="0.2">
      <c r="T324"/>
    </row>
    <row r="325" spans="20:20" x14ac:dyDescent="0.2">
      <c r="T325"/>
    </row>
    <row r="326" spans="20:20" x14ac:dyDescent="0.2">
      <c r="T326"/>
    </row>
    <row r="327" spans="20:20" x14ac:dyDescent="0.2">
      <c r="T327"/>
    </row>
    <row r="328" spans="20:20" x14ac:dyDescent="0.2">
      <c r="T328"/>
    </row>
    <row r="329" spans="20:20" x14ac:dyDescent="0.2">
      <c r="T329"/>
    </row>
    <row r="330" spans="20:20" x14ac:dyDescent="0.2">
      <c r="T330"/>
    </row>
    <row r="331" spans="20:20" x14ac:dyDescent="0.2">
      <c r="T331"/>
    </row>
    <row r="332" spans="20:20" x14ac:dyDescent="0.2">
      <c r="T332"/>
    </row>
    <row r="333" spans="20:20" x14ac:dyDescent="0.2">
      <c r="T333"/>
    </row>
    <row r="334" spans="20:20" x14ac:dyDescent="0.2">
      <c r="T334"/>
    </row>
    <row r="335" spans="20:20" x14ac:dyDescent="0.2">
      <c r="T335"/>
    </row>
    <row r="336" spans="20:20" x14ac:dyDescent="0.2">
      <c r="T336"/>
    </row>
    <row r="337" spans="20:20" x14ac:dyDescent="0.2">
      <c r="T337"/>
    </row>
    <row r="338" spans="20:20" x14ac:dyDescent="0.2">
      <c r="T338"/>
    </row>
    <row r="339" spans="20:20" x14ac:dyDescent="0.2">
      <c r="T339"/>
    </row>
    <row r="340" spans="20:20" x14ac:dyDescent="0.2">
      <c r="T340"/>
    </row>
    <row r="341" spans="20:20" x14ac:dyDescent="0.2">
      <c r="T341"/>
    </row>
    <row r="342" spans="20:20" x14ac:dyDescent="0.2">
      <c r="T342"/>
    </row>
    <row r="343" spans="20:20" x14ac:dyDescent="0.2">
      <c r="T343"/>
    </row>
    <row r="344" spans="20:20" x14ac:dyDescent="0.2">
      <c r="T344"/>
    </row>
    <row r="345" spans="20:20" x14ac:dyDescent="0.2">
      <c r="T345"/>
    </row>
    <row r="346" spans="20:20" x14ac:dyDescent="0.2">
      <c r="T346"/>
    </row>
    <row r="347" spans="20:20" x14ac:dyDescent="0.2">
      <c r="T347"/>
    </row>
    <row r="348" spans="20:20" x14ac:dyDescent="0.2">
      <c r="T348"/>
    </row>
    <row r="349" spans="20:20" x14ac:dyDescent="0.2">
      <c r="T349"/>
    </row>
    <row r="350" spans="20:20" x14ac:dyDescent="0.2">
      <c r="T350"/>
    </row>
    <row r="351" spans="20:20" x14ac:dyDescent="0.2">
      <c r="T351"/>
    </row>
    <row r="352" spans="20:20" x14ac:dyDescent="0.2">
      <c r="T352"/>
    </row>
    <row r="353" spans="20:20" x14ac:dyDescent="0.2">
      <c r="T353"/>
    </row>
    <row r="354" spans="20:20" x14ac:dyDescent="0.2">
      <c r="T354"/>
    </row>
    <row r="355" spans="20:20" x14ac:dyDescent="0.2">
      <c r="T355"/>
    </row>
    <row r="356" spans="20:20" x14ac:dyDescent="0.2">
      <c r="T356"/>
    </row>
    <row r="357" spans="20:20" x14ac:dyDescent="0.2">
      <c r="T357"/>
    </row>
    <row r="358" spans="20:20" x14ac:dyDescent="0.2">
      <c r="T358"/>
    </row>
    <row r="359" spans="20:20" x14ac:dyDescent="0.2">
      <c r="T359"/>
    </row>
    <row r="360" spans="20:20" x14ac:dyDescent="0.2">
      <c r="T360"/>
    </row>
    <row r="361" spans="20:20" x14ac:dyDescent="0.2">
      <c r="T361"/>
    </row>
    <row r="362" spans="20:20" x14ac:dyDescent="0.2">
      <c r="T362"/>
    </row>
    <row r="363" spans="20:20" x14ac:dyDescent="0.2">
      <c r="T363"/>
    </row>
    <row r="364" spans="20:20" x14ac:dyDescent="0.2">
      <c r="T364"/>
    </row>
    <row r="365" spans="20:20" x14ac:dyDescent="0.2">
      <c r="T365"/>
    </row>
    <row r="366" spans="20:20" x14ac:dyDescent="0.2">
      <c r="T366"/>
    </row>
    <row r="367" spans="20:20" x14ac:dyDescent="0.2">
      <c r="T367"/>
    </row>
    <row r="368" spans="20:20" x14ac:dyDescent="0.2">
      <c r="T368"/>
    </row>
    <row r="369" spans="20:20" x14ac:dyDescent="0.2">
      <c r="T369"/>
    </row>
    <row r="370" spans="20:20" x14ac:dyDescent="0.2">
      <c r="T370"/>
    </row>
    <row r="371" spans="20:20" x14ac:dyDescent="0.2">
      <c r="T371"/>
    </row>
    <row r="372" spans="20:20" x14ac:dyDescent="0.2">
      <c r="T372"/>
    </row>
    <row r="373" spans="20:20" x14ac:dyDescent="0.2">
      <c r="T373"/>
    </row>
    <row r="374" spans="20:20" x14ac:dyDescent="0.2">
      <c r="T374"/>
    </row>
    <row r="375" spans="20:20" x14ac:dyDescent="0.2">
      <c r="T375"/>
    </row>
    <row r="376" spans="20:20" x14ac:dyDescent="0.2">
      <c r="T376"/>
    </row>
    <row r="377" spans="20:20" x14ac:dyDescent="0.2">
      <c r="T377"/>
    </row>
    <row r="378" spans="20:20" x14ac:dyDescent="0.2">
      <c r="T378"/>
    </row>
    <row r="379" spans="20:20" x14ac:dyDescent="0.2">
      <c r="T379"/>
    </row>
    <row r="380" spans="20:20" x14ac:dyDescent="0.2">
      <c r="T380"/>
    </row>
    <row r="381" spans="20:20" x14ac:dyDescent="0.2">
      <c r="T381"/>
    </row>
    <row r="382" spans="20:20" x14ac:dyDescent="0.2">
      <c r="T382"/>
    </row>
    <row r="383" spans="20:20" x14ac:dyDescent="0.2">
      <c r="T383"/>
    </row>
    <row r="384" spans="20:20" x14ac:dyDescent="0.2">
      <c r="T384"/>
    </row>
    <row r="385" spans="20:20" x14ac:dyDescent="0.2">
      <c r="T385"/>
    </row>
    <row r="386" spans="20:20" x14ac:dyDescent="0.2">
      <c r="T386"/>
    </row>
  </sheetData>
  <phoneticPr fontId="0" type="noConversion"/>
  <pageMargins left="0.38" right="0.75" top="0.73" bottom="0.74" header="0.5" footer="0.5"/>
  <pageSetup orientation="landscape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workbookViewId="0"/>
  </sheetViews>
  <sheetFormatPr defaultRowHeight="12.75" x14ac:dyDescent="0.2"/>
  <cols>
    <col min="1" max="1" width="12.85546875" customWidth="1"/>
    <col min="2" max="2" width="17.85546875" customWidth="1"/>
    <col min="3" max="4" width="19.140625" customWidth="1"/>
    <col min="7" max="7" width="19.140625" customWidth="1"/>
    <col min="8" max="8" width="17.85546875" customWidth="1"/>
    <col min="9" max="9" width="19.140625" customWidth="1"/>
    <col min="16" max="16" width="10.85546875" customWidth="1"/>
  </cols>
  <sheetData>
    <row r="1" spans="1:19" ht="51" x14ac:dyDescent="0.2">
      <c r="A1" s="160" t="s">
        <v>199</v>
      </c>
      <c r="B1" s="160" t="s">
        <v>117</v>
      </c>
      <c r="C1" s="160" t="s">
        <v>201</v>
      </c>
      <c r="D1" s="160" t="s">
        <v>200</v>
      </c>
      <c r="E1" s="160" t="s">
        <v>202</v>
      </c>
      <c r="F1" s="301" t="s">
        <v>266</v>
      </c>
      <c r="G1" s="301" t="s">
        <v>201</v>
      </c>
      <c r="H1" s="301" t="s">
        <v>117</v>
      </c>
      <c r="I1" s="301" t="s">
        <v>200</v>
      </c>
      <c r="J1" s="301" t="s">
        <v>202</v>
      </c>
      <c r="K1" s="385" t="s">
        <v>290</v>
      </c>
      <c r="L1" s="385" t="s">
        <v>201</v>
      </c>
      <c r="M1" s="385" t="s">
        <v>201</v>
      </c>
      <c r="N1" s="391" t="s">
        <v>305</v>
      </c>
      <c r="O1" s="390" t="s">
        <v>201</v>
      </c>
      <c r="P1" s="391" t="s">
        <v>342</v>
      </c>
      <c r="Q1" s="391" t="s">
        <v>341</v>
      </c>
      <c r="R1" s="390" t="s">
        <v>201</v>
      </c>
      <c r="S1" s="391" t="s">
        <v>343</v>
      </c>
    </row>
    <row r="2" spans="1:19" x14ac:dyDescent="0.2">
      <c r="A2" s="160"/>
      <c r="B2" s="160"/>
      <c r="C2" s="160"/>
      <c r="D2" s="160"/>
    </row>
    <row r="3" spans="1:19" x14ac:dyDescent="0.2">
      <c r="A3" t="s">
        <v>118</v>
      </c>
      <c r="B3" s="172">
        <v>8279.7652300000009</v>
      </c>
      <c r="C3" s="63">
        <v>5.5E-2</v>
      </c>
      <c r="D3" s="173">
        <v>1968.21875</v>
      </c>
      <c r="E3" s="173">
        <f>+D3/3</f>
        <v>656.07291666666663</v>
      </c>
      <c r="G3" s="63">
        <v>5.5E-2</v>
      </c>
      <c r="H3" s="173">
        <v>8409.5400100000006</v>
      </c>
      <c r="I3" s="173">
        <v>1968.21875</v>
      </c>
      <c r="J3" s="173">
        <f>+I3/3</f>
        <v>656.07291666666663</v>
      </c>
      <c r="L3" t="s">
        <v>118</v>
      </c>
      <c r="M3" s="63">
        <v>5.5E-2</v>
      </c>
      <c r="O3" t="s">
        <v>118</v>
      </c>
      <c r="P3" s="63">
        <v>5.8235294100000001E-2</v>
      </c>
      <c r="R3" t="s">
        <v>118</v>
      </c>
      <c r="S3" s="63">
        <v>5.8235294100000001E-2</v>
      </c>
    </row>
    <row r="4" spans="1:19" x14ac:dyDescent="0.2">
      <c r="A4" t="s">
        <v>119</v>
      </c>
      <c r="B4" s="172">
        <v>8398.9087299999992</v>
      </c>
      <c r="C4" s="63">
        <v>5.9000000000000004E-2</v>
      </c>
      <c r="D4" s="173">
        <v>1938.53125</v>
      </c>
      <c r="E4" s="173">
        <f t="shared" ref="E4:E67" si="0">+D4/3</f>
        <v>646.17708333333337</v>
      </c>
      <c r="G4" s="63">
        <v>5.9000000000000004E-2</v>
      </c>
      <c r="H4" s="173">
        <v>8491.2183100000002</v>
      </c>
      <c r="I4" s="173">
        <v>1938.53125</v>
      </c>
      <c r="J4" s="173">
        <f t="shared" ref="J4:J58" si="1">+I4/3</f>
        <v>646.17708333333337</v>
      </c>
      <c r="L4" t="s">
        <v>119</v>
      </c>
      <c r="M4" s="63">
        <v>5.9000000000000004E-2</v>
      </c>
      <c r="O4" t="s">
        <v>119</v>
      </c>
      <c r="P4" s="63">
        <v>6.2470588200000003E-2</v>
      </c>
      <c r="R4" t="s">
        <v>119</v>
      </c>
      <c r="S4" s="63">
        <v>6.2470588200000003E-2</v>
      </c>
    </row>
    <row r="5" spans="1:19" x14ac:dyDescent="0.2">
      <c r="A5" t="s">
        <v>120</v>
      </c>
      <c r="B5" s="172">
        <v>8607.3889500000005</v>
      </c>
      <c r="C5" s="63">
        <v>6.0999999999999999E-2</v>
      </c>
      <c r="D5" s="173">
        <v>1901.15625</v>
      </c>
      <c r="E5" s="173">
        <f t="shared" si="0"/>
        <v>633.71875</v>
      </c>
      <c r="G5" s="63">
        <v>6.0999999999999999E-2</v>
      </c>
      <c r="H5" s="173">
        <v>8693.0823099999998</v>
      </c>
      <c r="I5" s="173">
        <v>1901.15625</v>
      </c>
      <c r="J5" s="173">
        <f t="shared" si="1"/>
        <v>633.71875</v>
      </c>
      <c r="L5" t="s">
        <v>120</v>
      </c>
      <c r="M5" s="63">
        <v>6.0999999999999999E-2</v>
      </c>
      <c r="O5" t="s">
        <v>120</v>
      </c>
      <c r="P5" s="63">
        <v>6.4588235300000005E-2</v>
      </c>
      <c r="R5" t="s">
        <v>120</v>
      </c>
      <c r="S5" s="63">
        <v>6.4588235300000005E-2</v>
      </c>
    </row>
    <row r="6" spans="1:19" x14ac:dyDescent="0.2">
      <c r="A6" t="s">
        <v>121</v>
      </c>
      <c r="B6" s="172">
        <v>8729.6934600000004</v>
      </c>
      <c r="C6" s="63">
        <v>5.7999999999999996E-2</v>
      </c>
      <c r="D6" s="173">
        <v>1856.09375</v>
      </c>
      <c r="E6" s="173">
        <f t="shared" si="0"/>
        <v>618.69791666666663</v>
      </c>
      <c r="G6" s="63">
        <v>5.7999999999999996E-2</v>
      </c>
      <c r="H6" s="173">
        <v>8758.7993900000001</v>
      </c>
      <c r="I6" s="173">
        <v>1856.09375</v>
      </c>
      <c r="J6" s="173">
        <f t="shared" si="1"/>
        <v>618.69791666666663</v>
      </c>
      <c r="L6" t="s">
        <v>121</v>
      </c>
      <c r="M6" s="63">
        <v>5.7999999999999996E-2</v>
      </c>
      <c r="O6" t="s">
        <v>121</v>
      </c>
      <c r="P6" s="63">
        <v>6.1411764700000003E-2</v>
      </c>
      <c r="R6" t="s">
        <v>121</v>
      </c>
      <c r="S6" s="63">
        <v>6.1411764700000003E-2</v>
      </c>
    </row>
    <row r="7" spans="1:19" x14ac:dyDescent="0.2">
      <c r="A7" t="s">
        <v>122</v>
      </c>
      <c r="B7" s="172">
        <v>8852.2767899999999</v>
      </c>
      <c r="C7" s="63">
        <v>5.0999999999999997E-2</v>
      </c>
      <c r="D7" s="173">
        <v>1748.1875</v>
      </c>
      <c r="E7" s="173">
        <f t="shared" si="0"/>
        <v>582.72916666666663</v>
      </c>
      <c r="G7" s="63">
        <v>5.0999999999999997E-2</v>
      </c>
      <c r="H7" s="173">
        <v>8887.61276</v>
      </c>
      <c r="I7" s="173">
        <v>1748.1875</v>
      </c>
      <c r="J7" s="173">
        <f t="shared" si="1"/>
        <v>582.72916666666663</v>
      </c>
      <c r="L7" t="s">
        <v>122</v>
      </c>
      <c r="M7" s="63">
        <v>5.0999999999999997E-2</v>
      </c>
      <c r="O7" t="s">
        <v>122</v>
      </c>
      <c r="P7" s="63">
        <v>5.4000000000000006E-2</v>
      </c>
      <c r="R7" t="s">
        <v>122</v>
      </c>
      <c r="S7" s="63">
        <v>5.4000000000000006E-2</v>
      </c>
    </row>
    <row r="8" spans="1:19" x14ac:dyDescent="0.2">
      <c r="A8" t="s">
        <v>123</v>
      </c>
      <c r="B8" s="172">
        <v>8951.3808300000001</v>
      </c>
      <c r="C8" s="63">
        <v>5.2000000000000005E-2</v>
      </c>
      <c r="D8" s="173">
        <v>1709.8125</v>
      </c>
      <c r="E8" s="173">
        <f t="shared" si="0"/>
        <v>569.9375</v>
      </c>
      <c r="G8" s="63">
        <v>5.2000000000000005E-2</v>
      </c>
      <c r="H8" s="173">
        <v>9009.0143399999997</v>
      </c>
      <c r="I8" s="173">
        <v>1709.8125</v>
      </c>
      <c r="J8" s="173">
        <f t="shared" si="1"/>
        <v>569.9375</v>
      </c>
      <c r="L8" t="s">
        <v>123</v>
      </c>
      <c r="M8" s="63">
        <v>5.2000000000000005E-2</v>
      </c>
      <c r="O8" t="s">
        <v>123</v>
      </c>
      <c r="P8" s="63">
        <v>5.2000000000000005E-2</v>
      </c>
      <c r="R8" t="s">
        <v>123</v>
      </c>
      <c r="S8" s="63">
        <v>5.2000000000000005E-2</v>
      </c>
    </row>
    <row r="9" spans="1:19" x14ac:dyDescent="0.2">
      <c r="A9" t="s">
        <v>124</v>
      </c>
      <c r="B9" s="172">
        <v>8952.7226900000005</v>
      </c>
      <c r="C9" s="63">
        <v>5.7999999999999996E-2</v>
      </c>
      <c r="D9" s="173">
        <v>1685.8125</v>
      </c>
      <c r="E9" s="173">
        <f t="shared" si="0"/>
        <v>561.9375</v>
      </c>
      <c r="G9" s="63">
        <v>5.7999999999999996E-2</v>
      </c>
      <c r="H9" s="173">
        <v>8989.8852100000004</v>
      </c>
      <c r="I9" s="173">
        <v>1685.8125</v>
      </c>
      <c r="J9" s="173">
        <f t="shared" si="1"/>
        <v>561.9375</v>
      </c>
      <c r="L9" t="s">
        <v>124</v>
      </c>
      <c r="M9" s="63">
        <v>5.7999999999999996E-2</v>
      </c>
      <c r="O9" t="s">
        <v>124</v>
      </c>
      <c r="P9" s="63">
        <v>5.7000000000000002E-2</v>
      </c>
      <c r="R9" t="s">
        <v>124</v>
      </c>
      <c r="S9" s="63">
        <v>5.7000000000000002E-2</v>
      </c>
    </row>
    <row r="10" spans="1:19" x14ac:dyDescent="0.2">
      <c r="A10" t="s">
        <v>125</v>
      </c>
      <c r="B10" s="172">
        <v>9005.3871099999997</v>
      </c>
      <c r="C10" s="63">
        <v>6.7000000000000004E-2</v>
      </c>
      <c r="D10" s="173">
        <v>1676.1875</v>
      </c>
      <c r="E10" s="173">
        <f t="shared" si="0"/>
        <v>558.72916666666663</v>
      </c>
      <c r="G10" s="63">
        <v>6.7000000000000004E-2</v>
      </c>
      <c r="H10" s="173">
        <v>9047.4321299999992</v>
      </c>
      <c r="I10" s="173">
        <v>1676.1875</v>
      </c>
      <c r="J10" s="173">
        <f t="shared" si="1"/>
        <v>558.72916666666663</v>
      </c>
      <c r="L10" t="s">
        <v>125</v>
      </c>
      <c r="M10" s="63">
        <v>6.7000000000000004E-2</v>
      </c>
      <c r="O10" t="s">
        <v>125</v>
      </c>
      <c r="P10" s="63">
        <v>6.0999999999999999E-2</v>
      </c>
      <c r="R10" t="s">
        <v>125</v>
      </c>
      <c r="S10" s="63">
        <v>6.0999999999999999E-2</v>
      </c>
    </row>
    <row r="11" spans="1:19" x14ac:dyDescent="0.2">
      <c r="A11" t="s">
        <v>126</v>
      </c>
      <c r="B11" s="172">
        <v>9029.2835099999993</v>
      </c>
      <c r="C11" s="63">
        <v>8.199999999999999E-2</v>
      </c>
      <c r="D11" s="173">
        <v>1734.21875</v>
      </c>
      <c r="E11" s="173">
        <f t="shared" si="0"/>
        <v>578.07291666666663</v>
      </c>
      <c r="G11" s="63">
        <v>8.199999999999999E-2</v>
      </c>
      <c r="H11" s="173">
        <v>9105.1567400000004</v>
      </c>
      <c r="I11" s="173">
        <v>1734.21875</v>
      </c>
      <c r="J11" s="173">
        <f t="shared" si="1"/>
        <v>578.07291666666663</v>
      </c>
      <c r="L11" t="s">
        <v>126</v>
      </c>
      <c r="M11" s="63">
        <v>8.199999999999999E-2</v>
      </c>
      <c r="O11" t="s">
        <v>126</v>
      </c>
      <c r="P11" s="63">
        <v>8.5999999999999993E-2</v>
      </c>
      <c r="R11" t="s">
        <v>126</v>
      </c>
      <c r="S11" s="63">
        <v>8.5999999999999993E-2</v>
      </c>
    </row>
    <row r="12" spans="1:19" x14ac:dyDescent="0.2">
      <c r="A12" t="s">
        <v>127</v>
      </c>
      <c r="B12" s="172">
        <v>9168.8768099999998</v>
      </c>
      <c r="C12" s="63">
        <v>6.7000000000000004E-2</v>
      </c>
      <c r="D12" s="173">
        <v>1732.03125</v>
      </c>
      <c r="E12" s="173">
        <f t="shared" si="0"/>
        <v>577.34375</v>
      </c>
      <c r="G12" s="63">
        <v>6.7000000000000004E-2</v>
      </c>
      <c r="H12" s="173">
        <v>9230.5662300000004</v>
      </c>
      <c r="I12" s="173">
        <v>1732.03125</v>
      </c>
      <c r="J12" s="173">
        <f t="shared" si="1"/>
        <v>577.34375</v>
      </c>
      <c r="L12" t="s">
        <v>127</v>
      </c>
      <c r="M12" s="63">
        <v>6.7000000000000004E-2</v>
      </c>
      <c r="O12" t="s">
        <v>127</v>
      </c>
      <c r="P12" s="63">
        <v>6.6000000000000003E-2</v>
      </c>
      <c r="R12" t="s">
        <v>127</v>
      </c>
      <c r="S12" s="63">
        <v>6.6000000000000003E-2</v>
      </c>
    </row>
    <row r="13" spans="1:19" x14ac:dyDescent="0.2">
      <c r="A13" t="s">
        <v>128</v>
      </c>
      <c r="B13" s="172">
        <v>9319.0442399999993</v>
      </c>
      <c r="C13" s="63">
        <v>6.3E-2</v>
      </c>
      <c r="D13" s="173">
        <v>1722.90625</v>
      </c>
      <c r="E13" s="173">
        <f t="shared" si="0"/>
        <v>574.30208333333337</v>
      </c>
      <c r="G13" s="63">
        <v>6.3E-2</v>
      </c>
      <c r="H13" s="173">
        <v>9385.7910800000009</v>
      </c>
      <c r="I13" s="173">
        <v>1722.90625</v>
      </c>
      <c r="J13" s="173">
        <f t="shared" si="1"/>
        <v>574.30208333333337</v>
      </c>
      <c r="L13" t="s">
        <v>128</v>
      </c>
      <c r="M13" s="63">
        <v>6.3E-2</v>
      </c>
      <c r="O13" t="s">
        <v>128</v>
      </c>
      <c r="P13" s="63">
        <v>6.0999999999999999E-2</v>
      </c>
      <c r="R13" t="s">
        <v>128</v>
      </c>
      <c r="S13" s="63">
        <v>6.0999999999999999E-2</v>
      </c>
    </row>
    <row r="14" spans="1:19" x14ac:dyDescent="0.2">
      <c r="A14" t="s">
        <v>129</v>
      </c>
      <c r="B14" s="172">
        <v>9450.1090199999999</v>
      </c>
      <c r="C14" s="63">
        <v>5.7999999999999996E-2</v>
      </c>
      <c r="D14" s="173">
        <v>1706.84375</v>
      </c>
      <c r="E14" s="173">
        <f t="shared" si="0"/>
        <v>568.94791666666663</v>
      </c>
      <c r="G14" s="63">
        <v>5.7999999999999996E-2</v>
      </c>
      <c r="H14" s="173">
        <v>9484.4933999999994</v>
      </c>
      <c r="I14" s="173">
        <v>1706.84375</v>
      </c>
      <c r="J14" s="173">
        <f t="shared" si="1"/>
        <v>568.94791666666663</v>
      </c>
      <c r="L14" t="s">
        <v>129</v>
      </c>
      <c r="M14" s="63">
        <v>5.7999999999999996E-2</v>
      </c>
      <c r="O14" t="s">
        <v>129</v>
      </c>
      <c r="P14" s="63">
        <v>0.06</v>
      </c>
      <c r="R14" t="s">
        <v>129</v>
      </c>
      <c r="S14" s="63">
        <v>0.06</v>
      </c>
    </row>
    <row r="15" spans="1:19" x14ac:dyDescent="0.2">
      <c r="A15" t="s">
        <v>130</v>
      </c>
      <c r="B15" s="172">
        <v>9796.4605699999993</v>
      </c>
      <c r="C15" s="63">
        <v>4.7E-2</v>
      </c>
      <c r="D15" s="173">
        <v>1645.875</v>
      </c>
      <c r="E15" s="173">
        <f t="shared" si="0"/>
        <v>548.625</v>
      </c>
      <c r="G15" s="63">
        <v>4.7E-2</v>
      </c>
      <c r="H15" s="173">
        <v>9912.4973699999991</v>
      </c>
      <c r="I15" s="173">
        <v>1645.875</v>
      </c>
      <c r="J15" s="173">
        <f t="shared" si="1"/>
        <v>548.625</v>
      </c>
      <c r="L15" t="s">
        <v>130</v>
      </c>
      <c r="M15" s="63">
        <v>4.7E-2</v>
      </c>
      <c r="O15" t="s">
        <v>130</v>
      </c>
      <c r="P15" s="63">
        <v>5.2000000000000005E-2</v>
      </c>
      <c r="R15" t="s">
        <v>130</v>
      </c>
      <c r="S15" s="63">
        <v>5.2000000000000005E-2</v>
      </c>
    </row>
    <row r="16" spans="1:19" x14ac:dyDescent="0.2">
      <c r="A16" t="s">
        <v>131</v>
      </c>
      <c r="B16" s="172">
        <v>9935.7401399999999</v>
      </c>
      <c r="C16" s="63">
        <v>5.5999999999999994E-2</v>
      </c>
      <c r="D16" s="173">
        <v>1631.125</v>
      </c>
      <c r="E16" s="173">
        <f t="shared" si="0"/>
        <v>543.70833333333337</v>
      </c>
      <c r="G16" s="63">
        <v>5.5999999999999994E-2</v>
      </c>
      <c r="H16" s="173">
        <v>10045.061299999999</v>
      </c>
      <c r="I16" s="173">
        <v>1631.125</v>
      </c>
      <c r="J16" s="173">
        <f t="shared" si="1"/>
        <v>543.70833333333337</v>
      </c>
      <c r="L16" t="s">
        <v>131</v>
      </c>
      <c r="M16" s="63">
        <v>5.5999999999999994E-2</v>
      </c>
      <c r="O16" t="s">
        <v>131</v>
      </c>
      <c r="P16" s="63">
        <v>5.5999999999999994E-2</v>
      </c>
      <c r="R16" t="s">
        <v>131</v>
      </c>
      <c r="S16" s="63">
        <f>+'Purchased Power Model '!E6</f>
        <v>5.5999999999999994E-2</v>
      </c>
    </row>
    <row r="17" spans="1:19" x14ac:dyDescent="0.2">
      <c r="A17" t="s">
        <v>132</v>
      </c>
      <c r="B17" s="172">
        <v>10065.761</v>
      </c>
      <c r="C17" s="63">
        <v>5.2000000000000005E-2</v>
      </c>
      <c r="D17" s="173">
        <v>1624.625</v>
      </c>
      <c r="E17" s="173">
        <f t="shared" si="0"/>
        <v>541.54166666666663</v>
      </c>
      <c r="G17" s="63">
        <v>5.2000000000000005E-2</v>
      </c>
      <c r="H17" s="173">
        <v>10132.6129</v>
      </c>
      <c r="I17" s="173">
        <v>1624.625</v>
      </c>
      <c r="J17" s="173">
        <f t="shared" si="1"/>
        <v>541.54166666666663</v>
      </c>
      <c r="L17" t="s">
        <v>132</v>
      </c>
      <c r="M17" s="63">
        <v>5.2000000000000005E-2</v>
      </c>
      <c r="O17" t="s">
        <v>132</v>
      </c>
      <c r="P17" s="63">
        <v>5.0999999999999997E-2</v>
      </c>
      <c r="R17" t="s">
        <v>132</v>
      </c>
      <c r="S17" s="63">
        <f>+'Purchased Power Model '!E9</f>
        <v>5.0999999999999997E-2</v>
      </c>
    </row>
    <row r="18" spans="1:19" x14ac:dyDescent="0.2">
      <c r="A18" t="s">
        <v>133</v>
      </c>
      <c r="B18" s="172">
        <v>10322.3197</v>
      </c>
      <c r="C18" s="63">
        <v>4.7E-2</v>
      </c>
      <c r="D18" s="173">
        <v>1626.375</v>
      </c>
      <c r="E18" s="173">
        <f t="shared" si="0"/>
        <v>542.125</v>
      </c>
      <c r="G18" s="63">
        <v>4.7E-2</v>
      </c>
      <c r="H18" s="173">
        <v>10400.2147</v>
      </c>
      <c r="I18" s="173">
        <v>1626.375</v>
      </c>
      <c r="J18" s="173">
        <f t="shared" si="1"/>
        <v>542.125</v>
      </c>
      <c r="L18" t="s">
        <v>133</v>
      </c>
      <c r="M18" s="63">
        <v>4.7E-2</v>
      </c>
      <c r="O18" t="s">
        <v>133</v>
      </c>
      <c r="P18" s="63">
        <v>4.8000000000000001E-2</v>
      </c>
      <c r="R18" t="s">
        <v>133</v>
      </c>
      <c r="S18" s="63">
        <f>+'Purchased Power Model '!E12</f>
        <v>4.8000000000000001E-2</v>
      </c>
    </row>
    <row r="19" spans="1:19" x14ac:dyDescent="0.2">
      <c r="A19" t="s">
        <v>134</v>
      </c>
      <c r="B19" s="172">
        <v>10394.712799999999</v>
      </c>
      <c r="C19" s="63">
        <v>0.05</v>
      </c>
      <c r="D19" s="173">
        <v>1655.75</v>
      </c>
      <c r="E19" s="173">
        <f t="shared" si="0"/>
        <v>551.91666666666663</v>
      </c>
      <c r="G19" s="63">
        <v>0.05</v>
      </c>
      <c r="H19" s="173">
        <v>10458.698399999999</v>
      </c>
      <c r="I19" s="173">
        <v>1655.75</v>
      </c>
      <c r="J19" s="173">
        <f t="shared" si="1"/>
        <v>551.91666666666663</v>
      </c>
      <c r="L19" t="s">
        <v>134</v>
      </c>
      <c r="M19" s="63">
        <v>0.05</v>
      </c>
      <c r="O19" t="s">
        <v>134</v>
      </c>
      <c r="P19" s="63">
        <v>5.0999999999999997E-2</v>
      </c>
      <c r="R19" t="s">
        <v>134</v>
      </c>
      <c r="S19" s="63">
        <f>+'Purchased Power Model '!E15</f>
        <v>5.0999999999999997E-2</v>
      </c>
    </row>
    <row r="20" spans="1:19" x14ac:dyDescent="0.2">
      <c r="A20" t="s">
        <v>135</v>
      </c>
      <c r="B20" s="172">
        <v>10574.3897</v>
      </c>
      <c r="C20" s="63">
        <v>5.4000000000000006E-2</v>
      </c>
      <c r="D20" s="173">
        <v>1666.25</v>
      </c>
      <c r="E20" s="173">
        <f t="shared" si="0"/>
        <v>555.41666666666663</v>
      </c>
      <c r="G20" s="63">
        <v>5.4000000000000006E-2</v>
      </c>
      <c r="H20" s="173">
        <v>10647.7893</v>
      </c>
      <c r="I20" s="173">
        <v>1666.25</v>
      </c>
      <c r="J20" s="173">
        <f t="shared" si="1"/>
        <v>555.41666666666663</v>
      </c>
      <c r="L20" t="s">
        <v>135</v>
      </c>
      <c r="M20" s="63">
        <v>5.4000000000000006E-2</v>
      </c>
      <c r="O20" t="s">
        <v>135</v>
      </c>
      <c r="P20" s="63">
        <v>5.2999999999999999E-2</v>
      </c>
      <c r="R20" t="s">
        <v>135</v>
      </c>
      <c r="S20" s="63">
        <f>+'Purchased Power Model '!E18</f>
        <v>5.2999999999999999E-2</v>
      </c>
    </row>
    <row r="21" spans="1:19" x14ac:dyDescent="0.2">
      <c r="A21" t="s">
        <v>136</v>
      </c>
      <c r="B21" s="172">
        <v>10767.148499999999</v>
      </c>
      <c r="C21" s="63">
        <v>5.5E-2</v>
      </c>
      <c r="D21" s="173">
        <v>1677.25</v>
      </c>
      <c r="E21" s="173">
        <f t="shared" si="0"/>
        <v>559.08333333333337</v>
      </c>
      <c r="G21" s="63">
        <v>5.5E-2</v>
      </c>
      <c r="H21" s="173">
        <v>10854.0236</v>
      </c>
      <c r="I21" s="173">
        <v>1677.25</v>
      </c>
      <c r="J21" s="173">
        <f t="shared" si="1"/>
        <v>559.08333333333337</v>
      </c>
      <c r="L21" t="s">
        <v>136</v>
      </c>
      <c r="M21" s="63">
        <v>5.5E-2</v>
      </c>
      <c r="O21" t="s">
        <v>136</v>
      </c>
      <c r="P21" s="63">
        <v>5.2999999999999999E-2</v>
      </c>
      <c r="R21" t="s">
        <v>136</v>
      </c>
      <c r="S21" s="63">
        <f>+'Purchased Power Model '!E21</f>
        <v>5.2999999999999999E-2</v>
      </c>
    </row>
    <row r="22" spans="1:19" x14ac:dyDescent="0.2">
      <c r="A22" t="s">
        <v>137</v>
      </c>
      <c r="B22" s="172">
        <v>10899.499400000001</v>
      </c>
      <c r="C22" s="63">
        <v>5.7999999999999996E-2</v>
      </c>
      <c r="D22" s="173">
        <v>1688.75</v>
      </c>
      <c r="E22" s="173">
        <f t="shared" si="0"/>
        <v>562.91666666666663</v>
      </c>
      <c r="G22" s="63">
        <v>5.7999999999999996E-2</v>
      </c>
      <c r="H22" s="173">
        <v>10998.4231</v>
      </c>
      <c r="I22" s="173">
        <v>1688.75</v>
      </c>
      <c r="J22" s="173">
        <f t="shared" si="1"/>
        <v>562.91666666666663</v>
      </c>
      <c r="L22" t="s">
        <v>137</v>
      </c>
      <c r="M22" s="63">
        <v>5.7999999999999996E-2</v>
      </c>
      <c r="O22" t="s">
        <v>137</v>
      </c>
      <c r="P22" s="63">
        <v>5.7999999999999996E-2</v>
      </c>
      <c r="R22" t="s">
        <v>137</v>
      </c>
      <c r="S22" s="63">
        <f>+'Purchased Power Model '!E24</f>
        <v>5.7999999999999996E-2</v>
      </c>
    </row>
    <row r="23" spans="1:19" x14ac:dyDescent="0.2">
      <c r="A23" t="s">
        <v>138</v>
      </c>
      <c r="B23" s="172">
        <v>10879.549499999999</v>
      </c>
      <c r="C23" s="63">
        <v>7.2000000000000008E-2</v>
      </c>
      <c r="D23" s="173">
        <v>1701.0625</v>
      </c>
      <c r="E23" s="173">
        <f t="shared" si="0"/>
        <v>567.02083333333337</v>
      </c>
      <c r="G23" s="63">
        <v>7.2000000000000008E-2</v>
      </c>
      <c r="H23" s="173">
        <v>10961.294099999999</v>
      </c>
      <c r="I23" s="173">
        <v>1701.0625</v>
      </c>
      <c r="J23" s="173">
        <f t="shared" si="1"/>
        <v>567.02083333333337</v>
      </c>
      <c r="L23" t="s">
        <v>138</v>
      </c>
      <c r="M23" s="63">
        <v>7.2000000000000008E-2</v>
      </c>
      <c r="O23" t="s">
        <v>138</v>
      </c>
      <c r="P23" s="63">
        <v>7.2000000000000008E-2</v>
      </c>
      <c r="R23" t="s">
        <v>138</v>
      </c>
      <c r="S23" s="63">
        <f>+'Purchased Power Model '!E27</f>
        <v>7.2000000000000008E-2</v>
      </c>
    </row>
    <row r="24" spans="1:19" x14ac:dyDescent="0.2">
      <c r="A24" t="s">
        <v>139</v>
      </c>
      <c r="B24" s="172">
        <v>10998.745199999999</v>
      </c>
      <c r="C24" s="63">
        <v>6.4000000000000001E-2</v>
      </c>
      <c r="D24" s="173">
        <v>1713.4375</v>
      </c>
      <c r="E24" s="173">
        <f t="shared" si="0"/>
        <v>571.14583333333337</v>
      </c>
      <c r="G24" s="63">
        <v>6.4000000000000001E-2</v>
      </c>
      <c r="H24" s="173">
        <v>11073.280199999999</v>
      </c>
      <c r="I24" s="173">
        <v>1713.4375</v>
      </c>
      <c r="J24" s="173">
        <f t="shared" si="1"/>
        <v>571.14583333333337</v>
      </c>
      <c r="L24" t="s">
        <v>139</v>
      </c>
      <c r="M24" s="63">
        <v>6.4000000000000001E-2</v>
      </c>
      <c r="O24" t="s">
        <v>139</v>
      </c>
      <c r="P24" s="63">
        <v>6.3E-2</v>
      </c>
      <c r="R24" t="s">
        <v>139</v>
      </c>
      <c r="S24" s="63">
        <f>+'Purchased Power Model '!E30</f>
        <v>6.3E-2</v>
      </c>
    </row>
    <row r="25" spans="1:19" x14ac:dyDescent="0.2">
      <c r="A25" t="s">
        <v>140</v>
      </c>
      <c r="B25" s="172">
        <v>11121.214099999999</v>
      </c>
      <c r="C25" s="63">
        <v>5.7999999999999996E-2</v>
      </c>
      <c r="D25" s="173">
        <v>1726.1875</v>
      </c>
      <c r="E25" s="173">
        <f t="shared" si="0"/>
        <v>575.39583333333337</v>
      </c>
      <c r="G25" s="63">
        <v>5.7999999999999996E-2</v>
      </c>
      <c r="H25" s="173">
        <v>11210.4419</v>
      </c>
      <c r="I25" s="173">
        <v>1726.1875</v>
      </c>
      <c r="J25" s="173">
        <f t="shared" si="1"/>
        <v>575.39583333333337</v>
      </c>
      <c r="L25" t="s">
        <v>140</v>
      </c>
      <c r="M25" s="63">
        <v>5.7999999999999996E-2</v>
      </c>
      <c r="O25" t="s">
        <v>140</v>
      </c>
      <c r="P25" s="63">
        <v>5.7000000000000002E-2</v>
      </c>
      <c r="R25" t="s">
        <v>140</v>
      </c>
      <c r="S25" s="63">
        <f>+'Purchased Power Model '!E33</f>
        <v>5.7000000000000002E-2</v>
      </c>
    </row>
    <row r="26" spans="1:19" x14ac:dyDescent="0.2">
      <c r="A26" t="s">
        <v>141</v>
      </c>
      <c r="B26" s="172">
        <v>11250.5581</v>
      </c>
      <c r="C26" s="63">
        <v>6.7000000000000004E-2</v>
      </c>
      <c r="D26" s="173">
        <v>1739.3125</v>
      </c>
      <c r="E26" s="173">
        <f t="shared" si="0"/>
        <v>579.77083333333337</v>
      </c>
      <c r="G26" s="63">
        <v>6.7000000000000004E-2</v>
      </c>
      <c r="H26" s="173">
        <v>11305.9262</v>
      </c>
      <c r="I26" s="173">
        <v>1739.3125</v>
      </c>
      <c r="J26" s="173">
        <f t="shared" si="1"/>
        <v>579.77083333333337</v>
      </c>
      <c r="L26" t="s">
        <v>141</v>
      </c>
      <c r="M26" s="63">
        <v>6.7000000000000004E-2</v>
      </c>
      <c r="O26" t="s">
        <v>141</v>
      </c>
      <c r="P26" s="63">
        <v>6.7000000000000004E-2</v>
      </c>
      <c r="R26" t="s">
        <v>141</v>
      </c>
      <c r="S26" s="63">
        <f>+'Purchased Power Model '!E36</f>
        <v>6.7000000000000004E-2</v>
      </c>
    </row>
    <row r="27" spans="1:19" x14ac:dyDescent="0.2">
      <c r="A27" t="s">
        <v>142</v>
      </c>
      <c r="B27" s="172">
        <v>11513.3346</v>
      </c>
      <c r="C27" s="63">
        <v>6.6000000000000003E-2</v>
      </c>
      <c r="D27" s="173">
        <v>1783.125</v>
      </c>
      <c r="E27" s="173">
        <f t="shared" si="0"/>
        <v>594.375</v>
      </c>
      <c r="G27" s="63">
        <v>6.6000000000000003E-2</v>
      </c>
      <c r="H27" s="173">
        <v>11569.7534</v>
      </c>
      <c r="I27" s="173">
        <v>1783.125</v>
      </c>
      <c r="J27" s="173">
        <f t="shared" si="1"/>
        <v>594.375</v>
      </c>
      <c r="L27" t="s">
        <v>142</v>
      </c>
      <c r="M27" s="63">
        <v>6.6000000000000003E-2</v>
      </c>
      <c r="O27" t="s">
        <v>142</v>
      </c>
      <c r="P27" s="63">
        <v>6.7000000000000004E-2</v>
      </c>
      <c r="R27" t="s">
        <v>142</v>
      </c>
      <c r="S27" s="63">
        <f>+'Purchased Power Model '!E39</f>
        <v>6.7000000000000004E-2</v>
      </c>
    </row>
    <row r="28" spans="1:19" x14ac:dyDescent="0.2">
      <c r="A28" t="s">
        <v>143</v>
      </c>
      <c r="B28" s="172">
        <v>11573.0075</v>
      </c>
      <c r="C28" s="63">
        <v>6.5000000000000002E-2</v>
      </c>
      <c r="D28" s="173">
        <v>1784.875</v>
      </c>
      <c r="E28" s="173">
        <f t="shared" si="0"/>
        <v>594.95833333333337</v>
      </c>
      <c r="G28" s="63">
        <v>6.5000000000000002E-2</v>
      </c>
      <c r="H28" s="173">
        <v>11655.3516</v>
      </c>
      <c r="I28" s="173">
        <v>1784.875</v>
      </c>
      <c r="J28" s="173">
        <f t="shared" si="1"/>
        <v>594.95833333333337</v>
      </c>
      <c r="L28" t="s">
        <v>143</v>
      </c>
      <c r="M28" s="63">
        <v>6.5000000000000002E-2</v>
      </c>
      <c r="O28" t="s">
        <v>143</v>
      </c>
      <c r="P28" s="63">
        <v>6.3E-2</v>
      </c>
      <c r="R28" t="s">
        <v>143</v>
      </c>
      <c r="S28" s="63">
        <f>+'Purchased Power Model '!E42</f>
        <v>6.3E-2</v>
      </c>
    </row>
    <row r="29" spans="1:19" x14ac:dyDescent="0.2">
      <c r="A29" t="s">
        <v>144</v>
      </c>
      <c r="B29" s="172">
        <v>11634.9043</v>
      </c>
      <c r="C29" s="63">
        <v>6.7000000000000004E-2</v>
      </c>
      <c r="D29" s="173">
        <v>1774.875</v>
      </c>
      <c r="E29" s="173">
        <f t="shared" si="0"/>
        <v>591.625</v>
      </c>
      <c r="G29" s="63">
        <v>6.7000000000000004E-2</v>
      </c>
      <c r="H29" s="173">
        <v>11681.482</v>
      </c>
      <c r="I29" s="173">
        <v>1774.875</v>
      </c>
      <c r="J29" s="173">
        <f t="shared" si="1"/>
        <v>591.625</v>
      </c>
      <c r="L29" t="s">
        <v>144</v>
      </c>
      <c r="M29" s="63">
        <v>6.7000000000000004E-2</v>
      </c>
      <c r="O29" t="s">
        <v>144</v>
      </c>
      <c r="P29" s="63">
        <v>6.6000000000000003E-2</v>
      </c>
      <c r="R29" t="s">
        <v>144</v>
      </c>
      <c r="S29" s="63">
        <f>+'Purchased Power Model '!E45</f>
        <v>6.6000000000000003E-2</v>
      </c>
    </row>
    <row r="30" spans="1:19" x14ac:dyDescent="0.2">
      <c r="A30" t="s">
        <v>145</v>
      </c>
      <c r="B30" s="172">
        <v>11798.984</v>
      </c>
      <c r="C30" s="63">
        <v>6.8000000000000005E-2</v>
      </c>
      <c r="D30" s="173">
        <v>1753.125</v>
      </c>
      <c r="E30" s="173">
        <f t="shared" si="0"/>
        <v>584.375</v>
      </c>
      <c r="G30" s="63">
        <v>6.8000000000000005E-2</v>
      </c>
      <c r="H30" s="173">
        <v>11880.014499999999</v>
      </c>
      <c r="I30" s="173">
        <v>1753.125</v>
      </c>
      <c r="J30" s="173">
        <f t="shared" si="1"/>
        <v>584.375</v>
      </c>
      <c r="L30" t="s">
        <v>145</v>
      </c>
      <c r="M30" s="63">
        <v>6.8000000000000005E-2</v>
      </c>
      <c r="O30" t="s">
        <v>145</v>
      </c>
      <c r="P30" s="63">
        <v>6.7000000000000004E-2</v>
      </c>
      <c r="R30" t="s">
        <v>145</v>
      </c>
      <c r="S30" s="63">
        <f>+'Purchased Power Model '!E48</f>
        <v>6.7000000000000004E-2</v>
      </c>
    </row>
    <row r="31" spans="1:19" x14ac:dyDescent="0.2">
      <c r="A31" t="s">
        <v>146</v>
      </c>
      <c r="B31" s="172">
        <v>11884.4946</v>
      </c>
      <c r="C31" s="63">
        <v>6.0999999999999999E-2</v>
      </c>
      <c r="D31" s="173">
        <v>1649.46875</v>
      </c>
      <c r="E31" s="173">
        <f t="shared" si="0"/>
        <v>549.82291666666663</v>
      </c>
      <c r="G31" s="63">
        <v>6.0999999999999999E-2</v>
      </c>
      <c r="H31" s="173">
        <v>11902.270200000001</v>
      </c>
      <c r="I31" s="173">
        <v>1649.46875</v>
      </c>
      <c r="J31" s="173">
        <f t="shared" si="1"/>
        <v>549.82291666666663</v>
      </c>
      <c r="L31" t="s">
        <v>146</v>
      </c>
      <c r="M31" s="63">
        <v>6.0999999999999999E-2</v>
      </c>
      <c r="O31" t="s">
        <v>146</v>
      </c>
      <c r="P31" s="63">
        <v>6.2E-2</v>
      </c>
      <c r="R31" t="s">
        <v>146</v>
      </c>
      <c r="S31" s="63">
        <f>+'Purchased Power Model '!E51</f>
        <v>6.2E-2</v>
      </c>
    </row>
    <row r="32" spans="1:19" x14ac:dyDescent="0.2">
      <c r="A32" t="s">
        <v>147</v>
      </c>
      <c r="B32" s="172">
        <v>12154.242700000001</v>
      </c>
      <c r="C32" s="63">
        <v>0.06</v>
      </c>
      <c r="D32" s="173">
        <v>1632.28125</v>
      </c>
      <c r="E32" s="173">
        <f t="shared" si="0"/>
        <v>544.09375</v>
      </c>
      <c r="G32" s="63">
        <v>0.06</v>
      </c>
      <c r="H32" s="173">
        <v>12176.6981</v>
      </c>
      <c r="I32" s="173">
        <v>1632.28125</v>
      </c>
      <c r="J32" s="173">
        <f t="shared" si="1"/>
        <v>544.09375</v>
      </c>
      <c r="L32" t="s">
        <v>147</v>
      </c>
      <c r="M32" s="63">
        <v>0.06</v>
      </c>
      <c r="O32" t="s">
        <v>147</v>
      </c>
      <c r="P32" s="63">
        <v>5.9000000000000004E-2</v>
      </c>
      <c r="R32" t="s">
        <v>147</v>
      </c>
      <c r="S32" s="63">
        <f>+'Purchased Power Model '!E54</f>
        <v>5.9000000000000004E-2</v>
      </c>
    </row>
    <row r="33" spans="1:21" x14ac:dyDescent="0.2">
      <c r="A33" t="s">
        <v>148</v>
      </c>
      <c r="B33" s="172">
        <v>12404.919400000001</v>
      </c>
      <c r="C33" s="63">
        <v>6.5000000000000002E-2</v>
      </c>
      <c r="D33" s="173">
        <v>1631.40625</v>
      </c>
      <c r="E33" s="173">
        <f t="shared" si="0"/>
        <v>543.80208333333337</v>
      </c>
      <c r="G33" s="63">
        <v>6.5000000000000002E-2</v>
      </c>
      <c r="H33" s="173">
        <v>12427.155199999999</v>
      </c>
      <c r="I33" s="173">
        <v>1631.40625</v>
      </c>
      <c r="J33" s="173">
        <f t="shared" si="1"/>
        <v>543.80208333333337</v>
      </c>
      <c r="L33" t="s">
        <v>148</v>
      </c>
      <c r="M33" s="63">
        <v>6.5000000000000002E-2</v>
      </c>
      <c r="O33" t="s">
        <v>148</v>
      </c>
      <c r="P33" s="63">
        <v>6.4000000000000001E-2</v>
      </c>
      <c r="R33" t="s">
        <v>148</v>
      </c>
      <c r="S33" s="63">
        <f>+'Purchased Power Model '!E57</f>
        <v>6.4000000000000001E-2</v>
      </c>
    </row>
    <row r="34" spans="1:21" x14ac:dyDescent="0.2">
      <c r="A34" t="s">
        <v>149</v>
      </c>
      <c r="B34" s="172">
        <v>12611.191999999999</v>
      </c>
      <c r="C34" s="63">
        <v>6.3E-2</v>
      </c>
      <c r="D34" s="173">
        <v>1646.84375</v>
      </c>
      <c r="E34" s="173">
        <f t="shared" si="0"/>
        <v>548.94791666666663</v>
      </c>
      <c r="G34" s="63">
        <v>6.3E-2</v>
      </c>
      <c r="H34" s="173">
        <v>12622.6769</v>
      </c>
      <c r="I34" s="173">
        <v>1646.84375</v>
      </c>
      <c r="J34" s="173">
        <f t="shared" si="1"/>
        <v>548.94791666666663</v>
      </c>
      <c r="L34" t="s">
        <v>149</v>
      </c>
      <c r="M34" s="63">
        <v>6.3E-2</v>
      </c>
      <c r="O34" t="s">
        <v>149</v>
      </c>
      <c r="P34" s="63">
        <v>6.0999999999999999E-2</v>
      </c>
      <c r="R34" t="s">
        <v>149</v>
      </c>
      <c r="S34" s="63">
        <f>+'Purchased Power Model '!E60</f>
        <v>6.0999999999999999E-2</v>
      </c>
    </row>
    <row r="35" spans="1:21" x14ac:dyDescent="0.2">
      <c r="A35" t="s">
        <v>150</v>
      </c>
      <c r="B35" s="172">
        <v>12468.519899999999</v>
      </c>
      <c r="C35" s="63">
        <v>6.4000000000000001E-2</v>
      </c>
      <c r="D35" s="173">
        <v>1757.5</v>
      </c>
      <c r="E35" s="173">
        <f t="shared" si="0"/>
        <v>585.83333333333337</v>
      </c>
      <c r="G35" s="63">
        <v>6.4000000000000001E-2</v>
      </c>
      <c r="H35" s="173">
        <v>12501.5021</v>
      </c>
      <c r="I35" s="173">
        <v>1757.5</v>
      </c>
      <c r="J35" s="173">
        <f t="shared" si="1"/>
        <v>585.83333333333337</v>
      </c>
      <c r="L35" t="s">
        <v>150</v>
      </c>
      <c r="M35" s="63">
        <v>6.4000000000000001E-2</v>
      </c>
      <c r="O35" t="s">
        <v>150</v>
      </c>
      <c r="P35" s="63">
        <v>6.6000000000000003E-2</v>
      </c>
      <c r="R35" t="s">
        <v>150</v>
      </c>
      <c r="S35" s="63">
        <f>+'Purchased Power Model '!E63</f>
        <v>6.6000000000000003E-2</v>
      </c>
    </row>
    <row r="36" spans="1:21" x14ac:dyDescent="0.2">
      <c r="A36" t="s">
        <v>151</v>
      </c>
      <c r="B36" s="172">
        <v>12766.4694</v>
      </c>
      <c r="C36" s="63">
        <v>7.400000000000001E-2</v>
      </c>
      <c r="D36" s="173">
        <v>1774</v>
      </c>
      <c r="E36" s="173">
        <f t="shared" si="0"/>
        <v>591.33333333333337</v>
      </c>
      <c r="G36" s="63">
        <v>7.400000000000001E-2</v>
      </c>
      <c r="H36" s="173">
        <v>12784.435100000001</v>
      </c>
      <c r="I36" s="173">
        <v>1774</v>
      </c>
      <c r="J36" s="173">
        <f t="shared" si="1"/>
        <v>591.33333333333337</v>
      </c>
      <c r="L36" t="s">
        <v>151</v>
      </c>
      <c r="M36" s="63">
        <v>7.400000000000001E-2</v>
      </c>
      <c r="O36" t="s">
        <v>151</v>
      </c>
      <c r="P36" s="63">
        <v>7.400000000000001E-2</v>
      </c>
      <c r="R36" t="s">
        <v>151</v>
      </c>
      <c r="S36" s="63">
        <f>+'Purchased Power Model '!E66</f>
        <v>7.400000000000001E-2</v>
      </c>
    </row>
    <row r="37" spans="1:21" x14ac:dyDescent="0.2">
      <c r="A37" t="s">
        <v>152</v>
      </c>
      <c r="B37" s="172">
        <v>12962.837799999999</v>
      </c>
      <c r="C37" s="63">
        <v>6.8000000000000005E-2</v>
      </c>
      <c r="D37" s="173">
        <v>1775.25</v>
      </c>
      <c r="E37" s="173">
        <f t="shared" si="0"/>
        <v>591.75</v>
      </c>
      <c r="G37" s="63">
        <v>6.8000000000000005E-2</v>
      </c>
      <c r="H37" s="173">
        <v>12981.7989</v>
      </c>
      <c r="I37" s="173">
        <v>1775.25</v>
      </c>
      <c r="J37" s="173">
        <f t="shared" si="1"/>
        <v>591.75</v>
      </c>
      <c r="L37" t="s">
        <v>152</v>
      </c>
      <c r="M37" s="63">
        <v>6.8000000000000005E-2</v>
      </c>
      <c r="O37" t="s">
        <v>152</v>
      </c>
      <c r="P37" s="63">
        <v>6.8000000000000005E-2</v>
      </c>
      <c r="R37" t="s">
        <v>152</v>
      </c>
      <c r="S37" s="63">
        <f>+'Purchased Power Model '!E69</f>
        <v>6.8000000000000005E-2</v>
      </c>
    </row>
    <row r="38" spans="1:21" x14ac:dyDescent="0.2">
      <c r="A38" t="s">
        <v>153</v>
      </c>
      <c r="B38" s="172">
        <v>12725.6921</v>
      </c>
      <c r="C38" s="63">
        <v>7.9000000000000001E-2</v>
      </c>
      <c r="D38" s="173">
        <v>1761.25</v>
      </c>
      <c r="E38" s="173">
        <f t="shared" si="0"/>
        <v>587.08333333333337</v>
      </c>
      <c r="G38" s="63">
        <v>7.9000000000000001E-2</v>
      </c>
      <c r="H38" s="173">
        <v>12747.0121</v>
      </c>
      <c r="I38" s="173">
        <v>1761.25</v>
      </c>
      <c r="J38" s="173">
        <f t="shared" si="1"/>
        <v>587.08333333333337</v>
      </c>
      <c r="L38" t="s">
        <v>153</v>
      </c>
      <c r="M38" s="63">
        <v>7.9000000000000001E-2</v>
      </c>
      <c r="O38" t="s">
        <v>153</v>
      </c>
      <c r="P38" s="63">
        <v>0.08</v>
      </c>
      <c r="R38" t="s">
        <v>153</v>
      </c>
      <c r="S38" s="63">
        <f>+'Purchased Power Model '!E72</f>
        <v>0.08</v>
      </c>
      <c r="U38" s="58" t="s">
        <v>344</v>
      </c>
    </row>
    <row r="39" spans="1:21" x14ac:dyDescent="0.2">
      <c r="A39" t="s">
        <v>154</v>
      </c>
      <c r="B39" s="172">
        <v>12712.4866</v>
      </c>
      <c r="C39" s="63">
        <v>8.5000000000000006E-2</v>
      </c>
      <c r="D39" s="173">
        <v>1651.53125</v>
      </c>
      <c r="E39" s="173">
        <f t="shared" si="0"/>
        <v>550.51041666666663</v>
      </c>
      <c r="G39" s="63">
        <v>8.5000000000000006E-2</v>
      </c>
      <c r="H39" s="173">
        <v>12786.2066</v>
      </c>
      <c r="I39" s="173">
        <v>1651.53125</v>
      </c>
      <c r="J39" s="173">
        <f t="shared" si="1"/>
        <v>550.51041666666663</v>
      </c>
      <c r="L39" t="s">
        <v>154</v>
      </c>
      <c r="M39" s="63">
        <v>8.5000000000000006E-2</v>
      </c>
      <c r="O39" t="s">
        <v>154</v>
      </c>
      <c r="P39" s="63">
        <v>8.3000000000000004E-2</v>
      </c>
      <c r="R39" t="s">
        <v>154</v>
      </c>
      <c r="S39" s="63">
        <f>+'Purchased Power Model '!E75</f>
        <v>8.3000000000000004E-2</v>
      </c>
    </row>
    <row r="40" spans="1:21" x14ac:dyDescent="0.2">
      <c r="A40" t="s">
        <v>155</v>
      </c>
      <c r="B40" s="172">
        <v>12872.734700000001</v>
      </c>
      <c r="C40" s="63">
        <v>8.6999999999999994E-2</v>
      </c>
      <c r="D40" s="173">
        <v>1639.21875</v>
      </c>
      <c r="E40" s="173">
        <f t="shared" si="0"/>
        <v>546.40625</v>
      </c>
      <c r="G40" s="63">
        <v>8.6999999999999994E-2</v>
      </c>
      <c r="H40" s="173">
        <v>12941.8472</v>
      </c>
      <c r="I40" s="173">
        <v>1639.21875</v>
      </c>
      <c r="J40" s="173">
        <f t="shared" si="1"/>
        <v>546.40625</v>
      </c>
      <c r="L40" t="s">
        <v>155</v>
      </c>
      <c r="M40" s="63">
        <v>8.6999999999999994E-2</v>
      </c>
      <c r="O40" t="s">
        <v>155</v>
      </c>
      <c r="P40" s="63">
        <v>8.8000000000000009E-2</v>
      </c>
      <c r="R40" t="s">
        <v>155</v>
      </c>
      <c r="S40" s="63">
        <f>+'Purchased Power Model '!E78</f>
        <v>8.8000000000000009E-2</v>
      </c>
    </row>
    <row r="41" spans="1:21" x14ac:dyDescent="0.2">
      <c r="A41" t="s">
        <v>156</v>
      </c>
      <c r="B41" s="172">
        <v>13245.093800000001</v>
      </c>
      <c r="C41" s="63">
        <v>9.1999999999999998E-2</v>
      </c>
      <c r="D41" s="173">
        <v>1643.84375</v>
      </c>
      <c r="E41" s="173">
        <f t="shared" si="0"/>
        <v>547.94791666666663</v>
      </c>
      <c r="G41" s="63">
        <v>9.1999999999999998E-2</v>
      </c>
      <c r="H41" s="173">
        <v>13297.051799999999</v>
      </c>
      <c r="I41" s="173">
        <v>1643.84375</v>
      </c>
      <c r="J41" s="173">
        <f t="shared" si="1"/>
        <v>547.94791666666663</v>
      </c>
      <c r="L41" t="s">
        <v>156</v>
      </c>
      <c r="M41" s="63">
        <v>9.1999999999999998E-2</v>
      </c>
      <c r="O41" t="s">
        <v>156</v>
      </c>
      <c r="P41" s="63">
        <v>9.5000000000000001E-2</v>
      </c>
      <c r="R41" t="s">
        <v>156</v>
      </c>
      <c r="S41" s="63">
        <f>+'Purchased Power Model '!E81</f>
        <v>9.5000000000000001E-2</v>
      </c>
    </row>
    <row r="42" spans="1:21" x14ac:dyDescent="0.2">
      <c r="A42" t="s">
        <v>157</v>
      </c>
      <c r="B42" s="172">
        <v>13336.073</v>
      </c>
      <c r="C42" s="63">
        <v>9.9000000000000005E-2</v>
      </c>
      <c r="D42" s="173">
        <v>1665.40625</v>
      </c>
      <c r="E42" s="173">
        <f t="shared" si="0"/>
        <v>555.13541666666663</v>
      </c>
      <c r="G42" s="63">
        <v>9.9000000000000005E-2</v>
      </c>
      <c r="H42" s="173">
        <v>13394.8406</v>
      </c>
      <c r="I42" s="173">
        <v>1665.40625</v>
      </c>
      <c r="J42" s="173">
        <f t="shared" si="1"/>
        <v>555.13541666666663</v>
      </c>
      <c r="L42" t="s">
        <v>157</v>
      </c>
      <c r="M42" s="63">
        <v>9.9000000000000005E-2</v>
      </c>
      <c r="O42" t="s">
        <v>157</v>
      </c>
      <c r="P42" s="63">
        <v>0.1</v>
      </c>
      <c r="R42" t="s">
        <v>157</v>
      </c>
      <c r="S42" s="63">
        <f>+'Purchased Power Model '!E84</f>
        <v>0.1</v>
      </c>
    </row>
    <row r="43" spans="1:21" x14ac:dyDescent="0.2">
      <c r="A43" t="s">
        <v>158</v>
      </c>
      <c r="B43" s="172">
        <v>13162.574000000001</v>
      </c>
      <c r="C43" s="63">
        <v>0.10300000000000001</v>
      </c>
      <c r="D43" s="173">
        <v>1778.4375</v>
      </c>
      <c r="E43" s="173">
        <f t="shared" si="0"/>
        <v>592.8125</v>
      </c>
      <c r="G43" s="63">
        <v>0.10300000000000001</v>
      </c>
      <c r="H43" s="173">
        <v>13169.5342</v>
      </c>
      <c r="I43" s="173">
        <v>1778.4375</v>
      </c>
      <c r="J43" s="173">
        <f t="shared" si="1"/>
        <v>592.8125</v>
      </c>
      <c r="L43" t="s">
        <v>158</v>
      </c>
      <c r="M43" s="63">
        <v>0.10300000000000001</v>
      </c>
      <c r="O43" t="s">
        <v>158</v>
      </c>
      <c r="P43" s="63">
        <v>0.10300000000000001</v>
      </c>
      <c r="R43" t="s">
        <v>158</v>
      </c>
      <c r="S43" s="63">
        <f>+'Purchased Power Model '!E87</f>
        <v>0.10300000000000001</v>
      </c>
    </row>
    <row r="44" spans="1:21" x14ac:dyDescent="0.2">
      <c r="A44" t="s">
        <v>159</v>
      </c>
      <c r="B44" s="172">
        <v>13331.3061</v>
      </c>
      <c r="C44" s="63">
        <v>9.9000000000000005E-2</v>
      </c>
      <c r="D44" s="173">
        <v>1804.0625</v>
      </c>
      <c r="E44" s="173">
        <f t="shared" si="0"/>
        <v>601.35416666666663</v>
      </c>
      <c r="G44" s="63">
        <v>9.9000000000000005E-2</v>
      </c>
      <c r="H44" s="173">
        <v>13316.228800000001</v>
      </c>
      <c r="I44" s="173">
        <v>1804.0625</v>
      </c>
      <c r="J44" s="173">
        <f t="shared" si="1"/>
        <v>601.35416666666663</v>
      </c>
      <c r="L44" t="s">
        <v>159</v>
      </c>
      <c r="M44" s="63">
        <v>9.9000000000000005E-2</v>
      </c>
      <c r="O44" t="s">
        <v>159</v>
      </c>
      <c r="P44" s="63">
        <v>9.9000000000000005E-2</v>
      </c>
      <c r="R44" t="s">
        <v>159</v>
      </c>
      <c r="S44" s="63">
        <f>+'Purchased Power Model '!E90</f>
        <v>9.9000000000000005E-2</v>
      </c>
    </row>
    <row r="45" spans="1:21" x14ac:dyDescent="0.2">
      <c r="A45" t="s">
        <v>160</v>
      </c>
      <c r="B45" s="172">
        <v>13488.6374</v>
      </c>
      <c r="C45" s="63">
        <v>0.10400000000000001</v>
      </c>
      <c r="D45" s="173">
        <v>1816.8125</v>
      </c>
      <c r="E45" s="173">
        <f t="shared" si="0"/>
        <v>605.60416666666663</v>
      </c>
      <c r="G45" s="63">
        <v>0.10400000000000001</v>
      </c>
      <c r="H45" s="173">
        <v>13507.2791</v>
      </c>
      <c r="I45" s="173">
        <v>1816.8125</v>
      </c>
      <c r="J45" s="173">
        <f t="shared" si="1"/>
        <v>605.60416666666663</v>
      </c>
      <c r="L45" t="s">
        <v>160</v>
      </c>
      <c r="M45" s="63">
        <v>0.10400000000000001</v>
      </c>
      <c r="O45" t="s">
        <v>160</v>
      </c>
      <c r="P45" s="63">
        <v>0.10099999999999999</v>
      </c>
      <c r="R45" t="s">
        <v>160</v>
      </c>
      <c r="S45" s="63">
        <f>+'Purchased Power Model '!E93</f>
        <v>0.10099999999999999</v>
      </c>
    </row>
    <row r="46" spans="1:21" x14ac:dyDescent="0.2">
      <c r="A46" t="s">
        <v>161</v>
      </c>
      <c r="B46" s="172">
        <v>13481.3341</v>
      </c>
      <c r="C46" s="63">
        <v>9.3000000000000013E-2</v>
      </c>
      <c r="D46" s="173">
        <v>1816.6875</v>
      </c>
      <c r="E46" s="173">
        <f t="shared" si="0"/>
        <v>605.5625</v>
      </c>
      <c r="G46" s="63">
        <v>9.3000000000000013E-2</v>
      </c>
      <c r="H46" s="173">
        <v>13534.7423</v>
      </c>
      <c r="I46" s="173">
        <v>1816.6875</v>
      </c>
      <c r="J46" s="173">
        <f t="shared" si="1"/>
        <v>605.5625</v>
      </c>
      <c r="L46" t="s">
        <v>161</v>
      </c>
      <c r="M46" s="63">
        <v>9.3000000000000013E-2</v>
      </c>
      <c r="O46" t="s">
        <v>161</v>
      </c>
      <c r="P46" s="63">
        <v>9.3000000000000013E-2</v>
      </c>
      <c r="R46" t="s">
        <v>161</v>
      </c>
      <c r="S46" s="63">
        <f>+'Purchased Power Model '!E96</f>
        <v>9.3000000000000013E-2</v>
      </c>
    </row>
    <row r="47" spans="1:21" x14ac:dyDescent="0.2">
      <c r="A47" t="s">
        <v>162</v>
      </c>
      <c r="B47" s="172">
        <v>13450.458500000001</v>
      </c>
      <c r="C47" s="63">
        <v>8.6999999999999994E-2</v>
      </c>
      <c r="D47" s="173">
        <v>1767.4375</v>
      </c>
      <c r="E47" s="173">
        <f t="shared" si="0"/>
        <v>589.14583333333337</v>
      </c>
      <c r="G47" s="63">
        <v>8.6999999999999994E-2</v>
      </c>
      <c r="H47" s="173">
        <v>13709.097900000001</v>
      </c>
      <c r="I47" s="173">
        <v>1767.4375</v>
      </c>
      <c r="J47" s="173">
        <f t="shared" si="1"/>
        <v>589.14583333333337</v>
      </c>
      <c r="L47" t="s">
        <v>162</v>
      </c>
      <c r="M47" s="63">
        <v>8.6999999999999994E-2</v>
      </c>
      <c r="O47" t="s">
        <v>162</v>
      </c>
      <c r="P47" s="63">
        <v>8.8000000000000009E-2</v>
      </c>
      <c r="R47" t="s">
        <v>162</v>
      </c>
      <c r="S47" s="63">
        <f>+'Purchased Power Model '!E99</f>
        <v>8.8000000000000009E-2</v>
      </c>
    </row>
    <row r="48" spans="1:21" x14ac:dyDescent="0.2">
      <c r="A48" t="s">
        <v>163</v>
      </c>
      <c r="B48" s="172">
        <v>13646.9103</v>
      </c>
      <c r="C48" s="63">
        <v>9.3000000000000013E-2</v>
      </c>
      <c r="D48" s="173">
        <v>1756.0625</v>
      </c>
      <c r="E48" s="173">
        <f t="shared" si="0"/>
        <v>585.35416666666663</v>
      </c>
      <c r="G48" s="63">
        <v>9.3000000000000013E-2</v>
      </c>
      <c r="H48" s="173">
        <v>13901.0429</v>
      </c>
      <c r="I48" s="173">
        <v>1756.0625</v>
      </c>
      <c r="J48" s="173">
        <f t="shared" si="1"/>
        <v>585.35416666666663</v>
      </c>
      <c r="L48" t="s">
        <v>163</v>
      </c>
      <c r="M48" s="63">
        <v>9.3000000000000013E-2</v>
      </c>
      <c r="O48" t="s">
        <v>163</v>
      </c>
      <c r="P48" s="63">
        <v>9.0999999999999998E-2</v>
      </c>
      <c r="R48" t="s">
        <v>163</v>
      </c>
      <c r="S48" s="63">
        <f>+'Purchased Power Model '!E102</f>
        <v>9.0999999999999998E-2</v>
      </c>
    </row>
    <row r="49" spans="1:19" x14ac:dyDescent="0.2">
      <c r="A49" t="s">
        <v>164</v>
      </c>
      <c r="B49" s="172">
        <v>13878.487300000001</v>
      </c>
      <c r="C49" s="63">
        <v>7.0999999999999994E-2</v>
      </c>
      <c r="D49" s="173">
        <v>1746.3125</v>
      </c>
      <c r="E49" s="173">
        <f t="shared" si="0"/>
        <v>582.10416666666663</v>
      </c>
      <c r="G49" s="63">
        <v>7.2000000000000008E-2</v>
      </c>
      <c r="H49" s="173">
        <v>14173.843000000001</v>
      </c>
      <c r="I49" s="173">
        <v>1746.3125</v>
      </c>
      <c r="J49" s="173">
        <f t="shared" si="1"/>
        <v>582.10416666666663</v>
      </c>
      <c r="L49" t="s">
        <v>164</v>
      </c>
      <c r="M49" s="63">
        <v>7.2000000000000008E-2</v>
      </c>
      <c r="O49" t="s">
        <v>164</v>
      </c>
      <c r="P49" s="63">
        <v>7.2999999999999995E-2</v>
      </c>
      <c r="R49" t="s">
        <v>164</v>
      </c>
      <c r="S49" s="63">
        <f>+'Purchased Power Model '!E105</f>
        <v>7.2999999999999995E-2</v>
      </c>
    </row>
    <row r="50" spans="1:19" x14ac:dyDescent="0.2">
      <c r="A50" t="s">
        <v>165</v>
      </c>
      <c r="B50" s="172">
        <v>14048.4468</v>
      </c>
      <c r="C50" s="63">
        <v>7.400000000000001E-2</v>
      </c>
      <c r="D50" s="173">
        <v>1738.1875</v>
      </c>
      <c r="E50" s="173">
        <f t="shared" si="0"/>
        <v>579.39583333333337</v>
      </c>
      <c r="G50" s="63">
        <v>7.2000000000000008E-2</v>
      </c>
      <c r="H50" s="173">
        <v>14194.0774</v>
      </c>
      <c r="I50" s="173">
        <v>1738.1875</v>
      </c>
      <c r="J50" s="173">
        <f t="shared" si="1"/>
        <v>579.39583333333337</v>
      </c>
      <c r="L50" t="s">
        <v>165</v>
      </c>
      <c r="M50" s="63">
        <v>7.2000000000000008E-2</v>
      </c>
      <c r="O50" t="s">
        <v>165</v>
      </c>
      <c r="P50" s="63">
        <v>7.400000000000001E-2</v>
      </c>
      <c r="R50" t="s">
        <v>165</v>
      </c>
      <c r="S50" s="63">
        <f>+'Purchased Power Model '!E108</f>
        <v>7.400000000000001E-2</v>
      </c>
    </row>
    <row r="51" spans="1:19" x14ac:dyDescent="0.2">
      <c r="A51" t="s">
        <v>166</v>
      </c>
      <c r="B51" s="172">
        <v>14272.4506</v>
      </c>
      <c r="C51" s="63">
        <v>0.08</v>
      </c>
      <c r="D51" s="173">
        <v>1731.6875</v>
      </c>
      <c r="E51" s="173">
        <f t="shared" si="0"/>
        <v>577.22916666666663</v>
      </c>
      <c r="G51" s="63">
        <v>0.08</v>
      </c>
      <c r="H51" s="173">
        <v>14102.2065</v>
      </c>
      <c r="I51" s="173">
        <v>1731.6875</v>
      </c>
      <c r="J51" s="173">
        <f t="shared" si="1"/>
        <v>577.22916666666663</v>
      </c>
      <c r="L51" t="s">
        <v>166</v>
      </c>
      <c r="M51" s="63">
        <v>0.08</v>
      </c>
      <c r="O51" t="s">
        <v>166</v>
      </c>
      <c r="P51" s="63">
        <v>7.9000000000000001E-2</v>
      </c>
      <c r="R51" t="s">
        <v>166</v>
      </c>
      <c r="S51" s="63">
        <f>+'Purchased Power Model '!E111</f>
        <v>7.9000000000000001E-2</v>
      </c>
    </row>
    <row r="52" spans="1:19" x14ac:dyDescent="0.2">
      <c r="A52" t="s">
        <v>167</v>
      </c>
      <c r="B52" s="172">
        <v>14370.099099999999</v>
      </c>
      <c r="C52" s="63">
        <v>8.4000000000000005E-2</v>
      </c>
      <c r="D52" s="173">
        <v>1726.8125</v>
      </c>
      <c r="E52" s="173">
        <f t="shared" si="0"/>
        <v>575.60416666666663</v>
      </c>
      <c r="G52" s="63">
        <v>8.4000000000000005E-2</v>
      </c>
      <c r="H52" s="173">
        <v>14190.627500000001</v>
      </c>
      <c r="I52" s="173">
        <v>1726.8125</v>
      </c>
      <c r="J52" s="173">
        <f t="shared" si="1"/>
        <v>575.60416666666663</v>
      </c>
      <c r="L52" t="s">
        <v>167</v>
      </c>
      <c r="M52" s="63">
        <v>8.4000000000000005E-2</v>
      </c>
      <c r="O52" t="s">
        <v>167</v>
      </c>
      <c r="P52" s="63">
        <v>8.4000000000000005E-2</v>
      </c>
      <c r="R52" t="s">
        <v>167</v>
      </c>
      <c r="S52" s="63">
        <f>+'Purchased Power Model '!E114</f>
        <v>8.4000000000000005E-2</v>
      </c>
    </row>
    <row r="53" spans="1:19" x14ac:dyDescent="0.2">
      <c r="A53" t="s">
        <v>168</v>
      </c>
      <c r="B53" s="172">
        <v>14528.8591</v>
      </c>
      <c r="C53" s="63">
        <v>9.0999999999999998E-2</v>
      </c>
      <c r="D53" s="173">
        <v>1723.5625</v>
      </c>
      <c r="E53" s="173">
        <f t="shared" si="0"/>
        <v>574.52083333333337</v>
      </c>
      <c r="G53" s="63">
        <v>9.3000000000000013E-2</v>
      </c>
      <c r="H53" s="173">
        <v>14331.0152</v>
      </c>
      <c r="I53" s="173">
        <v>1723.5625</v>
      </c>
      <c r="J53" s="173">
        <f t="shared" si="1"/>
        <v>574.52083333333337</v>
      </c>
      <c r="L53" t="s">
        <v>168</v>
      </c>
      <c r="M53" s="63">
        <v>9.3000000000000013E-2</v>
      </c>
      <c r="O53" t="s">
        <v>168</v>
      </c>
      <c r="P53" s="63">
        <v>8.900000000000001E-2</v>
      </c>
      <c r="R53" t="s">
        <v>168</v>
      </c>
      <c r="S53" s="63">
        <f>+'Purchased Power Model '!E117</f>
        <v>8.900000000000001E-2</v>
      </c>
    </row>
    <row r="54" spans="1:19" x14ac:dyDescent="0.2">
      <c r="A54" t="s">
        <v>169</v>
      </c>
      <c r="B54" s="172">
        <v>14722.02</v>
      </c>
      <c r="C54" s="63">
        <v>9.6000000000000002E-2</v>
      </c>
      <c r="D54" s="173">
        <v>1721.9375</v>
      </c>
      <c r="E54" s="173">
        <f t="shared" si="0"/>
        <v>573.97916666666663</v>
      </c>
      <c r="G54" s="63">
        <v>9.4E-2</v>
      </c>
      <c r="H54" s="173">
        <v>14514.749299999999</v>
      </c>
      <c r="I54" s="173">
        <v>1721.9375</v>
      </c>
      <c r="J54" s="173">
        <f t="shared" si="1"/>
        <v>573.97916666666663</v>
      </c>
      <c r="L54" t="s">
        <v>169</v>
      </c>
      <c r="M54" s="63">
        <v>9.4E-2</v>
      </c>
      <c r="O54" t="s">
        <v>169</v>
      </c>
      <c r="P54" s="63">
        <v>9.1999999999999998E-2</v>
      </c>
      <c r="R54" t="s">
        <v>169</v>
      </c>
      <c r="S54" s="63">
        <f>+'Purchased Power Model '!E120</f>
        <v>9.1999999999999998E-2</v>
      </c>
    </row>
    <row r="55" spans="1:19" x14ac:dyDescent="0.2">
      <c r="A55" t="s">
        <v>170</v>
      </c>
      <c r="B55" s="172">
        <v>14922.23</v>
      </c>
      <c r="C55" s="63">
        <v>8.6000110000000005E-2</v>
      </c>
      <c r="D55" s="173">
        <v>1726.355</v>
      </c>
      <c r="E55" s="173">
        <f t="shared" si="0"/>
        <v>575.45166666666671</v>
      </c>
      <c r="G55" s="63">
        <v>8.4000000000000005E-2</v>
      </c>
      <c r="H55" s="173">
        <v>14717.4769</v>
      </c>
      <c r="I55" s="173">
        <v>1726.355</v>
      </c>
      <c r="J55" s="173">
        <f t="shared" si="1"/>
        <v>575.45166666666671</v>
      </c>
      <c r="L55" t="s">
        <v>170</v>
      </c>
      <c r="M55" s="63">
        <v>8.4000000000000005E-2</v>
      </c>
      <c r="O55" t="s">
        <v>170</v>
      </c>
      <c r="P55" s="63">
        <v>8.8000000000000009E-2</v>
      </c>
      <c r="R55" t="s">
        <v>170</v>
      </c>
      <c r="S55" s="63">
        <f>+'Purchased Power Model '!E123</f>
        <v>8.8000000000000009E-2</v>
      </c>
    </row>
    <row r="56" spans="1:19" x14ac:dyDescent="0.2">
      <c r="A56" t="s">
        <v>171</v>
      </c>
      <c r="B56" s="172">
        <v>15102.48</v>
      </c>
      <c r="C56" s="63">
        <v>7.8295169999999997E-2</v>
      </c>
      <c r="D56" s="173">
        <v>1728.704</v>
      </c>
      <c r="E56" s="173">
        <f t="shared" si="0"/>
        <v>576.23466666666661</v>
      </c>
      <c r="G56" s="63">
        <v>7.0999999999999994E-2</v>
      </c>
      <c r="H56" s="173">
        <v>14828.1818</v>
      </c>
      <c r="I56" s="173">
        <v>1728.704</v>
      </c>
      <c r="J56" s="173">
        <f t="shared" si="1"/>
        <v>576.23466666666661</v>
      </c>
      <c r="L56" t="s">
        <v>171</v>
      </c>
      <c r="M56" s="63">
        <v>7.0999999999999994E-2</v>
      </c>
      <c r="O56" t="s">
        <v>171</v>
      </c>
      <c r="P56" s="63">
        <v>7.400000000000001E-2</v>
      </c>
      <c r="R56" t="s">
        <v>171</v>
      </c>
      <c r="S56" s="63">
        <f>+'Purchased Power Model '!E126</f>
        <v>7.400000000000001E-2</v>
      </c>
    </row>
    <row r="57" spans="1:19" x14ac:dyDescent="0.2">
      <c r="A57" t="s">
        <v>172</v>
      </c>
      <c r="B57" s="172">
        <v>15282.72</v>
      </c>
      <c r="C57" s="63">
        <v>6.7434110000000005E-2</v>
      </c>
      <c r="D57" s="173">
        <v>1731.0709999999999</v>
      </c>
      <c r="E57" s="173">
        <f t="shared" si="0"/>
        <v>577.0236666666666</v>
      </c>
      <c r="G57" s="63">
        <v>6.3E-2</v>
      </c>
      <c r="H57" s="173">
        <v>15026.170700000001</v>
      </c>
      <c r="I57" s="173">
        <v>1731.0709999999999</v>
      </c>
      <c r="J57" s="173">
        <f t="shared" si="1"/>
        <v>577.0236666666666</v>
      </c>
      <c r="L57" t="s">
        <v>172</v>
      </c>
      <c r="M57" s="63">
        <v>6.3E-2</v>
      </c>
      <c r="O57" t="s">
        <v>172</v>
      </c>
      <c r="P57" s="63">
        <v>6.2E-2</v>
      </c>
      <c r="R57" t="s">
        <v>172</v>
      </c>
      <c r="S57" s="63">
        <f>+'Purchased Power Model '!E129</f>
        <v>6.2E-2</v>
      </c>
    </row>
    <row r="58" spans="1:19" x14ac:dyDescent="0.2">
      <c r="A58" t="s">
        <v>173</v>
      </c>
      <c r="B58" s="172">
        <v>15400.39</v>
      </c>
      <c r="C58" s="63">
        <v>7.5499999999999998E-2</v>
      </c>
      <c r="D58" s="173">
        <v>1733.4659999999999</v>
      </c>
      <c r="E58" s="173">
        <f t="shared" si="0"/>
        <v>577.822</v>
      </c>
      <c r="G58" s="63">
        <v>7.0000000000000007E-2</v>
      </c>
      <c r="H58" s="173">
        <v>15207.028</v>
      </c>
      <c r="I58" s="173">
        <v>1733.4659999999999</v>
      </c>
      <c r="J58" s="173">
        <f t="shared" si="1"/>
        <v>577.822</v>
      </c>
      <c r="L58" t="s">
        <v>173</v>
      </c>
      <c r="M58" s="63">
        <v>7.0000000000000007E-2</v>
      </c>
      <c r="O58" t="s">
        <v>173</v>
      </c>
      <c r="P58" s="63">
        <v>7.5999999999999998E-2</v>
      </c>
      <c r="R58" t="s">
        <v>173</v>
      </c>
      <c r="S58" s="63">
        <f>+'Purchased Power Model '!E132</f>
        <v>7.5999999999999998E-2</v>
      </c>
    </row>
    <row r="59" spans="1:19" x14ac:dyDescent="0.2">
      <c r="A59" t="s">
        <v>174</v>
      </c>
      <c r="B59" s="172">
        <v>15526.16</v>
      </c>
      <c r="C59" s="63">
        <v>7.4499999999999997E-2</v>
      </c>
      <c r="D59" s="173">
        <v>1736.002</v>
      </c>
      <c r="E59" s="173">
        <f t="shared" si="0"/>
        <v>578.66733333333332</v>
      </c>
      <c r="G59" s="63">
        <v>7.2000049999999996E-2</v>
      </c>
      <c r="H59" s="173">
        <v>15343.6</v>
      </c>
      <c r="I59">
        <v>1749.7149999999999</v>
      </c>
      <c r="J59" s="173">
        <f t="shared" ref="J59:J78" si="2">+I59/3</f>
        <v>583.23833333333334</v>
      </c>
      <c r="L59" t="s">
        <v>174</v>
      </c>
      <c r="M59" s="63">
        <v>7.0999869999999993E-2</v>
      </c>
      <c r="O59" t="s">
        <v>174</v>
      </c>
      <c r="P59" s="63">
        <v>7.6999999999999999E-2</v>
      </c>
      <c r="R59" t="s">
        <v>174</v>
      </c>
      <c r="S59" s="63">
        <f>+'Purchased Power Model '!E135</f>
        <v>7.6999999999999999E-2</v>
      </c>
    </row>
    <row r="60" spans="1:19" x14ac:dyDescent="0.2">
      <c r="A60" t="s">
        <v>175</v>
      </c>
      <c r="B60" s="172">
        <v>15683.38</v>
      </c>
      <c r="C60" s="63">
        <v>7.3499980000000006E-2</v>
      </c>
      <c r="D60" s="173">
        <v>1738.4090000000001</v>
      </c>
      <c r="E60" s="173">
        <f t="shared" si="0"/>
        <v>579.46966666666674</v>
      </c>
      <c r="G60" s="63">
        <v>6.7062290000000011E-2</v>
      </c>
      <c r="H60" s="173">
        <v>15427.8</v>
      </c>
      <c r="I60">
        <v>1750.376</v>
      </c>
      <c r="J60" s="173">
        <f t="shared" si="2"/>
        <v>583.45866666666666</v>
      </c>
      <c r="L60" t="s">
        <v>175</v>
      </c>
      <c r="M60" s="63">
        <v>7.2000069999999999E-2</v>
      </c>
      <c r="O60" t="s">
        <v>175</v>
      </c>
      <c r="P60" s="63">
        <v>6.7000000000000004E-2</v>
      </c>
      <c r="R60" t="s">
        <v>175</v>
      </c>
      <c r="S60" s="63">
        <f>+'Purchased Power Model '!E138</f>
        <v>6.7000000000000004E-2</v>
      </c>
    </row>
    <row r="61" spans="1:19" x14ac:dyDescent="0.2">
      <c r="A61" t="s">
        <v>176</v>
      </c>
      <c r="B61" s="172">
        <v>15846.82</v>
      </c>
      <c r="C61" s="63">
        <v>7.249984000000001E-2</v>
      </c>
      <c r="D61" s="173">
        <v>1740.779</v>
      </c>
      <c r="E61" s="173">
        <f t="shared" si="0"/>
        <v>580.2596666666667</v>
      </c>
      <c r="G61" s="63">
        <v>6.7062640000000007E-2</v>
      </c>
      <c r="H61" s="173">
        <v>15588.54</v>
      </c>
      <c r="I61">
        <v>1751.008</v>
      </c>
      <c r="J61" s="173">
        <f t="shared" si="2"/>
        <v>583.66933333333338</v>
      </c>
      <c r="L61" t="s">
        <v>176</v>
      </c>
      <c r="M61" s="63">
        <v>7.6999829999999991E-2</v>
      </c>
      <c r="O61" t="s">
        <v>176</v>
      </c>
      <c r="P61" s="63">
        <v>7.5999999999999998E-2</v>
      </c>
      <c r="R61" t="s">
        <v>176</v>
      </c>
      <c r="S61" s="63">
        <f>+'Purchased Power Model '!E141</f>
        <v>7.5999999999999998E-2</v>
      </c>
    </row>
    <row r="62" spans="1:19" x14ac:dyDescent="0.2">
      <c r="A62" t="s">
        <v>177</v>
      </c>
      <c r="B62" s="172">
        <v>16016.46</v>
      </c>
      <c r="C62" s="63">
        <v>7.1500090000000002E-2</v>
      </c>
      <c r="D62" s="173">
        <v>1743.114</v>
      </c>
      <c r="E62" s="173">
        <f t="shared" si="0"/>
        <v>581.03800000000001</v>
      </c>
      <c r="G62" s="63">
        <v>6.6937659999999996E-2</v>
      </c>
      <c r="H62" s="173">
        <v>15753.25</v>
      </c>
      <c r="I62">
        <v>1751.6030000000001</v>
      </c>
      <c r="J62" s="173">
        <f t="shared" si="2"/>
        <v>583.86766666666665</v>
      </c>
      <c r="L62" t="s">
        <v>177</v>
      </c>
      <c r="M62" s="63">
        <v>7.3406150000000003E-2</v>
      </c>
      <c r="O62" t="s">
        <v>177</v>
      </c>
      <c r="P62" s="63">
        <v>6.9000000000000006E-2</v>
      </c>
      <c r="R62" s="127" t="s">
        <v>177</v>
      </c>
      <c r="S62" s="384">
        <f>+'Purchased Power Model '!E144</f>
        <v>7.400000000000001E-2</v>
      </c>
    </row>
    <row r="63" spans="1:19" x14ac:dyDescent="0.2">
      <c r="A63" t="s">
        <v>178</v>
      </c>
      <c r="B63" s="172">
        <v>16200.58</v>
      </c>
      <c r="C63" s="63">
        <v>7.050025E-2</v>
      </c>
      <c r="D63" s="173">
        <v>1745.4159999999999</v>
      </c>
      <c r="E63" s="173">
        <f t="shared" si="0"/>
        <v>581.80533333333335</v>
      </c>
      <c r="G63" s="63">
        <v>6.6687560000000007E-2</v>
      </c>
      <c r="H63" s="173">
        <v>15921.99</v>
      </c>
      <c r="I63">
        <v>1752.152</v>
      </c>
      <c r="J63" s="173">
        <f t="shared" si="2"/>
        <v>584.05066666666664</v>
      </c>
      <c r="L63" t="s">
        <v>178</v>
      </c>
      <c r="M63" s="63">
        <v>7.2906310000000002E-2</v>
      </c>
      <c r="O63" t="s">
        <v>178</v>
      </c>
      <c r="P63" s="63">
        <v>7.4999869999999996E-2</v>
      </c>
      <c r="R63" s="127" t="s">
        <v>178</v>
      </c>
      <c r="S63" s="384">
        <f>+'Purchased Power Model '!E147</f>
        <v>6.7000000000000004E-2</v>
      </c>
    </row>
    <row r="64" spans="1:19" x14ac:dyDescent="0.2">
      <c r="A64" t="s">
        <v>179</v>
      </c>
      <c r="B64" s="172">
        <v>16379.36</v>
      </c>
      <c r="C64" s="63">
        <v>6.9499950000000005E-2</v>
      </c>
      <c r="D64" s="173">
        <v>1747.694</v>
      </c>
      <c r="E64" s="173">
        <f t="shared" si="0"/>
        <v>582.56466666666665</v>
      </c>
      <c r="G64" s="63">
        <v>6.6312639999999992E-2</v>
      </c>
      <c r="H64" s="173">
        <v>16094.64</v>
      </c>
      <c r="I64">
        <v>1752.7049999999999</v>
      </c>
      <c r="J64" s="173">
        <f t="shared" si="2"/>
        <v>584.23500000000001</v>
      </c>
      <c r="L64" t="s">
        <v>179</v>
      </c>
      <c r="M64" s="63">
        <v>7.2343870000000005E-2</v>
      </c>
      <c r="O64" t="s">
        <v>179</v>
      </c>
      <c r="P64" s="63">
        <v>7.3999759999999998E-2</v>
      </c>
      <c r="R64" s="127" t="s">
        <v>179</v>
      </c>
      <c r="S64" s="384">
        <f>+'Purchased Power Model '!E150</f>
        <v>7.5999999999999998E-2</v>
      </c>
    </row>
    <row r="65" spans="1:21" x14ac:dyDescent="0.2">
      <c r="A65" t="s">
        <v>180</v>
      </c>
      <c r="B65" s="172">
        <v>16561.05</v>
      </c>
      <c r="C65" s="63">
        <v>6.8499920000000006E-2</v>
      </c>
      <c r="D65" s="173">
        <v>1749.941</v>
      </c>
      <c r="E65" s="173">
        <f t="shared" si="0"/>
        <v>583.31366666666668</v>
      </c>
      <c r="G65" s="63">
        <v>6.5812510000000005E-2</v>
      </c>
      <c r="H65" s="173">
        <v>16271.26</v>
      </c>
      <c r="I65">
        <v>1753.1969999999999</v>
      </c>
      <c r="J65" s="173">
        <f t="shared" si="2"/>
        <v>584.399</v>
      </c>
      <c r="L65" t="s">
        <v>180</v>
      </c>
      <c r="M65" s="63">
        <v>7.1718589999999999E-2</v>
      </c>
      <c r="O65" t="s">
        <v>180</v>
      </c>
      <c r="P65" s="63">
        <v>7.4000269999999993E-2</v>
      </c>
      <c r="R65" s="127" t="s">
        <v>180</v>
      </c>
      <c r="S65" s="384">
        <f>+'Purchased Power Model '!E153</f>
        <v>7.8E-2</v>
      </c>
    </row>
    <row r="66" spans="1:21" x14ac:dyDescent="0.2">
      <c r="A66" t="s">
        <v>181</v>
      </c>
      <c r="B66" s="172">
        <v>16745.64</v>
      </c>
      <c r="C66" s="63">
        <v>6.7500020000000008E-2</v>
      </c>
      <c r="D66" s="173">
        <v>1752.154</v>
      </c>
      <c r="E66" s="173">
        <f t="shared" si="0"/>
        <v>584.05133333333333</v>
      </c>
      <c r="G66" s="63">
        <v>6.5187530000000007E-2</v>
      </c>
      <c r="H66" s="173">
        <v>16451.830000000002</v>
      </c>
      <c r="I66">
        <v>1753.6769999999999</v>
      </c>
      <c r="J66" s="173">
        <f t="shared" si="2"/>
        <v>584.55899999999997</v>
      </c>
      <c r="L66" t="s">
        <v>181</v>
      </c>
      <c r="M66" s="63">
        <v>7.1031250000000004E-2</v>
      </c>
      <c r="O66" t="s">
        <v>181</v>
      </c>
      <c r="P66" s="63">
        <v>7.8999810000000004E-2</v>
      </c>
      <c r="R66" s="127" t="s">
        <v>181</v>
      </c>
      <c r="S66" s="384">
        <f>+'Purchased Power Model '!E156</f>
        <v>8.1000000000000003E-2</v>
      </c>
      <c r="U66" s="58" t="s">
        <v>343</v>
      </c>
    </row>
    <row r="67" spans="1:21" x14ac:dyDescent="0.2">
      <c r="A67" t="s">
        <v>182</v>
      </c>
      <c r="B67" s="172">
        <v>16942.25</v>
      </c>
      <c r="C67" s="63">
        <v>6.6031469999999995E-2</v>
      </c>
      <c r="D67" s="173">
        <v>1754.3330000000001</v>
      </c>
      <c r="E67" s="173">
        <f t="shared" si="0"/>
        <v>584.77766666666673</v>
      </c>
      <c r="G67" s="63">
        <v>6.3656039999999997E-2</v>
      </c>
      <c r="H67" s="173">
        <v>16644.349999999999</v>
      </c>
      <c r="I67">
        <v>1754.136</v>
      </c>
      <c r="J67" s="173">
        <f t="shared" si="2"/>
        <v>584.71199999999999</v>
      </c>
      <c r="L67" t="s">
        <v>182</v>
      </c>
      <c r="M67" s="63">
        <v>7.0125049999999994E-2</v>
      </c>
      <c r="O67" t="s">
        <v>182</v>
      </c>
      <c r="P67" s="63">
        <v>7.2169469999999999E-2</v>
      </c>
      <c r="R67" s="127" t="s">
        <v>182</v>
      </c>
      <c r="S67" s="384">
        <f>+'Purchased Power Model '!E159</f>
        <v>6.4000000000000001E-2</v>
      </c>
    </row>
    <row r="68" spans="1:21" x14ac:dyDescent="0.2">
      <c r="A68" t="s">
        <v>183</v>
      </c>
      <c r="B68" s="172">
        <v>17129.03</v>
      </c>
      <c r="C68" s="63">
        <v>6.5218890000000002E-2</v>
      </c>
      <c r="D68" s="173">
        <v>1756.4770000000001</v>
      </c>
      <c r="E68" s="173">
        <f t="shared" ref="E68:E78" si="3">+D68/3</f>
        <v>585.49233333333336</v>
      </c>
      <c r="G68" s="63">
        <v>6.3093589999999991E-2</v>
      </c>
      <c r="H68" s="173">
        <v>16829.650000000001</v>
      </c>
      <c r="I68">
        <v>1754.5550000000001</v>
      </c>
      <c r="J68" s="173">
        <f t="shared" si="2"/>
        <v>584.85166666666669</v>
      </c>
      <c r="L68" t="s">
        <v>183</v>
      </c>
      <c r="M68" s="63">
        <v>6.9375039999999999E-2</v>
      </c>
      <c r="O68" t="s">
        <v>183</v>
      </c>
      <c r="P68" s="63">
        <v>7.1452829999999995E-2</v>
      </c>
      <c r="R68" s="127" t="s">
        <v>183</v>
      </c>
      <c r="S68" s="384">
        <f>+'Purchased Power Model '!E162</f>
        <v>6.0999999999999999E-2</v>
      </c>
    </row>
    <row r="69" spans="1:21" x14ac:dyDescent="0.2">
      <c r="A69" t="s">
        <v>184</v>
      </c>
      <c r="B69" s="172">
        <v>17315.080000000002</v>
      </c>
      <c r="C69" s="63">
        <v>6.4593830000000005E-2</v>
      </c>
      <c r="D69" s="173">
        <v>1758.5840000000001</v>
      </c>
      <c r="E69" s="173">
        <f t="shared" si="3"/>
        <v>586.19466666666665</v>
      </c>
      <c r="G69" s="63">
        <v>6.2718590000000005E-2</v>
      </c>
      <c r="H69" s="173">
        <v>17015.71</v>
      </c>
      <c r="I69">
        <v>1754.943</v>
      </c>
      <c r="J69" s="173">
        <f t="shared" si="2"/>
        <v>584.98099999999999</v>
      </c>
      <c r="L69" t="s">
        <v>184</v>
      </c>
      <c r="M69" s="63">
        <v>6.8625069999999996E-2</v>
      </c>
      <c r="O69" t="s">
        <v>184</v>
      </c>
      <c r="P69" s="63">
        <v>7.064187999999999E-2</v>
      </c>
      <c r="R69" s="127" t="s">
        <v>184</v>
      </c>
      <c r="S69" s="384">
        <f>+'Purchased Power Model '!E165</f>
        <v>6.5000000000000002E-2</v>
      </c>
    </row>
    <row r="70" spans="1:21" x14ac:dyDescent="0.2">
      <c r="A70" t="s">
        <v>185</v>
      </c>
      <c r="B70" s="172">
        <v>17500.41</v>
      </c>
      <c r="C70" s="63">
        <v>6.4156030000000003E-2</v>
      </c>
      <c r="D70" s="173">
        <v>1760.652</v>
      </c>
      <c r="E70" s="173">
        <f t="shared" si="3"/>
        <v>586.88400000000001</v>
      </c>
      <c r="G70" s="63">
        <v>6.2531199999999995E-2</v>
      </c>
      <c r="H70" s="173">
        <v>17202.52</v>
      </c>
      <c r="I70">
        <v>1755.297</v>
      </c>
      <c r="J70" s="173">
        <f t="shared" si="2"/>
        <v>585.09900000000005</v>
      </c>
      <c r="L70" t="s">
        <v>185</v>
      </c>
      <c r="M70" s="63">
        <v>6.7874710000000005E-2</v>
      </c>
      <c r="O70" t="s">
        <v>185</v>
      </c>
      <c r="P70" s="63">
        <v>6.9736220000000002E-2</v>
      </c>
      <c r="R70" s="127" t="s">
        <v>185</v>
      </c>
      <c r="S70" s="384">
        <f>+'Purchased Power Model '!E168</f>
        <v>0.06</v>
      </c>
    </row>
    <row r="71" spans="1:21" x14ac:dyDescent="0.2">
      <c r="A71" t="s">
        <v>186</v>
      </c>
      <c r="B71" s="172">
        <v>17684.97</v>
      </c>
      <c r="C71" s="63">
        <v>6.4296779999999998E-2</v>
      </c>
      <c r="D71" s="173">
        <v>1762.681</v>
      </c>
      <c r="E71" s="173">
        <f t="shared" si="3"/>
        <v>587.56033333333335</v>
      </c>
      <c r="G71" s="63">
        <v>6.4401669999999994E-2</v>
      </c>
      <c r="H71" s="173">
        <v>17391.48</v>
      </c>
      <c r="I71">
        <v>1755.6120000000001</v>
      </c>
      <c r="J71" s="173">
        <f t="shared" si="2"/>
        <v>585.20400000000006</v>
      </c>
      <c r="L71" t="s">
        <v>186</v>
      </c>
      <c r="M71" s="63">
        <v>6.7125080000000004E-2</v>
      </c>
      <c r="O71" t="s">
        <v>186</v>
      </c>
      <c r="P71" s="63">
        <v>6.8187249999999991E-2</v>
      </c>
      <c r="R71" s="127" t="s">
        <v>186</v>
      </c>
      <c r="S71" s="384">
        <f>+'Purchased Power Model '!E171</f>
        <v>5.2999999999999999E-2</v>
      </c>
    </row>
    <row r="72" spans="1:21" x14ac:dyDescent="0.2">
      <c r="A72" t="s">
        <v>187</v>
      </c>
      <c r="B72" s="172">
        <v>17868.849999999999</v>
      </c>
      <c r="C72" s="63">
        <v>6.407829000000001E-2</v>
      </c>
      <c r="D72" s="173">
        <v>1764.6690000000001</v>
      </c>
      <c r="E72" s="173">
        <f t="shared" si="3"/>
        <v>588.22300000000007</v>
      </c>
      <c r="G72" s="63">
        <v>6.3840939999999999E-2</v>
      </c>
      <c r="H72" s="173">
        <v>17579.27</v>
      </c>
      <c r="I72">
        <v>1755.884</v>
      </c>
      <c r="J72" s="173">
        <f t="shared" si="2"/>
        <v>585.29466666666667</v>
      </c>
      <c r="L72" t="s">
        <v>187</v>
      </c>
      <c r="M72" s="63">
        <v>6.6375160000000002E-2</v>
      </c>
      <c r="O72" t="s">
        <v>187</v>
      </c>
      <c r="P72" s="63">
        <v>6.7312499999999997E-2</v>
      </c>
      <c r="R72" t="s">
        <v>187</v>
      </c>
      <c r="S72" s="63">
        <f>+'Purchased Power Model '!E174</f>
        <v>6.7312499999999997E-2</v>
      </c>
    </row>
    <row r="73" spans="1:21" x14ac:dyDescent="0.2">
      <c r="A73" t="s">
        <v>188</v>
      </c>
      <c r="B73" s="172">
        <v>18052.009999999998</v>
      </c>
      <c r="C73" s="63">
        <v>6.3890589999999997E-2</v>
      </c>
      <c r="D73" s="173">
        <v>1766.615</v>
      </c>
      <c r="E73" s="173">
        <f t="shared" si="3"/>
        <v>588.87166666666667</v>
      </c>
      <c r="G73" s="63">
        <v>6.2719719999999993E-2</v>
      </c>
      <c r="H73" s="173">
        <v>17767.27</v>
      </c>
      <c r="I73">
        <v>1756.1120000000001</v>
      </c>
      <c r="J73" s="173">
        <f t="shared" si="2"/>
        <v>585.37066666666669</v>
      </c>
      <c r="L73" t="s">
        <v>188</v>
      </c>
      <c r="M73" s="63">
        <v>6.5624879999999997E-2</v>
      </c>
      <c r="O73" t="s">
        <v>188</v>
      </c>
      <c r="P73" s="63">
        <v>6.6562659999999996E-2</v>
      </c>
      <c r="R73" t="s">
        <v>188</v>
      </c>
      <c r="S73" s="63">
        <f>+'Purchased Power Model '!E177</f>
        <v>6.6562659999999996E-2</v>
      </c>
    </row>
    <row r="74" spans="1:21" x14ac:dyDescent="0.2">
      <c r="A74" t="s">
        <v>189</v>
      </c>
      <c r="B74" s="172">
        <v>18234.46</v>
      </c>
      <c r="C74" s="63">
        <v>6.373440000000001E-2</v>
      </c>
      <c r="D74" s="173">
        <v>1768.519</v>
      </c>
      <c r="E74" s="173">
        <f t="shared" si="3"/>
        <v>589.50633333333337</v>
      </c>
      <c r="G74" s="63">
        <v>6.1037710000000002E-2</v>
      </c>
      <c r="H74" s="173">
        <v>17955.490000000002</v>
      </c>
      <c r="I74">
        <v>1756.296</v>
      </c>
      <c r="J74" s="173">
        <f t="shared" si="2"/>
        <v>585.43200000000002</v>
      </c>
      <c r="L74" t="s">
        <v>189</v>
      </c>
      <c r="M74" s="63">
        <v>6.4874899999999999E-2</v>
      </c>
      <c r="O74" t="s">
        <v>189</v>
      </c>
      <c r="P74" s="63">
        <v>6.5937659999999995E-2</v>
      </c>
      <c r="R74" t="s">
        <v>189</v>
      </c>
      <c r="S74" s="63">
        <f>+'Purchased Power Model '!E180</f>
        <v>6.5937659999999995E-2</v>
      </c>
    </row>
    <row r="75" spans="1:21" x14ac:dyDescent="0.2">
      <c r="A75" t="s">
        <v>190</v>
      </c>
      <c r="B75" s="172">
        <v>18416.189999999999</v>
      </c>
      <c r="C75" s="63">
        <v>6.3609410000000005E-2</v>
      </c>
      <c r="D75" s="173">
        <v>1770.3779999999999</v>
      </c>
      <c r="E75" s="173">
        <f t="shared" si="3"/>
        <v>590.12599999999998</v>
      </c>
      <c r="G75" s="63">
        <v>5.8794899999999997E-2</v>
      </c>
      <c r="H75" s="173">
        <v>18143.91</v>
      </c>
      <c r="I75">
        <v>1756.432</v>
      </c>
      <c r="J75" s="173">
        <f t="shared" si="2"/>
        <v>585.47733333333338</v>
      </c>
      <c r="L75" t="s">
        <v>190</v>
      </c>
      <c r="M75" s="63">
        <v>6.3968469999999999E-2</v>
      </c>
      <c r="O75" t="s">
        <v>190</v>
      </c>
      <c r="P75" s="63">
        <v>6.6219020000000003E-2</v>
      </c>
      <c r="R75" t="s">
        <v>190</v>
      </c>
      <c r="S75" s="63">
        <f>+'Purchased Power Model '!E183</f>
        <v>6.6219020000000003E-2</v>
      </c>
    </row>
    <row r="76" spans="1:21" x14ac:dyDescent="0.2">
      <c r="A76" t="s">
        <v>191</v>
      </c>
      <c r="B76" s="172">
        <v>18597.2</v>
      </c>
      <c r="C76" s="63">
        <v>6.35154E-2</v>
      </c>
      <c r="D76" s="173">
        <v>1772.193</v>
      </c>
      <c r="E76" s="173">
        <f t="shared" si="3"/>
        <v>590.73099999999999</v>
      </c>
      <c r="G76" s="63">
        <v>5.5991070000000004E-2</v>
      </c>
      <c r="H76" s="173">
        <v>18332.55</v>
      </c>
      <c r="I76">
        <v>1756.521</v>
      </c>
      <c r="J76" s="173">
        <f t="shared" si="2"/>
        <v>585.50699999999995</v>
      </c>
      <c r="L76" t="s">
        <v>191</v>
      </c>
      <c r="M76" s="63">
        <v>6.3280929999999999E-2</v>
      </c>
      <c r="O76" t="s">
        <v>191</v>
      </c>
      <c r="P76" s="63">
        <v>6.5531039999999999E-2</v>
      </c>
      <c r="R76" t="s">
        <v>191</v>
      </c>
      <c r="S76" s="63">
        <f>+'Purchased Power Model '!E186</f>
        <v>6.5531039999999999E-2</v>
      </c>
    </row>
    <row r="77" spans="1:21" x14ac:dyDescent="0.2">
      <c r="A77" t="s">
        <v>192</v>
      </c>
      <c r="B77" s="172">
        <v>18777.5</v>
      </c>
      <c r="C77" s="63">
        <v>6.3453129999999996E-2</v>
      </c>
      <c r="D77" s="173">
        <v>1773.962</v>
      </c>
      <c r="E77" s="173">
        <f t="shared" si="3"/>
        <v>591.32066666666663</v>
      </c>
      <c r="G77" s="63">
        <v>5.2626799999999994E-2</v>
      </c>
      <c r="H77" s="173">
        <v>18521.400000000001</v>
      </c>
      <c r="I77">
        <v>1756.558</v>
      </c>
      <c r="J77" s="173">
        <f t="shared" si="2"/>
        <v>585.51933333333329</v>
      </c>
      <c r="L77" t="s">
        <v>192</v>
      </c>
      <c r="M77" s="63">
        <v>6.2655909999999995E-2</v>
      </c>
      <c r="O77" t="s">
        <v>192</v>
      </c>
      <c r="P77" s="63">
        <v>6.4656290000000005E-2</v>
      </c>
      <c r="R77" t="s">
        <v>192</v>
      </c>
      <c r="S77" s="63">
        <f>+'Purchased Power Model '!E189</f>
        <v>6.4656290000000005E-2</v>
      </c>
      <c r="U77" s="58" t="s">
        <v>344</v>
      </c>
    </row>
    <row r="78" spans="1:21" x14ac:dyDescent="0.2">
      <c r="A78" t="s">
        <v>193</v>
      </c>
      <c r="B78" s="172">
        <v>18957.080000000002</v>
      </c>
      <c r="C78" s="63">
        <v>6.3421969999999994E-2</v>
      </c>
      <c r="D78" s="173">
        <v>1775.6849999999999</v>
      </c>
      <c r="E78" s="173">
        <f t="shared" si="3"/>
        <v>591.89499999999998</v>
      </c>
      <c r="G78" s="63">
        <v>4.8701990000000001E-2</v>
      </c>
      <c r="H78" s="173">
        <v>18710.46</v>
      </c>
      <c r="I78">
        <v>1756.5440000000001</v>
      </c>
      <c r="J78" s="173">
        <f t="shared" si="2"/>
        <v>585.5146666666667</v>
      </c>
      <c r="L78" t="s">
        <v>193</v>
      </c>
      <c r="M78" s="63">
        <v>6.2093709999999996E-2</v>
      </c>
      <c r="O78" t="s">
        <v>193</v>
      </c>
      <c r="P78" s="63">
        <v>6.3593549999999999E-2</v>
      </c>
      <c r="R78" t="s">
        <v>193</v>
      </c>
      <c r="S78" s="63">
        <f>+'Purchased Power Model '!E192</f>
        <v>6.3593549999999999E-2</v>
      </c>
    </row>
    <row r="79" spans="1:21" x14ac:dyDescent="0.2">
      <c r="L79" t="s">
        <v>286</v>
      </c>
      <c r="M79" s="63">
        <v>6.1593790000000002E-2</v>
      </c>
      <c r="O79" t="s">
        <v>286</v>
      </c>
      <c r="P79" s="63">
        <v>6.2343830000000003E-2</v>
      </c>
      <c r="R79" t="s">
        <v>286</v>
      </c>
      <c r="S79" s="63">
        <f>+'Purchased Power Model '!E195</f>
        <v>6.2343830000000003E-2</v>
      </c>
    </row>
    <row r="80" spans="1:21" x14ac:dyDescent="0.2">
      <c r="L80" t="s">
        <v>287</v>
      </c>
      <c r="M80" s="63">
        <v>6.1156160000000001E-2</v>
      </c>
      <c r="O80" t="s">
        <v>287</v>
      </c>
      <c r="P80" s="63">
        <v>6.0906349999999998E-2</v>
      </c>
      <c r="R80" t="s">
        <v>287</v>
      </c>
      <c r="S80" s="63">
        <f>+'Purchased Power Model '!E198</f>
        <v>6.0906349999999998E-2</v>
      </c>
    </row>
    <row r="81" spans="12:19" x14ac:dyDescent="0.2">
      <c r="L81" t="s">
        <v>288</v>
      </c>
      <c r="M81" s="63">
        <v>6.0781049999999996E-2</v>
      </c>
      <c r="O81" t="s">
        <v>288</v>
      </c>
      <c r="P81" s="63">
        <v>5.928129E-2</v>
      </c>
      <c r="R81" t="s">
        <v>288</v>
      </c>
      <c r="S81" s="63">
        <f>+'Purchased Power Model '!E201</f>
        <v>5.928129E-2</v>
      </c>
    </row>
    <row r="82" spans="12:19" x14ac:dyDescent="0.2">
      <c r="L82" t="s">
        <v>289</v>
      </c>
      <c r="M82" s="63">
        <v>6.0468630000000002E-2</v>
      </c>
      <c r="O82" t="s">
        <v>289</v>
      </c>
      <c r="P82" s="63">
        <v>5.7468579999999998E-2</v>
      </c>
      <c r="R82" t="s">
        <v>289</v>
      </c>
      <c r="S82" s="63">
        <f>+'Purchased Power Model '!E204</f>
        <v>5.7468579999999998E-2</v>
      </c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6" sqref="B16"/>
    </sheetView>
  </sheetViews>
  <sheetFormatPr defaultRowHeight="12.75" x14ac:dyDescent="0.2"/>
  <cols>
    <col min="1" max="1" width="14.140625" bestFit="1" customWidth="1"/>
  </cols>
  <sheetData>
    <row r="1" spans="1:5" x14ac:dyDescent="0.2">
      <c r="B1" t="s">
        <v>79</v>
      </c>
      <c r="C1" t="s">
        <v>80</v>
      </c>
      <c r="D1" t="s">
        <v>116</v>
      </c>
    </row>
    <row r="2" spans="1:5" x14ac:dyDescent="0.2">
      <c r="A2">
        <v>2003</v>
      </c>
      <c r="B2" s="62">
        <f>SUM('Purchased Power Model '!C3:C14)</f>
        <v>3992.7999999999993</v>
      </c>
      <c r="C2" s="62">
        <f>SUM('Purchased Power Model '!D3:D14)</f>
        <v>208.7</v>
      </c>
      <c r="D2" s="63">
        <v>1.0186171336798953</v>
      </c>
    </row>
    <row r="3" spans="1:5" x14ac:dyDescent="0.2">
      <c r="A3">
        <v>2004</v>
      </c>
      <c r="B3" s="62">
        <f>SUM('Purchased Power Model '!C15:C26)</f>
        <v>3838.6999999999994</v>
      </c>
      <c r="C3" s="62">
        <f>SUM('Purchased Power Model '!D15:D26)</f>
        <v>165.2</v>
      </c>
      <c r="D3" s="63">
        <f>+'Rate Class Customer Model'!J4/'Rate Class Customer Model'!J3</f>
        <v>1.0132849095504697</v>
      </c>
    </row>
    <row r="4" spans="1:5" x14ac:dyDescent="0.2">
      <c r="A4">
        <v>2005</v>
      </c>
      <c r="B4" s="62">
        <f>SUM('Purchased Power Model '!C27:C38)</f>
        <v>3770.6999999999994</v>
      </c>
      <c r="C4" s="62">
        <f>SUM('Purchased Power Model '!D27:D38)</f>
        <v>384.5</v>
      </c>
      <c r="D4" s="63">
        <f>+'Rate Class Customer Model'!J5/'Rate Class Customer Model'!J4</f>
        <v>1.015051804428704</v>
      </c>
    </row>
    <row r="5" spans="1:5" x14ac:dyDescent="0.2">
      <c r="A5">
        <v>2006</v>
      </c>
      <c r="B5" s="62">
        <f>SUM('Purchased Power Model '!C39:C50)</f>
        <v>3410.1999999999994</v>
      </c>
      <c r="C5" s="62">
        <f>SUM('Purchased Power Model '!D39:D50)</f>
        <v>243.79999999999998</v>
      </c>
      <c r="D5" s="63">
        <f>+'Rate Class Customer Model'!J6/'Rate Class Customer Model'!J5</f>
        <v>1.0211022486140118</v>
      </c>
    </row>
    <row r="6" spans="1:5" x14ac:dyDescent="0.2">
      <c r="A6">
        <v>2007</v>
      </c>
      <c r="B6" s="62">
        <f>SUM('Purchased Power Model '!C51:C62)</f>
        <v>2890.1</v>
      </c>
      <c r="C6" s="62">
        <f>SUM('Purchased Power Model '!D51:D62)</f>
        <v>179</v>
      </c>
      <c r="D6" s="63">
        <f>+'Rate Class Customer Model'!J7/'Rate Class Customer Model'!J6</f>
        <v>1.0219885826933344</v>
      </c>
    </row>
    <row r="7" spans="1:5" x14ac:dyDescent="0.2">
      <c r="A7">
        <v>2008</v>
      </c>
      <c r="B7" s="62">
        <f>SUM('Purchased Power Model '!C63:C74)</f>
        <v>2408.6999999999998</v>
      </c>
      <c r="C7" s="62">
        <f>SUM('Purchased Power Model '!D63:D74)</f>
        <v>130</v>
      </c>
      <c r="D7" s="63">
        <f>+'Rate Class Customer Model'!J8/'Rate Class Customer Model'!J7</f>
        <v>1.0182202504380253</v>
      </c>
    </row>
    <row r="8" spans="1:5" x14ac:dyDescent="0.2">
      <c r="A8">
        <v>2009</v>
      </c>
      <c r="B8" s="62">
        <f>SUM('Purchased Power Model '!C75:C86)</f>
        <v>3612.7000000000003</v>
      </c>
      <c r="C8" s="62">
        <f>SUM('Purchased Power Model '!D75:D86)</f>
        <v>138.60000000000002</v>
      </c>
      <c r="D8" s="63">
        <f>+'Rate Class Customer Model'!J9/'Rate Class Customer Model'!J8</f>
        <v>1.0123688718041819</v>
      </c>
    </row>
    <row r="9" spans="1:5" x14ac:dyDescent="0.2">
      <c r="A9">
        <v>2010</v>
      </c>
      <c r="B9" s="62">
        <f>SUM('Purchased Power Model '!C87:C98)</f>
        <v>3437.7</v>
      </c>
      <c r="C9" s="62">
        <f>SUM('Purchased Power Model '!D87:D98)</f>
        <v>309.10000000000002</v>
      </c>
      <c r="D9" s="63">
        <f>+'Rate Class Customer Model'!J10/'Rate Class Customer Model'!J9</f>
        <v>1.0119448602794412</v>
      </c>
    </row>
    <row r="10" spans="1:5" x14ac:dyDescent="0.2">
      <c r="A10">
        <v>2011</v>
      </c>
      <c r="B10" s="62">
        <f>SUM('Purchased Power Model '!C99:C110)</f>
        <v>3649.0999999999995</v>
      </c>
      <c r="C10" s="62">
        <f>SUM('Purchased Power Model '!D99:D110)</f>
        <v>295.99999999999994</v>
      </c>
      <c r="D10" s="63">
        <f>+'Rate Class Customer Model'!J11/'Rate Class Customer Model'!J10</f>
        <v>1.0097158442999352</v>
      </c>
    </row>
    <row r="11" spans="1:5" x14ac:dyDescent="0.2">
      <c r="A11">
        <v>2012</v>
      </c>
      <c r="B11" s="62">
        <f>SUM('Purchased Power Model '!C111:C122)</f>
        <v>3217.3999999999996</v>
      </c>
      <c r="C11" s="62">
        <f>SUM('Purchased Power Model '!D111:D122)</f>
        <v>368.59999999999997</v>
      </c>
      <c r="D11" s="63">
        <f>+'Rate Class Customer Model'!J12/'Rate Class Customer Model'!J11</f>
        <v>1.0061427405016443</v>
      </c>
    </row>
    <row r="12" spans="1:5" x14ac:dyDescent="0.2">
      <c r="A12" s="31">
        <v>2013</v>
      </c>
      <c r="B12" s="62">
        <f>SUM('Purchased Power Model '!C123:C134)</f>
        <v>3579.1000000000004</v>
      </c>
      <c r="C12" s="62">
        <f ca="1">SUM('Purchased Power Model '!D123:D134)</f>
        <v>221.79999999999995</v>
      </c>
      <c r="D12" s="63">
        <f>+'Rate Class Customer Model'!J13/'Rate Class Customer Model'!J12</f>
        <v>1.0099655679767015</v>
      </c>
      <c r="E12" t="s">
        <v>81</v>
      </c>
    </row>
    <row r="13" spans="1:5" x14ac:dyDescent="0.2">
      <c r="A13" s="31">
        <v>2014</v>
      </c>
      <c r="B13" s="62">
        <f>SUM('Purchased Power Model '!C135:C146)</f>
        <v>3973.8999999999996</v>
      </c>
      <c r="C13" s="62">
        <f>SUM('Purchased Power Model '!D135:D146)</f>
        <v>177</v>
      </c>
      <c r="D13" s="63">
        <f>+'Rate Class Customer Model'!J14/'Rate Class Customer Model'!J13</f>
        <v>1.0130586927790459</v>
      </c>
    </row>
    <row r="14" spans="1:5" x14ac:dyDescent="0.2">
      <c r="A14" s="31">
        <v>2015</v>
      </c>
      <c r="B14" s="62">
        <f>SUM('Purchased Power Model '!C147:C158)</f>
        <v>3760.2999999999997</v>
      </c>
      <c r="C14" s="62">
        <f>SUM('Purchased Power Model '!D147:D158)</f>
        <v>197</v>
      </c>
      <c r="D14" s="63">
        <f>+'Rate Class Customer Model'!J15/'Rate Class Customer Model'!J14</f>
        <v>1.0188351975805554</v>
      </c>
    </row>
    <row r="15" spans="1:5" x14ac:dyDescent="0.2">
      <c r="A15" s="31">
        <v>2016</v>
      </c>
      <c r="B15" s="62">
        <f>SUM('Purchased Power Model '!C159:C170)</f>
        <v>3509.6000000000004</v>
      </c>
      <c r="C15" s="62">
        <f>SUM('Purchased Power Model '!D159:D170)</f>
        <v>355.1</v>
      </c>
      <c r="D15" s="63">
        <f>+'Rate Class Customer Model'!J16/'Rate Class Customer Model'!J15</f>
        <v>1.0187489086781911</v>
      </c>
    </row>
    <row r="16" spans="1:5" x14ac:dyDescent="0.2">
      <c r="A16" s="467">
        <v>2017</v>
      </c>
      <c r="B16" s="468">
        <f t="shared" ref="B16:B18" si="0">TREND(B$2:B$13,A$2:A$13,A16)</f>
        <v>3411.1399766899776</v>
      </c>
      <c r="C16" s="468">
        <f t="shared" ref="C16:C18" ca="1" si="1">TREND(C$2:C$13,A$2:A$13,A16)</f>
        <v>256.27226107226124</v>
      </c>
      <c r="D16" s="469">
        <f>+'Rate Class Customer Model'!J17/'Rate Class Customer Model'!J16</f>
        <v>1.0147634720721599</v>
      </c>
    </row>
    <row r="17" spans="1:4" x14ac:dyDescent="0.2">
      <c r="A17" s="467">
        <v>2018</v>
      </c>
      <c r="B17" s="468">
        <f t="shared" si="0"/>
        <v>3402.8319347319375</v>
      </c>
      <c r="C17" s="468">
        <f t="shared" ca="1" si="1"/>
        <v>258.75233100233072</v>
      </c>
      <c r="D17" s="469">
        <f>+'Rate Class Customer Model'!J18/'Rate Class Customer Model'!J17</f>
        <v>1.0147740968901207</v>
      </c>
    </row>
    <row r="18" spans="1:4" x14ac:dyDescent="0.2">
      <c r="A18" s="467">
        <v>2019</v>
      </c>
      <c r="B18" s="468">
        <f t="shared" si="0"/>
        <v>3394.5238927738937</v>
      </c>
      <c r="C18" s="468">
        <f t="shared" ca="1" si="1"/>
        <v>261.23240093240111</v>
      </c>
      <c r="D18" s="469">
        <f>+'Rate Class Customer Model'!J19/'Rate Class Customer Model'!J18</f>
        <v>1.0147846495879114</v>
      </c>
    </row>
    <row r="19" spans="1:4" x14ac:dyDescent="0.2">
      <c r="B19" s="62"/>
      <c r="C19" s="62"/>
      <c r="D19" s="64"/>
    </row>
    <row r="20" spans="1:4" x14ac:dyDescent="0.2">
      <c r="A20" t="s">
        <v>115</v>
      </c>
      <c r="B20" s="62">
        <f>AVERAGE(B2:B18)</f>
        <v>3485.8526943644597</v>
      </c>
      <c r="C20" s="62">
        <f ca="1">AVERAGE(C2:C18)</f>
        <v>244.1562937062937</v>
      </c>
      <c r="D20" s="63">
        <f>AVERAGE(D2:D18)</f>
        <v>1.0149039901090782</v>
      </c>
    </row>
    <row r="21" spans="1:4" x14ac:dyDescent="0.2">
      <c r="A21" t="s">
        <v>197</v>
      </c>
      <c r="B21" s="62">
        <v>3397.3969999999999</v>
      </c>
      <c r="C21" s="62">
        <v>237.21999999999997</v>
      </c>
      <c r="D21" s="63"/>
    </row>
    <row r="22" spans="1:4" x14ac:dyDescent="0.2">
      <c r="A22" s="58" t="s">
        <v>262</v>
      </c>
      <c r="B22" s="62">
        <v>3952.1073333333479</v>
      </c>
      <c r="C22" s="62">
        <v>305.77333333333445</v>
      </c>
      <c r="D22" s="63"/>
    </row>
    <row r="23" spans="1:4" x14ac:dyDescent="0.2">
      <c r="A23" s="58" t="s">
        <v>263</v>
      </c>
      <c r="B23" s="62">
        <v>3528.9534999999996</v>
      </c>
      <c r="C23" s="62">
        <v>240.465</v>
      </c>
      <c r="D23" s="63"/>
    </row>
    <row r="24" spans="1:4" x14ac:dyDescent="0.2">
      <c r="A24" t="s">
        <v>198</v>
      </c>
      <c r="B24" s="62">
        <v>3459.1617368421066</v>
      </c>
      <c r="C24" s="62">
        <v>262.70526315789448</v>
      </c>
    </row>
    <row r="27" spans="1:4" x14ac:dyDescent="0.2">
      <c r="B27" s="62"/>
      <c r="C27" s="62"/>
    </row>
    <row r="28" spans="1:4" x14ac:dyDescent="0.2">
      <c r="B28" s="62"/>
      <c r="C28" s="62"/>
    </row>
    <row r="29" spans="1:4" x14ac:dyDescent="0.2">
      <c r="B29" s="62"/>
      <c r="C29" s="62"/>
    </row>
    <row r="30" spans="1:4" x14ac:dyDescent="0.2">
      <c r="B30" s="62"/>
      <c r="C30" s="62"/>
    </row>
    <row r="31" spans="1:4" x14ac:dyDescent="0.2">
      <c r="B31" s="62"/>
      <c r="C31" s="62"/>
    </row>
    <row r="32" spans="1:4" x14ac:dyDescent="0.2">
      <c r="B32" s="62"/>
      <c r="C32" s="62"/>
    </row>
    <row r="33" spans="2:3" x14ac:dyDescent="0.2">
      <c r="B33" s="62"/>
      <c r="C33" s="62"/>
    </row>
    <row r="34" spans="2:3" x14ac:dyDescent="0.2">
      <c r="B34" s="62"/>
      <c r="C34" s="62"/>
    </row>
    <row r="35" spans="2:3" x14ac:dyDescent="0.2">
      <c r="B35" s="62"/>
      <c r="C35" s="62"/>
    </row>
    <row r="36" spans="2:3" x14ac:dyDescent="0.2">
      <c r="B36" s="62"/>
      <c r="C36" s="62"/>
    </row>
    <row r="37" spans="2:3" x14ac:dyDescent="0.2">
      <c r="B37" s="216"/>
      <c r="C37" s="216"/>
    </row>
    <row r="38" spans="2:3" x14ac:dyDescent="0.2">
      <c r="B38" s="216"/>
      <c r="C38" s="216"/>
    </row>
    <row r="39" spans="2:3" x14ac:dyDescent="0.2">
      <c r="B39" s="216"/>
      <c r="C39" s="216"/>
    </row>
    <row r="40" spans="2:3" x14ac:dyDescent="0.2">
      <c r="B40" s="216"/>
      <c r="C40" s="216"/>
    </row>
    <row r="41" spans="2:3" x14ac:dyDescent="0.2">
      <c r="B41" s="216"/>
      <c r="C41" s="216"/>
    </row>
    <row r="42" spans="2:3" x14ac:dyDescent="0.2">
      <c r="B42" s="216"/>
      <c r="C42" s="216"/>
    </row>
    <row r="43" spans="2:3" x14ac:dyDescent="0.2">
      <c r="B43" s="216"/>
      <c r="C43" s="216"/>
    </row>
    <row r="44" spans="2:3" x14ac:dyDescent="0.2">
      <c r="B44" s="62"/>
    </row>
    <row r="45" spans="2:3" x14ac:dyDescent="0.2">
      <c r="B45" s="6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4"/>
  <sheetViews>
    <sheetView workbookViewId="0">
      <pane xSplit="1" ySplit="2" topLeftCell="I207" activePane="bottomRight" state="frozen"/>
      <selection pane="topRight"/>
      <selection pane="bottomLeft"/>
      <selection pane="bottomRight" activeCell="P209" sqref="P209:S226"/>
    </sheetView>
  </sheetViews>
  <sheetFormatPr defaultColWidth="9.140625" defaultRowHeight="12.75" x14ac:dyDescent="0.2"/>
  <cols>
    <col min="1" max="1" width="11.85546875" style="99" customWidth="1"/>
    <col min="2" max="2" width="18" style="99" customWidth="1"/>
    <col min="3" max="3" width="13.42578125" style="99" bestFit="1" customWidth="1"/>
    <col min="4" max="4" width="13.42578125" style="99" customWidth="1"/>
    <col min="5" max="5" width="14.42578125" style="99" customWidth="1"/>
    <col min="6" max="6" width="14" style="99" bestFit="1" customWidth="1"/>
    <col min="7" max="7" width="12.7109375" style="99" bestFit="1" customWidth="1"/>
    <col min="8" max="8" width="17.5703125" style="99" bestFit="1" customWidth="1"/>
    <col min="9" max="9" width="17" style="99" customWidth="1"/>
    <col min="10" max="10" width="13" style="99" customWidth="1"/>
    <col min="11" max="11" width="2.5703125" style="99" customWidth="1"/>
    <col min="12" max="12" width="31.5703125" style="99" bestFit="1" customWidth="1"/>
    <col min="13" max="13" width="15.5703125" style="99" bestFit="1" customWidth="1"/>
    <col min="14" max="14" width="25.140625" style="99" bestFit="1" customWidth="1"/>
    <col min="15" max="15" width="24.140625" style="99" bestFit="1" customWidth="1"/>
    <col min="16" max="16" width="17.140625" style="99" bestFit="1" customWidth="1"/>
    <col min="17" max="17" width="17.85546875" style="99" bestFit="1" customWidth="1"/>
    <col min="18" max="18" width="17.140625" style="99" bestFit="1" customWidth="1"/>
    <col min="19" max="19" width="15.5703125" style="99" bestFit="1" customWidth="1"/>
    <col min="20" max="20" width="14.5703125" style="99" bestFit="1" customWidth="1"/>
    <col min="21" max="21" width="11.28515625" style="99" customWidth="1"/>
    <col min="22" max="22" width="11.5703125" style="99" customWidth="1"/>
    <col min="23" max="23" width="9.28515625" style="99" customWidth="1"/>
    <col min="24" max="24" width="9.140625" style="99"/>
    <col min="25" max="25" width="11.7109375" style="99" bestFit="1" customWidth="1"/>
    <col min="26" max="26" width="10.7109375" style="99" bestFit="1" customWidth="1"/>
    <col min="27" max="16384" width="9.140625" style="99"/>
  </cols>
  <sheetData>
    <row r="1" spans="1:28" x14ac:dyDescent="0.2">
      <c r="A1" s="472"/>
      <c r="B1" s="109"/>
      <c r="C1" s="473"/>
      <c r="D1" s="473"/>
      <c r="E1" s="474"/>
      <c r="F1" s="473"/>
      <c r="G1" s="473"/>
      <c r="H1" s="473"/>
      <c r="I1" s="101"/>
      <c r="J1" s="101"/>
      <c r="T1" s="100"/>
      <c r="U1" s="100"/>
      <c r="V1" s="100"/>
      <c r="W1" s="100"/>
      <c r="X1" s="100"/>
      <c r="Y1" s="100"/>
      <c r="Z1" s="100"/>
      <c r="AA1" s="100"/>
      <c r="AB1" s="100"/>
    </row>
    <row r="2" spans="1:28" ht="38.25" x14ac:dyDescent="0.2">
      <c r="A2" s="472"/>
      <c r="B2" s="475" t="s">
        <v>0</v>
      </c>
      <c r="C2" s="476" t="s">
        <v>3</v>
      </c>
      <c r="D2" s="476" t="s">
        <v>4</v>
      </c>
      <c r="E2" s="477" t="str">
        <f>+'Purchased Power Model '!E2</f>
        <v>Oshawa Qtrly Unemployment Rate</v>
      </c>
      <c r="F2" s="476" t="s">
        <v>5</v>
      </c>
      <c r="G2" s="476" t="s">
        <v>17</v>
      </c>
      <c r="H2" s="478" t="s">
        <v>10</v>
      </c>
      <c r="I2" s="103" t="s">
        <v>11</v>
      </c>
      <c r="L2" t="s">
        <v>18</v>
      </c>
      <c r="M2"/>
      <c r="N2"/>
      <c r="O2"/>
      <c r="P2"/>
      <c r="Q2"/>
      <c r="R2"/>
      <c r="S2"/>
      <c r="T2"/>
      <c r="U2"/>
      <c r="V2" s="104"/>
      <c r="W2" s="100"/>
      <c r="X2" s="100"/>
      <c r="Y2" s="100"/>
      <c r="Z2" s="100"/>
      <c r="AA2" s="100"/>
      <c r="AB2" s="100"/>
    </row>
    <row r="3" spans="1:28" ht="13.5" thickBot="1" x14ac:dyDescent="0.25">
      <c r="A3" s="479">
        <v>37622</v>
      </c>
      <c r="B3" s="459">
        <f>+'Purchased Power Model '!B3</f>
        <v>126011890</v>
      </c>
      <c r="C3" s="480">
        <f>+'Purchased Power Model '!C3</f>
        <v>786</v>
      </c>
      <c r="D3" s="480">
        <f>+'Purchased Power Model '!D3</f>
        <v>0</v>
      </c>
      <c r="E3" s="443">
        <f>+'Purchased Power Model '!E3</f>
        <v>5.2000000000000005E-2</v>
      </c>
      <c r="F3" s="17">
        <f>+'Purchased Power Model '!F3</f>
        <v>31</v>
      </c>
      <c r="G3" s="17">
        <f>+'Purchased Power Model '!G3</f>
        <v>0</v>
      </c>
      <c r="H3" s="481">
        <f>$M$18+C3*$M$19+D3*$M$20+E3*$M$21+F3*$M$22+G3*$M$23</f>
        <v>118335604.95606168</v>
      </c>
      <c r="I3" s="106">
        <f t="shared" ref="I3" si="0">H3-B3</f>
        <v>-7676285.0439383239</v>
      </c>
      <c r="J3" s="5">
        <f t="shared" ref="J3" si="1">I3/B3</f>
        <v>-6.0917148722539782E-2</v>
      </c>
      <c r="K3"/>
      <c r="L3"/>
      <c r="M3"/>
      <c r="N3"/>
      <c r="O3"/>
      <c r="P3"/>
      <c r="Q3"/>
      <c r="R3"/>
      <c r="S3"/>
      <c r="T3"/>
      <c r="U3"/>
      <c r="V3" s="100"/>
      <c r="W3" s="100"/>
      <c r="X3" s="100"/>
      <c r="Y3" s="100"/>
      <c r="Z3" s="100"/>
      <c r="AA3" s="100"/>
      <c r="AB3" s="100"/>
    </row>
    <row r="4" spans="1:28" x14ac:dyDescent="0.2">
      <c r="A4" s="479">
        <v>37653</v>
      </c>
      <c r="B4" s="459">
        <f>+'Purchased Power Model '!B4</f>
        <v>112581000</v>
      </c>
      <c r="C4" s="480">
        <f>+'Purchased Power Model '!C4</f>
        <v>686.5</v>
      </c>
      <c r="D4" s="480">
        <f>+'Purchased Power Model '!D4</f>
        <v>0</v>
      </c>
      <c r="E4" s="443">
        <f>+'Purchased Power Model '!E4</f>
        <v>5.2000000000000005E-2</v>
      </c>
      <c r="F4" s="17">
        <f>+'Purchased Power Model '!F4</f>
        <v>28</v>
      </c>
      <c r="G4" s="17">
        <f>+'Purchased Power Model '!G4</f>
        <v>0</v>
      </c>
      <c r="H4" s="481">
        <f t="shared" ref="H4:H67" si="2">$M$18+C4*$M$19+D4*$M$20+E4*$M$21+F4*$M$22+G4*$M$23</f>
        <v>106358375.85138433</v>
      </c>
      <c r="I4" s="106">
        <f t="shared" ref="I4:I67" si="3">H4-B4</f>
        <v>-6222624.1486156732</v>
      </c>
      <c r="J4" s="5">
        <f t="shared" ref="J4:J67" si="4">I4/B4</f>
        <v>-5.5272418513032155E-2</v>
      </c>
      <c r="K4"/>
      <c r="L4" s="49" t="s">
        <v>19</v>
      </c>
      <c r="M4" s="49"/>
      <c r="N4"/>
      <c r="O4"/>
      <c r="P4"/>
      <c r="Q4"/>
      <c r="R4"/>
      <c r="S4"/>
      <c r="T4"/>
      <c r="U4"/>
      <c r="V4" s="100"/>
      <c r="W4" s="100"/>
      <c r="X4" s="100"/>
      <c r="Y4" s="100"/>
      <c r="Z4" s="100"/>
      <c r="AA4" s="100"/>
      <c r="AB4" s="100"/>
    </row>
    <row r="5" spans="1:28" x14ac:dyDescent="0.2">
      <c r="A5" s="479">
        <v>37681</v>
      </c>
      <c r="B5" s="459">
        <f>+'Purchased Power Model '!B5</f>
        <v>110536430</v>
      </c>
      <c r="C5" s="480">
        <f>+'Purchased Power Model '!C5</f>
        <v>572.5</v>
      </c>
      <c r="D5" s="480">
        <f>+'Purchased Power Model '!D5</f>
        <v>0</v>
      </c>
      <c r="E5" s="443">
        <f>+'Purchased Power Model '!E5</f>
        <v>5.2000000000000005E-2</v>
      </c>
      <c r="F5" s="17">
        <f>+'Purchased Power Model '!F5</f>
        <v>31</v>
      </c>
      <c r="G5" s="17">
        <f>+'Purchased Power Model '!G5</f>
        <v>1</v>
      </c>
      <c r="H5" s="481">
        <f t="shared" si="2"/>
        <v>103387848.88866398</v>
      </c>
      <c r="I5" s="106">
        <f t="shared" si="3"/>
        <v>-7148581.1113360226</v>
      </c>
      <c r="J5" s="5">
        <f t="shared" si="4"/>
        <v>-6.4671720548022241E-2</v>
      </c>
      <c r="K5"/>
      <c r="L5" s="35" t="s">
        <v>20</v>
      </c>
      <c r="M5" s="466">
        <v>0.89900817580650394</v>
      </c>
      <c r="N5"/>
      <c r="O5"/>
      <c r="P5"/>
      <c r="Q5"/>
      <c r="R5"/>
      <c r="S5"/>
      <c r="T5"/>
      <c r="U5"/>
      <c r="V5" s="100"/>
      <c r="W5" s="100"/>
      <c r="X5" s="100"/>
      <c r="Y5" s="100"/>
      <c r="Z5" s="100"/>
      <c r="AA5" s="100"/>
      <c r="AB5" s="100"/>
    </row>
    <row r="6" spans="1:28" x14ac:dyDescent="0.2">
      <c r="A6" s="479">
        <v>37712</v>
      </c>
      <c r="B6" s="459">
        <f>+'Purchased Power Model '!B6</f>
        <v>97712940</v>
      </c>
      <c r="C6" s="480">
        <f>+'Purchased Power Model '!C6</f>
        <v>403.9</v>
      </c>
      <c r="D6" s="480">
        <f>+'Purchased Power Model '!D6</f>
        <v>0</v>
      </c>
      <c r="E6" s="443">
        <f>+'Purchased Power Model '!E6</f>
        <v>5.5999999999999994E-2</v>
      </c>
      <c r="F6" s="17">
        <f>+'Purchased Power Model '!F6</f>
        <v>30</v>
      </c>
      <c r="G6" s="17">
        <f>+'Purchased Power Model '!G6</f>
        <v>1</v>
      </c>
      <c r="H6" s="481">
        <f t="shared" si="2"/>
        <v>93884411.207610041</v>
      </c>
      <c r="I6" s="106">
        <f t="shared" si="3"/>
        <v>-3828528.7923899591</v>
      </c>
      <c r="J6" s="5">
        <f t="shared" si="4"/>
        <v>-3.9181389817868124E-2</v>
      </c>
      <c r="K6"/>
      <c r="L6" s="35" t="s">
        <v>21</v>
      </c>
      <c r="M6" s="466">
        <v>0.80821570016693789</v>
      </c>
      <c r="N6"/>
      <c r="O6"/>
      <c r="P6"/>
      <c r="Q6"/>
      <c r="R6"/>
      <c r="S6"/>
      <c r="T6"/>
      <c r="U6"/>
      <c r="V6" s="100"/>
      <c r="W6" s="100"/>
      <c r="X6" s="100"/>
      <c r="Y6" s="100"/>
      <c r="Z6" s="100"/>
      <c r="AA6" s="100"/>
      <c r="AB6" s="100"/>
    </row>
    <row r="7" spans="1:28" x14ac:dyDescent="0.2">
      <c r="A7" s="479">
        <v>37742</v>
      </c>
      <c r="B7" s="459">
        <f>+'Purchased Power Model '!B7</f>
        <v>90261150</v>
      </c>
      <c r="C7" s="480">
        <f>+'Purchased Power Model '!C7</f>
        <v>192</v>
      </c>
      <c r="D7" s="480">
        <f>+'Purchased Power Model '!D7</f>
        <v>0</v>
      </c>
      <c r="E7" s="443">
        <f>+'Purchased Power Model '!E7</f>
        <v>5.5999999999999994E-2</v>
      </c>
      <c r="F7" s="17">
        <f>+'Purchased Power Model '!F7</f>
        <v>31</v>
      </c>
      <c r="G7" s="17">
        <f>+'Purchased Power Model '!G7</f>
        <v>1</v>
      </c>
      <c r="H7" s="481">
        <f t="shared" si="2"/>
        <v>88463641.782313541</v>
      </c>
      <c r="I7" s="106">
        <f t="shared" si="3"/>
        <v>-1797508.2176864594</v>
      </c>
      <c r="J7" s="5">
        <f t="shared" si="4"/>
        <v>-1.9914528207168415E-2</v>
      </c>
      <c r="K7"/>
      <c r="L7" s="35" t="s">
        <v>22</v>
      </c>
      <c r="M7" s="466">
        <v>0.80240405471745124</v>
      </c>
      <c r="N7"/>
      <c r="O7"/>
      <c r="P7"/>
      <c r="Q7"/>
      <c r="R7"/>
      <c r="S7"/>
      <c r="T7"/>
      <c r="U7"/>
      <c r="V7" s="100"/>
      <c r="W7" s="100"/>
      <c r="X7" s="100"/>
      <c r="Y7" s="100"/>
      <c r="Z7" s="100"/>
      <c r="AA7" s="100"/>
      <c r="AB7" s="100"/>
    </row>
    <row r="8" spans="1:28" x14ac:dyDescent="0.2">
      <c r="A8" s="479">
        <v>37773</v>
      </c>
      <c r="B8" s="459">
        <f>+'Purchased Power Model '!B8</f>
        <v>92476040</v>
      </c>
      <c r="C8" s="480">
        <f>+'Purchased Power Model '!C8</f>
        <v>55.1</v>
      </c>
      <c r="D8" s="480">
        <f>+'Purchased Power Model '!D8</f>
        <v>31</v>
      </c>
      <c r="E8" s="443">
        <f>+'Purchased Power Model '!E8</f>
        <v>5.5999999999999994E-2</v>
      </c>
      <c r="F8" s="17">
        <f>+'Purchased Power Model '!F8</f>
        <v>30</v>
      </c>
      <c r="G8" s="17">
        <f>+'Purchased Power Model '!G8</f>
        <v>0</v>
      </c>
      <c r="H8" s="481">
        <f t="shared" si="2"/>
        <v>91985879.438937098</v>
      </c>
      <c r="I8" s="106">
        <f t="shared" si="3"/>
        <v>-490160.56106290221</v>
      </c>
      <c r="J8" s="5">
        <f t="shared" si="4"/>
        <v>-5.3004060409907496E-3</v>
      </c>
      <c r="K8"/>
      <c r="L8" s="35" t="s">
        <v>23</v>
      </c>
      <c r="M8" s="59">
        <v>4591291.7862805864</v>
      </c>
      <c r="N8"/>
      <c r="O8"/>
      <c r="P8"/>
      <c r="Q8"/>
      <c r="R8"/>
      <c r="S8"/>
      <c r="T8"/>
      <c r="U8"/>
      <c r="V8" s="100"/>
      <c r="W8" s="100"/>
      <c r="X8" s="100"/>
      <c r="Y8" s="100"/>
      <c r="Z8" s="100"/>
      <c r="AA8" s="100"/>
      <c r="AB8" s="100"/>
    </row>
    <row r="9" spans="1:28" ht="13.5" thickBot="1" x14ac:dyDescent="0.25">
      <c r="A9" s="479">
        <v>37803</v>
      </c>
      <c r="B9" s="459">
        <f>+'Purchased Power Model '!B9</f>
        <v>100371630</v>
      </c>
      <c r="C9" s="480">
        <f>+'Purchased Power Model '!C9</f>
        <v>5.7</v>
      </c>
      <c r="D9" s="480">
        <f>+'Purchased Power Model '!D9</f>
        <v>59.1</v>
      </c>
      <c r="E9" s="443">
        <f>+'Purchased Power Model '!E9</f>
        <v>5.0999999999999997E-2</v>
      </c>
      <c r="F9" s="17">
        <f>+'Purchased Power Model '!F9</f>
        <v>31</v>
      </c>
      <c r="G9" s="17">
        <f>+'Purchased Power Model '!G9</f>
        <v>0</v>
      </c>
      <c r="H9" s="481">
        <f t="shared" si="2"/>
        <v>97500518.259077847</v>
      </c>
      <c r="I9" s="106">
        <f t="shared" si="3"/>
        <v>-2871111.740922153</v>
      </c>
      <c r="J9" s="5">
        <f t="shared" si="4"/>
        <v>-2.8604813341400883E-2</v>
      </c>
      <c r="K9"/>
      <c r="L9" s="47" t="s">
        <v>24</v>
      </c>
      <c r="M9" s="60">
        <v>171</v>
      </c>
      <c r="N9"/>
      <c r="O9"/>
      <c r="P9"/>
      <c r="Q9"/>
      <c r="R9"/>
      <c r="S9"/>
      <c r="T9"/>
      <c r="U9"/>
      <c r="V9" s="100"/>
      <c r="W9" s="100"/>
      <c r="X9" s="100"/>
      <c r="Y9" s="100"/>
      <c r="Z9" s="100"/>
      <c r="AA9" s="100"/>
      <c r="AB9" s="100"/>
    </row>
    <row r="10" spans="1:28" x14ac:dyDescent="0.2">
      <c r="A10" s="479">
        <v>37834</v>
      </c>
      <c r="B10" s="459">
        <f>+'Purchased Power Model '!B10</f>
        <v>101507680</v>
      </c>
      <c r="C10" s="480">
        <f>+'Purchased Power Model '!C10</f>
        <v>10.4</v>
      </c>
      <c r="D10" s="480">
        <f>+'Purchased Power Model '!D10</f>
        <v>106.5</v>
      </c>
      <c r="E10" s="443">
        <f>+'Purchased Power Model '!E10</f>
        <v>5.0999999999999997E-2</v>
      </c>
      <c r="F10" s="17">
        <f>+'Purchased Power Model '!F10</f>
        <v>31</v>
      </c>
      <c r="G10" s="17">
        <f>+'Purchased Power Model '!G10</f>
        <v>0</v>
      </c>
      <c r="H10" s="481">
        <f t="shared" si="2"/>
        <v>104947073.52873427</v>
      </c>
      <c r="I10" s="106">
        <f t="shared" si="3"/>
        <v>3439393.5287342668</v>
      </c>
      <c r="J10" s="5">
        <f t="shared" si="4"/>
        <v>3.3883086764807023E-2</v>
      </c>
      <c r="K10"/>
      <c r="L10"/>
      <c r="M10"/>
      <c r="N10"/>
      <c r="O10"/>
      <c r="P10"/>
      <c r="Q10"/>
      <c r="R10"/>
      <c r="S10"/>
      <c r="T10"/>
      <c r="U10"/>
      <c r="V10" s="100"/>
      <c r="W10" s="100"/>
      <c r="X10" s="100"/>
      <c r="Y10" s="100"/>
      <c r="Z10" s="100"/>
      <c r="AA10" s="100"/>
      <c r="AB10" s="100"/>
    </row>
    <row r="11" spans="1:28" ht="13.5" thickBot="1" x14ac:dyDescent="0.25">
      <c r="A11" s="479">
        <v>37865</v>
      </c>
      <c r="B11" s="459">
        <f>+'Purchased Power Model '!B11</f>
        <v>91341000</v>
      </c>
      <c r="C11" s="480">
        <f>+'Purchased Power Model '!C11</f>
        <v>55.2</v>
      </c>
      <c r="D11" s="480">
        <f>+'Purchased Power Model '!D11</f>
        <v>12.1</v>
      </c>
      <c r="E11" s="443">
        <f>+'Purchased Power Model '!E11</f>
        <v>5.0999999999999997E-2</v>
      </c>
      <c r="F11" s="17">
        <f>+'Purchased Power Model '!F11</f>
        <v>30</v>
      </c>
      <c r="G11" s="17">
        <f>+'Purchased Power Model '!G11</f>
        <v>1</v>
      </c>
      <c r="H11" s="481">
        <f t="shared" si="2"/>
        <v>82731609.371544942</v>
      </c>
      <c r="I11" s="106">
        <f t="shared" si="3"/>
        <v>-8609390.6284550577</v>
      </c>
      <c r="J11" s="5">
        <f t="shared" si="4"/>
        <v>-9.4255489084365818E-2</v>
      </c>
      <c r="K11"/>
      <c r="L11" t="s">
        <v>25</v>
      </c>
      <c r="M11"/>
      <c r="N11"/>
      <c r="O11"/>
      <c r="P11"/>
      <c r="Q11"/>
      <c r="R11"/>
      <c r="S11"/>
      <c r="T11"/>
      <c r="U11"/>
      <c r="V11" s="100"/>
      <c r="W11" s="100"/>
      <c r="X11" s="100"/>
      <c r="Y11" s="100"/>
      <c r="Z11" s="100"/>
      <c r="AA11" s="100"/>
      <c r="AB11" s="100"/>
    </row>
    <row r="12" spans="1:28" x14ac:dyDescent="0.2">
      <c r="A12" s="479">
        <v>37895</v>
      </c>
      <c r="B12" s="459">
        <f>+'Purchased Power Model '!B12</f>
        <v>95672250</v>
      </c>
      <c r="C12" s="480">
        <f>+'Purchased Power Model '!C12</f>
        <v>289.7</v>
      </c>
      <c r="D12" s="480">
        <f>+'Purchased Power Model '!D12</f>
        <v>0</v>
      </c>
      <c r="E12" s="443">
        <f>+'Purchased Power Model '!E12</f>
        <v>4.8000000000000001E-2</v>
      </c>
      <c r="F12" s="17">
        <f>+'Purchased Power Model '!F12</f>
        <v>31</v>
      </c>
      <c r="G12" s="17">
        <f>+'Purchased Power Model '!G12</f>
        <v>1</v>
      </c>
      <c r="H12" s="481">
        <f t="shared" si="2"/>
        <v>92834247.03890723</v>
      </c>
      <c r="I12" s="106">
        <f t="shared" si="3"/>
        <v>-2838002.9610927701</v>
      </c>
      <c r="J12" s="5">
        <f t="shared" si="4"/>
        <v>-2.9663804928730851E-2</v>
      </c>
      <c r="K12"/>
      <c r="L12" s="48"/>
      <c r="M12" s="48" t="s">
        <v>29</v>
      </c>
      <c r="N12" s="48" t="s">
        <v>30</v>
      </c>
      <c r="O12" s="48" t="s">
        <v>31</v>
      </c>
      <c r="P12" s="48" t="s">
        <v>32</v>
      </c>
      <c r="Q12" s="48" t="s">
        <v>33</v>
      </c>
      <c r="R12"/>
      <c r="S12"/>
      <c r="T12"/>
      <c r="U12"/>
      <c r="V12" s="100"/>
      <c r="W12" s="100"/>
      <c r="X12" s="100"/>
      <c r="Y12" s="100"/>
      <c r="Z12" s="100"/>
      <c r="AA12" s="100"/>
      <c r="AB12" s="100"/>
    </row>
    <row r="13" spans="1:28" x14ac:dyDescent="0.2">
      <c r="A13" s="479">
        <v>37926</v>
      </c>
      <c r="B13" s="459">
        <f>+'Purchased Power Model '!B13</f>
        <v>101404920</v>
      </c>
      <c r="C13" s="480">
        <f>+'Purchased Power Model '!C13</f>
        <v>387.6</v>
      </c>
      <c r="D13" s="480">
        <f>+'Purchased Power Model '!D13</f>
        <v>0</v>
      </c>
      <c r="E13" s="443">
        <f>+'Purchased Power Model '!E13</f>
        <v>4.8000000000000001E-2</v>
      </c>
      <c r="F13" s="17">
        <f>+'Purchased Power Model '!F13</f>
        <v>30</v>
      </c>
      <c r="G13" s="17">
        <f>+'Purchased Power Model '!G13</f>
        <v>1</v>
      </c>
      <c r="H13" s="481">
        <f t="shared" si="2"/>
        <v>93876198.099970028</v>
      </c>
      <c r="I13" s="106">
        <f t="shared" si="3"/>
        <v>-7528721.9000299722</v>
      </c>
      <c r="J13" s="5">
        <f t="shared" si="4"/>
        <v>-7.4244148114607972E-2</v>
      </c>
      <c r="K13"/>
      <c r="L13" s="35" t="s">
        <v>26</v>
      </c>
      <c r="M13" s="59">
        <v>5</v>
      </c>
      <c r="N13" s="59">
        <v>1.4657772049739774E+16</v>
      </c>
      <c r="O13" s="59">
        <v>2931554409947955</v>
      </c>
      <c r="P13" s="59">
        <v>139.06830813953346</v>
      </c>
      <c r="Q13" s="59">
        <v>2.8579444866555155E-57</v>
      </c>
      <c r="R13"/>
      <c r="S13"/>
      <c r="T13"/>
      <c r="U13"/>
      <c r="V13" s="100"/>
      <c r="W13" s="100"/>
      <c r="X13" s="100"/>
      <c r="Y13" s="100"/>
      <c r="Z13" s="100"/>
      <c r="AA13" s="100"/>
      <c r="AB13" s="100"/>
    </row>
    <row r="14" spans="1:28" x14ac:dyDescent="0.2">
      <c r="A14" s="479">
        <v>37956</v>
      </c>
      <c r="B14" s="459">
        <f>+'Purchased Power Model '!B14</f>
        <v>112847240</v>
      </c>
      <c r="C14" s="480">
        <f>+'Purchased Power Model '!C14</f>
        <v>548.20000000000005</v>
      </c>
      <c r="D14" s="480">
        <f>+'Purchased Power Model '!D14</f>
        <v>0</v>
      </c>
      <c r="E14" s="443">
        <f>+'Purchased Power Model '!E14</f>
        <v>4.8000000000000001E-2</v>
      </c>
      <c r="F14" s="17">
        <f>+'Purchased Power Model '!F14</f>
        <v>31</v>
      </c>
      <c r="G14" s="17">
        <f>+'Purchased Power Model '!G14</f>
        <v>0</v>
      </c>
      <c r="H14" s="481">
        <f t="shared" si="2"/>
        <v>109510484.03955507</v>
      </c>
      <c r="I14" s="106">
        <f t="shared" si="3"/>
        <v>-3336755.9604449272</v>
      </c>
      <c r="J14" s="5">
        <f t="shared" si="4"/>
        <v>-2.9568786622029278E-2</v>
      </c>
      <c r="K14"/>
      <c r="L14" s="35" t="s">
        <v>27</v>
      </c>
      <c r="M14" s="59">
        <v>165</v>
      </c>
      <c r="N14" s="59">
        <v>3478193444016649.5</v>
      </c>
      <c r="O14" s="59">
        <v>21079960266767.574</v>
      </c>
      <c r="P14" s="59"/>
      <c r="Q14" s="59"/>
      <c r="R14"/>
      <c r="S14"/>
      <c r="T14"/>
      <c r="U14"/>
      <c r="V14" s="100"/>
      <c r="W14" s="100"/>
      <c r="X14" s="100"/>
      <c r="Y14" s="100"/>
      <c r="Z14" s="100"/>
      <c r="AA14" s="100"/>
      <c r="AB14" s="100"/>
    </row>
    <row r="15" spans="1:28" ht="13.5" thickBot="1" x14ac:dyDescent="0.25">
      <c r="A15" s="479">
        <v>37987</v>
      </c>
      <c r="B15" s="459">
        <f>+'Purchased Power Model '!B15</f>
        <v>127196340</v>
      </c>
      <c r="C15" s="480">
        <f>+'Purchased Power Model '!C15</f>
        <v>828.8</v>
      </c>
      <c r="D15" s="480">
        <f>+'Purchased Power Model '!D15</f>
        <v>0</v>
      </c>
      <c r="E15" s="443">
        <f>+'Purchased Power Model '!E15</f>
        <v>5.0999999999999997E-2</v>
      </c>
      <c r="F15" s="17">
        <f>+'Purchased Power Model '!F15</f>
        <v>31</v>
      </c>
      <c r="G15" s="17">
        <f>+'Purchased Power Model '!G15</f>
        <v>0</v>
      </c>
      <c r="H15" s="481">
        <f t="shared" si="2"/>
        <v>120056817.51415342</v>
      </c>
      <c r="I15" s="106">
        <f t="shared" si="3"/>
        <v>-7139522.4858465791</v>
      </c>
      <c r="J15" s="5">
        <f t="shared" si="4"/>
        <v>-5.612993648910479E-2</v>
      </c>
      <c r="K15"/>
      <c r="L15" s="47" t="s">
        <v>9</v>
      </c>
      <c r="M15" s="60">
        <v>170</v>
      </c>
      <c r="N15" s="60">
        <v>1.8135965493756424E+16</v>
      </c>
      <c r="O15" s="60"/>
      <c r="P15" s="60"/>
      <c r="Q15" s="60"/>
      <c r="R15"/>
      <c r="S15"/>
      <c r="T15"/>
      <c r="U15"/>
      <c r="V15" s="100"/>
      <c r="W15" s="100"/>
      <c r="X15" s="100"/>
      <c r="Y15" s="100"/>
      <c r="Z15" s="100"/>
      <c r="AA15" s="100"/>
      <c r="AB15" s="100"/>
    </row>
    <row r="16" spans="1:28" ht="13.5" thickBot="1" x14ac:dyDescent="0.25">
      <c r="A16" s="479">
        <v>38018</v>
      </c>
      <c r="B16" s="459">
        <f>+'Purchased Power Model '!B16</f>
        <v>108928270</v>
      </c>
      <c r="C16" s="480">
        <f>+'Purchased Power Model '!C16</f>
        <v>615.6</v>
      </c>
      <c r="D16" s="480">
        <f>+'Purchased Power Model '!D16</f>
        <v>0</v>
      </c>
      <c r="E16" s="443">
        <f>+'Purchased Power Model '!E16</f>
        <v>5.0999999999999997E-2</v>
      </c>
      <c r="F16" s="17">
        <f>+'Purchased Power Model '!F16</f>
        <v>29</v>
      </c>
      <c r="G16" s="17">
        <f>+'Purchased Power Model '!G16</f>
        <v>0</v>
      </c>
      <c r="H16" s="481">
        <f t="shared" si="2"/>
        <v>106430748.48740545</v>
      </c>
      <c r="I16" s="106">
        <f t="shared" si="3"/>
        <v>-2497521.5125945508</v>
      </c>
      <c r="J16" s="5">
        <f t="shared" si="4"/>
        <v>-2.2928129792151759E-2</v>
      </c>
      <c r="K16"/>
      <c r="L16"/>
      <c r="M16"/>
      <c r="N16"/>
      <c r="O16"/>
      <c r="P16"/>
      <c r="Q16"/>
      <c r="R16"/>
      <c r="S16"/>
      <c r="T16"/>
      <c r="U16"/>
      <c r="V16" s="100"/>
      <c r="W16" s="100"/>
      <c r="X16" s="100"/>
      <c r="Y16" s="100"/>
      <c r="Z16" s="100"/>
      <c r="AA16" s="100"/>
      <c r="AB16" s="100"/>
    </row>
    <row r="17" spans="1:28" x14ac:dyDescent="0.2">
      <c r="A17" s="479">
        <v>38047</v>
      </c>
      <c r="B17" s="459">
        <f>+'Purchased Power Model '!B17</f>
        <v>105064150</v>
      </c>
      <c r="C17" s="480">
        <f>+'Purchased Power Model '!C17</f>
        <v>487.1</v>
      </c>
      <c r="D17" s="480">
        <f>+'Purchased Power Model '!D17</f>
        <v>0</v>
      </c>
      <c r="E17" s="443">
        <f>+'Purchased Power Model '!E17</f>
        <v>5.0999999999999997E-2</v>
      </c>
      <c r="F17" s="17">
        <f>+'Purchased Power Model '!F17</f>
        <v>31</v>
      </c>
      <c r="G17" s="17">
        <f>+'Purchased Power Model '!G17</f>
        <v>1</v>
      </c>
      <c r="H17" s="481">
        <f t="shared" si="2"/>
        <v>100184811.32136308</v>
      </c>
      <c r="I17" s="106">
        <f t="shared" si="3"/>
        <v>-4879338.6786369234</v>
      </c>
      <c r="J17" s="5">
        <f t="shared" si="4"/>
        <v>-4.6441518621117894E-2</v>
      </c>
      <c r="K17"/>
      <c r="L17" s="48"/>
      <c r="M17" s="48" t="s">
        <v>34</v>
      </c>
      <c r="N17" s="48" t="s">
        <v>23</v>
      </c>
      <c r="O17" s="48" t="s">
        <v>35</v>
      </c>
      <c r="P17" s="48" t="s">
        <v>36</v>
      </c>
      <c r="Q17" s="48" t="s">
        <v>37</v>
      </c>
      <c r="R17" s="48" t="s">
        <v>38</v>
      </c>
      <c r="S17" s="48" t="s">
        <v>39</v>
      </c>
      <c r="T17" s="48" t="s">
        <v>40</v>
      </c>
      <c r="U17"/>
      <c r="V17" s="100"/>
      <c r="W17" s="100"/>
      <c r="X17" s="100"/>
      <c r="Y17" s="100"/>
      <c r="Z17" s="100"/>
      <c r="AA17" s="100"/>
      <c r="AB17" s="100"/>
    </row>
    <row r="18" spans="1:28" x14ac:dyDescent="0.2">
      <c r="A18" s="479">
        <v>38078</v>
      </c>
      <c r="B18" s="459">
        <f>+'Purchased Power Model '!B18</f>
        <v>91322380</v>
      </c>
      <c r="C18" s="480">
        <f>+'Purchased Power Model '!C18</f>
        <v>345</v>
      </c>
      <c r="D18" s="480">
        <f>+'Purchased Power Model '!D18</f>
        <v>0</v>
      </c>
      <c r="E18" s="443">
        <f>+'Purchased Power Model '!E18</f>
        <v>5.2999999999999999E-2</v>
      </c>
      <c r="F18" s="17">
        <f>+'Purchased Power Model '!F18</f>
        <v>30</v>
      </c>
      <c r="G18" s="17">
        <f>+'Purchased Power Model '!G18</f>
        <v>1</v>
      </c>
      <c r="H18" s="481">
        <f t="shared" si="2"/>
        <v>91853727.130824104</v>
      </c>
      <c r="I18" s="106">
        <f t="shared" si="3"/>
        <v>531347.13082410395</v>
      </c>
      <c r="J18" s="5">
        <f t="shared" si="4"/>
        <v>5.8183670949454444E-3</v>
      </c>
      <c r="K18"/>
      <c r="L18" s="35" t="s">
        <v>28</v>
      </c>
      <c r="M18" s="59">
        <v>7888919.4720674306</v>
      </c>
      <c r="N18" s="59">
        <v>13635771.283267884</v>
      </c>
      <c r="O18" s="59">
        <v>0.57854589287132796</v>
      </c>
      <c r="P18" s="59">
        <v>0.56368448051201214</v>
      </c>
      <c r="Q18" s="59">
        <v>-19034169.551120035</v>
      </c>
      <c r="R18" s="59">
        <v>34812008.495254897</v>
      </c>
      <c r="S18" s="59">
        <v>-19034169.551120035</v>
      </c>
      <c r="T18" s="59">
        <v>34812008.495254897</v>
      </c>
      <c r="U18"/>
      <c r="V18" s="100"/>
      <c r="W18" s="100"/>
      <c r="X18" s="100"/>
      <c r="Y18" s="100"/>
      <c r="Z18" s="100"/>
      <c r="AA18" s="100"/>
      <c r="AB18" s="100"/>
    </row>
    <row r="19" spans="1:28" x14ac:dyDescent="0.2">
      <c r="A19" s="479">
        <v>38108</v>
      </c>
      <c r="B19" s="459">
        <f>+'Purchased Power Model '!B19</f>
        <v>86885250</v>
      </c>
      <c r="C19" s="480">
        <f>+'Purchased Power Model '!C19</f>
        <v>177.5</v>
      </c>
      <c r="D19" s="480">
        <f>+'Purchased Power Model '!D19</f>
        <v>0</v>
      </c>
      <c r="E19" s="443">
        <f>+'Purchased Power Model '!E19</f>
        <v>5.2999999999999999E-2</v>
      </c>
      <c r="F19" s="17">
        <f>+'Purchased Power Model '!F19</f>
        <v>31</v>
      </c>
      <c r="G19" s="17">
        <f>+'Purchased Power Model '!G19</f>
        <v>1</v>
      </c>
      <c r="H19" s="481">
        <f t="shared" si="2"/>
        <v>88138392.226334408</v>
      </c>
      <c r="I19" s="106">
        <f t="shared" si="3"/>
        <v>1253142.2263344079</v>
      </c>
      <c r="J19" s="5">
        <f t="shared" si="4"/>
        <v>1.4422957018992382E-2</v>
      </c>
      <c r="K19"/>
      <c r="L19" s="35" t="s">
        <v>3</v>
      </c>
      <c r="M19" s="59">
        <v>38410.687405558827</v>
      </c>
      <c r="N19" s="59">
        <v>2119.9194743133048</v>
      </c>
      <c r="O19" s="59">
        <v>18.118937002548652</v>
      </c>
      <c r="P19" s="59">
        <v>4.3724150311917488E-41</v>
      </c>
      <c r="Q19" s="59">
        <v>34225.021663353182</v>
      </c>
      <c r="R19" s="59">
        <v>42596.353147764472</v>
      </c>
      <c r="S19" s="59">
        <v>34225.021663353182</v>
      </c>
      <c r="T19" s="59">
        <v>42596.353147764472</v>
      </c>
      <c r="U19"/>
      <c r="V19" s="100"/>
      <c r="W19" s="100"/>
      <c r="X19" s="100"/>
      <c r="Y19" s="100"/>
      <c r="Z19" s="100"/>
      <c r="AA19" s="100"/>
      <c r="AB19" s="100"/>
    </row>
    <row r="20" spans="1:28" x14ac:dyDescent="0.2">
      <c r="A20" s="479">
        <v>38139</v>
      </c>
      <c r="B20" s="459">
        <f>+'Purchased Power Model '!B20</f>
        <v>86876500</v>
      </c>
      <c r="C20" s="480">
        <f>+'Purchased Power Model '!C20</f>
        <v>73.2</v>
      </c>
      <c r="D20" s="480">
        <f>+'Purchased Power Model '!D20</f>
        <v>15.6</v>
      </c>
      <c r="E20" s="443">
        <f>+'Purchased Power Model '!E20</f>
        <v>5.2999999999999999E-2</v>
      </c>
      <c r="F20" s="17">
        <f>+'Purchased Power Model '!F20</f>
        <v>30</v>
      </c>
      <c r="G20" s="17">
        <f>+'Purchased Power Model '!G20</f>
        <v>0</v>
      </c>
      <c r="H20" s="481">
        <f t="shared" si="2"/>
        <v>90552126.613090277</v>
      </c>
      <c r="I20" s="106">
        <f t="shared" si="3"/>
        <v>3675626.6130902767</v>
      </c>
      <c r="J20" s="5">
        <f t="shared" si="4"/>
        <v>4.2308640577029197E-2</v>
      </c>
      <c r="K20"/>
      <c r="L20" s="35" t="s">
        <v>4</v>
      </c>
      <c r="M20" s="59">
        <v>153291.6674862928</v>
      </c>
      <c r="N20" s="59">
        <v>16325.570824503289</v>
      </c>
      <c r="O20" s="59">
        <v>9.3896666238594904</v>
      </c>
      <c r="P20" s="59">
        <v>4.7682338785921327E-17</v>
      </c>
      <c r="Q20" s="59">
        <v>121057.71551308859</v>
      </c>
      <c r="R20" s="59">
        <v>185525.61945949701</v>
      </c>
      <c r="S20" s="59">
        <v>121057.71551308859</v>
      </c>
      <c r="T20" s="59">
        <v>185525.61945949701</v>
      </c>
      <c r="U20"/>
      <c r="V20" s="100"/>
      <c r="W20" s="100"/>
      <c r="X20" s="100"/>
      <c r="Y20" s="100"/>
      <c r="Z20" s="100"/>
      <c r="AA20" s="100"/>
      <c r="AB20" s="100"/>
    </row>
    <row r="21" spans="1:28" x14ac:dyDescent="0.2">
      <c r="A21" s="479">
        <v>38169</v>
      </c>
      <c r="B21" s="459">
        <f>+'Purchased Power Model '!B21</f>
        <v>92903530</v>
      </c>
      <c r="C21" s="480">
        <f>+'Purchased Power Model '!C21</f>
        <v>2</v>
      </c>
      <c r="D21" s="480">
        <f>+'Purchased Power Model '!D21</f>
        <v>69.3</v>
      </c>
      <c r="E21" s="443">
        <f>+'Purchased Power Model '!E21</f>
        <v>5.2999999999999999E-2</v>
      </c>
      <c r="F21" s="17">
        <f>+'Purchased Power Model '!F21</f>
        <v>31</v>
      </c>
      <c r="G21" s="17">
        <f>+'Purchased Power Model '!G21</f>
        <v>0</v>
      </c>
      <c r="H21" s="481">
        <f t="shared" si="2"/>
        <v>98767503.449769825</v>
      </c>
      <c r="I21" s="106">
        <f t="shared" si="3"/>
        <v>5863973.4497698247</v>
      </c>
      <c r="J21" s="5">
        <f t="shared" si="4"/>
        <v>6.31189519899817E-2</v>
      </c>
      <c r="K21"/>
      <c r="L21" s="35" t="s">
        <v>217</v>
      </c>
      <c r="M21" s="59">
        <v>-77235137.133823559</v>
      </c>
      <c r="N21" s="59">
        <v>24570515.844764173</v>
      </c>
      <c r="O21" s="59">
        <v>-3.1434072292902999</v>
      </c>
      <c r="P21" s="59">
        <v>1.9804606870269239E-3</v>
      </c>
      <c r="Q21" s="59">
        <v>-125748284.77263382</v>
      </c>
      <c r="R21" s="59">
        <v>-28721989.495013304</v>
      </c>
      <c r="S21" s="59">
        <v>-125748284.77263382</v>
      </c>
      <c r="T21" s="59">
        <v>-28721989.495013304</v>
      </c>
      <c r="U21"/>
      <c r="V21" s="100"/>
      <c r="W21" s="100"/>
      <c r="X21" s="100"/>
      <c r="Y21" s="100"/>
      <c r="Z21" s="100"/>
      <c r="AA21" s="100"/>
      <c r="AB21" s="100"/>
    </row>
    <row r="22" spans="1:28" x14ac:dyDescent="0.2">
      <c r="A22" s="479">
        <v>38200</v>
      </c>
      <c r="B22" s="459">
        <f>+'Purchased Power Model '!B22</f>
        <v>94121760</v>
      </c>
      <c r="C22" s="480">
        <f>+'Purchased Power Model '!C22</f>
        <v>19.600000000000001</v>
      </c>
      <c r="D22" s="480">
        <f>+'Purchased Power Model '!D22</f>
        <v>53.6</v>
      </c>
      <c r="E22" s="443">
        <f>+'Purchased Power Model '!E22</f>
        <v>5.2999999999999999E-2</v>
      </c>
      <c r="F22" s="17">
        <f>+'Purchased Power Model '!F22</f>
        <v>31</v>
      </c>
      <c r="G22" s="17">
        <f>+'Purchased Power Model '!G22</f>
        <v>0</v>
      </c>
      <c r="H22" s="481">
        <f t="shared" si="2"/>
        <v>97036852.368572861</v>
      </c>
      <c r="I22" s="106">
        <f t="shared" si="3"/>
        <v>2915092.368572861</v>
      </c>
      <c r="J22" s="5">
        <f t="shared" si="4"/>
        <v>3.0971502961407233E-2</v>
      </c>
      <c r="K22"/>
      <c r="L22" s="35" t="s">
        <v>5</v>
      </c>
      <c r="M22" s="59">
        <v>2718455.2359414138</v>
      </c>
      <c r="N22" s="59">
        <v>445568.99283711897</v>
      </c>
      <c r="O22" s="59">
        <v>6.1010871035524801</v>
      </c>
      <c r="P22" s="59">
        <v>7.2535642525279285E-9</v>
      </c>
      <c r="Q22" s="59">
        <v>1838703.4851295003</v>
      </c>
      <c r="R22" s="59">
        <v>3598206.9867533273</v>
      </c>
      <c r="S22" s="59">
        <v>1838703.4851295003</v>
      </c>
      <c r="T22" s="59">
        <v>3598206.9867533273</v>
      </c>
      <c r="U22"/>
      <c r="V22" s="100"/>
      <c r="W22" s="100"/>
      <c r="X22" s="100"/>
      <c r="Y22" s="100"/>
      <c r="Z22" s="100"/>
      <c r="AA22" s="100"/>
      <c r="AB22" s="100"/>
    </row>
    <row r="23" spans="1:28" ht="13.5" thickBot="1" x14ac:dyDescent="0.25">
      <c r="A23" s="479">
        <v>38231</v>
      </c>
      <c r="B23" s="459">
        <f>+'Purchased Power Model '!B23</f>
        <v>88536700</v>
      </c>
      <c r="C23" s="480">
        <f>+'Purchased Power Model '!C23</f>
        <v>41.7</v>
      </c>
      <c r="D23" s="480">
        <f>+'Purchased Power Model '!D23</f>
        <v>26.7</v>
      </c>
      <c r="E23" s="443">
        <f>+'Purchased Power Model '!E23</f>
        <v>5.2999999999999999E-2</v>
      </c>
      <c r="F23" s="17">
        <f>+'Purchased Power Model '!F23</f>
        <v>30</v>
      </c>
      <c r="G23" s="17">
        <f>+'Purchased Power Model '!G23</f>
        <v>1</v>
      </c>
      <c r="H23" s="481">
        <f t="shared" si="2"/>
        <v>84296653.162602127</v>
      </c>
      <c r="I23" s="106">
        <f t="shared" si="3"/>
        <v>-4240046.8373978734</v>
      </c>
      <c r="J23" s="5">
        <f t="shared" si="4"/>
        <v>-4.7890274173284904E-2</v>
      </c>
      <c r="K23"/>
      <c r="L23" s="47" t="s">
        <v>17</v>
      </c>
      <c r="M23" s="60">
        <v>-6747074.3063108958</v>
      </c>
      <c r="N23" s="60">
        <v>896017.0185557066</v>
      </c>
      <c r="O23" s="60">
        <v>-7.530073834073522</v>
      </c>
      <c r="P23" s="60">
        <v>3.1462215848568049E-12</v>
      </c>
      <c r="Q23" s="60">
        <v>-8516211.1930866148</v>
      </c>
      <c r="R23" s="60">
        <v>-4977937.4195351759</v>
      </c>
      <c r="S23" s="60">
        <v>-8516211.1930866148</v>
      </c>
      <c r="T23" s="60">
        <v>-4977937.4195351759</v>
      </c>
      <c r="U23"/>
      <c r="V23" s="100"/>
      <c r="W23" s="100"/>
      <c r="X23" s="100"/>
      <c r="Y23" s="100"/>
      <c r="Z23" s="100"/>
      <c r="AA23" s="100"/>
      <c r="AB23" s="100"/>
    </row>
    <row r="24" spans="1:28" x14ac:dyDescent="0.2">
      <c r="A24" s="479">
        <v>38261</v>
      </c>
      <c r="B24" s="459">
        <f>+'Purchased Power Model '!B24</f>
        <v>88377710</v>
      </c>
      <c r="C24" s="480">
        <f>+'Purchased Power Model '!C24</f>
        <v>235</v>
      </c>
      <c r="D24" s="480">
        <f>+'Purchased Power Model '!D24</f>
        <v>0</v>
      </c>
      <c r="E24" s="443">
        <f>+'Purchased Power Model '!E24</f>
        <v>5.7999999999999996E-2</v>
      </c>
      <c r="F24" s="17">
        <f>+'Purchased Power Model '!F24</f>
        <v>31</v>
      </c>
      <c r="G24" s="17">
        <f>+'Purchased Power Model '!G24</f>
        <v>1</v>
      </c>
      <c r="H24" s="481">
        <f t="shared" si="2"/>
        <v>89960831.066484928</v>
      </c>
      <c r="I24" s="106">
        <f t="shared" si="3"/>
        <v>1583121.0664849281</v>
      </c>
      <c r="J24" s="5">
        <f t="shared" si="4"/>
        <v>1.7913126131972962E-2</v>
      </c>
      <c r="K24"/>
      <c r="L24"/>
      <c r="M24"/>
      <c r="N24"/>
      <c r="O24"/>
      <c r="P24"/>
      <c r="Q24"/>
      <c r="R24"/>
      <c r="S24"/>
      <c r="T24"/>
      <c r="U24"/>
      <c r="V24" s="100"/>
      <c r="W24" s="100"/>
      <c r="X24" s="100"/>
      <c r="Y24" s="100"/>
      <c r="Z24" s="100"/>
      <c r="AA24" s="100"/>
      <c r="AB24" s="100"/>
    </row>
    <row r="25" spans="1:28" x14ac:dyDescent="0.2">
      <c r="A25" s="479">
        <v>38292</v>
      </c>
      <c r="B25" s="459">
        <f>+'Purchased Power Model '!B25</f>
        <v>94905100</v>
      </c>
      <c r="C25" s="480">
        <f>+'Purchased Power Model '!C25</f>
        <v>385.7</v>
      </c>
      <c r="D25" s="480">
        <f>+'Purchased Power Model '!D25</f>
        <v>0</v>
      </c>
      <c r="E25" s="443">
        <f>+'Purchased Power Model '!E25</f>
        <v>5.7999999999999996E-2</v>
      </c>
      <c r="F25" s="17">
        <f>+'Purchased Power Model '!F25</f>
        <v>30</v>
      </c>
      <c r="G25" s="17">
        <f>+'Purchased Power Model '!G25</f>
        <v>1</v>
      </c>
      <c r="H25" s="481">
        <f t="shared" si="2"/>
        <v>93030866.422561228</v>
      </c>
      <c r="I25" s="106">
        <f t="shared" si="3"/>
        <v>-1874233.5774387717</v>
      </c>
      <c r="J25" s="5">
        <f t="shared" si="4"/>
        <v>-1.9748502213672098E-2</v>
      </c>
      <c r="K25"/>
      <c r="L25"/>
      <c r="M25"/>
      <c r="N25"/>
      <c r="O25"/>
      <c r="P25"/>
      <c r="Q25"/>
      <c r="R25"/>
      <c r="S25"/>
      <c r="T25"/>
      <c r="U25"/>
      <c r="V25" s="100"/>
      <c r="W25" s="100"/>
      <c r="X25" s="100"/>
      <c r="Y25" s="100"/>
      <c r="Z25" s="100"/>
      <c r="AA25" s="100"/>
      <c r="AB25" s="100"/>
    </row>
    <row r="26" spans="1:28" x14ac:dyDescent="0.2">
      <c r="A26" s="479">
        <v>38322</v>
      </c>
      <c r="B26" s="459">
        <f>+'Purchased Power Model '!B26</f>
        <v>113323500</v>
      </c>
      <c r="C26" s="480">
        <f>+'Purchased Power Model '!C26</f>
        <v>627.5</v>
      </c>
      <c r="D26" s="480">
        <f>+'Purchased Power Model '!D26</f>
        <v>0</v>
      </c>
      <c r="E26" s="443">
        <f>+'Purchased Power Model '!E26</f>
        <v>5.7999999999999996E-2</v>
      </c>
      <c r="F26" s="17">
        <f>+'Purchased Power Model '!F26</f>
        <v>31</v>
      </c>
      <c r="G26" s="17">
        <f>+'Purchased Power Model '!G26</f>
        <v>0</v>
      </c>
      <c r="H26" s="481">
        <f t="shared" si="2"/>
        <v>111784100.17947766</v>
      </c>
      <c r="I26" s="106">
        <f t="shared" si="3"/>
        <v>-1539399.8205223382</v>
      </c>
      <c r="J26" s="5">
        <f t="shared" si="4"/>
        <v>-1.3584118214865744E-2</v>
      </c>
      <c r="K26"/>
      <c r="L26"/>
      <c r="M26"/>
      <c r="N26"/>
      <c r="O26"/>
      <c r="P26"/>
      <c r="Q26"/>
      <c r="R26"/>
      <c r="S26"/>
      <c r="T26"/>
      <c r="U26"/>
      <c r="V26" s="100"/>
      <c r="W26" s="100"/>
      <c r="X26" s="100"/>
      <c r="Y26" s="100"/>
      <c r="Z26" s="100"/>
      <c r="AA26" s="100"/>
      <c r="AB26" s="100"/>
    </row>
    <row r="27" spans="1:28" x14ac:dyDescent="0.2">
      <c r="A27" s="479">
        <v>38353</v>
      </c>
      <c r="B27" s="459">
        <f>+'Purchased Power Model '!B27</f>
        <v>118166820</v>
      </c>
      <c r="C27" s="480">
        <f>+'Purchased Power Model '!C27</f>
        <v>745.5</v>
      </c>
      <c r="D27" s="480">
        <f>+'Purchased Power Model '!D27</f>
        <v>0</v>
      </c>
      <c r="E27" s="443">
        <f>+'Purchased Power Model '!E27</f>
        <v>7.2000000000000008E-2</v>
      </c>
      <c r="F27" s="17">
        <f>+'Purchased Power Model '!F27</f>
        <v>31</v>
      </c>
      <c r="G27" s="17">
        <f>+'Purchased Power Model '!G27</f>
        <v>0</v>
      </c>
      <c r="H27" s="481">
        <f t="shared" si="2"/>
        <v>115235269.37346007</v>
      </c>
      <c r="I27" s="106">
        <f t="shared" si="3"/>
        <v>-2931550.6265399307</v>
      </c>
      <c r="J27" s="5">
        <f t="shared" si="4"/>
        <v>-2.4808576777643088E-2</v>
      </c>
      <c r="K27"/>
      <c r="L27"/>
      <c r="M27"/>
      <c r="N27"/>
      <c r="T27" s="100"/>
      <c r="U27" s="100"/>
      <c r="V27" s="100"/>
      <c r="W27" s="100"/>
      <c r="X27" s="100"/>
      <c r="Y27" s="100"/>
      <c r="Z27" s="100"/>
      <c r="AA27" s="100"/>
      <c r="AB27" s="100"/>
    </row>
    <row r="28" spans="1:28" x14ac:dyDescent="0.2">
      <c r="A28" s="479">
        <v>38384</v>
      </c>
      <c r="B28" s="459">
        <f>+'Purchased Power Model '!B28</f>
        <v>100566840</v>
      </c>
      <c r="C28" s="480">
        <f>+'Purchased Power Model '!C28</f>
        <v>589.5</v>
      </c>
      <c r="D28" s="480">
        <f>+'Purchased Power Model '!D28</f>
        <v>0</v>
      </c>
      <c r="E28" s="443">
        <f>+'Purchased Power Model '!E28</f>
        <v>7.2000000000000008E-2</v>
      </c>
      <c r="F28" s="17">
        <f>+'Purchased Power Model '!F28</f>
        <v>28</v>
      </c>
      <c r="G28" s="17">
        <f>+'Purchased Power Model '!G28</f>
        <v>0</v>
      </c>
      <c r="H28" s="481">
        <f t="shared" si="2"/>
        <v>101087836.43036865</v>
      </c>
      <c r="I28" s="106">
        <f t="shared" si="3"/>
        <v>520996.43036864698</v>
      </c>
      <c r="J28" s="5">
        <f t="shared" si="4"/>
        <v>5.1805985985902206E-3</v>
      </c>
      <c r="K28"/>
      <c r="L28"/>
      <c r="M28"/>
      <c r="N28"/>
      <c r="T28" s="100"/>
      <c r="U28" s="100"/>
      <c r="V28" s="100"/>
      <c r="W28" s="100"/>
      <c r="X28" s="100"/>
      <c r="Y28" s="100"/>
      <c r="Z28" s="100"/>
      <c r="AA28" s="100"/>
      <c r="AB28" s="100"/>
    </row>
    <row r="29" spans="1:28" x14ac:dyDescent="0.2">
      <c r="A29" s="479">
        <v>38412</v>
      </c>
      <c r="B29" s="459">
        <f>+'Purchased Power Model '!B29</f>
        <v>104158730</v>
      </c>
      <c r="C29" s="480">
        <f>+'Purchased Power Model '!C29</f>
        <v>578.29999999999995</v>
      </c>
      <c r="D29" s="480">
        <f>+'Purchased Power Model '!D29</f>
        <v>0</v>
      </c>
      <c r="E29" s="443">
        <f>+'Purchased Power Model '!E29</f>
        <v>7.2000000000000008E-2</v>
      </c>
      <c r="F29" s="17">
        <f>+'Purchased Power Model '!F29</f>
        <v>31</v>
      </c>
      <c r="G29" s="17">
        <f>+'Purchased Power Model '!G29</f>
        <v>1</v>
      </c>
      <c r="H29" s="481">
        <f t="shared" si="2"/>
        <v>102065928.13293974</v>
      </c>
      <c r="I29" s="106">
        <f t="shared" si="3"/>
        <v>-2092801.867060259</v>
      </c>
      <c r="J29" s="5">
        <f t="shared" si="4"/>
        <v>-2.0092428806114081E-2</v>
      </c>
      <c r="K29"/>
      <c r="L29"/>
      <c r="M29"/>
      <c r="N29"/>
      <c r="T29" s="100"/>
      <c r="U29" s="100"/>
      <c r="V29" s="100"/>
      <c r="W29" s="100"/>
      <c r="X29" s="100"/>
      <c r="Y29" s="100"/>
      <c r="Z29" s="100"/>
      <c r="AA29" s="100"/>
      <c r="AB29" s="100"/>
    </row>
    <row r="30" spans="1:28" x14ac:dyDescent="0.2">
      <c r="A30" s="479">
        <v>38443</v>
      </c>
      <c r="B30" s="459">
        <f>+'Purchased Power Model '!B30</f>
        <v>84434840</v>
      </c>
      <c r="C30" s="480">
        <f>+'Purchased Power Model '!C30</f>
        <v>325.3</v>
      </c>
      <c r="D30" s="480">
        <f>+'Purchased Power Model '!D30</f>
        <v>0</v>
      </c>
      <c r="E30" s="443">
        <f>+'Purchased Power Model '!E30</f>
        <v>6.3E-2</v>
      </c>
      <c r="F30" s="17">
        <f>+'Purchased Power Model '!F30</f>
        <v>30</v>
      </c>
      <c r="G30" s="17">
        <f>+'Purchased Power Model '!G30</f>
        <v>1</v>
      </c>
      <c r="H30" s="481">
        <f t="shared" si="2"/>
        <v>90324685.217596367</v>
      </c>
      <c r="I30" s="106">
        <f t="shared" si="3"/>
        <v>5889845.217596367</v>
      </c>
      <c r="J30" s="5">
        <f t="shared" si="4"/>
        <v>6.9756100889116004E-2</v>
      </c>
      <c r="K30"/>
      <c r="L30"/>
      <c r="M30"/>
      <c r="N30"/>
      <c r="T30" s="100"/>
      <c r="U30" s="100"/>
      <c r="V30" s="100"/>
      <c r="W30" s="100"/>
      <c r="X30" s="100"/>
      <c r="Y30" s="100"/>
      <c r="Z30" s="100"/>
      <c r="AA30" s="100"/>
      <c r="AB30" s="100"/>
    </row>
    <row r="31" spans="1:28" x14ac:dyDescent="0.2">
      <c r="A31" s="479">
        <v>38473</v>
      </c>
      <c r="B31" s="459">
        <f>+'Purchased Power Model '!B31</f>
        <v>81831370</v>
      </c>
      <c r="C31" s="480">
        <f>+'Purchased Power Model '!C31</f>
        <v>216.1</v>
      </c>
      <c r="D31" s="480">
        <f>+'Purchased Power Model '!D31</f>
        <v>0.3</v>
      </c>
      <c r="E31" s="443">
        <f>+'Purchased Power Model '!E31</f>
        <v>6.3E-2</v>
      </c>
      <c r="F31" s="17">
        <f>+'Purchased Power Model '!F31</f>
        <v>31</v>
      </c>
      <c r="G31" s="17">
        <f>+'Purchased Power Model '!G31</f>
        <v>1</v>
      </c>
      <c r="H31" s="481">
        <f t="shared" si="2"/>
        <v>88894680.889096633</v>
      </c>
      <c r="I31" s="106">
        <f t="shared" si="3"/>
        <v>7063310.8890966326</v>
      </c>
      <c r="J31" s="5">
        <f t="shared" si="4"/>
        <v>8.631544222095551E-2</v>
      </c>
      <c r="K31"/>
      <c r="L31"/>
      <c r="M31"/>
      <c r="N31"/>
      <c r="T31" s="100"/>
      <c r="U31" s="100"/>
      <c r="V31" s="100"/>
      <c r="W31" s="100"/>
      <c r="X31" s="100"/>
      <c r="Y31" s="100"/>
      <c r="Z31" s="100"/>
      <c r="AA31" s="100"/>
      <c r="AB31" s="100"/>
    </row>
    <row r="32" spans="1:28" x14ac:dyDescent="0.2">
      <c r="A32" s="479">
        <v>38504</v>
      </c>
      <c r="B32" s="459">
        <f>+'Purchased Power Model '!B32</f>
        <v>98362500</v>
      </c>
      <c r="C32" s="480">
        <f>+'Purchased Power Model '!C32</f>
        <v>13.7</v>
      </c>
      <c r="D32" s="480">
        <f>+'Purchased Power Model '!D32</f>
        <v>89.9</v>
      </c>
      <c r="E32" s="443">
        <f>+'Purchased Power Model '!E32</f>
        <v>6.3E-2</v>
      </c>
      <c r="F32" s="17">
        <f>+'Purchased Power Model '!F32</f>
        <v>30</v>
      </c>
      <c r="G32" s="17">
        <f>+'Purchased Power Model '!G32</f>
        <v>0</v>
      </c>
      <c r="H32" s="481">
        <f t="shared" si="2"/>
        <v>98883910.235352844</v>
      </c>
      <c r="I32" s="106">
        <f t="shared" si="3"/>
        <v>521410.235352844</v>
      </c>
      <c r="J32" s="5">
        <f t="shared" si="4"/>
        <v>5.3009046674580658E-3</v>
      </c>
      <c r="K32"/>
      <c r="L32"/>
      <c r="M32"/>
      <c r="N32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x14ac:dyDescent="0.2">
      <c r="A33" s="479">
        <v>38534</v>
      </c>
      <c r="B33" s="459">
        <f>+'Purchased Power Model '!B33</f>
        <v>103745750</v>
      </c>
      <c r="C33" s="480">
        <f>+'Purchased Power Model '!C33</f>
        <v>2.2000000000000002</v>
      </c>
      <c r="D33" s="480">
        <f>+'Purchased Power Model '!D33</f>
        <v>153</v>
      </c>
      <c r="E33" s="443">
        <f>+'Purchased Power Model '!E33</f>
        <v>5.7000000000000002E-2</v>
      </c>
      <c r="F33" s="17">
        <f>+'Purchased Power Model '!F33</f>
        <v>31</v>
      </c>
      <c r="G33" s="17">
        <f>+'Purchased Power Model '!G33</f>
        <v>0</v>
      </c>
      <c r="H33" s="481">
        <f t="shared" si="2"/>
        <v>111296757.60731834</v>
      </c>
      <c r="I33" s="106">
        <f t="shared" si="3"/>
        <v>7551007.6073183417</v>
      </c>
      <c r="J33" s="5">
        <f t="shared" si="4"/>
        <v>7.2783777719264087E-2</v>
      </c>
      <c r="K33"/>
      <c r="L33"/>
      <c r="M33"/>
      <c r="N33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1:28" x14ac:dyDescent="0.2">
      <c r="A34" s="479">
        <v>38565</v>
      </c>
      <c r="B34" s="459">
        <f>+'Purchased Power Model '!B34</f>
        <v>101425330</v>
      </c>
      <c r="C34" s="480">
        <f>+'Purchased Power Model '!C34</f>
        <v>0</v>
      </c>
      <c r="D34" s="480">
        <f>+'Purchased Power Model '!D34</f>
        <v>108</v>
      </c>
      <c r="E34" s="443">
        <f>+'Purchased Power Model '!E34</f>
        <v>5.7000000000000002E-2</v>
      </c>
      <c r="F34" s="17">
        <f>+'Purchased Power Model '!F34</f>
        <v>31</v>
      </c>
      <c r="G34" s="17">
        <f>+'Purchased Power Model '!G34</f>
        <v>0</v>
      </c>
      <c r="H34" s="481">
        <f t="shared" si="2"/>
        <v>104314129.05814295</v>
      </c>
      <c r="I34" s="106">
        <f t="shared" si="3"/>
        <v>2888799.0581429452</v>
      </c>
      <c r="J34" s="5">
        <f t="shared" si="4"/>
        <v>2.848202769606907E-2</v>
      </c>
      <c r="K34"/>
      <c r="L34"/>
      <c r="M34"/>
      <c r="N34"/>
      <c r="T34" s="100"/>
      <c r="U34" s="100"/>
      <c r="V34" s="100"/>
      <c r="W34" s="100"/>
      <c r="X34" s="100"/>
      <c r="Y34" s="100"/>
      <c r="Z34" s="100"/>
      <c r="AA34" s="100"/>
      <c r="AB34" s="100"/>
    </row>
    <row r="35" spans="1:28" x14ac:dyDescent="0.2">
      <c r="A35" s="479">
        <v>38596</v>
      </c>
      <c r="B35" s="459">
        <f>+'Purchased Power Model '!B35</f>
        <v>87813850</v>
      </c>
      <c r="C35" s="480">
        <f>+'Purchased Power Model '!C35</f>
        <v>36.700000000000003</v>
      </c>
      <c r="D35" s="480">
        <f>+'Purchased Power Model '!D35</f>
        <v>32.799999999999997</v>
      </c>
      <c r="E35" s="443">
        <f>+'Purchased Power Model '!E35</f>
        <v>5.7000000000000002E-2</v>
      </c>
      <c r="F35" s="17">
        <f>+'Purchased Power Model '!F35</f>
        <v>30</v>
      </c>
      <c r="G35" s="17">
        <f>+'Purchased Power Model '!G35</f>
        <v>1</v>
      </c>
      <c r="H35" s="481">
        <f t="shared" si="2"/>
        <v>84730738.348705426</v>
      </c>
      <c r="I35" s="106">
        <f t="shared" si="3"/>
        <v>-3083111.6512945741</v>
      </c>
      <c r="J35" s="5">
        <f t="shared" si="4"/>
        <v>-3.5109628507286425E-2</v>
      </c>
      <c r="K35"/>
      <c r="L35"/>
      <c r="M35"/>
      <c r="N35"/>
      <c r="T35" s="100"/>
      <c r="U35" s="100"/>
      <c r="V35" s="100"/>
      <c r="W35" s="100"/>
      <c r="X35" s="100"/>
      <c r="Y35" s="100"/>
      <c r="Z35" s="100"/>
      <c r="AA35" s="100"/>
      <c r="AB35" s="100"/>
    </row>
    <row r="36" spans="1:28" x14ac:dyDescent="0.2">
      <c r="A36" s="479">
        <v>38626</v>
      </c>
      <c r="B36" s="459">
        <f>+'Purchased Power Model '!B36</f>
        <v>87350690</v>
      </c>
      <c r="C36" s="480">
        <f>+'Purchased Power Model '!C36</f>
        <v>223.8</v>
      </c>
      <c r="D36" s="480">
        <f>+'Purchased Power Model '!D36</f>
        <v>0.5</v>
      </c>
      <c r="E36" s="443">
        <f>+'Purchased Power Model '!E36</f>
        <v>6.7000000000000004E-2</v>
      </c>
      <c r="F36" s="17">
        <f>+'Purchased Power Model '!F36</f>
        <v>31</v>
      </c>
      <c r="G36" s="17">
        <f>+'Purchased Power Model '!G36</f>
        <v>1</v>
      </c>
      <c r="H36" s="481">
        <f t="shared" si="2"/>
        <v>88912160.967081398</v>
      </c>
      <c r="I36" s="106">
        <f t="shared" si="3"/>
        <v>1561470.9670813978</v>
      </c>
      <c r="J36" s="5">
        <f t="shared" si="4"/>
        <v>1.7875885892617422E-2</v>
      </c>
      <c r="K36"/>
      <c r="L36"/>
      <c r="M36"/>
      <c r="N36"/>
      <c r="T36" s="100"/>
      <c r="U36" s="100"/>
      <c r="V36" s="100"/>
      <c r="W36" s="100"/>
      <c r="X36" s="100"/>
      <c r="Y36" s="100"/>
      <c r="Z36" s="100"/>
      <c r="AA36" s="100"/>
      <c r="AB36" s="100"/>
    </row>
    <row r="37" spans="1:28" x14ac:dyDescent="0.2">
      <c r="A37" s="479">
        <v>38657</v>
      </c>
      <c r="B37" s="459">
        <f>+'Purchased Power Model '!B37</f>
        <v>94515140</v>
      </c>
      <c r="C37" s="480">
        <f>+'Purchased Power Model '!C37</f>
        <v>398.5</v>
      </c>
      <c r="D37" s="480">
        <f>+'Purchased Power Model '!D37</f>
        <v>0</v>
      </c>
      <c r="E37" s="443">
        <f>+'Purchased Power Model '!E37</f>
        <v>6.7000000000000004E-2</v>
      </c>
      <c r="F37" s="17">
        <f>+'Purchased Power Model '!F37</f>
        <v>30</v>
      </c>
      <c r="G37" s="17">
        <f>+'Purchased Power Model '!G37</f>
        <v>1</v>
      </c>
      <c r="H37" s="481">
        <f t="shared" si="2"/>
        <v>92827406.987147972</v>
      </c>
      <c r="I37" s="106">
        <f t="shared" si="3"/>
        <v>-1687733.012852028</v>
      </c>
      <c r="J37" s="5">
        <f t="shared" si="4"/>
        <v>-1.7856747742764047E-2</v>
      </c>
      <c r="K37"/>
      <c r="L37"/>
      <c r="M37"/>
      <c r="N37"/>
      <c r="T37" s="100"/>
      <c r="U37" s="100"/>
      <c r="V37" s="100"/>
      <c r="W37" s="100"/>
      <c r="X37" s="100"/>
      <c r="Y37" s="100"/>
      <c r="Z37" s="100"/>
      <c r="AA37" s="100"/>
      <c r="AB37" s="100"/>
    </row>
    <row r="38" spans="1:28" x14ac:dyDescent="0.2">
      <c r="A38" s="479">
        <v>38687</v>
      </c>
      <c r="B38" s="459">
        <f>+'Purchased Power Model '!B38</f>
        <v>112129490</v>
      </c>
      <c r="C38" s="480">
        <f>+'Purchased Power Model '!C38</f>
        <v>641.1</v>
      </c>
      <c r="D38" s="480">
        <f>+'Purchased Power Model '!D38</f>
        <v>0</v>
      </c>
      <c r="E38" s="443">
        <f>+'Purchased Power Model '!E38</f>
        <v>6.7000000000000004E-2</v>
      </c>
      <c r="F38" s="17">
        <f>+'Purchased Power Model '!F38</f>
        <v>31</v>
      </c>
      <c r="G38" s="17">
        <f>+'Purchased Power Model '!G38</f>
        <v>0</v>
      </c>
      <c r="H38" s="481">
        <f t="shared" si="2"/>
        <v>111611369.29398885</v>
      </c>
      <c r="I38" s="106">
        <f t="shared" si="3"/>
        <v>-518120.70601114631</v>
      </c>
      <c r="J38" s="5">
        <f t="shared" si="4"/>
        <v>-4.6207354194792672E-3</v>
      </c>
      <c r="K38"/>
      <c r="L38"/>
      <c r="M38"/>
      <c r="N38"/>
      <c r="T38" s="100"/>
      <c r="U38" s="100"/>
      <c r="V38" s="100"/>
      <c r="W38" s="100"/>
      <c r="X38" s="100"/>
      <c r="Y38" s="100"/>
      <c r="Z38" s="100"/>
      <c r="AA38" s="100"/>
      <c r="AB38" s="100"/>
    </row>
    <row r="39" spans="1:28" x14ac:dyDescent="0.2">
      <c r="A39" s="479">
        <v>38718</v>
      </c>
      <c r="B39" s="459">
        <f>+'Purchased Power Model '!B39</f>
        <v>108586490</v>
      </c>
      <c r="C39" s="480">
        <f>+'Purchased Power Model '!C39</f>
        <v>558.20000000000005</v>
      </c>
      <c r="D39" s="480">
        <f>+'Purchased Power Model '!D39</f>
        <v>0</v>
      </c>
      <c r="E39" s="443">
        <f>+'Purchased Power Model '!E39</f>
        <v>6.7000000000000004E-2</v>
      </c>
      <c r="F39" s="17">
        <f>+'Purchased Power Model '!F39</f>
        <v>31</v>
      </c>
      <c r="G39" s="17">
        <f>+'Purchased Power Model '!G39</f>
        <v>0</v>
      </c>
      <c r="H39" s="481">
        <f t="shared" si="2"/>
        <v>108427123.30806802</v>
      </c>
      <c r="I39" s="106">
        <f t="shared" si="3"/>
        <v>-159366.69193197787</v>
      </c>
      <c r="J39" s="5">
        <f t="shared" si="4"/>
        <v>-1.4676475124297495E-3</v>
      </c>
      <c r="K39"/>
      <c r="L39"/>
      <c r="M39"/>
      <c r="N39"/>
      <c r="T39" s="100"/>
      <c r="U39" s="100"/>
      <c r="V39" s="100"/>
      <c r="W39" s="100"/>
      <c r="X39" s="100"/>
      <c r="Y39" s="100"/>
      <c r="Z39" s="100"/>
      <c r="AA39" s="100"/>
      <c r="AB39" s="100"/>
    </row>
    <row r="40" spans="1:28" x14ac:dyDescent="0.2">
      <c r="A40" s="479">
        <v>38749</v>
      </c>
      <c r="B40" s="459">
        <f>+'Purchased Power Model '!B40</f>
        <v>101769990</v>
      </c>
      <c r="C40" s="480">
        <f>+'Purchased Power Model '!C40</f>
        <v>608.79999999999995</v>
      </c>
      <c r="D40" s="480">
        <f>+'Purchased Power Model '!D40</f>
        <v>0</v>
      </c>
      <c r="E40" s="443">
        <f>+'Purchased Power Model '!E40</f>
        <v>6.7000000000000004E-2</v>
      </c>
      <c r="F40" s="17">
        <f>+'Purchased Power Model '!F40</f>
        <v>28</v>
      </c>
      <c r="G40" s="17">
        <f>+'Purchased Power Model '!G40</f>
        <v>0</v>
      </c>
      <c r="H40" s="481">
        <f t="shared" si="2"/>
        <v>102215338.38296506</v>
      </c>
      <c r="I40" s="106">
        <f t="shared" si="3"/>
        <v>445348.38296505809</v>
      </c>
      <c r="J40" s="5">
        <f t="shared" si="4"/>
        <v>4.3760285617111495E-3</v>
      </c>
      <c r="K40"/>
      <c r="L40"/>
      <c r="M40"/>
      <c r="N40"/>
      <c r="T40" s="100"/>
      <c r="U40" s="100"/>
      <c r="V40" s="100"/>
      <c r="W40" s="100"/>
      <c r="X40" s="100"/>
      <c r="Y40" s="100"/>
      <c r="Z40" s="100"/>
      <c r="AA40" s="100"/>
      <c r="AB40" s="100"/>
    </row>
    <row r="41" spans="1:28" x14ac:dyDescent="0.2">
      <c r="A41" s="479">
        <v>38777</v>
      </c>
      <c r="B41" s="459">
        <f>+'Purchased Power Model '!B41</f>
        <v>102729300</v>
      </c>
      <c r="C41" s="480">
        <f>+'Purchased Power Model '!C41</f>
        <v>534</v>
      </c>
      <c r="D41" s="480">
        <f>+'Purchased Power Model '!D41</f>
        <v>0</v>
      </c>
      <c r="E41" s="443">
        <f>+'Purchased Power Model '!E41</f>
        <v>6.7000000000000004E-2</v>
      </c>
      <c r="F41" s="17">
        <f>+'Purchased Power Model '!F41</f>
        <v>31</v>
      </c>
      <c r="G41" s="17">
        <f>+'Purchased Power Model '!G41</f>
        <v>1</v>
      </c>
      <c r="H41" s="481">
        <f t="shared" si="2"/>
        <v>100750510.36654261</v>
      </c>
      <c r="I41" s="106">
        <f t="shared" si="3"/>
        <v>-1978789.6334573925</v>
      </c>
      <c r="J41" s="5">
        <f t="shared" si="4"/>
        <v>-1.9262173824384984E-2</v>
      </c>
      <c r="K41"/>
      <c r="L41"/>
      <c r="M41"/>
      <c r="N41"/>
      <c r="T41" s="100"/>
      <c r="U41" s="100"/>
      <c r="V41" s="100"/>
      <c r="W41" s="100"/>
      <c r="X41" s="100"/>
      <c r="Y41" s="100"/>
      <c r="Z41" s="100"/>
      <c r="AA41" s="100"/>
      <c r="AB41" s="100"/>
    </row>
    <row r="42" spans="1:28" x14ac:dyDescent="0.2">
      <c r="A42" s="479">
        <v>38808</v>
      </c>
      <c r="B42" s="459">
        <f>+'Purchased Power Model '!B42</f>
        <v>85245280</v>
      </c>
      <c r="C42" s="480">
        <f>+'Purchased Power Model '!C42</f>
        <v>323.60000000000002</v>
      </c>
      <c r="D42" s="480">
        <f>+'Purchased Power Model '!D42</f>
        <v>0</v>
      </c>
      <c r="E42" s="443">
        <f>+'Purchased Power Model '!E42</f>
        <v>6.3E-2</v>
      </c>
      <c r="F42" s="17">
        <f>+'Purchased Power Model '!F42</f>
        <v>30</v>
      </c>
      <c r="G42" s="17">
        <f>+'Purchased Power Model '!G42</f>
        <v>1</v>
      </c>
      <c r="H42" s="481">
        <f t="shared" si="2"/>
        <v>90259387.049006909</v>
      </c>
      <c r="I42" s="106">
        <f t="shared" si="3"/>
        <v>5014107.0490069091</v>
      </c>
      <c r="J42" s="5">
        <f t="shared" si="4"/>
        <v>5.8819761622073495E-2</v>
      </c>
      <c r="K42"/>
      <c r="L42"/>
      <c r="M42"/>
      <c r="N42"/>
      <c r="T42" s="100"/>
      <c r="U42" s="100"/>
      <c r="V42" s="100"/>
      <c r="W42" s="100"/>
      <c r="X42" s="100"/>
      <c r="Y42" s="100"/>
      <c r="Z42" s="100"/>
      <c r="AA42" s="100"/>
      <c r="AB42" s="100"/>
    </row>
    <row r="43" spans="1:28" x14ac:dyDescent="0.2">
      <c r="A43" s="479">
        <v>38838</v>
      </c>
      <c r="B43" s="459">
        <f>+'Purchased Power Model '!B43</f>
        <v>85191000</v>
      </c>
      <c r="C43" s="480">
        <f>+'Purchased Power Model '!C43</f>
        <v>172.6</v>
      </c>
      <c r="D43" s="480">
        <f>+'Purchased Power Model '!D43</f>
        <v>12.8</v>
      </c>
      <c r="E43" s="443">
        <f>+'Purchased Power Model '!E43</f>
        <v>6.3E-2</v>
      </c>
      <c r="F43" s="17">
        <f>+'Purchased Power Model '!F43</f>
        <v>31</v>
      </c>
      <c r="G43" s="17">
        <f>+'Purchased Power Model '!G43</f>
        <v>1</v>
      </c>
      <c r="H43" s="481">
        <f t="shared" si="2"/>
        <v>89139961.83053349</v>
      </c>
      <c r="I43" s="106">
        <f t="shared" si="3"/>
        <v>3948961.8305334896</v>
      </c>
      <c r="J43" s="5">
        <f t="shared" si="4"/>
        <v>4.6354213831666366E-2</v>
      </c>
      <c r="K43"/>
      <c r="L43"/>
      <c r="M43"/>
      <c r="N43"/>
      <c r="T43" s="100"/>
      <c r="U43" s="100"/>
      <c r="V43" s="100"/>
      <c r="W43" s="100"/>
      <c r="X43" s="100"/>
      <c r="Y43" s="100"/>
      <c r="Z43" s="100"/>
      <c r="AA43" s="100"/>
      <c r="AB43" s="100"/>
    </row>
    <row r="44" spans="1:28" x14ac:dyDescent="0.2">
      <c r="A44" s="479">
        <v>38869</v>
      </c>
      <c r="B44" s="459">
        <f>+'Purchased Power Model '!B44</f>
        <v>91808310</v>
      </c>
      <c r="C44" s="480">
        <f>+'Purchased Power Model '!C44</f>
        <v>22.6</v>
      </c>
      <c r="D44" s="480">
        <f>+'Purchased Power Model '!D44</f>
        <v>36.200000000000003</v>
      </c>
      <c r="E44" s="443">
        <f>+'Purchased Power Model '!E44</f>
        <v>6.3E-2</v>
      </c>
      <c r="F44" s="17">
        <f>+'Purchased Power Model '!F44</f>
        <v>30</v>
      </c>
      <c r="G44" s="17">
        <f>+'Purchased Power Model '!G44</f>
        <v>0</v>
      </c>
      <c r="H44" s="481">
        <f t="shared" si="2"/>
        <v>90994002.809248403</v>
      </c>
      <c r="I44" s="106">
        <f t="shared" si="3"/>
        <v>-814307.19075159729</v>
      </c>
      <c r="J44" s="5">
        <f t="shared" si="4"/>
        <v>-8.8696457951529372E-3</v>
      </c>
      <c r="K44"/>
      <c r="L44"/>
      <c r="M44"/>
      <c r="N44"/>
      <c r="T44" s="100"/>
      <c r="U44" s="100"/>
      <c r="V44" s="100"/>
      <c r="W44" s="100"/>
      <c r="X44" s="100"/>
      <c r="Y44" s="100"/>
      <c r="Z44" s="100"/>
      <c r="AA44" s="100"/>
      <c r="AB44" s="100"/>
    </row>
    <row r="45" spans="1:28" x14ac:dyDescent="0.2">
      <c r="A45" s="479">
        <v>38899</v>
      </c>
      <c r="B45" s="459">
        <f>+'Purchased Power Model '!B45</f>
        <v>103610940</v>
      </c>
      <c r="C45" s="480">
        <f>+'Purchased Power Model '!C45</f>
        <v>1.7</v>
      </c>
      <c r="D45" s="480">
        <f>+'Purchased Power Model '!D45</f>
        <v>107.6</v>
      </c>
      <c r="E45" s="443">
        <f>+'Purchased Power Model '!E45</f>
        <v>6.6000000000000003E-2</v>
      </c>
      <c r="F45" s="17">
        <f>+'Purchased Power Model '!F45</f>
        <v>31</v>
      </c>
      <c r="G45" s="17">
        <f>+'Purchased Power Model '!G45</f>
        <v>0</v>
      </c>
      <c r="H45" s="481">
        <f t="shared" si="2"/>
        <v>103622994.32553346</v>
      </c>
      <c r="I45" s="106">
        <f t="shared" si="3"/>
        <v>12054.325533464551</v>
      </c>
      <c r="J45" s="5">
        <f t="shared" si="4"/>
        <v>1.163422080087735E-4</v>
      </c>
      <c r="K45"/>
      <c r="L45"/>
      <c r="M45"/>
      <c r="N45"/>
      <c r="T45" s="100"/>
      <c r="U45" s="100"/>
      <c r="V45" s="100"/>
      <c r="W45" s="100"/>
      <c r="X45" s="100"/>
      <c r="Y45" s="100"/>
      <c r="Z45" s="100"/>
      <c r="AA45" s="100"/>
      <c r="AB45" s="100"/>
    </row>
    <row r="46" spans="1:28" x14ac:dyDescent="0.2">
      <c r="A46" s="479">
        <v>38930</v>
      </c>
      <c r="B46" s="459">
        <f>+'Purchased Power Model '!B46</f>
        <v>98252830</v>
      </c>
      <c r="C46" s="480">
        <f>+'Purchased Power Model '!C46</f>
        <v>4.4000000000000004</v>
      </c>
      <c r="D46" s="480">
        <f>+'Purchased Power Model '!D46</f>
        <v>82.1</v>
      </c>
      <c r="E46" s="443">
        <f>+'Purchased Power Model '!E46</f>
        <v>6.6000000000000003E-2</v>
      </c>
      <c r="F46" s="17">
        <f>+'Purchased Power Model '!F46</f>
        <v>31</v>
      </c>
      <c r="G46" s="17">
        <f>+'Purchased Power Model '!G46</f>
        <v>0</v>
      </c>
      <c r="H46" s="481">
        <f t="shared" si="2"/>
        <v>99817765.660628006</v>
      </c>
      <c r="I46" s="106">
        <f t="shared" si="3"/>
        <v>1564935.6606280059</v>
      </c>
      <c r="J46" s="5">
        <f t="shared" si="4"/>
        <v>1.5927639546138322E-2</v>
      </c>
      <c r="K46"/>
      <c r="L46"/>
      <c r="M46"/>
      <c r="N46"/>
      <c r="T46" s="100"/>
      <c r="U46" s="100"/>
      <c r="V46" s="100"/>
      <c r="W46" s="100"/>
      <c r="X46" s="100"/>
      <c r="Y46" s="100"/>
      <c r="Z46" s="100"/>
      <c r="AA46" s="100"/>
      <c r="AB46" s="100"/>
    </row>
    <row r="47" spans="1:28" x14ac:dyDescent="0.2">
      <c r="A47" s="479">
        <v>38961</v>
      </c>
      <c r="B47" s="459">
        <f>+'Purchased Power Model '!B47</f>
        <v>83090470</v>
      </c>
      <c r="C47" s="480">
        <f>+'Purchased Power Model '!C47</f>
        <v>70.7</v>
      </c>
      <c r="D47" s="480">
        <f>+'Purchased Power Model '!D47</f>
        <v>5.0999999999999996</v>
      </c>
      <c r="E47" s="443">
        <f>+'Purchased Power Model '!E47</f>
        <v>6.6000000000000003E-2</v>
      </c>
      <c r="F47" s="17">
        <f>+'Purchased Power Model '!F47</f>
        <v>30</v>
      </c>
      <c r="G47" s="17">
        <f>+'Purchased Power Model '!G47</f>
        <v>1</v>
      </c>
      <c r="H47" s="481">
        <f t="shared" si="2"/>
        <v>81095406.296919703</v>
      </c>
      <c r="I47" s="106">
        <f t="shared" si="3"/>
        <v>-1995063.7030802965</v>
      </c>
      <c r="J47" s="5">
        <f t="shared" si="4"/>
        <v>-2.4010740378292438E-2</v>
      </c>
      <c r="K47"/>
      <c r="L47"/>
      <c r="M47"/>
      <c r="N47"/>
      <c r="T47" s="100"/>
      <c r="U47" s="100"/>
      <c r="V47" s="100"/>
      <c r="W47" s="100"/>
      <c r="X47" s="100"/>
      <c r="Y47" s="100"/>
      <c r="Z47" s="100"/>
      <c r="AA47" s="100"/>
      <c r="AB47" s="100"/>
    </row>
    <row r="48" spans="1:28" x14ac:dyDescent="0.2">
      <c r="A48" s="479">
        <v>38991</v>
      </c>
      <c r="B48" s="459">
        <f>+'Purchased Power Model '!B48</f>
        <v>90859410</v>
      </c>
      <c r="C48" s="480">
        <f>+'Purchased Power Model '!C48</f>
        <v>274.60000000000002</v>
      </c>
      <c r="D48" s="480">
        <f>+'Purchased Power Model '!D48</f>
        <v>0</v>
      </c>
      <c r="E48" s="443">
        <f>+'Purchased Power Model '!E48</f>
        <v>6.7000000000000004E-2</v>
      </c>
      <c r="F48" s="17">
        <f>+'Purchased Power Model '!F48</f>
        <v>31</v>
      </c>
      <c r="G48" s="17">
        <f>+'Purchased Power Model '!G48</f>
        <v>1</v>
      </c>
      <c r="H48" s="481">
        <f t="shared" si="2"/>
        <v>90786778.053540647</v>
      </c>
      <c r="I48" s="106">
        <f t="shared" si="3"/>
        <v>-72631.94645935297</v>
      </c>
      <c r="J48" s="5">
        <f t="shared" si="4"/>
        <v>-7.9938826874787069E-4</v>
      </c>
      <c r="K48"/>
      <c r="L48"/>
      <c r="M48"/>
      <c r="N48"/>
      <c r="T48" s="100"/>
      <c r="U48" s="100"/>
      <c r="V48" s="100"/>
      <c r="W48" s="100"/>
      <c r="X48" s="100"/>
      <c r="Y48" s="100"/>
      <c r="Z48" s="100"/>
      <c r="AA48" s="100"/>
      <c r="AB48" s="100"/>
    </row>
    <row r="49" spans="1:28" x14ac:dyDescent="0.2">
      <c r="A49" s="479">
        <v>39022</v>
      </c>
      <c r="B49" s="459">
        <f>+'Purchased Power Model '!B49</f>
        <v>95117460</v>
      </c>
      <c r="C49" s="480">
        <f>+'Purchased Power Model '!C49</f>
        <v>367.5</v>
      </c>
      <c r="D49" s="480">
        <f>+'Purchased Power Model '!D49</f>
        <v>0</v>
      </c>
      <c r="E49" s="443">
        <f>+'Purchased Power Model '!E49</f>
        <v>6.7000000000000004E-2</v>
      </c>
      <c r="F49" s="17">
        <f>+'Purchased Power Model '!F49</f>
        <v>30</v>
      </c>
      <c r="G49" s="17">
        <f>+'Purchased Power Model '!G49</f>
        <v>1</v>
      </c>
      <c r="H49" s="481">
        <f t="shared" si="2"/>
        <v>91636675.677575648</v>
      </c>
      <c r="I49" s="106">
        <f t="shared" si="3"/>
        <v>-3480784.3224243522</v>
      </c>
      <c r="J49" s="5">
        <f t="shared" si="4"/>
        <v>-3.6594588653064877E-2</v>
      </c>
      <c r="K49"/>
      <c r="L49"/>
      <c r="M49"/>
      <c r="N49"/>
      <c r="T49" s="100"/>
      <c r="U49" s="100"/>
      <c r="V49" s="100"/>
      <c r="W49" s="100"/>
      <c r="X49" s="100"/>
      <c r="Y49" s="100"/>
      <c r="Z49" s="100"/>
      <c r="AA49" s="100"/>
      <c r="AB49" s="100"/>
    </row>
    <row r="50" spans="1:28" x14ac:dyDescent="0.2">
      <c r="A50" s="479">
        <v>39052</v>
      </c>
      <c r="B50" s="459">
        <f>+'Purchased Power Model '!B50</f>
        <v>105098960</v>
      </c>
      <c r="C50" s="480">
        <f>+'Purchased Power Model '!C50</f>
        <v>471.5</v>
      </c>
      <c r="D50" s="480">
        <f>+'Purchased Power Model '!D50</f>
        <v>0</v>
      </c>
      <c r="E50" s="443">
        <f>+'Purchased Power Model '!E50</f>
        <v>6.7000000000000004E-2</v>
      </c>
      <c r="F50" s="17">
        <f>+'Purchased Power Model '!F50</f>
        <v>31</v>
      </c>
      <c r="G50" s="17">
        <f>+'Purchased Power Model '!G50</f>
        <v>0</v>
      </c>
      <c r="H50" s="481">
        <f t="shared" si="2"/>
        <v>105096916.71000607</v>
      </c>
      <c r="I50" s="106">
        <f t="shared" si="3"/>
        <v>-2043.2899939268827</v>
      </c>
      <c r="J50" s="5">
        <f t="shared" si="4"/>
        <v>-1.9441581476418823E-5</v>
      </c>
      <c r="K50"/>
      <c r="L50"/>
      <c r="M50"/>
      <c r="N50"/>
      <c r="T50" s="100"/>
      <c r="U50" s="100"/>
      <c r="V50" s="100"/>
      <c r="W50" s="100"/>
      <c r="X50" s="100"/>
      <c r="Y50" s="100"/>
      <c r="Z50" s="100"/>
      <c r="AA50" s="100"/>
      <c r="AB50" s="100"/>
    </row>
    <row r="51" spans="1:28" x14ac:dyDescent="0.2">
      <c r="A51" s="479">
        <v>39083</v>
      </c>
      <c r="B51" s="459">
        <f>+'Purchased Power Model '!B51</f>
        <v>112093789.99999999</v>
      </c>
      <c r="C51" s="480">
        <f>+'Purchased Power Model '!C51</f>
        <v>573.1</v>
      </c>
      <c r="D51" s="480">
        <f>+'Purchased Power Model '!D51</f>
        <v>0</v>
      </c>
      <c r="E51" s="443">
        <f>+'Purchased Power Model '!E51</f>
        <v>6.2E-2</v>
      </c>
      <c r="F51" s="17">
        <f>+'Purchased Power Model '!F51</f>
        <v>31</v>
      </c>
      <c r="G51" s="17">
        <f>+'Purchased Power Model '!G51</f>
        <v>0</v>
      </c>
      <c r="H51" s="481">
        <f t="shared" si="2"/>
        <v>109385618.23607996</v>
      </c>
      <c r="I51" s="106">
        <f t="shared" si="3"/>
        <v>-2708171.763920024</v>
      </c>
      <c r="J51" s="5">
        <f t="shared" si="4"/>
        <v>-2.4159873298244483E-2</v>
      </c>
      <c r="K51"/>
      <c r="L51"/>
      <c r="M51"/>
      <c r="N51"/>
      <c r="T51" s="100"/>
      <c r="U51" s="100"/>
      <c r="V51" s="100"/>
      <c r="W51" s="100"/>
      <c r="X51" s="100"/>
      <c r="Y51" s="100"/>
      <c r="Z51" s="100"/>
      <c r="AA51" s="100"/>
      <c r="AB51" s="100"/>
    </row>
    <row r="52" spans="1:28" x14ac:dyDescent="0.2">
      <c r="A52" s="479">
        <v>39114</v>
      </c>
      <c r="B52" s="459">
        <f>+'Purchased Power Model '!B52</f>
        <v>109302770</v>
      </c>
      <c r="C52" s="480">
        <f>+'Purchased Power Model '!C52</f>
        <v>693.5</v>
      </c>
      <c r="D52" s="480">
        <f>+'Purchased Power Model '!D52</f>
        <v>0</v>
      </c>
      <c r="E52" s="443">
        <f>+'Purchased Power Model '!E52</f>
        <v>6.2E-2</v>
      </c>
      <c r="F52" s="17">
        <f>+'Purchased Power Model '!F52</f>
        <v>28</v>
      </c>
      <c r="G52" s="17">
        <f>+'Purchased Power Model '!G52</f>
        <v>0</v>
      </c>
      <c r="H52" s="481">
        <f t="shared" si="2"/>
        <v>105854899.291885</v>
      </c>
      <c r="I52" s="106">
        <f t="shared" si="3"/>
        <v>-3447870.7081149966</v>
      </c>
      <c r="J52" s="5">
        <f t="shared" si="4"/>
        <v>-3.1544220774231031E-2</v>
      </c>
      <c r="K52"/>
      <c r="L52"/>
      <c r="M52"/>
      <c r="N52"/>
      <c r="T52" s="100"/>
      <c r="U52" s="100"/>
      <c r="V52" s="100"/>
      <c r="W52" s="100"/>
      <c r="X52" s="100"/>
      <c r="Y52" s="100"/>
      <c r="Z52" s="100"/>
      <c r="AA52" s="100"/>
      <c r="AB52" s="100"/>
    </row>
    <row r="53" spans="1:28" x14ac:dyDescent="0.2">
      <c r="A53" s="479">
        <v>39142</v>
      </c>
      <c r="B53" s="459">
        <f>+'Purchased Power Model '!B53</f>
        <v>106781890</v>
      </c>
      <c r="C53" s="480">
        <f>+'Purchased Power Model '!C53</f>
        <v>477.9</v>
      </c>
      <c r="D53" s="480">
        <f>+'Purchased Power Model '!D53</f>
        <v>0</v>
      </c>
      <c r="E53" s="443">
        <f>+'Purchased Power Model '!E53</f>
        <v>6.2E-2</v>
      </c>
      <c r="F53" s="17">
        <f>+'Purchased Power Model '!F53</f>
        <v>31</v>
      </c>
      <c r="G53" s="17">
        <f>+'Purchased Power Model '!G53</f>
        <v>1</v>
      </c>
      <c r="H53" s="481">
        <f t="shared" si="2"/>
        <v>98981846.488759875</v>
      </c>
      <c r="I53" s="106">
        <f t="shared" si="3"/>
        <v>-7800043.5112401247</v>
      </c>
      <c r="J53" s="5">
        <f t="shared" si="4"/>
        <v>-7.3046501717099449E-2</v>
      </c>
      <c r="K53"/>
      <c r="L53"/>
      <c r="M53"/>
      <c r="N53"/>
      <c r="T53" s="100"/>
      <c r="U53" s="100"/>
      <c r="V53" s="100"/>
      <c r="W53" s="100"/>
      <c r="X53" s="100"/>
      <c r="Y53" s="100"/>
      <c r="Z53" s="100"/>
      <c r="AA53" s="100"/>
      <c r="AB53" s="100"/>
    </row>
    <row r="54" spans="1:28" x14ac:dyDescent="0.2">
      <c r="A54" s="479">
        <v>39173</v>
      </c>
      <c r="B54" s="459">
        <f>+'Purchased Power Model '!B54</f>
        <v>92267850</v>
      </c>
      <c r="C54" s="480">
        <f>+'Purchased Power Model '!C54</f>
        <v>280.39999999999998</v>
      </c>
      <c r="D54" s="480">
        <f>+'Purchased Power Model '!D54</f>
        <v>0</v>
      </c>
      <c r="E54" s="443">
        <f>+'Purchased Power Model '!E54</f>
        <v>5.9000000000000004E-2</v>
      </c>
      <c r="F54" s="17">
        <f>+'Purchased Power Model '!F54</f>
        <v>30</v>
      </c>
      <c r="G54" s="17">
        <f>+'Purchased Power Model '!G54</f>
        <v>1</v>
      </c>
      <c r="H54" s="481">
        <f t="shared" si="2"/>
        <v>88908985.901622057</v>
      </c>
      <c r="I54" s="106">
        <f t="shared" si="3"/>
        <v>-3358864.098377943</v>
      </c>
      <c r="J54" s="5">
        <f t="shared" si="4"/>
        <v>-3.6403407019649239E-2</v>
      </c>
      <c r="K54"/>
      <c r="L54"/>
      <c r="M54"/>
      <c r="N54"/>
      <c r="T54" s="100"/>
      <c r="U54" s="100"/>
      <c r="V54" s="100"/>
      <c r="W54" s="100"/>
      <c r="X54" s="100"/>
      <c r="Y54" s="100"/>
      <c r="Z54" s="100"/>
      <c r="AA54" s="100"/>
      <c r="AB54" s="100"/>
    </row>
    <row r="55" spans="1:28" x14ac:dyDescent="0.2">
      <c r="A55" s="479">
        <v>39203</v>
      </c>
      <c r="B55" s="459">
        <f>+'Purchased Power Model '!B55</f>
        <v>86029130</v>
      </c>
      <c r="C55" s="480">
        <f>+'Purchased Power Model '!C55</f>
        <v>72.8</v>
      </c>
      <c r="D55" s="480">
        <f>+'Purchased Power Model '!D55</f>
        <v>4.5</v>
      </c>
      <c r="E55" s="443">
        <f>+'Purchased Power Model '!E55</f>
        <v>5.9000000000000004E-2</v>
      </c>
      <c r="F55" s="17">
        <f>+'Purchased Power Model '!F55</f>
        <v>31</v>
      </c>
      <c r="G55" s="17">
        <f>+'Purchased Power Model '!G55</f>
        <v>1</v>
      </c>
      <c r="H55" s="481">
        <f t="shared" si="2"/>
        <v>84343194.935857773</v>
      </c>
      <c r="I55" s="106">
        <f t="shared" si="3"/>
        <v>-1685935.0641422272</v>
      </c>
      <c r="J55" s="5">
        <f t="shared" si="4"/>
        <v>-1.9597258093185729E-2</v>
      </c>
      <c r="K55"/>
      <c r="L55"/>
      <c r="M55"/>
      <c r="N55"/>
      <c r="T55" s="100"/>
      <c r="U55" s="100"/>
      <c r="V55" s="100"/>
      <c r="W55" s="100"/>
      <c r="X55" s="100"/>
      <c r="Y55" s="100"/>
      <c r="Z55" s="100"/>
      <c r="AA55" s="100"/>
      <c r="AB55" s="100"/>
    </row>
    <row r="56" spans="1:28" x14ac:dyDescent="0.2">
      <c r="A56" s="479">
        <v>39234</v>
      </c>
      <c r="B56" s="459">
        <f>+'Purchased Power Model '!B56</f>
        <v>96829929.999999985</v>
      </c>
      <c r="C56" s="480">
        <f>+'Purchased Power Model '!C56</f>
        <v>6.2</v>
      </c>
      <c r="D56" s="480">
        <f>+'Purchased Power Model '!D56</f>
        <v>32.799999999999997</v>
      </c>
      <c r="E56" s="443">
        <f>+'Purchased Power Model '!E56</f>
        <v>5.9000000000000004E-2</v>
      </c>
      <c r="F56" s="17">
        <f>+'Purchased Power Model '!F56</f>
        <v>30</v>
      </c>
      <c r="G56" s="17">
        <f>+'Purchased Power Model '!G56</f>
        <v>0</v>
      </c>
      <c r="H56" s="481">
        <f t="shared" si="2"/>
        <v>90151816.414879128</v>
      </c>
      <c r="I56" s="106">
        <f t="shared" si="3"/>
        <v>-6678113.5851208568</v>
      </c>
      <c r="J56" s="5">
        <f t="shared" si="4"/>
        <v>-6.8967452368506904E-2</v>
      </c>
      <c r="K56"/>
      <c r="L56"/>
      <c r="M56"/>
      <c r="N56"/>
      <c r="T56" s="100"/>
      <c r="U56" s="100"/>
      <c r="V56" s="100"/>
      <c r="W56" s="100"/>
      <c r="X56" s="100"/>
      <c r="Y56" s="100"/>
      <c r="Z56" s="100"/>
      <c r="AA56" s="100"/>
      <c r="AB56" s="100"/>
    </row>
    <row r="57" spans="1:28" x14ac:dyDescent="0.2">
      <c r="A57" s="479">
        <v>39264</v>
      </c>
      <c r="B57" s="459">
        <f>+'Purchased Power Model '!B57</f>
        <v>96919610</v>
      </c>
      <c r="C57" s="480">
        <f>+'Purchased Power Model '!C57</f>
        <v>8.6999999999999993</v>
      </c>
      <c r="D57" s="480">
        <f>+'Purchased Power Model '!D57</f>
        <v>41.6</v>
      </c>
      <c r="E57" s="443">
        <f>+'Purchased Power Model '!E57</f>
        <v>6.4000000000000001E-2</v>
      </c>
      <c r="F57" s="17">
        <f>+'Purchased Power Model '!F57</f>
        <v>31</v>
      </c>
      <c r="G57" s="17">
        <f>+'Purchased Power Model '!G57</f>
        <v>0</v>
      </c>
      <c r="H57" s="481">
        <f t="shared" si="2"/>
        <v>93929089.35754469</v>
      </c>
      <c r="I57" s="106">
        <f t="shared" si="3"/>
        <v>-2990520.6424553096</v>
      </c>
      <c r="J57" s="5">
        <f t="shared" si="4"/>
        <v>-3.0855681759917417E-2</v>
      </c>
      <c r="K57"/>
      <c r="L57"/>
      <c r="M57"/>
      <c r="N57"/>
      <c r="T57" s="100"/>
      <c r="U57" s="100"/>
      <c r="V57" s="100"/>
      <c r="W57" s="100"/>
      <c r="X57" s="100"/>
      <c r="Y57" s="100"/>
      <c r="Z57" s="100"/>
      <c r="AA57" s="100"/>
      <c r="AB57" s="100"/>
    </row>
    <row r="58" spans="1:28" x14ac:dyDescent="0.2">
      <c r="A58" s="479">
        <v>39295</v>
      </c>
      <c r="B58" s="459">
        <f>+'Purchased Power Model '!B58</f>
        <v>103644560</v>
      </c>
      <c r="C58" s="480">
        <f>+'Purchased Power Model '!C58</f>
        <v>4</v>
      </c>
      <c r="D58" s="480">
        <f>+'Purchased Power Model '!D58</f>
        <v>87.8</v>
      </c>
      <c r="E58" s="443">
        <f>+'Purchased Power Model '!E58</f>
        <v>6.4000000000000001E-2</v>
      </c>
      <c r="F58" s="17">
        <f>+'Purchased Power Model '!F58</f>
        <v>31</v>
      </c>
      <c r="G58" s="17">
        <f>+'Purchased Power Model '!G58</f>
        <v>0</v>
      </c>
      <c r="H58" s="481">
        <f t="shared" si="2"/>
        <v>100830634.1646053</v>
      </c>
      <c r="I58" s="106">
        <f t="shared" si="3"/>
        <v>-2813925.8353946954</v>
      </c>
      <c r="J58" s="5">
        <f t="shared" si="4"/>
        <v>-2.7149768742273549E-2</v>
      </c>
      <c r="K58"/>
      <c r="L58"/>
      <c r="M58"/>
      <c r="N58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479">
        <v>39326</v>
      </c>
      <c r="B59" s="459">
        <f>+'Purchased Power Model '!B59</f>
        <v>87760000</v>
      </c>
      <c r="C59" s="480">
        <f>+'Purchased Power Model '!C59</f>
        <v>20.100000000000001</v>
      </c>
      <c r="D59" s="480">
        <f>+'Purchased Power Model '!D59</f>
        <v>12.3</v>
      </c>
      <c r="E59" s="443">
        <f>+'Purchased Power Model '!E59</f>
        <v>6.4000000000000001E-2</v>
      </c>
      <c r="F59" s="17">
        <f>+'Purchased Power Model '!F59</f>
        <v>30</v>
      </c>
      <c r="G59" s="17">
        <f>+'Purchased Power Model '!G59</f>
        <v>1</v>
      </c>
      <c r="H59" s="481">
        <f t="shared" si="2"/>
        <v>80409995.794367388</v>
      </c>
      <c r="I59" s="106">
        <f t="shared" si="3"/>
        <v>-7350004.2056326121</v>
      </c>
      <c r="J59" s="5">
        <f t="shared" si="4"/>
        <v>-8.3751187393261303E-2</v>
      </c>
      <c r="K59"/>
      <c r="L59"/>
      <c r="M59"/>
      <c r="N59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479">
        <v>39356</v>
      </c>
      <c r="B60" s="459">
        <f>+'Purchased Power Model '!B60</f>
        <v>88883380</v>
      </c>
      <c r="C60" s="480">
        <f>+'Purchased Power Model '!C60</f>
        <v>101.5</v>
      </c>
      <c r="D60" s="480">
        <f>+'Purchased Power Model '!D60</f>
        <v>0</v>
      </c>
      <c r="E60" s="443">
        <f>+'Purchased Power Model '!E60</f>
        <v>6.0999999999999999E-2</v>
      </c>
      <c r="F60" s="17">
        <f>+'Purchased Power Model '!F60</f>
        <v>31</v>
      </c>
      <c r="G60" s="17">
        <f>+'Purchased Power Model '!G60</f>
        <v>1</v>
      </c>
      <c r="H60" s="481">
        <f t="shared" si="2"/>
        <v>84601298.88644135</v>
      </c>
      <c r="I60" s="106">
        <f t="shared" si="3"/>
        <v>-4282081.11355865</v>
      </c>
      <c r="J60" s="5">
        <f t="shared" si="4"/>
        <v>-4.8176398259816962E-2</v>
      </c>
      <c r="K60"/>
      <c r="L60"/>
      <c r="M60"/>
      <c r="N6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479">
        <v>39387</v>
      </c>
      <c r="B61" s="459">
        <f>+'Purchased Power Model '!B61</f>
        <v>97788230</v>
      </c>
      <c r="C61" s="480">
        <f>+'Purchased Power Model '!C61</f>
        <v>314.10000000000002</v>
      </c>
      <c r="D61" s="480">
        <f>+'Purchased Power Model '!D61</f>
        <v>0</v>
      </c>
      <c r="E61" s="443">
        <f>+'Purchased Power Model '!E61</f>
        <v>6.0999999999999999E-2</v>
      </c>
      <c r="F61" s="17">
        <f>+'Purchased Power Model '!F61</f>
        <v>30</v>
      </c>
      <c r="G61" s="17">
        <f>+'Purchased Power Model '!G61</f>
        <v>1</v>
      </c>
      <c r="H61" s="481">
        <f t="shared" si="2"/>
        <v>90048955.792921752</v>
      </c>
      <c r="I61" s="106">
        <f t="shared" si="3"/>
        <v>-7739274.2070782483</v>
      </c>
      <c r="J61" s="5">
        <f t="shared" si="4"/>
        <v>-7.9143207797893966E-2</v>
      </c>
      <c r="K61"/>
      <c r="L61"/>
      <c r="M61"/>
      <c r="N61"/>
      <c r="T61" s="100"/>
      <c r="U61" s="100"/>
      <c r="V61" s="100"/>
      <c r="W61" s="100"/>
      <c r="X61" s="100"/>
      <c r="Y61" s="100"/>
      <c r="Z61" s="100"/>
      <c r="AA61" s="100"/>
      <c r="AB61" s="100"/>
    </row>
    <row r="62" spans="1:28" x14ac:dyDescent="0.2">
      <c r="A62" s="479">
        <v>39417</v>
      </c>
      <c r="B62" s="459">
        <f>+'Purchased Power Model '!B62</f>
        <v>112852450</v>
      </c>
      <c r="C62" s="480">
        <f>+'Purchased Power Model '!C62</f>
        <v>337.8</v>
      </c>
      <c r="D62" s="480">
        <f>+'Purchased Power Model '!D62</f>
        <v>0</v>
      </c>
      <c r="E62" s="443">
        <f>+'Purchased Power Model '!E62</f>
        <v>6.0999999999999999E-2</v>
      </c>
      <c r="F62" s="17">
        <f>+'Purchased Power Model '!F62</f>
        <v>31</v>
      </c>
      <c r="G62" s="17">
        <f>+'Purchased Power Model '!G62</f>
        <v>0</v>
      </c>
      <c r="H62" s="481">
        <f t="shared" si="2"/>
        <v>100424818.6266858</v>
      </c>
      <c r="I62" s="106">
        <f t="shared" si="3"/>
        <v>-12427631.373314202</v>
      </c>
      <c r="J62" s="5">
        <f t="shared" si="4"/>
        <v>-0.11012283183319638</v>
      </c>
      <c r="K62"/>
      <c r="L62"/>
      <c r="M62"/>
      <c r="N62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479">
        <v>39448</v>
      </c>
      <c r="B63" s="459">
        <f>+'Purchased Power Model '!B63</f>
        <v>111423480</v>
      </c>
      <c r="C63" s="480">
        <f>+'Purchased Power Model '!C63</f>
        <v>432.8</v>
      </c>
      <c r="D63" s="480">
        <f>+'Purchased Power Model '!D63</f>
        <v>0</v>
      </c>
      <c r="E63" s="443">
        <f>+'Purchased Power Model '!E63</f>
        <v>6.6000000000000003E-2</v>
      </c>
      <c r="F63" s="17">
        <f>+'Purchased Power Model '!F63</f>
        <v>31</v>
      </c>
      <c r="G63" s="17">
        <f>+'Purchased Power Model '!G63</f>
        <v>0</v>
      </c>
      <c r="H63" s="481">
        <f t="shared" si="2"/>
        <v>103687658.24454477</v>
      </c>
      <c r="I63" s="106">
        <f t="shared" si="3"/>
        <v>-7735821.7554552257</v>
      </c>
      <c r="J63" s="5">
        <f t="shared" si="4"/>
        <v>-6.9427213684720906E-2</v>
      </c>
      <c r="K63"/>
      <c r="L63"/>
      <c r="M63"/>
      <c r="N63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x14ac:dyDescent="0.2">
      <c r="A64" s="479">
        <v>39479</v>
      </c>
      <c r="B64" s="459">
        <f>+'Purchased Power Model '!B64</f>
        <v>106527560</v>
      </c>
      <c r="C64" s="480">
        <f>+'Purchased Power Model '!C64</f>
        <v>317.60000000000002</v>
      </c>
      <c r="D64" s="480">
        <f>+'Purchased Power Model '!D64</f>
        <v>0</v>
      </c>
      <c r="E64" s="443">
        <f>+'Purchased Power Model '!E64</f>
        <v>6.6000000000000003E-2</v>
      </c>
      <c r="F64" s="17">
        <f>+'Purchased Power Model '!F64</f>
        <v>29</v>
      </c>
      <c r="G64" s="17">
        <f>+'Purchased Power Model '!G64</f>
        <v>0</v>
      </c>
      <c r="H64" s="481">
        <f t="shared" si="2"/>
        <v>93825836.583541557</v>
      </c>
      <c r="I64" s="106">
        <f t="shared" si="3"/>
        <v>-12701723.416458443</v>
      </c>
      <c r="J64" s="5">
        <f t="shared" si="4"/>
        <v>-0.1192341532694304</v>
      </c>
      <c r="K64"/>
      <c r="L64"/>
      <c r="M64"/>
      <c r="N64"/>
      <c r="T64" s="100"/>
      <c r="U64" s="100"/>
      <c r="V64" s="100"/>
      <c r="W64" s="100"/>
      <c r="X64" s="100"/>
      <c r="Y64" s="100"/>
      <c r="Z64" s="100"/>
      <c r="AA64" s="100"/>
      <c r="AB64" s="100"/>
    </row>
    <row r="65" spans="1:28" x14ac:dyDescent="0.2">
      <c r="A65" s="479">
        <v>39508</v>
      </c>
      <c r="B65" s="459">
        <f>+'Purchased Power Model '!B65</f>
        <v>105633899.99999999</v>
      </c>
      <c r="C65" s="480">
        <f>+'Purchased Power Model '!C65</f>
        <v>430</v>
      </c>
      <c r="D65" s="480">
        <f>+'Purchased Power Model '!D65</f>
        <v>0</v>
      </c>
      <c r="E65" s="443">
        <f>+'Purchased Power Model '!E65</f>
        <v>6.6000000000000003E-2</v>
      </c>
      <c r="F65" s="17">
        <f>+'Purchased Power Model '!F65</f>
        <v>31</v>
      </c>
      <c r="G65" s="17">
        <f>+'Purchased Power Model '!G65</f>
        <v>1</v>
      </c>
      <c r="H65" s="481">
        <f t="shared" si="2"/>
        <v>96833034.013498306</v>
      </c>
      <c r="I65" s="106">
        <f t="shared" si="3"/>
        <v>-8800865.9865016788</v>
      </c>
      <c r="J65" s="5">
        <f t="shared" si="4"/>
        <v>-8.3314788022610928E-2</v>
      </c>
      <c r="K65"/>
      <c r="L65"/>
      <c r="M65"/>
      <c r="N65"/>
      <c r="T65" s="100"/>
      <c r="U65" s="100"/>
      <c r="V65" s="100"/>
      <c r="W65" s="100"/>
      <c r="X65" s="100"/>
      <c r="Y65" s="100"/>
      <c r="Z65" s="100"/>
      <c r="AA65" s="100"/>
      <c r="AB65" s="100"/>
    </row>
    <row r="66" spans="1:28" x14ac:dyDescent="0.2">
      <c r="A66" s="479">
        <v>39539</v>
      </c>
      <c r="B66" s="459">
        <f>+'Purchased Power Model '!B66</f>
        <v>86147429.999999985</v>
      </c>
      <c r="C66" s="480">
        <f>+'Purchased Power Model '!C66</f>
        <v>144.6</v>
      </c>
      <c r="D66" s="480">
        <f>+'Purchased Power Model '!D66</f>
        <v>0</v>
      </c>
      <c r="E66" s="443">
        <f>+'Purchased Power Model '!E66</f>
        <v>7.400000000000001E-2</v>
      </c>
      <c r="F66" s="17">
        <f>+'Purchased Power Model '!F66</f>
        <v>30</v>
      </c>
      <c r="G66" s="17">
        <f>+'Purchased Power Model '!G66</f>
        <v>1</v>
      </c>
      <c r="H66" s="481">
        <f t="shared" si="2"/>
        <v>82534287.494939819</v>
      </c>
      <c r="I66" s="106">
        <f t="shared" si="3"/>
        <v>-3613142.5050601661</v>
      </c>
      <c r="J66" s="5">
        <f t="shared" si="4"/>
        <v>-4.1941384729180742E-2</v>
      </c>
      <c r="K66"/>
      <c r="L66"/>
      <c r="M66"/>
      <c r="N66"/>
      <c r="T66" s="100"/>
      <c r="U66" s="100"/>
      <c r="V66" s="100"/>
      <c r="W66" s="100"/>
      <c r="X66" s="100"/>
      <c r="Y66" s="100"/>
      <c r="Z66" s="100"/>
      <c r="AA66" s="100"/>
      <c r="AB66" s="100"/>
    </row>
    <row r="67" spans="1:28" x14ac:dyDescent="0.2">
      <c r="A67" s="479">
        <v>39569</v>
      </c>
      <c r="B67" s="459">
        <f>+'Purchased Power Model '!B67</f>
        <v>82776310</v>
      </c>
      <c r="C67" s="480">
        <f>+'Purchased Power Model '!C67</f>
        <v>151</v>
      </c>
      <c r="D67" s="480">
        <f>+'Purchased Power Model '!D67</f>
        <v>0</v>
      </c>
      <c r="E67" s="443">
        <f>+'Purchased Power Model '!E67</f>
        <v>7.400000000000001E-2</v>
      </c>
      <c r="F67" s="17">
        <f>+'Purchased Power Model '!F67</f>
        <v>31</v>
      </c>
      <c r="G67" s="17">
        <f>+'Purchased Power Model '!G67</f>
        <v>1</v>
      </c>
      <c r="H67" s="481">
        <f t="shared" si="2"/>
        <v>85498571.130276814</v>
      </c>
      <c r="I67" s="106">
        <f t="shared" si="3"/>
        <v>2722261.1302768141</v>
      </c>
      <c r="J67" s="5">
        <f t="shared" si="4"/>
        <v>3.288695920701E-2</v>
      </c>
      <c r="K67"/>
      <c r="L67"/>
      <c r="M67"/>
      <c r="N67"/>
      <c r="T67" s="100"/>
      <c r="U67" s="100"/>
      <c r="V67" s="100"/>
      <c r="W67" s="100"/>
      <c r="X67" s="100"/>
      <c r="Y67" s="100"/>
      <c r="Z67" s="100"/>
      <c r="AA67" s="100"/>
      <c r="AB67" s="100"/>
    </row>
    <row r="68" spans="1:28" x14ac:dyDescent="0.2">
      <c r="A68" s="479">
        <v>39600</v>
      </c>
      <c r="B68" s="459">
        <f>+'Purchased Power Model '!B68</f>
        <v>90692793</v>
      </c>
      <c r="C68" s="480">
        <f>+'Purchased Power Model '!C68</f>
        <v>15.5</v>
      </c>
      <c r="D68" s="480">
        <f>+'Purchased Power Model '!D68</f>
        <v>23.6</v>
      </c>
      <c r="E68" s="443">
        <f>+'Purchased Power Model '!E68</f>
        <v>7.400000000000001E-2</v>
      </c>
      <c r="F68" s="17">
        <f>+'Purchased Power Model '!F68</f>
        <v>30</v>
      </c>
      <c r="G68" s="17">
        <f>+'Purchased Power Model '!G68</f>
        <v>0</v>
      </c>
      <c r="H68" s="481">
        <f t="shared" ref="H68:H131" si="5">$M$18+C68*$M$19+D68*$M$20+E68*$M$21+F68*$M$22+G68*$M$23</f>
        <v>87940225.409869581</v>
      </c>
      <c r="I68" s="106">
        <f t="shared" ref="I68:I131" si="6">H68-B68</f>
        <v>-2752567.5901304185</v>
      </c>
      <c r="J68" s="5">
        <f t="shared" ref="J68:J131" si="7">I68/B68</f>
        <v>-3.0350455632460437E-2</v>
      </c>
      <c r="K68"/>
      <c r="L68"/>
      <c r="M68"/>
      <c r="N68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28" x14ac:dyDescent="0.2">
      <c r="A69" s="479">
        <v>39630</v>
      </c>
      <c r="B69" s="459">
        <f>+'Purchased Power Model '!B69</f>
        <v>98868440</v>
      </c>
      <c r="C69" s="480">
        <f>+'Purchased Power Model '!C69</f>
        <v>1</v>
      </c>
      <c r="D69" s="480">
        <f>+'Purchased Power Model '!D69</f>
        <v>61.4</v>
      </c>
      <c r="E69" s="443">
        <f>+'Purchased Power Model '!E69</f>
        <v>6.8000000000000005E-2</v>
      </c>
      <c r="F69" s="17">
        <f>+'Purchased Power Model '!F69</f>
        <v>31</v>
      </c>
      <c r="G69" s="17">
        <f>+'Purchased Power Model '!G69</f>
        <v>0</v>
      </c>
      <c r="H69" s="481">
        <f t="shared" si="5"/>
        <v>96359561.532215193</v>
      </c>
      <c r="I69" s="106">
        <f t="shared" si="6"/>
        <v>-2508878.4677848071</v>
      </c>
      <c r="J69" s="5">
        <f t="shared" si="7"/>
        <v>-2.5375928534776184E-2</v>
      </c>
      <c r="K69"/>
      <c r="L69"/>
      <c r="M69"/>
      <c r="N69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28" x14ac:dyDescent="0.2">
      <c r="A70" s="479">
        <v>39661</v>
      </c>
      <c r="B70" s="459">
        <f>+'Purchased Power Model '!B70</f>
        <v>93432320</v>
      </c>
      <c r="C70" s="480">
        <f>+'Purchased Power Model '!C70</f>
        <v>13.8</v>
      </c>
      <c r="D70" s="480">
        <f>+'Purchased Power Model '!D70</f>
        <v>29.9</v>
      </c>
      <c r="E70" s="443">
        <f>+'Purchased Power Model '!E70</f>
        <v>6.8000000000000005E-2</v>
      </c>
      <c r="F70" s="17">
        <f>+'Purchased Power Model '!F70</f>
        <v>31</v>
      </c>
      <c r="G70" s="17">
        <f>+'Purchased Power Model '!G70</f>
        <v>0</v>
      </c>
      <c r="H70" s="481">
        <f t="shared" si="5"/>
        <v>92022530.805188119</v>
      </c>
      <c r="I70" s="106">
        <f t="shared" si="6"/>
        <v>-1409789.1948118806</v>
      </c>
      <c r="J70" s="5">
        <f t="shared" si="7"/>
        <v>-1.5088881393632103E-2</v>
      </c>
      <c r="K70"/>
      <c r="L70"/>
      <c r="M70"/>
      <c r="N7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28" x14ac:dyDescent="0.2">
      <c r="A71" s="479">
        <v>39692</v>
      </c>
      <c r="B71" s="459">
        <f>+'Purchased Power Model '!B71</f>
        <v>86855072</v>
      </c>
      <c r="C71" s="480">
        <f>+'Purchased Power Model '!C71</f>
        <v>51.6</v>
      </c>
      <c r="D71" s="480">
        <f>+'Purchased Power Model '!D71</f>
        <v>15.1</v>
      </c>
      <c r="E71" s="443">
        <f>+'Purchased Power Model '!E71</f>
        <v>6.8000000000000005E-2</v>
      </c>
      <c r="F71" s="17">
        <f>+'Purchased Power Model '!F71</f>
        <v>30</v>
      </c>
      <c r="G71" s="17">
        <f>+'Purchased Power Model '!G71</f>
        <v>1</v>
      </c>
      <c r="H71" s="481">
        <f t="shared" si="5"/>
        <v>81740208.568068817</v>
      </c>
      <c r="I71" s="106">
        <f t="shared" si="6"/>
        <v>-5114863.4319311827</v>
      </c>
      <c r="J71" s="5">
        <f t="shared" si="7"/>
        <v>-5.8889634354700467E-2</v>
      </c>
      <c r="K71"/>
      <c r="L71"/>
      <c r="M71"/>
      <c r="N71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28" x14ac:dyDescent="0.2">
      <c r="A72" s="479">
        <v>39722</v>
      </c>
      <c r="B72" s="459">
        <f>+'Purchased Power Model '!B72</f>
        <v>88294618</v>
      </c>
      <c r="C72" s="480">
        <f>+'Purchased Power Model '!C72</f>
        <v>203.1</v>
      </c>
      <c r="D72" s="480">
        <f>+'Purchased Power Model '!D72</f>
        <v>0</v>
      </c>
      <c r="E72" s="443">
        <f>+'Purchased Power Model '!E72</f>
        <v>0.08</v>
      </c>
      <c r="F72" s="17">
        <f>+'Purchased Power Model '!F72</f>
        <v>31</v>
      </c>
      <c r="G72" s="17">
        <f>+'Purchased Power Model '!G72</f>
        <v>1</v>
      </c>
      <c r="H72" s="481">
        <f t="shared" si="5"/>
        <v>87036357.121303484</v>
      </c>
      <c r="I72" s="106">
        <f t="shared" si="6"/>
        <v>-1258260.8786965162</v>
      </c>
      <c r="J72" s="5">
        <f t="shared" si="7"/>
        <v>-1.4250708675091796E-2</v>
      </c>
      <c r="K72"/>
      <c r="L72"/>
      <c r="M72"/>
      <c r="N72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28" x14ac:dyDescent="0.2">
      <c r="A73" s="479">
        <v>39753</v>
      </c>
      <c r="B73" s="459">
        <f>+'Purchased Power Model '!B73</f>
        <v>95870835</v>
      </c>
      <c r="C73" s="480">
        <f>+'Purchased Power Model '!C73</f>
        <v>268.8</v>
      </c>
      <c r="D73" s="480">
        <f>+'Purchased Power Model '!D73</f>
        <v>0</v>
      </c>
      <c r="E73" s="443">
        <f>+'Purchased Power Model '!E73</f>
        <v>0.08</v>
      </c>
      <c r="F73" s="17">
        <f>+'Purchased Power Model '!F73</f>
        <v>30</v>
      </c>
      <c r="G73" s="17">
        <f>+'Purchased Power Model '!G73</f>
        <v>1</v>
      </c>
      <c r="H73" s="481">
        <f t="shared" si="5"/>
        <v>86841484.047907293</v>
      </c>
      <c r="I73" s="106">
        <f t="shared" si="6"/>
        <v>-9029350.9520927072</v>
      </c>
      <c r="J73" s="5">
        <f t="shared" si="7"/>
        <v>-9.4182458639196234E-2</v>
      </c>
      <c r="K73"/>
      <c r="L73"/>
      <c r="M73"/>
      <c r="N73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28" x14ac:dyDescent="0.2">
      <c r="A74" s="479">
        <v>39783</v>
      </c>
      <c r="B74" s="459">
        <f>+'Purchased Power Model '!B74</f>
        <v>112359168</v>
      </c>
      <c r="C74" s="480">
        <f>+'Purchased Power Model '!C74</f>
        <v>378.9</v>
      </c>
      <c r="D74" s="480">
        <f>+'Purchased Power Model '!D74</f>
        <v>0</v>
      </c>
      <c r="E74" s="443">
        <f>+'Purchased Power Model '!E74</f>
        <v>0.08</v>
      </c>
      <c r="F74" s="17">
        <f>+'Purchased Power Model '!F74</f>
        <v>31</v>
      </c>
      <c r="G74" s="17">
        <f>+'Purchased Power Model '!G74</f>
        <v>0</v>
      </c>
      <c r="H74" s="481">
        <f t="shared" si="5"/>
        <v>100536030.27351162</v>
      </c>
      <c r="I74" s="106">
        <f t="shared" si="6"/>
        <v>-11823137.726488382</v>
      </c>
      <c r="J74" s="5">
        <f t="shared" si="7"/>
        <v>-0.1052262840401985</v>
      </c>
      <c r="K74"/>
      <c r="L74"/>
      <c r="M74"/>
      <c r="N74"/>
      <c r="T74" s="100"/>
      <c r="U74" s="100"/>
      <c r="V74" s="100"/>
      <c r="W74" s="100"/>
      <c r="X74" s="100"/>
      <c r="Y74" s="100"/>
      <c r="Z74" s="100"/>
      <c r="AA74" s="100"/>
      <c r="AB74" s="100"/>
    </row>
    <row r="75" spans="1:28" x14ac:dyDescent="0.2">
      <c r="A75" s="479">
        <v>39814</v>
      </c>
      <c r="B75" s="459">
        <f>+'Purchased Power Model '!B75</f>
        <v>119321706</v>
      </c>
      <c r="C75" s="480">
        <f>+'Purchased Power Model '!C75</f>
        <v>684.3</v>
      </c>
      <c r="D75" s="480">
        <f>+'Purchased Power Model '!D75</f>
        <v>0</v>
      </c>
      <c r="E75" s="443">
        <f>+'Purchased Power Model '!E75</f>
        <v>8.3000000000000004E-2</v>
      </c>
      <c r="F75" s="17">
        <f>+'Purchased Power Model '!F75</f>
        <v>31</v>
      </c>
      <c r="G75" s="17">
        <f>+'Purchased Power Model '!G75</f>
        <v>0</v>
      </c>
      <c r="H75" s="481">
        <f t="shared" si="5"/>
        <v>112034948.79576781</v>
      </c>
      <c r="I75" s="106">
        <f t="shared" si="6"/>
        <v>-7286757.2042321861</v>
      </c>
      <c r="J75" s="5">
        <f t="shared" si="7"/>
        <v>-6.1068161431015629E-2</v>
      </c>
      <c r="K75"/>
      <c r="L75"/>
      <c r="M75"/>
      <c r="N75"/>
      <c r="T75" s="108"/>
      <c r="U75" s="108"/>
      <c r="V75" s="108"/>
      <c r="W75" s="108"/>
      <c r="X75" s="108"/>
      <c r="Y75" s="108"/>
      <c r="Z75" s="108"/>
      <c r="AA75" s="108"/>
      <c r="AB75" s="108"/>
    </row>
    <row r="76" spans="1:28" x14ac:dyDescent="0.2">
      <c r="A76" s="479">
        <v>39845</v>
      </c>
      <c r="B76" s="459">
        <f>+'Purchased Power Model '!B76</f>
        <v>99385016</v>
      </c>
      <c r="C76" s="480">
        <f>+'Purchased Power Model '!C76</f>
        <v>595.29999999999995</v>
      </c>
      <c r="D76" s="480">
        <f>+'Purchased Power Model '!D76</f>
        <v>0</v>
      </c>
      <c r="E76" s="443">
        <f>+'Purchased Power Model '!E76</f>
        <v>8.3000000000000004E-2</v>
      </c>
      <c r="F76" s="17">
        <f>+'Purchased Power Model '!F76</f>
        <v>28</v>
      </c>
      <c r="G76" s="17">
        <f>+'Purchased Power Model '!G76</f>
        <v>0</v>
      </c>
      <c r="H76" s="481">
        <f t="shared" si="5"/>
        <v>100461031.90884882</v>
      </c>
      <c r="I76" s="106">
        <f t="shared" si="6"/>
        <v>1076015.9088488221</v>
      </c>
      <c r="J76" s="5">
        <f t="shared" si="7"/>
        <v>1.0826741818392644E-2</v>
      </c>
      <c r="K76"/>
      <c r="L76"/>
      <c r="M76"/>
      <c r="N76"/>
      <c r="T76" s="100"/>
      <c r="U76" s="100"/>
      <c r="V76" s="100"/>
      <c r="W76" s="100"/>
      <c r="X76" s="100"/>
      <c r="Y76" s="100"/>
      <c r="Z76" s="100"/>
      <c r="AA76" s="100"/>
      <c r="AB76" s="100"/>
    </row>
    <row r="77" spans="1:28" x14ac:dyDescent="0.2">
      <c r="A77" s="479">
        <v>39873</v>
      </c>
      <c r="B77" s="459">
        <f>+'Purchased Power Model '!B77</f>
        <v>100852310</v>
      </c>
      <c r="C77" s="480">
        <f>+'Purchased Power Model '!C77</f>
        <v>442.2</v>
      </c>
      <c r="D77" s="480">
        <f>+'Purchased Power Model '!D77</f>
        <v>0</v>
      </c>
      <c r="E77" s="443">
        <f>+'Purchased Power Model '!E77</f>
        <v>8.3000000000000004E-2</v>
      </c>
      <c r="F77" s="17">
        <f>+'Purchased Power Model '!F77</f>
        <v>31</v>
      </c>
      <c r="G77" s="17">
        <f>+'Purchased Power Model '!G77</f>
        <v>1</v>
      </c>
      <c r="H77" s="481">
        <f t="shared" si="5"/>
        <v>95988647.068571121</v>
      </c>
      <c r="I77" s="106">
        <f t="shared" si="6"/>
        <v>-4863662.9314288795</v>
      </c>
      <c r="J77" s="5">
        <f t="shared" si="7"/>
        <v>-4.8225597722341508E-2</v>
      </c>
      <c r="K77"/>
      <c r="L77"/>
      <c r="M77"/>
      <c r="N77"/>
      <c r="T77" s="100"/>
      <c r="U77" s="100"/>
      <c r="V77" s="100"/>
      <c r="W77" s="100"/>
      <c r="X77" s="100"/>
      <c r="Y77" s="100"/>
      <c r="Z77" s="100"/>
      <c r="AA77" s="100"/>
      <c r="AB77" s="100"/>
    </row>
    <row r="78" spans="1:28" x14ac:dyDescent="0.2">
      <c r="A78" s="479">
        <v>39904</v>
      </c>
      <c r="B78" s="459">
        <f>+'Purchased Power Model '!B78</f>
        <v>86741668</v>
      </c>
      <c r="C78" s="480">
        <f>+'Purchased Power Model '!C78</f>
        <v>313.8</v>
      </c>
      <c r="D78" s="480">
        <f>+'Purchased Power Model '!D78</f>
        <v>0</v>
      </c>
      <c r="E78" s="443">
        <f>+'Purchased Power Model '!E78</f>
        <v>8.8000000000000009E-2</v>
      </c>
      <c r="F78" s="17">
        <f>+'Purchased Power Model '!F78</f>
        <v>30</v>
      </c>
      <c r="G78" s="17">
        <f>+'Purchased Power Model '!G78</f>
        <v>1</v>
      </c>
      <c r="H78" s="481">
        <f t="shared" si="5"/>
        <v>87952083.884086847</v>
      </c>
      <c r="I78" s="106">
        <f t="shared" si="6"/>
        <v>1210415.8840868473</v>
      </c>
      <c r="J78" s="5">
        <f t="shared" si="7"/>
        <v>1.3954261106517428E-2</v>
      </c>
      <c r="K78"/>
      <c r="L78"/>
      <c r="M78"/>
      <c r="N78"/>
      <c r="T78" s="100"/>
      <c r="U78" s="100"/>
      <c r="V78" s="100"/>
      <c r="W78" s="100"/>
      <c r="X78" s="100"/>
      <c r="Y78" s="100"/>
      <c r="Z78" s="100"/>
      <c r="AA78" s="100"/>
      <c r="AB78" s="100"/>
    </row>
    <row r="79" spans="1:28" x14ac:dyDescent="0.2">
      <c r="A79" s="479">
        <v>39934</v>
      </c>
      <c r="B79" s="459">
        <f>+'Purchased Power Model '!B79</f>
        <v>80591893.384615391</v>
      </c>
      <c r="C79" s="480">
        <f>+'Purchased Power Model '!C79</f>
        <v>170.1</v>
      </c>
      <c r="D79" s="480">
        <f>+'Purchased Power Model '!D79</f>
        <v>0</v>
      </c>
      <c r="E79" s="443">
        <f>+'Purchased Power Model '!E79</f>
        <v>8.8000000000000009E-2</v>
      </c>
      <c r="F79" s="17">
        <f>+'Purchased Power Model '!F79</f>
        <v>31</v>
      </c>
      <c r="G79" s="17">
        <f>+'Purchased Power Model '!G79</f>
        <v>1</v>
      </c>
      <c r="H79" s="481">
        <f t="shared" si="5"/>
        <v>85150923.339849457</v>
      </c>
      <c r="I79" s="106">
        <f t="shared" si="6"/>
        <v>4559029.9552340657</v>
      </c>
      <c r="J79" s="5">
        <f t="shared" si="7"/>
        <v>5.6569336738083918E-2</v>
      </c>
      <c r="K79"/>
      <c r="L79"/>
      <c r="M79"/>
      <c r="N79"/>
      <c r="T79" s="100"/>
      <c r="U79" s="100"/>
      <c r="V79" s="100"/>
      <c r="W79" s="100"/>
      <c r="X79" s="100"/>
      <c r="Y79" s="100"/>
      <c r="Z79" s="100"/>
      <c r="AA79" s="100"/>
      <c r="AB79" s="100"/>
    </row>
    <row r="80" spans="1:28" x14ac:dyDescent="0.2">
      <c r="A80" s="479">
        <v>39965</v>
      </c>
      <c r="B80" s="459">
        <f>+'Purchased Power Model '!B80</f>
        <v>84198050.923076928</v>
      </c>
      <c r="C80" s="480">
        <f>+'Purchased Power Model '!C80</f>
        <v>57.9</v>
      </c>
      <c r="D80" s="480">
        <f>+'Purchased Power Model '!D80</f>
        <v>26.3</v>
      </c>
      <c r="E80" s="443">
        <f>+'Purchased Power Model '!E80</f>
        <v>8.8000000000000009E-2</v>
      </c>
      <c r="F80" s="17">
        <f>+'Purchased Power Model '!F80</f>
        <v>30</v>
      </c>
      <c r="G80" s="17">
        <f>+'Purchased Power Model '!G80</f>
        <v>0</v>
      </c>
      <c r="H80" s="481">
        <f t="shared" si="5"/>
        <v>88901434.138204738</v>
      </c>
      <c r="I80" s="106">
        <f t="shared" si="6"/>
        <v>4703383.2151278108</v>
      </c>
      <c r="J80" s="5">
        <f t="shared" si="7"/>
        <v>5.5860951216374438E-2</v>
      </c>
      <c r="K80"/>
      <c r="L80"/>
      <c r="M80"/>
      <c r="N80"/>
      <c r="T80" s="100"/>
      <c r="U80" s="100"/>
      <c r="V80" s="100"/>
      <c r="W80" s="100"/>
      <c r="X80" s="100"/>
      <c r="Y80" s="100"/>
      <c r="Z80" s="100"/>
      <c r="AA80" s="100"/>
      <c r="AB80" s="100"/>
    </row>
    <row r="81" spans="1:28" x14ac:dyDescent="0.2">
      <c r="A81" s="479">
        <v>39995</v>
      </c>
      <c r="B81" s="459">
        <f>+'Purchased Power Model '!B81</f>
        <v>87831701.059230775</v>
      </c>
      <c r="C81" s="480">
        <f>+'Purchased Power Model '!C81</f>
        <v>16.8</v>
      </c>
      <c r="D81" s="480">
        <f>+'Purchased Power Model '!D81</f>
        <v>25.6</v>
      </c>
      <c r="E81" s="443">
        <f>+'Purchased Power Model '!E81</f>
        <v>9.5000000000000001E-2</v>
      </c>
      <c r="F81" s="17">
        <f>+'Purchased Power Model '!F81</f>
        <v>31</v>
      </c>
      <c r="G81" s="17">
        <f>+'Purchased Power Model '!G81</f>
        <v>0</v>
      </c>
      <c r="H81" s="481">
        <f t="shared" si="5"/>
        <v>89393259.994600505</v>
      </c>
      <c r="I81" s="106">
        <f t="shared" si="6"/>
        <v>1561558.93536973</v>
      </c>
      <c r="J81" s="5">
        <f t="shared" si="7"/>
        <v>1.7778990006315221E-2</v>
      </c>
      <c r="K81"/>
      <c r="L81"/>
      <c r="M81"/>
      <c r="N81"/>
      <c r="T81" s="100"/>
      <c r="U81" s="100"/>
      <c r="V81" s="100"/>
      <c r="W81" s="100"/>
      <c r="X81" s="100"/>
      <c r="Y81" s="100"/>
      <c r="Z81" s="100"/>
      <c r="AA81" s="100"/>
      <c r="AB81" s="100"/>
    </row>
    <row r="82" spans="1:28" x14ac:dyDescent="0.2">
      <c r="A82" s="479">
        <v>40026</v>
      </c>
      <c r="B82" s="459">
        <f>+'Purchased Power Model '!B82</f>
        <v>97879755</v>
      </c>
      <c r="C82" s="480">
        <f>+'Purchased Power Model '!C82</f>
        <v>13.1</v>
      </c>
      <c r="D82" s="480">
        <f>+'Purchased Power Model '!D82</f>
        <v>77.7</v>
      </c>
      <c r="E82" s="443">
        <f>+'Purchased Power Model '!E82</f>
        <v>9.5000000000000001E-2</v>
      </c>
      <c r="F82" s="17">
        <f>+'Purchased Power Model '!F82</f>
        <v>31</v>
      </c>
      <c r="G82" s="17">
        <f>+'Purchased Power Model '!G82</f>
        <v>0</v>
      </c>
      <c r="H82" s="481">
        <f t="shared" si="5"/>
        <v>97237636.327235788</v>
      </c>
      <c r="I82" s="106">
        <f t="shared" si="6"/>
        <v>-642118.67276421189</v>
      </c>
      <c r="J82" s="5">
        <f t="shared" si="7"/>
        <v>-6.5602807522782613E-3</v>
      </c>
      <c r="K82"/>
      <c r="L82"/>
      <c r="M82"/>
      <c r="N82"/>
      <c r="T82" s="100"/>
      <c r="U82" s="100"/>
      <c r="V82" s="100"/>
      <c r="W82" s="100"/>
      <c r="X82" s="100"/>
      <c r="Y82" s="100"/>
      <c r="Z82" s="100"/>
      <c r="AA82" s="100"/>
      <c r="AB82" s="100"/>
    </row>
    <row r="83" spans="1:28" x14ac:dyDescent="0.2">
      <c r="A83" s="479">
        <v>40057</v>
      </c>
      <c r="B83" s="459">
        <f>+'Purchased Power Model '!B83</f>
        <v>83907661.687692314</v>
      </c>
      <c r="C83" s="480">
        <f>+'Purchased Power Model '!C83</f>
        <v>64.8</v>
      </c>
      <c r="D83" s="480">
        <f>+'Purchased Power Model '!D83</f>
        <v>9</v>
      </c>
      <c r="E83" s="443">
        <f>+'Purchased Power Model '!E83</f>
        <v>9.5000000000000001E-2</v>
      </c>
      <c r="F83" s="17">
        <f>+'Purchased Power Model '!F83</f>
        <v>30</v>
      </c>
      <c r="G83" s="17">
        <f>+'Purchased Power Model '!G83</f>
        <v>1</v>
      </c>
      <c r="H83" s="481">
        <f t="shared" si="5"/>
        <v>79226801.767542571</v>
      </c>
      <c r="I83" s="106">
        <f t="shared" si="6"/>
        <v>-4680859.9201497436</v>
      </c>
      <c r="J83" s="5">
        <f t="shared" si="7"/>
        <v>-5.5785846322021132E-2</v>
      </c>
      <c r="K83"/>
      <c r="L83"/>
      <c r="M83"/>
      <c r="N83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479">
        <v>40087</v>
      </c>
      <c r="B84" s="459">
        <f>+'Purchased Power Model '!B84</f>
        <v>88097164.336923078</v>
      </c>
      <c r="C84" s="480">
        <f>+'Purchased Power Model '!C84</f>
        <v>287.89999999999998</v>
      </c>
      <c r="D84" s="480">
        <f>+'Purchased Power Model '!D84</f>
        <v>0</v>
      </c>
      <c r="E84" s="443">
        <f>+'Purchased Power Model '!E84</f>
        <v>0.1</v>
      </c>
      <c r="F84" s="17">
        <f>+'Purchased Power Model '!F84</f>
        <v>31</v>
      </c>
      <c r="G84" s="17">
        <f>+'Purchased Power Model '!G84</f>
        <v>1</v>
      </c>
      <c r="H84" s="481">
        <f t="shared" si="5"/>
        <v>88748880.6706184</v>
      </c>
      <c r="I84" s="106">
        <f t="shared" si="6"/>
        <v>651716.33369532228</v>
      </c>
      <c r="J84" s="5">
        <f t="shared" si="7"/>
        <v>7.3976993311937562E-3</v>
      </c>
      <c r="K84"/>
      <c r="L84"/>
      <c r="M84"/>
      <c r="N84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479">
        <v>40118</v>
      </c>
      <c r="B85" s="459">
        <f>+'Purchased Power Model '!B85</f>
        <v>89873866.688461557</v>
      </c>
      <c r="C85" s="480">
        <f>+'Purchased Power Model '!C85</f>
        <v>347.4</v>
      </c>
      <c r="D85" s="480">
        <f>+'Purchased Power Model '!D85</f>
        <v>0</v>
      </c>
      <c r="E85" s="443">
        <f>+'Purchased Power Model '!E85</f>
        <v>0.1</v>
      </c>
      <c r="F85" s="17">
        <f>+'Purchased Power Model '!F85</f>
        <v>30</v>
      </c>
      <c r="G85" s="17">
        <f>+'Purchased Power Model '!G85</f>
        <v>1</v>
      </c>
      <c r="H85" s="481">
        <f t="shared" si="5"/>
        <v>88315861.335307747</v>
      </c>
      <c r="I85" s="106">
        <f t="shared" si="6"/>
        <v>-1558005.3531538099</v>
      </c>
      <c r="J85" s="5">
        <f t="shared" si="7"/>
        <v>-1.7335465920860778E-2</v>
      </c>
      <c r="K85"/>
      <c r="L85"/>
      <c r="M85"/>
      <c r="N85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479">
        <v>40148</v>
      </c>
      <c r="B86" s="459">
        <f>+'Purchased Power Model '!B86</f>
        <v>109709991.43076923</v>
      </c>
      <c r="C86" s="480">
        <f>+'Purchased Power Model '!C86</f>
        <v>619.1</v>
      </c>
      <c r="D86" s="480">
        <f>+'Purchased Power Model '!D86</f>
        <v>0</v>
      </c>
      <c r="E86" s="443">
        <f>+'Purchased Power Model '!E86</f>
        <v>0.1</v>
      </c>
      <c r="F86" s="17">
        <f>+'Purchased Power Model '!F86</f>
        <v>31</v>
      </c>
      <c r="G86" s="17">
        <f>+'Purchased Power Model '!G86</f>
        <v>0</v>
      </c>
      <c r="H86" s="481">
        <f t="shared" si="5"/>
        <v>108217574.64565037</v>
      </c>
      <c r="I86" s="106">
        <f t="shared" si="6"/>
        <v>-1492416.785118863</v>
      </c>
      <c r="J86" s="5">
        <f t="shared" si="7"/>
        <v>-1.3603289597015684E-2</v>
      </c>
      <c r="K86"/>
      <c r="L86"/>
      <c r="M86"/>
      <c r="N86"/>
      <c r="T86" s="109"/>
      <c r="U86" s="109"/>
      <c r="V86" s="109"/>
      <c r="W86" s="109"/>
      <c r="X86" s="109"/>
      <c r="Y86" s="109"/>
      <c r="Z86" s="109"/>
      <c r="AA86" s="109"/>
      <c r="AB86" s="109"/>
    </row>
    <row r="87" spans="1:28" x14ac:dyDescent="0.2">
      <c r="A87" s="479">
        <v>40179</v>
      </c>
      <c r="B87" s="459">
        <f>+'Purchased Power Model '!B87</f>
        <v>114148404.02769232</v>
      </c>
      <c r="C87" s="480">
        <f>+'Purchased Power Model '!C87</f>
        <v>699.9</v>
      </c>
      <c r="D87" s="480">
        <f>+'Purchased Power Model '!D87</f>
        <v>0</v>
      </c>
      <c r="E87" s="443">
        <f>+'Purchased Power Model '!E87</f>
        <v>0.10300000000000001</v>
      </c>
      <c r="F87" s="17">
        <f>+'Purchased Power Model '!F87</f>
        <v>31</v>
      </c>
      <c r="G87" s="17">
        <f>+'Purchased Power Model '!G87</f>
        <v>0</v>
      </c>
      <c r="H87" s="481">
        <f t="shared" si="5"/>
        <v>111089452.77661806</v>
      </c>
      <c r="I87" s="106">
        <f t="shared" si="6"/>
        <v>-3058951.2510742545</v>
      </c>
      <c r="J87" s="5">
        <f t="shared" si="7"/>
        <v>-2.6798020323894806E-2</v>
      </c>
      <c r="K87"/>
      <c r="L87"/>
      <c r="M87"/>
      <c r="N87"/>
      <c r="T87" s="108"/>
      <c r="U87" s="108"/>
      <c r="V87" s="108"/>
      <c r="W87" s="100"/>
      <c r="X87" s="100"/>
      <c r="Y87" s="100"/>
      <c r="Z87" s="100"/>
      <c r="AA87" s="100"/>
      <c r="AB87" s="100"/>
    </row>
    <row r="88" spans="1:28" x14ac:dyDescent="0.2">
      <c r="A88" s="479">
        <v>40210</v>
      </c>
      <c r="B88" s="459">
        <f>+'Purchased Power Model '!B88</f>
        <v>100280891.65769231</v>
      </c>
      <c r="C88" s="480">
        <f>+'Purchased Power Model '!C88</f>
        <v>583.79999999999995</v>
      </c>
      <c r="D88" s="480">
        <f>+'Purchased Power Model '!D88</f>
        <v>0</v>
      </c>
      <c r="E88" s="443">
        <f>+'Purchased Power Model '!E88</f>
        <v>0.10300000000000001</v>
      </c>
      <c r="F88" s="17">
        <f>+'Purchased Power Model '!F88</f>
        <v>28</v>
      </c>
      <c r="G88" s="17">
        <f>+'Purchased Power Model '!G88</f>
        <v>0</v>
      </c>
      <c r="H88" s="481">
        <f t="shared" si="5"/>
        <v>98474606.261008441</v>
      </c>
      <c r="I88" s="106">
        <f t="shared" si="6"/>
        <v>-1806285.3966838717</v>
      </c>
      <c r="J88" s="5">
        <f t="shared" si="7"/>
        <v>-1.8012259033850699E-2</v>
      </c>
      <c r="K88"/>
      <c r="L88"/>
      <c r="M88"/>
      <c r="N88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479">
        <v>40238</v>
      </c>
      <c r="B89" s="459">
        <f>+'Purchased Power Model '!B89</f>
        <v>95443611.384615391</v>
      </c>
      <c r="C89" s="480">
        <f>+'Purchased Power Model '!C89</f>
        <v>411</v>
      </c>
      <c r="D89" s="480">
        <f>+'Purchased Power Model '!D89</f>
        <v>0</v>
      </c>
      <c r="E89" s="443">
        <f>+'Purchased Power Model '!E89</f>
        <v>0.10300000000000001</v>
      </c>
      <c r="F89" s="17">
        <f>+'Purchased Power Model '!F89</f>
        <v>31</v>
      </c>
      <c r="G89" s="17">
        <f>+'Purchased Power Model '!G89</f>
        <v>1</v>
      </c>
      <c r="H89" s="481">
        <f t="shared" si="5"/>
        <v>93245530.878841221</v>
      </c>
      <c r="I89" s="106">
        <f t="shared" si="6"/>
        <v>-2198080.5057741702</v>
      </c>
      <c r="J89" s="5">
        <f t="shared" si="7"/>
        <v>-2.3030148104061367E-2</v>
      </c>
      <c r="K89"/>
      <c r="L89"/>
      <c r="M89"/>
      <c r="N89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479">
        <v>40269</v>
      </c>
      <c r="B90" s="459">
        <f>+'Purchased Power Model '!B90</f>
        <v>80941805.90538463</v>
      </c>
      <c r="C90" s="480">
        <f>+'Purchased Power Model '!C90</f>
        <v>244</v>
      </c>
      <c r="D90" s="480">
        <f>+'Purchased Power Model '!D90</f>
        <v>0</v>
      </c>
      <c r="E90" s="443">
        <f>+'Purchased Power Model '!E90</f>
        <v>9.9000000000000005E-2</v>
      </c>
      <c r="F90" s="17">
        <f>+'Purchased Power Model '!F90</f>
        <v>30</v>
      </c>
      <c r="G90" s="17">
        <f>+'Purchased Power Model '!G90</f>
        <v>1</v>
      </c>
      <c r="H90" s="481">
        <f t="shared" si="5"/>
        <v>84421431.394706786</v>
      </c>
      <c r="I90" s="106">
        <f t="shared" si="6"/>
        <v>3479625.4893221557</v>
      </c>
      <c r="J90" s="5">
        <f t="shared" si="7"/>
        <v>4.2989224794287358E-2</v>
      </c>
      <c r="K90"/>
      <c r="L90"/>
      <c r="M90"/>
      <c r="N9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479">
        <v>40299</v>
      </c>
      <c r="B91" s="459">
        <f>+'Purchased Power Model '!B91</f>
        <v>87418768.25846155</v>
      </c>
      <c r="C91" s="480">
        <f>+'Purchased Power Model '!C91</f>
        <v>121.7</v>
      </c>
      <c r="D91" s="480">
        <f>+'Purchased Power Model '!D91</f>
        <v>23.2</v>
      </c>
      <c r="E91" s="443">
        <f>+'Purchased Power Model '!E91</f>
        <v>9.9000000000000005E-2</v>
      </c>
      <c r="F91" s="17">
        <f>+'Purchased Power Model '!F91</f>
        <v>31</v>
      </c>
      <c r="G91" s="17">
        <f>+'Purchased Power Model '!G91</f>
        <v>1</v>
      </c>
      <c r="H91" s="481">
        <f t="shared" si="5"/>
        <v>85998626.246630341</v>
      </c>
      <c r="I91" s="106">
        <f t="shared" si="6"/>
        <v>-1420142.0118312091</v>
      </c>
      <c r="J91" s="5">
        <f t="shared" si="7"/>
        <v>-1.6245275930134705E-2</v>
      </c>
      <c r="K91"/>
      <c r="L91"/>
      <c r="M91"/>
      <c r="N91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479">
        <v>40330</v>
      </c>
      <c r="B92" s="459">
        <f>+'Purchased Power Model '!B92</f>
        <v>89087288.937692314</v>
      </c>
      <c r="C92" s="480">
        <f>+'Purchased Power Model '!C92</f>
        <v>19.399999999999999</v>
      </c>
      <c r="D92" s="480">
        <f>+'Purchased Power Model '!D92</f>
        <v>46.6</v>
      </c>
      <c r="E92" s="443">
        <f>+'Purchased Power Model '!E92</f>
        <v>9.9000000000000005E-2</v>
      </c>
      <c r="F92" s="17">
        <f>+'Purchased Power Model '!F92</f>
        <v>30</v>
      </c>
      <c r="G92" s="17">
        <f>+'Purchased Power Model '!G92</f>
        <v>0</v>
      </c>
      <c r="H92" s="481">
        <f t="shared" si="5"/>
        <v>89684857.014590412</v>
      </c>
      <c r="I92" s="106">
        <f t="shared" si="6"/>
        <v>597568.07689809799</v>
      </c>
      <c r="J92" s="5">
        <f t="shared" si="7"/>
        <v>6.7076693434462613E-3</v>
      </c>
      <c r="K92"/>
      <c r="L92"/>
      <c r="M92"/>
      <c r="N92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479">
        <v>40360</v>
      </c>
      <c r="B93" s="459">
        <f>+'Purchased Power Model '!B93</f>
        <v>107904059.08</v>
      </c>
      <c r="C93" s="480">
        <f>+'Purchased Power Model '!C93</f>
        <v>3.5</v>
      </c>
      <c r="D93" s="480">
        <f>+'Purchased Power Model '!D93</f>
        <v>124</v>
      </c>
      <c r="E93" s="443">
        <f>+'Purchased Power Model '!E93</f>
        <v>0.10099999999999999</v>
      </c>
      <c r="F93" s="17">
        <f>+'Purchased Power Model '!F93</f>
        <v>31</v>
      </c>
      <c r="G93" s="17">
        <f>+'Purchased Power Model '!G93</f>
        <v>0</v>
      </c>
      <c r="H93" s="481">
        <f t="shared" si="5"/>
        <v>103502887.10995485</v>
      </c>
      <c r="I93" s="106">
        <f t="shared" si="6"/>
        <v>-4401171.9700451493</v>
      </c>
      <c r="J93" s="5">
        <f t="shared" si="7"/>
        <v>-4.0787825847979672E-2</v>
      </c>
      <c r="K93"/>
      <c r="L93"/>
      <c r="M93"/>
      <c r="N93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479">
        <v>40391</v>
      </c>
      <c r="B94" s="459">
        <f>+'Purchased Power Model '!B94</f>
        <v>102274426.19461538</v>
      </c>
      <c r="C94" s="480">
        <f>+'Purchased Power Model '!C94</f>
        <v>3.2</v>
      </c>
      <c r="D94" s="480">
        <f>+'Purchased Power Model '!D94</f>
        <v>96.8</v>
      </c>
      <c r="E94" s="443">
        <f>+'Purchased Power Model '!E94</f>
        <v>0.10099999999999999</v>
      </c>
      <c r="F94" s="17">
        <f>+'Purchased Power Model '!F94</f>
        <v>31</v>
      </c>
      <c r="G94" s="17">
        <f>+'Purchased Power Model '!G94</f>
        <v>0</v>
      </c>
      <c r="H94" s="481">
        <f t="shared" si="5"/>
        <v>99321830.548106015</v>
      </c>
      <c r="I94" s="106">
        <f t="shared" si="6"/>
        <v>-2952595.6465093642</v>
      </c>
      <c r="J94" s="5">
        <f t="shared" si="7"/>
        <v>-2.8869344530869777E-2</v>
      </c>
      <c r="K94"/>
      <c r="L94"/>
      <c r="M94"/>
      <c r="N94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479">
        <v>40422</v>
      </c>
      <c r="B95" s="459">
        <f>+'Purchased Power Model '!B95</f>
        <v>83491002.500769228</v>
      </c>
      <c r="C95" s="480">
        <f>+'Purchased Power Model '!C95</f>
        <v>85.5</v>
      </c>
      <c r="D95" s="480">
        <f>+'Purchased Power Model '!D95</f>
        <v>18.5</v>
      </c>
      <c r="E95" s="443">
        <f>+'Purchased Power Model '!E95</f>
        <v>0.10099999999999999</v>
      </c>
      <c r="F95" s="17">
        <f>+'Purchased Power Model '!F95</f>
        <v>30</v>
      </c>
      <c r="G95" s="17">
        <f>+'Purchased Power Model '!G95</f>
        <v>1</v>
      </c>
      <c r="H95" s="481">
        <f t="shared" si="5"/>
        <v>81014763.015154481</v>
      </c>
      <c r="I95" s="106">
        <f t="shared" si="6"/>
        <v>-2476239.4856147468</v>
      </c>
      <c r="J95" s="5">
        <f t="shared" si="7"/>
        <v>-2.9658758566133307E-2</v>
      </c>
      <c r="K95"/>
      <c r="L95"/>
      <c r="M95"/>
      <c r="N95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479">
        <v>40452</v>
      </c>
      <c r="B96" s="459">
        <f>+'Purchased Power Model '!B96</f>
        <v>84900189.230769232</v>
      </c>
      <c r="C96" s="480">
        <f>+'Purchased Power Model '!C96</f>
        <v>247.8</v>
      </c>
      <c r="D96" s="480">
        <f>+'Purchased Power Model '!D96</f>
        <v>0</v>
      </c>
      <c r="E96" s="443">
        <f>+'Purchased Power Model '!E96</f>
        <v>9.3000000000000013E-2</v>
      </c>
      <c r="F96" s="17">
        <f>+'Purchased Power Model '!F96</f>
        <v>31</v>
      </c>
      <c r="G96" s="17">
        <f>+'Purchased Power Model '!G96</f>
        <v>1</v>
      </c>
      <c r="H96" s="481">
        <f t="shared" si="5"/>
        <v>87749258.065592259</v>
      </c>
      <c r="I96" s="106">
        <f t="shared" si="6"/>
        <v>2849068.8348230273</v>
      </c>
      <c r="J96" s="5">
        <f t="shared" si="7"/>
        <v>3.3557862009929156E-2</v>
      </c>
      <c r="K96"/>
      <c r="L96"/>
      <c r="M96"/>
      <c r="N96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479">
        <v>40483</v>
      </c>
      <c r="B97" s="459">
        <f>+'Purchased Power Model '!B97</f>
        <v>91736751.63692309</v>
      </c>
      <c r="C97" s="480">
        <f>+'Purchased Power Model '!C97</f>
        <v>389.2</v>
      </c>
      <c r="D97" s="480">
        <f>+'Purchased Power Model '!D97</f>
        <v>0</v>
      </c>
      <c r="E97" s="443">
        <f>+'Purchased Power Model '!E97</f>
        <v>9.3000000000000013E-2</v>
      </c>
      <c r="F97" s="17">
        <f>+'Purchased Power Model '!F97</f>
        <v>30</v>
      </c>
      <c r="G97" s="17">
        <f>+'Purchased Power Model '!G97</f>
        <v>1</v>
      </c>
      <c r="H97" s="481">
        <f t="shared" si="5"/>
        <v>90462074.028796867</v>
      </c>
      <c r="I97" s="106">
        <f t="shared" si="6"/>
        <v>-1274677.6081262231</v>
      </c>
      <c r="J97" s="5">
        <f t="shared" si="7"/>
        <v>-1.3894950337582899E-2</v>
      </c>
      <c r="K97"/>
      <c r="L97"/>
      <c r="M97"/>
      <c r="N97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479">
        <v>40513</v>
      </c>
      <c r="B98" s="459">
        <f>+'Purchased Power Model '!B98</f>
        <v>110862133</v>
      </c>
      <c r="C98" s="480">
        <f>+'Purchased Power Model '!C98</f>
        <v>628.70000000000005</v>
      </c>
      <c r="D98" s="480">
        <f>+'Purchased Power Model '!D98</f>
        <v>0</v>
      </c>
      <c r="E98" s="443">
        <f>+'Purchased Power Model '!E98</f>
        <v>9.3000000000000013E-2</v>
      </c>
      <c r="F98" s="17">
        <f>+'Purchased Power Model '!F98</f>
        <v>31</v>
      </c>
      <c r="G98" s="17">
        <f>+'Purchased Power Model '!G98</f>
        <v>0</v>
      </c>
      <c r="H98" s="481">
        <f t="shared" si="5"/>
        <v>109126963.2046805</v>
      </c>
      <c r="I98" s="106">
        <f t="shared" si="6"/>
        <v>-1735169.7953194976</v>
      </c>
      <c r="J98" s="5">
        <f t="shared" si="7"/>
        <v>-1.5651600310806736E-2</v>
      </c>
      <c r="K98"/>
      <c r="L98"/>
      <c r="M98"/>
      <c r="N98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479">
        <v>40544</v>
      </c>
      <c r="B99" s="459">
        <f>+'Purchased Power Model '!B99</f>
        <v>113644387.32076925</v>
      </c>
      <c r="C99" s="480">
        <f>+'Purchased Power Model '!C99</f>
        <v>760.9</v>
      </c>
      <c r="D99" s="480">
        <f>+'Purchased Power Model '!D99</f>
        <v>0</v>
      </c>
      <c r="E99" s="443">
        <f>+'Purchased Power Model '!E99</f>
        <v>8.8000000000000009E-2</v>
      </c>
      <c r="F99" s="17">
        <f>+'Purchased Power Model '!F99</f>
        <v>31</v>
      </c>
      <c r="G99" s="17">
        <f>+'Purchased Power Model '!G99</f>
        <v>0</v>
      </c>
      <c r="H99" s="481">
        <f t="shared" si="5"/>
        <v>114591031.7653645</v>
      </c>
      <c r="I99" s="106">
        <f t="shared" si="6"/>
        <v>946644.44459524751</v>
      </c>
      <c r="J99" s="5">
        <f t="shared" si="7"/>
        <v>8.3298829525410446E-3</v>
      </c>
      <c r="K99"/>
      <c r="L99"/>
      <c r="M99"/>
      <c r="N99"/>
      <c r="T99" s="108"/>
      <c r="U99" s="108"/>
      <c r="V99" s="108"/>
      <c r="W99" s="100"/>
      <c r="X99" s="100"/>
      <c r="Y99" s="100"/>
      <c r="Z99" s="100"/>
      <c r="AA99" s="100"/>
      <c r="AB99" s="100"/>
    </row>
    <row r="100" spans="1:28" x14ac:dyDescent="0.2">
      <c r="A100" s="479">
        <v>40575</v>
      </c>
      <c r="B100" s="459">
        <f>+'Purchased Power Model '!B100</f>
        <v>100561048.38461539</v>
      </c>
      <c r="C100" s="480">
        <f>+'Purchased Power Model '!C100</f>
        <v>634.19999999999993</v>
      </c>
      <c r="D100" s="480">
        <f>+'Purchased Power Model '!D100</f>
        <v>0</v>
      </c>
      <c r="E100" s="443">
        <f>+'Purchased Power Model '!E100</f>
        <v>8.8000000000000009E-2</v>
      </c>
      <c r="F100" s="17">
        <f>+'Purchased Power Model '!F100</f>
        <v>28</v>
      </c>
      <c r="G100" s="17">
        <f>+'Purchased Power Model '!G100</f>
        <v>0</v>
      </c>
      <c r="H100" s="481">
        <f t="shared" si="5"/>
        <v>101569031.96325594</v>
      </c>
      <c r="I100" s="106">
        <f t="shared" si="6"/>
        <v>1007983.5786405504</v>
      </c>
      <c r="J100" s="5">
        <f t="shared" si="7"/>
        <v>1.0023598548667871E-2</v>
      </c>
      <c r="K100"/>
      <c r="L100"/>
      <c r="M100"/>
      <c r="N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479">
        <v>40603</v>
      </c>
      <c r="B101" s="459">
        <f>+'Purchased Power Model '!B101</f>
        <v>102613396.81846155</v>
      </c>
      <c r="C101" s="480">
        <f>+'Purchased Power Model '!C101</f>
        <v>559.80000000000007</v>
      </c>
      <c r="D101" s="480">
        <f>+'Purchased Power Model '!D101</f>
        <v>0</v>
      </c>
      <c r="E101" s="443">
        <f>+'Purchased Power Model '!E101</f>
        <v>8.8000000000000009E-2</v>
      </c>
      <c r="F101" s="17">
        <f>+'Purchased Power Model '!F101</f>
        <v>31</v>
      </c>
      <c r="G101" s="17">
        <f>+'Purchased Power Model '!G101</f>
        <v>1</v>
      </c>
      <c r="H101" s="481">
        <f t="shared" si="5"/>
        <v>100119568.22179574</v>
      </c>
      <c r="I101" s="106">
        <f t="shared" si="6"/>
        <v>-2493828.5966658145</v>
      </c>
      <c r="J101" s="5">
        <f t="shared" si="7"/>
        <v>-2.4303148263162658E-2</v>
      </c>
      <c r="K101"/>
      <c r="L101"/>
      <c r="M101"/>
      <c r="N101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479">
        <v>40634</v>
      </c>
      <c r="B102" s="459">
        <f>+'Purchased Power Model '!B102</f>
        <v>87015565.163076922</v>
      </c>
      <c r="C102" s="480">
        <f>+'Purchased Power Model '!C102</f>
        <v>350.79999999999995</v>
      </c>
      <c r="D102" s="480">
        <f>+'Purchased Power Model '!D102</f>
        <v>0</v>
      </c>
      <c r="E102" s="443">
        <f>+'Purchased Power Model '!E102</f>
        <v>9.0999999999999998E-2</v>
      </c>
      <c r="F102" s="17">
        <f>+'Purchased Power Model '!F102</f>
        <v>30</v>
      </c>
      <c r="G102" s="17">
        <f>+'Purchased Power Model '!G102</f>
        <v>1</v>
      </c>
      <c r="H102" s="481">
        <f t="shared" si="5"/>
        <v>89141573.906691045</v>
      </c>
      <c r="I102" s="106">
        <f t="shared" si="6"/>
        <v>2126008.7436141223</v>
      </c>
      <c r="J102" s="5">
        <f t="shared" si="7"/>
        <v>2.443251089192771E-2</v>
      </c>
      <c r="K102"/>
      <c r="L102"/>
      <c r="M102"/>
      <c r="N102"/>
      <c r="T102" s="100"/>
      <c r="U102" s="100"/>
      <c r="V102" s="100"/>
      <c r="W102" s="100"/>
      <c r="X102" s="100"/>
      <c r="Y102" s="100"/>
      <c r="Z102" s="100"/>
      <c r="AA102" s="100"/>
      <c r="AB102" s="100"/>
    </row>
    <row r="103" spans="1:28" x14ac:dyDescent="0.2">
      <c r="A103" s="479">
        <v>40664</v>
      </c>
      <c r="B103" s="459">
        <f>+'Purchased Power Model '!B103</f>
        <v>82921009.75</v>
      </c>
      <c r="C103" s="480">
        <f>+'Purchased Power Model '!C103</f>
        <v>157.69999999999996</v>
      </c>
      <c r="D103" s="480">
        <f>+'Purchased Power Model '!D103</f>
        <v>2.8</v>
      </c>
      <c r="E103" s="443">
        <f>+'Purchased Power Model '!E103</f>
        <v>9.0999999999999998E-2</v>
      </c>
      <c r="F103" s="17">
        <f>+'Purchased Power Model '!F103</f>
        <v>31</v>
      </c>
      <c r="G103" s="17">
        <f>+'Purchased Power Model '!G103</f>
        <v>1</v>
      </c>
      <c r="H103" s="481">
        <f t="shared" si="5"/>
        <v>84872142.073580667</v>
      </c>
      <c r="I103" s="106">
        <f t="shared" si="6"/>
        <v>1951132.3235806674</v>
      </c>
      <c r="J103" s="5">
        <f t="shared" si="7"/>
        <v>2.3530011627489467E-2</v>
      </c>
      <c r="K103"/>
      <c r="L103"/>
      <c r="M103"/>
      <c r="N103"/>
      <c r="T103" s="100"/>
      <c r="U103" s="100"/>
      <c r="V103" s="100"/>
      <c r="W103" s="100"/>
      <c r="X103" s="100"/>
      <c r="Y103" s="100"/>
      <c r="Z103" s="100"/>
      <c r="AA103" s="100"/>
      <c r="AB103" s="100"/>
    </row>
    <row r="104" spans="1:28" x14ac:dyDescent="0.2">
      <c r="A104" s="479">
        <v>40695</v>
      </c>
      <c r="B104" s="459">
        <f>+'Purchased Power Model '!B104</f>
        <v>88149132.009230778</v>
      </c>
      <c r="C104" s="480">
        <f>+'Purchased Power Model '!C104</f>
        <v>26.699999999999996</v>
      </c>
      <c r="D104" s="480">
        <f>+'Purchased Power Model '!D104</f>
        <v>36.900000000000006</v>
      </c>
      <c r="E104" s="443">
        <f>+'Purchased Power Model '!E104</f>
        <v>9.0999999999999998E-2</v>
      </c>
      <c r="F104" s="17">
        <f>+'Purchased Power Model '!F104</f>
        <v>30</v>
      </c>
      <c r="G104" s="17">
        <f>+'Purchased Power Model '!G104</f>
        <v>0</v>
      </c>
      <c r="H104" s="481">
        <f t="shared" si="5"/>
        <v>89096206.95510453</v>
      </c>
      <c r="I104" s="106">
        <f t="shared" si="6"/>
        <v>947074.94587375224</v>
      </c>
      <c r="J104" s="5">
        <f t="shared" si="7"/>
        <v>1.0744007618527392E-2</v>
      </c>
      <c r="K104"/>
      <c r="L104"/>
      <c r="M104"/>
      <c r="N104"/>
      <c r="T104" s="100"/>
      <c r="U104" s="100"/>
      <c r="V104" s="100"/>
      <c r="W104" s="100"/>
      <c r="X104" s="100"/>
      <c r="Y104" s="100"/>
      <c r="Z104" s="100"/>
      <c r="AA104" s="100"/>
      <c r="AB104" s="100"/>
    </row>
    <row r="105" spans="1:28" x14ac:dyDescent="0.2">
      <c r="A105" s="479">
        <v>40725</v>
      </c>
      <c r="B105" s="459">
        <f>+'Purchased Power Model '!B105</f>
        <v>108927664.71923079</v>
      </c>
      <c r="C105" s="480">
        <f>+'Purchased Power Model '!C105</f>
        <v>0.2</v>
      </c>
      <c r="D105" s="480">
        <f>+'Purchased Power Model '!D105</f>
        <v>141.19999999999999</v>
      </c>
      <c r="E105" s="443">
        <f>+'Purchased Power Model '!E105</f>
        <v>7.2999999999999995E-2</v>
      </c>
      <c r="F105" s="17">
        <f>+'Purchased Power Model '!F105</f>
        <v>31</v>
      </c>
      <c r="G105" s="17">
        <f>+'Purchased Power Model '!G105</f>
        <v>0</v>
      </c>
      <c r="H105" s="481">
        <f t="shared" si="5"/>
        <v>108175332.36202779</v>
      </c>
      <c r="I105" s="106">
        <f t="shared" si="6"/>
        <v>-752332.35720299184</v>
      </c>
      <c r="J105" s="5">
        <f t="shared" si="7"/>
        <v>-6.9067151962009365E-3</v>
      </c>
      <c r="K105"/>
      <c r="L105"/>
      <c r="M105"/>
      <c r="N105"/>
      <c r="T105" s="100"/>
      <c r="U105" s="100"/>
      <c r="V105" s="100"/>
      <c r="W105" s="100"/>
      <c r="X105" s="100"/>
      <c r="Y105" s="100"/>
      <c r="Z105" s="100"/>
      <c r="AA105" s="100"/>
      <c r="AB105" s="100"/>
    </row>
    <row r="106" spans="1:28" x14ac:dyDescent="0.2">
      <c r="A106" s="479">
        <v>40756</v>
      </c>
      <c r="B106" s="459">
        <f>+'Purchased Power Model '!B106</f>
        <v>100307973.92692308</v>
      </c>
      <c r="C106" s="480">
        <f>+'Purchased Power Model '!C106</f>
        <v>3.7</v>
      </c>
      <c r="D106" s="480">
        <f>+'Purchased Power Model '!D106</f>
        <v>80.499999999999957</v>
      </c>
      <c r="E106" s="443">
        <f>+'Purchased Power Model '!E106</f>
        <v>7.2999999999999995E-2</v>
      </c>
      <c r="F106" s="17">
        <f>+'Purchased Power Model '!F106</f>
        <v>31</v>
      </c>
      <c r="G106" s="17">
        <f>+'Purchased Power Model '!G106</f>
        <v>0</v>
      </c>
      <c r="H106" s="481">
        <f t="shared" si="5"/>
        <v>99004965.551529273</v>
      </c>
      <c r="I106" s="106">
        <f t="shared" si="6"/>
        <v>-1303008.3753938079</v>
      </c>
      <c r="J106" s="5">
        <f t="shared" si="7"/>
        <v>-1.2990077701530316E-2</v>
      </c>
      <c r="K106"/>
      <c r="L106"/>
      <c r="M106"/>
      <c r="N106"/>
      <c r="T106" s="100"/>
      <c r="U106" s="100"/>
      <c r="V106" s="100"/>
      <c r="W106" s="100"/>
      <c r="X106" s="100"/>
      <c r="Y106" s="100"/>
      <c r="Z106" s="100"/>
      <c r="AA106" s="100"/>
      <c r="AB106" s="100"/>
    </row>
    <row r="107" spans="1:28" x14ac:dyDescent="0.2">
      <c r="A107" s="479">
        <v>40787</v>
      </c>
      <c r="B107" s="459">
        <f>+'Purchased Power Model '!B107</f>
        <v>85805170.040769234</v>
      </c>
      <c r="C107" s="480">
        <f>+'Purchased Power Model '!C107</f>
        <v>48.900000000000006</v>
      </c>
      <c r="D107" s="480">
        <f>+'Purchased Power Model '!D107</f>
        <v>34.6</v>
      </c>
      <c r="E107" s="443">
        <f>+'Purchased Power Model '!E107</f>
        <v>7.2999999999999995E-2</v>
      </c>
      <c r="F107" s="17">
        <f>+'Purchased Power Model '!F107</f>
        <v>30</v>
      </c>
      <c r="G107" s="17">
        <f>+'Purchased Power Model '!G107</f>
        <v>1</v>
      </c>
      <c r="H107" s="481">
        <f t="shared" si="5"/>
        <v>84239511.542387396</v>
      </c>
      <c r="I107" s="106">
        <f t="shared" si="6"/>
        <v>-1565658.4983818382</v>
      </c>
      <c r="J107" s="5">
        <f t="shared" si="7"/>
        <v>-1.8246668558991673E-2</v>
      </c>
      <c r="K107"/>
      <c r="L107"/>
      <c r="M107"/>
      <c r="N107"/>
      <c r="T107" s="100"/>
      <c r="U107" s="100"/>
      <c r="V107" s="100"/>
      <c r="W107" s="100"/>
      <c r="X107" s="100"/>
      <c r="Y107" s="100"/>
      <c r="Z107" s="100"/>
      <c r="AA107" s="100"/>
      <c r="AB107" s="100"/>
    </row>
    <row r="108" spans="1:28" x14ac:dyDescent="0.2">
      <c r="A108" s="479">
        <v>40817</v>
      </c>
      <c r="B108" s="459">
        <f>+'Purchased Power Model '!B108</f>
        <v>85767949.723076925</v>
      </c>
      <c r="C108" s="480">
        <f>+'Purchased Power Model '!C108</f>
        <v>225.29999999999998</v>
      </c>
      <c r="D108" s="480">
        <f>+'Purchased Power Model '!D108</f>
        <v>0</v>
      </c>
      <c r="E108" s="443">
        <f>+'Purchased Power Model '!E108</f>
        <v>7.400000000000001E-2</v>
      </c>
      <c r="F108" s="17">
        <f>+'Purchased Power Model '!F108</f>
        <v>31</v>
      </c>
      <c r="G108" s="17">
        <f>+'Purchased Power Model '!G108</f>
        <v>1</v>
      </c>
      <c r="H108" s="481">
        <f t="shared" si="5"/>
        <v>88352485.204509825</v>
      </c>
      <c r="I108" s="106">
        <f t="shared" si="6"/>
        <v>2584535.4814328998</v>
      </c>
      <c r="J108" s="5">
        <f t="shared" si="7"/>
        <v>3.013404762242438E-2</v>
      </c>
      <c r="K108"/>
      <c r="L108"/>
      <c r="M108"/>
      <c r="N108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479">
        <v>40848</v>
      </c>
      <c r="B109" s="459">
        <f>+'Purchased Power Model '!B109</f>
        <v>89407468.154615387</v>
      </c>
      <c r="C109" s="480">
        <f>+'Purchased Power Model '!C109</f>
        <v>349.69999999999993</v>
      </c>
      <c r="D109" s="480">
        <f>+'Purchased Power Model '!D109</f>
        <v>0</v>
      </c>
      <c r="E109" s="443">
        <f>+'Purchased Power Model '!E109</f>
        <v>7.400000000000001E-2</v>
      </c>
      <c r="F109" s="17">
        <f>+'Purchased Power Model '!F109</f>
        <v>30</v>
      </c>
      <c r="G109" s="17">
        <f>+'Purchased Power Model '!G109</f>
        <v>1</v>
      </c>
      <c r="H109" s="481">
        <f t="shared" si="5"/>
        <v>90412319.481819928</v>
      </c>
      <c r="I109" s="106">
        <f t="shared" si="6"/>
        <v>1004851.3272045404</v>
      </c>
      <c r="J109" s="5">
        <f t="shared" si="7"/>
        <v>1.1239008865196996E-2</v>
      </c>
      <c r="K109"/>
      <c r="L109"/>
      <c r="M109"/>
      <c r="N109"/>
      <c r="T109" s="100"/>
      <c r="U109" s="100"/>
      <c r="V109" s="100"/>
      <c r="W109" s="100"/>
      <c r="X109" s="100"/>
      <c r="Y109" s="100"/>
      <c r="Z109" s="100"/>
      <c r="AA109" s="100"/>
      <c r="AB109" s="100"/>
    </row>
    <row r="110" spans="1:28" x14ac:dyDescent="0.2">
      <c r="A110" s="479">
        <v>40878</v>
      </c>
      <c r="B110" s="459">
        <f>+'Purchased Power Model '!B110</f>
        <v>103511621.38461539</v>
      </c>
      <c r="C110" s="480">
        <f>+'Purchased Power Model '!C110</f>
        <v>531.20000000000005</v>
      </c>
      <c r="D110" s="480">
        <f>+'Purchased Power Model '!D110</f>
        <v>0</v>
      </c>
      <c r="E110" s="443">
        <f>+'Purchased Power Model '!E110</f>
        <v>7.400000000000001E-2</v>
      </c>
      <c r="F110" s="17">
        <f>+'Purchased Power Model '!F110</f>
        <v>31</v>
      </c>
      <c r="G110" s="17">
        <f>+'Purchased Power Model '!G110</f>
        <v>0</v>
      </c>
      <c r="H110" s="481">
        <f t="shared" si="5"/>
        <v>106849388.78818117</v>
      </c>
      <c r="I110" s="106">
        <f t="shared" si="6"/>
        <v>3337767.4035657793</v>
      </c>
      <c r="J110" s="5">
        <f t="shared" si="7"/>
        <v>3.2245339788116403E-2</v>
      </c>
      <c r="K110"/>
      <c r="L110"/>
      <c r="M110"/>
      <c r="N110"/>
      <c r="T110" s="100"/>
      <c r="U110" s="100"/>
      <c r="V110" s="100"/>
      <c r="W110" s="100"/>
      <c r="X110" s="100"/>
      <c r="Y110" s="100"/>
      <c r="Z110" s="100"/>
      <c r="AA110" s="100"/>
      <c r="AB110" s="100"/>
    </row>
    <row r="111" spans="1:28" x14ac:dyDescent="0.2">
      <c r="A111" s="479">
        <v>40909</v>
      </c>
      <c r="B111" s="459">
        <f>+'Purchased Power Model '!B111</f>
        <v>107982172.33461541</v>
      </c>
      <c r="C111" s="480">
        <f>+'Purchased Power Model '!C111</f>
        <v>611</v>
      </c>
      <c r="D111" s="480">
        <f>+'Purchased Power Model '!D111</f>
        <v>0</v>
      </c>
      <c r="E111" s="443">
        <f>+'Purchased Power Model '!E111</f>
        <v>7.9000000000000001E-2</v>
      </c>
      <c r="F111" s="17">
        <f>+'Purchased Power Model '!F111</f>
        <v>31</v>
      </c>
      <c r="G111" s="17">
        <f>+'Purchased Power Model '!G111</f>
        <v>0</v>
      </c>
      <c r="H111" s="481">
        <f t="shared" si="5"/>
        <v>109528385.95747565</v>
      </c>
      <c r="I111" s="106">
        <f t="shared" si="6"/>
        <v>1546213.622860238</v>
      </c>
      <c r="J111" s="5">
        <f t="shared" si="7"/>
        <v>1.431915648139424E-2</v>
      </c>
      <c r="K111"/>
      <c r="L111"/>
      <c r="M111"/>
      <c r="N111"/>
      <c r="T111" s="108"/>
      <c r="U111" s="108"/>
      <c r="V111" s="108"/>
      <c r="W111" s="100"/>
      <c r="X111" s="100"/>
      <c r="Y111" s="100"/>
      <c r="Z111" s="100"/>
      <c r="AA111" s="100"/>
      <c r="AB111" s="100"/>
    </row>
    <row r="112" spans="1:28" x14ac:dyDescent="0.2">
      <c r="A112" s="479">
        <v>40940</v>
      </c>
      <c r="B112" s="459">
        <f>+'Purchased Power Model '!B112</f>
        <v>97310518.529230773</v>
      </c>
      <c r="C112" s="480">
        <f>+'Purchased Power Model '!C112</f>
        <v>536.20000000000005</v>
      </c>
      <c r="D112" s="480">
        <f>+'Purchased Power Model '!D112</f>
        <v>0</v>
      </c>
      <c r="E112" s="443">
        <f>+'Purchased Power Model '!E112</f>
        <v>7.9000000000000001E-2</v>
      </c>
      <c r="F112" s="17">
        <f>+'Purchased Power Model '!F112</f>
        <v>29</v>
      </c>
      <c r="G112" s="17">
        <f>+'Purchased Power Model '!G112</f>
        <v>0</v>
      </c>
      <c r="H112" s="481">
        <f t="shared" si="5"/>
        <v>101218356.06765701</v>
      </c>
      <c r="I112" s="106">
        <f t="shared" si="6"/>
        <v>3907837.5384262353</v>
      </c>
      <c r="J112" s="5">
        <f t="shared" si="7"/>
        <v>4.0158428888161492E-2</v>
      </c>
      <c r="K112"/>
      <c r="L112"/>
      <c r="M112"/>
      <c r="N112"/>
      <c r="T112" s="100"/>
      <c r="U112" s="100"/>
      <c r="V112" s="100"/>
      <c r="W112" s="100"/>
      <c r="X112" s="100"/>
      <c r="Y112" s="100"/>
      <c r="Z112" s="100"/>
      <c r="AA112" s="100"/>
      <c r="AB112" s="100"/>
    </row>
    <row r="113" spans="1:28" x14ac:dyDescent="0.2">
      <c r="A113" s="479">
        <v>40969</v>
      </c>
      <c r="B113" s="459">
        <f>+'Purchased Power Model '!B113</f>
        <v>92940593.720769227</v>
      </c>
      <c r="C113" s="480">
        <f>+'Purchased Power Model '!C113</f>
        <v>399.39999999999992</v>
      </c>
      <c r="D113" s="480">
        <f>+'Purchased Power Model '!D113</f>
        <v>0</v>
      </c>
      <c r="E113" s="443">
        <f>+'Purchased Power Model '!E113</f>
        <v>7.9000000000000001E-2</v>
      </c>
      <c r="F113" s="17">
        <f>+'Purchased Power Model '!F113</f>
        <v>31</v>
      </c>
      <c r="G113" s="17">
        <f>+'Purchased Power Model '!G113</f>
        <v>1</v>
      </c>
      <c r="H113" s="481">
        <f t="shared" si="5"/>
        <v>94653610.1961485</v>
      </c>
      <c r="I113" s="106">
        <f t="shared" si="6"/>
        <v>1713016.4753792733</v>
      </c>
      <c r="J113" s="5">
        <f t="shared" si="7"/>
        <v>1.8431305490966207E-2</v>
      </c>
      <c r="K113"/>
      <c r="L113"/>
      <c r="M113"/>
      <c r="N113"/>
      <c r="T113" s="100"/>
      <c r="U113" s="100"/>
      <c r="V113" s="100"/>
      <c r="W113" s="100"/>
      <c r="X113" s="100"/>
      <c r="Y113" s="100"/>
      <c r="Z113" s="100"/>
      <c r="AA113" s="100"/>
      <c r="AB113" s="100"/>
    </row>
    <row r="114" spans="1:28" x14ac:dyDescent="0.2">
      <c r="A114" s="479">
        <v>41000</v>
      </c>
      <c r="B114" s="459">
        <f>+'Purchased Power Model '!B114</f>
        <v>84061512.170000002</v>
      </c>
      <c r="C114" s="480">
        <f>+'Purchased Power Model '!C114</f>
        <v>336.89999999999992</v>
      </c>
      <c r="D114" s="480">
        <f>+'Purchased Power Model '!D114</f>
        <v>0</v>
      </c>
      <c r="E114" s="443">
        <f>+'Purchased Power Model '!E114</f>
        <v>8.4000000000000005E-2</v>
      </c>
      <c r="F114" s="17">
        <f>+'Purchased Power Model '!F114</f>
        <v>30</v>
      </c>
      <c r="G114" s="17">
        <f>+'Purchased Power Model '!G114</f>
        <v>1</v>
      </c>
      <c r="H114" s="481">
        <f t="shared" si="5"/>
        <v>89148311.311690539</v>
      </c>
      <c r="I114" s="106">
        <f t="shared" si="6"/>
        <v>5086799.1416905373</v>
      </c>
      <c r="J114" s="5">
        <f t="shared" si="7"/>
        <v>6.0512819843204314E-2</v>
      </c>
      <c r="K114"/>
      <c r="L114"/>
      <c r="M114"/>
      <c r="N114"/>
      <c r="T114" s="100"/>
      <c r="U114" s="100"/>
      <c r="V114" s="100"/>
      <c r="W114" s="100"/>
      <c r="X114" s="100"/>
      <c r="Y114" s="100"/>
      <c r="Z114" s="100"/>
      <c r="AA114" s="100"/>
      <c r="AB114" s="100"/>
    </row>
    <row r="115" spans="1:28" x14ac:dyDescent="0.2">
      <c r="A115" s="479">
        <v>41030</v>
      </c>
      <c r="B115" s="459">
        <f>+'Purchased Power Model '!B115</f>
        <v>84298340.921818167</v>
      </c>
      <c r="C115" s="480">
        <f>+'Purchased Power Model '!C115</f>
        <v>109.30000000000001</v>
      </c>
      <c r="D115" s="480">
        <f>+'Purchased Power Model '!D115</f>
        <v>21.8</v>
      </c>
      <c r="E115" s="443">
        <f>+'Purchased Power Model '!E115</f>
        <v>8.4000000000000005E-2</v>
      </c>
      <c r="F115" s="17">
        <f>+'Purchased Power Model '!F115</f>
        <v>31</v>
      </c>
      <c r="G115" s="17">
        <f>+'Purchased Power Model '!G115</f>
        <v>1</v>
      </c>
      <c r="H115" s="481">
        <f t="shared" si="5"/>
        <v>86466252.445327953</v>
      </c>
      <c r="I115" s="106">
        <f t="shared" si="6"/>
        <v>2167911.5235097855</v>
      </c>
      <c r="J115" s="5">
        <f t="shared" si="7"/>
        <v>2.571713155684046E-2</v>
      </c>
      <c r="K115"/>
      <c r="L115"/>
      <c r="M115"/>
      <c r="N115"/>
      <c r="T115" s="100"/>
      <c r="U115" s="100"/>
      <c r="V115" s="100"/>
      <c r="W115" s="100"/>
      <c r="X115" s="100"/>
      <c r="Y115" s="100"/>
      <c r="Z115" s="100"/>
      <c r="AA115" s="100"/>
      <c r="AB115" s="100"/>
    </row>
    <row r="116" spans="1:28" x14ac:dyDescent="0.2">
      <c r="A116" s="479">
        <v>41061</v>
      </c>
      <c r="B116" s="459">
        <f>+'Purchased Power Model '!B116</f>
        <v>93187121.853636354</v>
      </c>
      <c r="C116" s="480">
        <f>+'Purchased Power Model '!C116</f>
        <v>28.2</v>
      </c>
      <c r="D116" s="480">
        <f>+'Purchased Power Model '!D116</f>
        <v>64.3</v>
      </c>
      <c r="E116" s="443">
        <f>+'Purchased Power Model '!E116</f>
        <v>8.4000000000000005E-2</v>
      </c>
      <c r="F116" s="17">
        <f>+'Purchased Power Model '!F116</f>
        <v>30</v>
      </c>
      <c r="G116" s="17">
        <f>+'Purchased Power Model '!G116</f>
        <v>0</v>
      </c>
      <c r="H116" s="481">
        <f t="shared" si="5"/>
        <v>93894660.635274053</v>
      </c>
      <c r="I116" s="106">
        <f t="shared" si="6"/>
        <v>707538.78163769841</v>
      </c>
      <c r="J116" s="5">
        <f t="shared" si="7"/>
        <v>7.5926669647442147E-3</v>
      </c>
      <c r="K116"/>
      <c r="L116"/>
      <c r="M116"/>
      <c r="N116"/>
      <c r="T116" s="100"/>
      <c r="U116" s="100"/>
      <c r="V116" s="100"/>
      <c r="W116" s="100"/>
      <c r="X116" s="100"/>
      <c r="Y116" s="100"/>
      <c r="Z116" s="100"/>
      <c r="AA116" s="100"/>
      <c r="AB116" s="100"/>
    </row>
    <row r="117" spans="1:28" x14ac:dyDescent="0.2">
      <c r="A117" s="479">
        <v>41091</v>
      </c>
      <c r="B117" s="459">
        <f>+'Purchased Power Model '!B117</f>
        <v>110767074.55090907</v>
      </c>
      <c r="C117" s="480">
        <f>+'Purchased Power Model '!C117</f>
        <v>0</v>
      </c>
      <c r="D117" s="480">
        <f>+'Purchased Power Model '!D117</f>
        <v>155.30000000000001</v>
      </c>
      <c r="E117" s="443">
        <f>+'Purchased Power Model '!E117</f>
        <v>8.900000000000001E-2</v>
      </c>
      <c r="F117" s="17">
        <f>+'Purchased Power Model '!F117</f>
        <v>31</v>
      </c>
      <c r="G117" s="17">
        <f>+'Purchased Power Model '!G117</f>
        <v>0</v>
      </c>
      <c r="H117" s="481">
        <f t="shared" si="5"/>
        <v>109093300.54196224</v>
      </c>
      <c r="I117" s="106">
        <f t="shared" si="6"/>
        <v>-1673774.008946836</v>
      </c>
      <c r="J117" s="5">
        <f t="shared" si="7"/>
        <v>-1.5110753946810806E-2</v>
      </c>
      <c r="K117"/>
      <c r="L117"/>
      <c r="M117"/>
      <c r="N117"/>
      <c r="T117" s="100"/>
      <c r="U117" s="100"/>
      <c r="V117" s="100"/>
      <c r="W117" s="100"/>
      <c r="X117" s="100"/>
      <c r="Y117" s="100"/>
      <c r="Z117" s="100"/>
      <c r="AA117" s="100"/>
      <c r="AB117" s="100"/>
    </row>
    <row r="118" spans="1:28" x14ac:dyDescent="0.2">
      <c r="A118" s="479">
        <v>41122</v>
      </c>
      <c r="B118" s="459">
        <f>+'Purchased Power Model '!B118</f>
        <v>101373951.59181817</v>
      </c>
      <c r="C118" s="480">
        <f>+'Purchased Power Model '!C118</f>
        <v>4.4000000000000004</v>
      </c>
      <c r="D118" s="480">
        <f>+'Purchased Power Model '!D118</f>
        <v>102.79999999999998</v>
      </c>
      <c r="E118" s="443">
        <f>+'Purchased Power Model '!E118</f>
        <v>8.900000000000001E-2</v>
      </c>
      <c r="F118" s="17">
        <f>+'Purchased Power Model '!F118</f>
        <v>31</v>
      </c>
      <c r="G118" s="17">
        <f>+'Purchased Power Model '!G118</f>
        <v>0</v>
      </c>
      <c r="H118" s="481">
        <f t="shared" si="5"/>
        <v>101214495.02351633</v>
      </c>
      <c r="I118" s="106">
        <f t="shared" si="6"/>
        <v>-159456.56830184162</v>
      </c>
      <c r="J118" s="5">
        <f t="shared" si="7"/>
        <v>-1.5729540557311299E-3</v>
      </c>
      <c r="K118"/>
      <c r="L118"/>
      <c r="M118"/>
      <c r="N118"/>
      <c r="T118" s="100"/>
      <c r="U118" s="100"/>
      <c r="V118" s="100"/>
      <c r="W118" s="100"/>
      <c r="X118" s="100"/>
      <c r="Y118" s="100"/>
      <c r="Z118" s="100"/>
      <c r="AA118" s="100"/>
      <c r="AB118" s="100"/>
    </row>
    <row r="119" spans="1:28" x14ac:dyDescent="0.2">
      <c r="A119" s="479">
        <v>41153</v>
      </c>
      <c r="B119" s="459">
        <f>+'Purchased Power Model '!B119</f>
        <v>85023139.218181819</v>
      </c>
      <c r="C119" s="480">
        <f>+'Purchased Power Model '!C119</f>
        <v>84</v>
      </c>
      <c r="D119" s="480">
        <f>+'Purchased Power Model '!D119</f>
        <v>24.400000000000002</v>
      </c>
      <c r="E119" s="443">
        <f>+'Purchased Power Model '!E119</f>
        <v>8.900000000000001E-2</v>
      </c>
      <c r="F119" s="17">
        <f>+'Purchased Power Model '!F119</f>
        <v>30</v>
      </c>
      <c r="G119" s="17">
        <f>+'Purchased Power Model '!G119</f>
        <v>1</v>
      </c>
      <c r="H119" s="481">
        <f t="shared" si="5"/>
        <v>82788389.467821151</v>
      </c>
      <c r="I119" s="106">
        <f t="shared" si="6"/>
        <v>-2234749.7503606677</v>
      </c>
      <c r="J119" s="5">
        <f t="shared" si="7"/>
        <v>-2.6284018337948835E-2</v>
      </c>
      <c r="K119"/>
      <c r="L119"/>
      <c r="M119"/>
      <c r="N119"/>
      <c r="T119" s="100"/>
      <c r="U119" s="100"/>
      <c r="V119" s="100"/>
      <c r="W119" s="100"/>
      <c r="X119" s="100"/>
      <c r="Y119" s="100"/>
      <c r="Z119" s="100"/>
      <c r="AA119" s="100"/>
      <c r="AB119" s="100"/>
    </row>
    <row r="120" spans="1:28" x14ac:dyDescent="0.2">
      <c r="A120" s="479">
        <v>41183</v>
      </c>
      <c r="B120" s="459">
        <f>+'Purchased Power Model '!B120</f>
        <v>85295690.281818166</v>
      </c>
      <c r="C120" s="480">
        <f>+'Purchased Power Model '!C120</f>
        <v>228.99999999999994</v>
      </c>
      <c r="D120" s="480">
        <f>+'Purchased Power Model '!D120</f>
        <v>0</v>
      </c>
      <c r="E120" s="443">
        <f>+'Purchased Power Model '!E120</f>
        <v>9.1999999999999998E-2</v>
      </c>
      <c r="F120" s="17">
        <f>+'Purchased Power Model '!F120</f>
        <v>31</v>
      </c>
      <c r="G120" s="17">
        <f>+'Purchased Power Model '!G120</f>
        <v>1</v>
      </c>
      <c r="H120" s="481">
        <f t="shared" si="5"/>
        <v>87104372.279501572</v>
      </c>
      <c r="I120" s="106">
        <f t="shared" si="6"/>
        <v>1808681.9976834059</v>
      </c>
      <c r="J120" s="5">
        <f t="shared" si="7"/>
        <v>2.1204846243784357E-2</v>
      </c>
      <c r="K120"/>
      <c r="L120"/>
      <c r="M120"/>
      <c r="N120"/>
      <c r="T120" s="100"/>
      <c r="U120" s="100"/>
      <c r="V120" s="100"/>
      <c r="W120" s="100"/>
      <c r="X120" s="100"/>
      <c r="Y120" s="100"/>
      <c r="Z120" s="100"/>
      <c r="AA120" s="100"/>
      <c r="AB120" s="100"/>
    </row>
    <row r="121" spans="1:28" x14ac:dyDescent="0.2">
      <c r="A121" s="479">
        <v>41214</v>
      </c>
      <c r="B121" s="459">
        <f>+'Purchased Power Model '!B121</f>
        <v>91679199.734545454</v>
      </c>
      <c r="C121" s="480">
        <f>+'Purchased Power Model '!C121</f>
        <v>427.89999999999992</v>
      </c>
      <c r="D121" s="480">
        <f>+'Purchased Power Model '!D121</f>
        <v>0</v>
      </c>
      <c r="E121" s="443">
        <f>+'Purchased Power Model '!E121</f>
        <v>9.1999999999999998E-2</v>
      </c>
      <c r="F121" s="17">
        <f>+'Purchased Power Model '!F121</f>
        <v>30</v>
      </c>
      <c r="G121" s="17">
        <f>+'Purchased Power Model '!G121</f>
        <v>1</v>
      </c>
      <c r="H121" s="481">
        <f t="shared" si="5"/>
        <v>92025802.768525809</v>
      </c>
      <c r="I121" s="106">
        <f t="shared" si="6"/>
        <v>346603.03398035467</v>
      </c>
      <c r="J121" s="5">
        <f t="shared" si="7"/>
        <v>3.7806071059077089E-3</v>
      </c>
      <c r="K121"/>
      <c r="L121"/>
      <c r="M121"/>
      <c r="N121"/>
      <c r="T121" s="100"/>
      <c r="U121" s="100"/>
      <c r="V121" s="100"/>
      <c r="W121" s="100"/>
      <c r="X121" s="100"/>
      <c r="Y121" s="100"/>
      <c r="Z121" s="100"/>
      <c r="AA121" s="100"/>
      <c r="AB121" s="100"/>
    </row>
    <row r="122" spans="1:28" x14ac:dyDescent="0.2">
      <c r="A122" s="479">
        <v>41244</v>
      </c>
      <c r="B122" s="459">
        <f>+'Purchased Power Model '!B122</f>
        <v>102292637.76363637</v>
      </c>
      <c r="C122" s="480">
        <f>+'Purchased Power Model '!C122</f>
        <v>451.09999999999997</v>
      </c>
      <c r="D122" s="480">
        <f>+'Purchased Power Model '!D122</f>
        <v>0</v>
      </c>
      <c r="E122" s="443">
        <f>+'Purchased Power Model '!E122</f>
        <v>9.1999999999999998E-2</v>
      </c>
      <c r="F122" s="17">
        <f>+'Purchased Power Model '!F122</f>
        <v>31</v>
      </c>
      <c r="G122" s="17">
        <f>+'Purchased Power Model '!G122</f>
        <v>0</v>
      </c>
      <c r="H122" s="481">
        <f t="shared" si="5"/>
        <v>102382460.25858708</v>
      </c>
      <c r="I122" s="106">
        <f t="shared" si="6"/>
        <v>89822.494950711727</v>
      </c>
      <c r="J122" s="5">
        <f t="shared" si="7"/>
        <v>8.7809344752904977E-4</v>
      </c>
      <c r="K122"/>
      <c r="L122"/>
      <c r="M122"/>
      <c r="N122"/>
      <c r="T122" s="100"/>
      <c r="U122" s="100"/>
      <c r="V122" s="100"/>
      <c r="W122" s="100"/>
      <c r="X122" s="100"/>
      <c r="Y122" s="100"/>
      <c r="Z122" s="100"/>
      <c r="AA122" s="100"/>
      <c r="AB122" s="100"/>
    </row>
    <row r="123" spans="1:28" x14ac:dyDescent="0.2">
      <c r="A123" s="453">
        <v>41275</v>
      </c>
      <c r="B123" s="459">
        <f>+'Purchased Power Model '!B123</f>
        <v>107376383.33333334</v>
      </c>
      <c r="C123" s="480">
        <f>+'Purchased Power Model '!C123</f>
        <v>615.40000000000009</v>
      </c>
      <c r="D123" s="480">
        <f>+'Purchased Power Model '!D123</f>
        <v>0</v>
      </c>
      <c r="E123" s="443">
        <f>+'Purchased Power Model '!E123</f>
        <v>8.8000000000000009E-2</v>
      </c>
      <c r="F123" s="17">
        <f>+'Purchased Power Model '!F123</f>
        <v>31</v>
      </c>
      <c r="G123" s="17">
        <f>+'Purchased Power Model '!G123</f>
        <v>0</v>
      </c>
      <c r="H123" s="481">
        <f t="shared" si="5"/>
        <v>109002276.74785569</v>
      </c>
      <c r="I123" s="106">
        <f t="shared" si="6"/>
        <v>1625893.4145223498</v>
      </c>
      <c r="J123" s="5">
        <f t="shared" si="7"/>
        <v>1.514200203107061E-2</v>
      </c>
      <c r="K123"/>
      <c r="L123"/>
      <c r="M123"/>
      <c r="N123"/>
      <c r="T123" s="100"/>
      <c r="U123" s="100"/>
      <c r="V123" s="100"/>
      <c r="W123" s="100"/>
      <c r="X123" s="100"/>
      <c r="Y123" s="100"/>
      <c r="Z123" s="100"/>
      <c r="AA123" s="100"/>
      <c r="AB123" s="100"/>
    </row>
    <row r="124" spans="1:28" x14ac:dyDescent="0.2">
      <c r="A124" s="453">
        <v>41306</v>
      </c>
      <c r="B124" s="459">
        <f>+'Purchased Power Model '!B124</f>
        <v>98702891.666666672</v>
      </c>
      <c r="C124" s="480">
        <f>+'Purchased Power Model '!C124</f>
        <v>611.5</v>
      </c>
      <c r="D124" s="480">
        <f>+'Purchased Power Model '!D124</f>
        <v>0</v>
      </c>
      <c r="E124" s="443">
        <f>+'Purchased Power Model '!E124</f>
        <v>8.8000000000000009E-2</v>
      </c>
      <c r="F124" s="17">
        <f>+'Purchased Power Model '!F124</f>
        <v>28</v>
      </c>
      <c r="G124" s="17">
        <f>+'Purchased Power Model '!G124</f>
        <v>0</v>
      </c>
      <c r="H124" s="481">
        <f t="shared" si="5"/>
        <v>100697109.35914977</v>
      </c>
      <c r="I124" s="106">
        <f t="shared" si="6"/>
        <v>1994217.6924830973</v>
      </c>
      <c r="J124" s="5">
        <f t="shared" si="7"/>
        <v>2.0204247908134715E-2</v>
      </c>
      <c r="K124"/>
      <c r="L124"/>
      <c r="M124"/>
      <c r="N124"/>
      <c r="T124" s="100"/>
      <c r="U124" s="100"/>
      <c r="V124" s="100"/>
      <c r="W124" s="100"/>
      <c r="X124" s="100"/>
      <c r="Y124" s="100"/>
      <c r="Z124" s="100"/>
      <c r="AA124" s="100"/>
      <c r="AB124" s="100"/>
    </row>
    <row r="125" spans="1:28" x14ac:dyDescent="0.2">
      <c r="A125" s="453">
        <v>41334</v>
      </c>
      <c r="B125" s="459">
        <f>+'Purchased Power Model '!B125</f>
        <v>98851083.333333343</v>
      </c>
      <c r="C125" s="480">
        <f>+'Purchased Power Model '!C125</f>
        <v>545</v>
      </c>
      <c r="D125" s="480">
        <f>+'Purchased Power Model '!D125</f>
        <v>0</v>
      </c>
      <c r="E125" s="443">
        <f>+'Purchased Power Model '!E125</f>
        <v>8.8000000000000009E-2</v>
      </c>
      <c r="F125" s="17">
        <f>+'Purchased Power Model '!F125</f>
        <v>31</v>
      </c>
      <c r="G125" s="17">
        <f>+'Purchased Power Model '!G125</f>
        <v>1</v>
      </c>
      <c r="H125" s="481">
        <f t="shared" si="5"/>
        <v>99551090.048193455</v>
      </c>
      <c r="I125" s="106">
        <f t="shared" si="6"/>
        <v>700006.71486011147</v>
      </c>
      <c r="J125" s="5">
        <f t="shared" si="7"/>
        <v>7.0814268418246448E-3</v>
      </c>
      <c r="K125"/>
      <c r="L125"/>
      <c r="M125"/>
      <c r="N125"/>
      <c r="T125" s="100"/>
      <c r="U125" s="100"/>
      <c r="V125" s="100"/>
      <c r="W125" s="100"/>
      <c r="X125" s="100"/>
      <c r="Y125" s="100"/>
      <c r="Z125" s="100"/>
      <c r="AA125" s="100"/>
      <c r="AB125" s="100"/>
    </row>
    <row r="126" spans="1:28" x14ac:dyDescent="0.2">
      <c r="A126" s="453">
        <v>41365</v>
      </c>
      <c r="B126" s="459">
        <f>+'Purchased Power Model '!B126</f>
        <v>87330008.333333343</v>
      </c>
      <c r="C126" s="480">
        <f>+'Purchased Power Model '!C126</f>
        <v>366.49999999999994</v>
      </c>
      <c r="D126" s="480">
        <f>+'Purchased Power Model '!D126</f>
        <v>0</v>
      </c>
      <c r="E126" s="443">
        <f>+'Purchased Power Model '!E126</f>
        <v>7.400000000000001E-2</v>
      </c>
      <c r="F126" s="17">
        <f>+'Purchased Power Model '!F126</f>
        <v>30</v>
      </c>
      <c r="G126" s="17">
        <f>+'Purchased Power Model '!G126</f>
        <v>1</v>
      </c>
      <c r="H126" s="481">
        <f t="shared" si="5"/>
        <v>91057619.030233324</v>
      </c>
      <c r="I126" s="106">
        <f t="shared" si="6"/>
        <v>3727610.6968999803</v>
      </c>
      <c r="J126" s="5">
        <f t="shared" si="7"/>
        <v>4.2684190326329939E-2</v>
      </c>
      <c r="K126"/>
      <c r="L126"/>
      <c r="M126"/>
      <c r="N126"/>
      <c r="T126" s="100"/>
      <c r="U126" s="100"/>
      <c r="V126" s="100"/>
      <c r="W126" s="100"/>
      <c r="X126" s="100"/>
      <c r="Y126" s="100"/>
      <c r="Z126" s="100"/>
      <c r="AA126" s="100"/>
      <c r="AB126" s="100"/>
    </row>
    <row r="127" spans="1:28" x14ac:dyDescent="0.2">
      <c r="A127" s="453">
        <v>41395</v>
      </c>
      <c r="B127" s="459">
        <f>+'Purchased Power Model '!B127</f>
        <v>81913958.333333343</v>
      </c>
      <c r="C127" s="480">
        <f>+'Purchased Power Model '!C127</f>
        <v>133.4</v>
      </c>
      <c r="D127" s="480">
        <f>+'Purchased Power Model '!D127</f>
        <v>3</v>
      </c>
      <c r="E127" s="443">
        <f>+'Purchased Power Model '!E127</f>
        <v>7.400000000000001E-2</v>
      </c>
      <c r="F127" s="17">
        <f>+'Purchased Power Model '!F127</f>
        <v>31</v>
      </c>
      <c r="G127" s="17">
        <f>+'Purchased Power Model '!G127</f>
        <v>1</v>
      </c>
      <c r="H127" s="481">
        <f t="shared" si="5"/>
        <v>85282418.034397855</v>
      </c>
      <c r="I127" s="106">
        <f t="shared" si="6"/>
        <v>3368459.7010645121</v>
      </c>
      <c r="J127" s="5">
        <f t="shared" si="7"/>
        <v>4.1121925610739053E-2</v>
      </c>
      <c r="K127"/>
      <c r="L127"/>
      <c r="M127"/>
      <c r="N127"/>
      <c r="T127" s="100"/>
      <c r="U127" s="100"/>
      <c r="V127" s="100"/>
      <c r="W127" s="100"/>
      <c r="X127" s="100"/>
      <c r="Y127" s="100"/>
      <c r="Z127" s="100"/>
      <c r="AA127" s="100"/>
      <c r="AB127" s="100"/>
    </row>
    <row r="128" spans="1:28" x14ac:dyDescent="0.2">
      <c r="A128" s="453">
        <v>41426</v>
      </c>
      <c r="B128" s="459">
        <f>+'Purchased Power Model '!B128</f>
        <v>86391933.333333343</v>
      </c>
      <c r="C128" s="480">
        <f>+'Purchased Power Model '!C128</f>
        <v>42.900000000000006</v>
      </c>
      <c r="D128" s="480">
        <f>+'Purchased Power Model '!D128</f>
        <v>32.200000000000003</v>
      </c>
      <c r="E128" s="443">
        <f>+'Purchased Power Model '!E128</f>
        <v>7.400000000000001E-2</v>
      </c>
      <c r="F128" s="17">
        <f>+'Purchased Power Model '!F128</f>
        <v>30</v>
      </c>
      <c r="G128" s="17">
        <f>+'Purchased Power Model '!G128</f>
        <v>0</v>
      </c>
      <c r="H128" s="481">
        <f t="shared" si="5"/>
        <v>90310986.585164011</v>
      </c>
      <c r="I128" s="106">
        <f t="shared" si="6"/>
        <v>3919053.2518306673</v>
      </c>
      <c r="J128" s="5">
        <f t="shared" si="7"/>
        <v>4.536364797751951E-2</v>
      </c>
      <c r="K128"/>
      <c r="L128"/>
      <c r="M128"/>
      <c r="N128"/>
      <c r="T128" s="100"/>
      <c r="U128" s="100"/>
      <c r="V128" s="100"/>
      <c r="W128" s="100"/>
      <c r="X128" s="100"/>
      <c r="Y128" s="100"/>
      <c r="Z128" s="100"/>
      <c r="AA128" s="100"/>
      <c r="AB128" s="100"/>
    </row>
    <row r="129" spans="1:28" x14ac:dyDescent="0.2">
      <c r="A129" s="453">
        <v>41456</v>
      </c>
      <c r="B129" s="459">
        <f>+'Purchased Power Model '!B129</f>
        <v>104037066.66666667</v>
      </c>
      <c r="C129" s="480">
        <f>+'Purchased Power Model '!C129</f>
        <v>4.4000000000000004</v>
      </c>
      <c r="D129" s="480">
        <f>+'Purchased Power Model '!D129</f>
        <v>109.99999999999999</v>
      </c>
      <c r="E129" s="443">
        <f>+'Purchased Power Model '!E129</f>
        <v>6.2E-2</v>
      </c>
      <c r="F129" s="17">
        <f>+'Purchased Power Model '!F129</f>
        <v>31</v>
      </c>
      <c r="G129" s="17">
        <f>+'Purchased Power Model '!G129</f>
        <v>0</v>
      </c>
      <c r="H129" s="481">
        <f t="shared" si="5"/>
        <v>104403543.73203087</v>
      </c>
      <c r="I129" s="106">
        <f t="shared" si="6"/>
        <v>366477.0653641969</v>
      </c>
      <c r="J129" s="5">
        <f t="shared" si="7"/>
        <v>3.5225624588050368E-3</v>
      </c>
      <c r="K129"/>
      <c r="L129"/>
      <c r="M129"/>
      <c r="N129"/>
      <c r="T129" s="100"/>
      <c r="U129" s="100"/>
      <c r="V129" s="100"/>
      <c r="W129" s="100"/>
      <c r="X129" s="100"/>
      <c r="Y129" s="100"/>
      <c r="Z129" s="100"/>
      <c r="AA129" s="100"/>
      <c r="AB129" s="100"/>
    </row>
    <row r="130" spans="1:28" x14ac:dyDescent="0.2">
      <c r="A130" s="453">
        <v>41487</v>
      </c>
      <c r="B130" s="459">
        <f>+'Purchased Power Model '!B130</f>
        <v>95663441.666666672</v>
      </c>
      <c r="C130" s="480">
        <f>+'Purchased Power Model '!C130</f>
        <v>11</v>
      </c>
      <c r="D130" s="480">
        <f>+'Purchased Power Model '!D130</f>
        <v>57.899999999999991</v>
      </c>
      <c r="E130" s="443">
        <f>+'Purchased Power Model '!E130</f>
        <v>6.2E-2</v>
      </c>
      <c r="F130" s="17">
        <f>+'Purchased Power Model '!F130</f>
        <v>31</v>
      </c>
      <c r="G130" s="17">
        <f>+'Purchased Power Model '!G130</f>
        <v>0</v>
      </c>
      <c r="H130" s="481">
        <f t="shared" si="5"/>
        <v>96670558.392871693</v>
      </c>
      <c r="I130" s="106">
        <f t="shared" si="6"/>
        <v>1007116.7262050211</v>
      </c>
      <c r="J130" s="5">
        <f t="shared" si="7"/>
        <v>1.0527707436182955E-2</v>
      </c>
      <c r="K130"/>
      <c r="L130"/>
      <c r="M130"/>
      <c r="N130"/>
      <c r="T130" s="100"/>
      <c r="U130" s="100"/>
      <c r="V130" s="100"/>
      <c r="W130" s="100"/>
      <c r="X130" s="100"/>
      <c r="Y130" s="100"/>
      <c r="Z130" s="100"/>
      <c r="AA130" s="100"/>
      <c r="AB130" s="100"/>
    </row>
    <row r="131" spans="1:28" x14ac:dyDescent="0.2">
      <c r="A131" s="453">
        <v>41518</v>
      </c>
      <c r="B131" s="459">
        <f>+'Purchased Power Model '!B131</f>
        <v>83012108.333333343</v>
      </c>
      <c r="C131" s="480">
        <f>+'Purchased Power Model '!C131</f>
        <v>96.600000000000009</v>
      </c>
      <c r="D131" s="480">
        <f>+'Purchased Power Model '!D131</f>
        <v>15.700000000000001</v>
      </c>
      <c r="E131" s="443">
        <f>+'Purchased Power Model '!E131</f>
        <v>6.2E-2</v>
      </c>
      <c r="F131" s="17">
        <f>+'Purchased Power Model '!F131</f>
        <v>30</v>
      </c>
      <c r="G131" s="17">
        <f>+'Purchased Power Model '!G131</f>
        <v>1</v>
      </c>
      <c r="H131" s="481">
        <f t="shared" si="5"/>
        <v>84024075.324613675</v>
      </c>
      <c r="I131" s="106">
        <f t="shared" si="6"/>
        <v>1011966.9912803322</v>
      </c>
      <c r="J131" s="5">
        <f t="shared" si="7"/>
        <v>1.2190594981840485E-2</v>
      </c>
      <c r="K131"/>
      <c r="L131"/>
      <c r="M131"/>
      <c r="N131"/>
      <c r="T131" s="100"/>
      <c r="U131" s="100"/>
      <c r="V131" s="100"/>
      <c r="W131" s="100"/>
      <c r="X131" s="100"/>
      <c r="Y131" s="100"/>
      <c r="Z131" s="100"/>
      <c r="AA131" s="100"/>
      <c r="AB131" s="100"/>
    </row>
    <row r="132" spans="1:28" x14ac:dyDescent="0.2">
      <c r="A132" s="453">
        <v>41548</v>
      </c>
      <c r="B132" s="459">
        <f>+'Purchased Power Model '!B132</f>
        <v>84463400.000000015</v>
      </c>
      <c r="C132" s="480">
        <f>+'Purchased Power Model '!C132</f>
        <v>221</v>
      </c>
      <c r="D132" s="480">
        <f>+'Purchased Power Model '!D132</f>
        <v>3</v>
      </c>
      <c r="E132" s="443">
        <f>+'Purchased Power Model '!E132</f>
        <v>7.5999999999999998E-2</v>
      </c>
      <c r="F132" s="17">
        <f>+'Purchased Power Model '!F132</f>
        <v>31</v>
      </c>
      <c r="G132" s="17">
        <f>+'Purchased Power Model '!G132</f>
        <v>1</v>
      </c>
      <c r="H132" s="481">
        <f t="shared" ref="H132:H195" si="8">$M$18+C132*$M$19+D132*$M$20+E132*$M$21+F132*$M$22+G132*$M$23</f>
        <v>88492723.976857156</v>
      </c>
      <c r="I132" s="106">
        <f t="shared" ref="I132:I133" si="9">H132-B132</f>
        <v>4029323.9768571407</v>
      </c>
      <c r="J132" s="5">
        <f t="shared" ref="J132:J133" si="10">I132/B132</f>
        <v>4.7704970162900616E-2</v>
      </c>
      <c r="K132"/>
      <c r="L132"/>
      <c r="M132"/>
      <c r="N132"/>
      <c r="T132" s="100"/>
      <c r="U132" s="100"/>
      <c r="V132" s="100"/>
      <c r="W132" s="100"/>
      <c r="X132" s="100"/>
      <c r="Y132" s="100"/>
      <c r="Z132" s="100"/>
      <c r="AA132" s="100"/>
      <c r="AB132" s="100"/>
    </row>
    <row r="133" spans="1:28" x14ac:dyDescent="0.2">
      <c r="A133" s="453">
        <v>41579</v>
      </c>
      <c r="B133" s="459">
        <f>+'Purchased Power Model '!B133</f>
        <v>94249183.333333343</v>
      </c>
      <c r="C133" s="480">
        <f>+'Purchased Power Model '!C133</f>
        <v>458.6</v>
      </c>
      <c r="D133" s="480">
        <f>+'Purchased Power Model '!D133</f>
        <v>0</v>
      </c>
      <c r="E133" s="443">
        <f>+'Purchased Power Model '!E133</f>
        <v>7.5999999999999998E-2</v>
      </c>
      <c r="F133" s="17">
        <f>+'Purchased Power Model '!F133</f>
        <v>30</v>
      </c>
      <c r="G133" s="17">
        <f>+'Purchased Power Model '!G133</f>
        <v>1</v>
      </c>
      <c r="H133" s="481">
        <f t="shared" si="8"/>
        <v>94440773.066017643</v>
      </c>
      <c r="I133" s="106">
        <f t="shared" si="9"/>
        <v>191589.73268429935</v>
      </c>
      <c r="J133" s="5">
        <f t="shared" si="10"/>
        <v>2.0327999236523816E-3</v>
      </c>
      <c r="K133"/>
      <c r="L133"/>
      <c r="M133"/>
      <c r="N133"/>
      <c r="T133" s="100"/>
      <c r="U133" s="100"/>
      <c r="V133" s="100"/>
      <c r="W133" s="100"/>
      <c r="X133" s="100"/>
      <c r="Y133" s="100"/>
      <c r="Z133" s="100"/>
      <c r="AA133" s="100"/>
      <c r="AB133" s="100"/>
    </row>
    <row r="134" spans="1:28" x14ac:dyDescent="0.2">
      <c r="A134" s="453">
        <v>41609</v>
      </c>
      <c r="B134" s="459">
        <f>+'Purchased Power Model '!B134</f>
        <v>108415583.33333334</v>
      </c>
      <c r="C134" s="480">
        <f>+'Purchased Power Model '!C134</f>
        <v>472.8</v>
      </c>
      <c r="D134" s="480">
        <f ca="1">+'Purchased Power Model '!D134</f>
        <v>0</v>
      </c>
      <c r="E134" s="443">
        <f>+'Purchased Power Model '!E134</f>
        <v>7.5999999999999998E-2</v>
      </c>
      <c r="F134" s="17">
        <f>+'Purchased Power Model '!F134</f>
        <v>31</v>
      </c>
      <c r="G134" s="17">
        <f>+'Purchased Power Model '!G134</f>
        <v>0</v>
      </c>
      <c r="H134" s="481">
        <f t="shared" ca="1" si="8"/>
        <v>104451734.36942889</v>
      </c>
      <c r="I134" s="106">
        <f t="shared" ref="I134" ca="1" si="11">H134-B134</f>
        <v>-3963848.9639044553</v>
      </c>
      <c r="J134" s="5">
        <f t="shared" ref="J134" ca="1" si="12">I134/B134</f>
        <v>-3.6561616347322037E-2</v>
      </c>
      <c r="L134"/>
      <c r="M134"/>
      <c r="N134"/>
      <c r="T134" s="100"/>
      <c r="U134" s="100"/>
      <c r="V134" s="100"/>
      <c r="W134" s="100"/>
      <c r="X134" s="100"/>
      <c r="Y134" s="100"/>
      <c r="Z134" s="100"/>
      <c r="AA134" s="100"/>
      <c r="AB134" s="100"/>
    </row>
    <row r="135" spans="1:28" x14ac:dyDescent="0.2">
      <c r="A135" s="453">
        <v>41640</v>
      </c>
      <c r="B135" s="459">
        <f>+'Purchased Power Model '!B135</f>
        <v>117702582.33333334</v>
      </c>
      <c r="C135" s="480">
        <f>+'Purchased Power Model '!C135</f>
        <v>771.3</v>
      </c>
      <c r="D135" s="480">
        <f>+'Purchased Power Model '!D135</f>
        <v>0</v>
      </c>
      <c r="E135" s="443">
        <f>+'Purchased Power Model '!E135</f>
        <v>7.6999999999999999E-2</v>
      </c>
      <c r="F135" s="17">
        <f>+'Purchased Power Model '!F135</f>
        <v>31</v>
      </c>
      <c r="G135" s="17">
        <f>+'Purchased Power Model '!G135</f>
        <v>0</v>
      </c>
      <c r="H135" s="481">
        <f t="shared" ref="H135:H146" si="13">$M$18+C135*$M$19+D135*$M$20+E135*$M$21+F135*$M$22+G135*$M$23</f>
        <v>115840089.42285436</v>
      </c>
      <c r="I135" s="106">
        <f t="shared" ref="I135:I146" si="14">H135-B135</f>
        <v>-1862492.9104789793</v>
      </c>
      <c r="J135" s="5">
        <f t="shared" ref="J135:J146" si="15">I135/B135</f>
        <v>-1.5823721736235193E-2</v>
      </c>
      <c r="L135"/>
      <c r="M135"/>
      <c r="N135"/>
      <c r="T135" s="100"/>
      <c r="U135" s="100"/>
      <c r="V135" s="100"/>
      <c r="W135" s="100"/>
      <c r="X135" s="100"/>
      <c r="Y135" s="100"/>
      <c r="Z135" s="100"/>
      <c r="AA135" s="100"/>
      <c r="AB135" s="100"/>
    </row>
    <row r="136" spans="1:28" x14ac:dyDescent="0.2">
      <c r="A136" s="453">
        <v>41671</v>
      </c>
      <c r="B136" s="459">
        <f>+'Purchased Power Model '!B136</f>
        <v>101945538.33333334</v>
      </c>
      <c r="C136" s="480">
        <f>+'Purchased Power Model '!C136</f>
        <v>690.84999999999991</v>
      </c>
      <c r="D136" s="480">
        <f>+'Purchased Power Model '!D136</f>
        <v>0</v>
      </c>
      <c r="E136" s="443">
        <f>+'Purchased Power Model '!E136</f>
        <v>7.6999999999999999E-2</v>
      </c>
      <c r="F136" s="17">
        <f>+'Purchased Power Model '!F136</f>
        <v>28</v>
      </c>
      <c r="G136" s="17">
        <f>+'Purchased Power Model '!G136</f>
        <v>0</v>
      </c>
      <c r="H136" s="481">
        <f t="shared" si="13"/>
        <v>104594583.91325292</v>
      </c>
      <c r="I136" s="106">
        <f t="shared" si="14"/>
        <v>2649045.5799195766</v>
      </c>
      <c r="J136" s="5">
        <f t="shared" si="15"/>
        <v>2.5984909425441845E-2</v>
      </c>
      <c r="L136"/>
      <c r="M136"/>
      <c r="N136"/>
      <c r="T136" s="100"/>
      <c r="U136" s="100"/>
      <c r="V136" s="100"/>
      <c r="W136" s="100"/>
      <c r="X136" s="100"/>
      <c r="Y136" s="100"/>
      <c r="Z136" s="100"/>
      <c r="AA136" s="100"/>
      <c r="AB136" s="100"/>
    </row>
    <row r="137" spans="1:28" x14ac:dyDescent="0.2">
      <c r="A137" s="453">
        <v>41699</v>
      </c>
      <c r="B137" s="459">
        <f>+'Purchased Power Model '!B137</f>
        <v>106417935.35000001</v>
      </c>
      <c r="C137" s="480">
        <f>+'Purchased Power Model '!C137</f>
        <v>677.95</v>
      </c>
      <c r="D137" s="480">
        <f>+'Purchased Power Model '!D137</f>
        <v>0</v>
      </c>
      <c r="E137" s="443">
        <f>+'Purchased Power Model '!E137</f>
        <v>7.6999999999999999E-2</v>
      </c>
      <c r="F137" s="17">
        <f>+'Purchased Power Model '!F137</f>
        <v>31</v>
      </c>
      <c r="G137" s="17">
        <f>+'Purchased Power Model '!G137</f>
        <v>1</v>
      </c>
      <c r="H137" s="481">
        <f t="shared" si="13"/>
        <v>105507377.44723457</v>
      </c>
      <c r="I137" s="106">
        <f t="shared" si="14"/>
        <v>-910557.90276543796</v>
      </c>
      <c r="J137" s="5">
        <f t="shared" si="15"/>
        <v>-8.556432708177306E-3</v>
      </c>
      <c r="L137"/>
      <c r="M137"/>
      <c r="N137"/>
      <c r="T137" s="100"/>
      <c r="U137" s="100"/>
      <c r="V137" s="100"/>
      <c r="W137" s="100"/>
      <c r="X137" s="100"/>
      <c r="Y137" s="100"/>
      <c r="Z137" s="100"/>
      <c r="AA137" s="100"/>
      <c r="AB137" s="100"/>
    </row>
    <row r="138" spans="1:28" x14ac:dyDescent="0.2">
      <c r="A138" s="453">
        <v>41730</v>
      </c>
      <c r="B138" s="459">
        <f>+'Purchased Power Model '!B138</f>
        <v>86925100.333333343</v>
      </c>
      <c r="C138" s="480">
        <f>+'Purchased Power Model '!C138</f>
        <v>371.2999999999999</v>
      </c>
      <c r="D138" s="480">
        <f>+'Purchased Power Model '!D138</f>
        <v>0</v>
      </c>
      <c r="E138" s="443">
        <f>+'Purchased Power Model '!E138</f>
        <v>6.7000000000000004E-2</v>
      </c>
      <c r="F138" s="17">
        <f>+'Purchased Power Model '!F138</f>
        <v>30</v>
      </c>
      <c r="G138" s="17">
        <f>+'Purchased Power Model '!G138</f>
        <v>1</v>
      </c>
      <c r="H138" s="481">
        <f t="shared" si="13"/>
        <v>91782636.289716765</v>
      </c>
      <c r="I138" s="106">
        <f t="shared" si="14"/>
        <v>4857535.956383422</v>
      </c>
      <c r="J138" s="5">
        <f t="shared" si="15"/>
        <v>5.588185619293088E-2</v>
      </c>
      <c r="L138"/>
      <c r="M138"/>
      <c r="N138"/>
      <c r="T138" s="100"/>
      <c r="U138" s="100"/>
      <c r="V138" s="100"/>
      <c r="W138" s="100"/>
      <c r="X138" s="100"/>
      <c r="Y138" s="100"/>
      <c r="Z138" s="100"/>
      <c r="AA138" s="100"/>
      <c r="AB138" s="100"/>
    </row>
    <row r="139" spans="1:28" x14ac:dyDescent="0.2">
      <c r="A139" s="453">
        <v>41760</v>
      </c>
      <c r="B139" s="459">
        <f>+'Purchased Power Model '!B139</f>
        <v>81755065.176384613</v>
      </c>
      <c r="C139" s="480">
        <f>+'Purchased Power Model '!C139</f>
        <v>160.49999999999994</v>
      </c>
      <c r="D139" s="480">
        <f>+'Purchased Power Model '!D139</f>
        <v>1.3</v>
      </c>
      <c r="E139" s="443">
        <f>+'Purchased Power Model '!E139</f>
        <v>6.7000000000000004E-2</v>
      </c>
      <c r="F139" s="17">
        <f>+'Purchased Power Model '!F139</f>
        <v>31</v>
      </c>
      <c r="G139" s="17">
        <f>+'Purchased Power Model '!G139</f>
        <v>1</v>
      </c>
      <c r="H139" s="481">
        <f t="shared" si="13"/>
        <v>86603397.788298562</v>
      </c>
      <c r="I139" s="106">
        <f t="shared" si="14"/>
        <v>4848332.6119139493</v>
      </c>
      <c r="J139" s="5">
        <f t="shared" si="15"/>
        <v>5.9303146556776473E-2</v>
      </c>
      <c r="L139"/>
      <c r="M139"/>
      <c r="N139"/>
      <c r="T139" s="100"/>
      <c r="U139" s="100"/>
      <c r="V139" s="100"/>
      <c r="W139" s="100"/>
      <c r="X139" s="100"/>
      <c r="Y139" s="100"/>
      <c r="Z139" s="100"/>
      <c r="AA139" s="100"/>
      <c r="AB139" s="100"/>
    </row>
    <row r="140" spans="1:28" x14ac:dyDescent="0.2">
      <c r="A140" s="453">
        <v>41791</v>
      </c>
      <c r="B140" s="459">
        <f>+'Purchased Power Model '!B140</f>
        <v>88119245.461538464</v>
      </c>
      <c r="C140" s="480">
        <f>+'Purchased Power Model '!C140</f>
        <v>26.9</v>
      </c>
      <c r="D140" s="480">
        <f>+'Purchased Power Model '!D140</f>
        <v>40.1</v>
      </c>
      <c r="E140" s="443">
        <f>+'Purchased Power Model '!E140</f>
        <v>6.7000000000000004E-2</v>
      </c>
      <c r="F140" s="17">
        <f>+'Purchased Power Model '!F140</f>
        <v>30</v>
      </c>
      <c r="G140" s="17">
        <f>+'Purchased Power Model '!G140</f>
        <v>0</v>
      </c>
      <c r="H140" s="481">
        <f t="shared" si="13"/>
        <v>91448065.719753549</v>
      </c>
      <c r="I140" s="106">
        <f t="shared" si="14"/>
        <v>3328820.2582150847</v>
      </c>
      <c r="J140" s="5">
        <f t="shared" si="15"/>
        <v>3.7776313684710565E-2</v>
      </c>
      <c r="L140"/>
      <c r="M140"/>
      <c r="N140"/>
      <c r="T140" s="100"/>
      <c r="U140" s="100"/>
      <c r="V140" s="100"/>
      <c r="W140" s="100"/>
      <c r="X140" s="100"/>
      <c r="Y140" s="100"/>
      <c r="Z140" s="100"/>
      <c r="AA140" s="100"/>
      <c r="AB140" s="100"/>
    </row>
    <row r="141" spans="1:28" x14ac:dyDescent="0.2">
      <c r="A141" s="453">
        <v>41821</v>
      </c>
      <c r="B141" s="459">
        <f>+'Purchased Power Model '!B141</f>
        <v>93045474.15384616</v>
      </c>
      <c r="C141" s="480">
        <f>+'Purchased Power Model '!C141</f>
        <v>9.5999999999999979</v>
      </c>
      <c r="D141" s="480">
        <f>+'Purchased Power Model '!D141</f>
        <v>54.599999999999994</v>
      </c>
      <c r="E141" s="443">
        <f>+'Purchased Power Model '!E141</f>
        <v>7.5999999999999998E-2</v>
      </c>
      <c r="F141" s="17">
        <f>+'Purchased Power Model '!F141</f>
        <v>31</v>
      </c>
      <c r="G141" s="17">
        <f>+'Purchased Power Model '!G141</f>
        <v>0</v>
      </c>
      <c r="H141" s="481">
        <f t="shared" si="13"/>
        <v>95029629.00792563</v>
      </c>
      <c r="I141" s="106">
        <f t="shared" si="14"/>
        <v>1984154.85407947</v>
      </c>
      <c r="J141" s="5">
        <f t="shared" si="15"/>
        <v>2.1324571368176025E-2</v>
      </c>
      <c r="L141"/>
      <c r="M141"/>
      <c r="N141"/>
      <c r="T141" s="100"/>
      <c r="U141" s="100"/>
      <c r="V141" s="100"/>
      <c r="W141" s="100"/>
      <c r="X141" s="100"/>
      <c r="Y141" s="100"/>
      <c r="Z141" s="100"/>
      <c r="AA141" s="100"/>
      <c r="AB141" s="100"/>
    </row>
    <row r="142" spans="1:28" x14ac:dyDescent="0.2">
      <c r="A142" s="453">
        <v>41852</v>
      </c>
      <c r="B142" s="459">
        <f>+'Purchased Power Model '!B142</f>
        <v>92680248.923076928</v>
      </c>
      <c r="C142" s="480">
        <f>+'Purchased Power Model '!C142</f>
        <v>12.7</v>
      </c>
      <c r="D142" s="480">
        <f>+'Purchased Power Model '!D142</f>
        <v>58</v>
      </c>
      <c r="E142" s="443">
        <f>+'Purchased Power Model '!E142</f>
        <v>7.5999999999999998E-2</v>
      </c>
      <c r="F142" s="17">
        <f>+'Purchased Power Model '!F142</f>
        <v>31</v>
      </c>
      <c r="G142" s="17">
        <f>+'Purchased Power Model '!G142</f>
        <v>0</v>
      </c>
      <c r="H142" s="481">
        <f t="shared" si="13"/>
        <v>95669893.808336258</v>
      </c>
      <c r="I142" s="106">
        <f t="shared" si="14"/>
        <v>2989644.8852593303</v>
      </c>
      <c r="J142" s="5">
        <f t="shared" si="15"/>
        <v>3.2257626840651733E-2</v>
      </c>
      <c r="L142"/>
      <c r="M142"/>
      <c r="N142"/>
      <c r="T142" s="100"/>
      <c r="U142" s="100"/>
      <c r="V142" s="100"/>
      <c r="W142" s="100"/>
      <c r="X142" s="100"/>
      <c r="Y142" s="100"/>
      <c r="Z142" s="100"/>
      <c r="AA142" s="100"/>
      <c r="AB142" s="100"/>
    </row>
    <row r="143" spans="1:28" x14ac:dyDescent="0.2">
      <c r="A143" s="453">
        <v>41883</v>
      </c>
      <c r="B143" s="459">
        <f>+'Purchased Power Model '!B143</f>
        <v>84852396.923076928</v>
      </c>
      <c r="C143" s="480">
        <f>+'Purchased Power Model '!C143</f>
        <v>77.400000000000006</v>
      </c>
      <c r="D143" s="480">
        <f>+'Purchased Power Model '!D143</f>
        <v>22.5</v>
      </c>
      <c r="E143" s="443">
        <f>+'Purchased Power Model '!E143</f>
        <v>7.5999999999999998E-2</v>
      </c>
      <c r="F143" s="17">
        <f>+'Purchased Power Model '!F143</f>
        <v>30</v>
      </c>
      <c r="G143" s="17">
        <f>+'Purchased Power Model '!G143</f>
        <v>1</v>
      </c>
      <c r="H143" s="481">
        <f t="shared" si="13"/>
        <v>83247681.545460209</v>
      </c>
      <c r="I143" s="106">
        <f t="shared" si="14"/>
        <v>-1604715.3776167184</v>
      </c>
      <c r="J143" s="5">
        <f t="shared" si="15"/>
        <v>-1.8911844989735242E-2</v>
      </c>
      <c r="L143"/>
      <c r="M143"/>
      <c r="N143"/>
      <c r="T143" s="100"/>
      <c r="U143" s="100"/>
      <c r="V143" s="100"/>
      <c r="W143" s="100"/>
      <c r="X143" s="100"/>
      <c r="Y143" s="100"/>
      <c r="Z143" s="100"/>
      <c r="AA143" s="100"/>
      <c r="AB143" s="100"/>
    </row>
    <row r="144" spans="1:28" x14ac:dyDescent="0.2">
      <c r="A144" s="453">
        <v>41913</v>
      </c>
      <c r="B144" s="459">
        <f>+'Purchased Power Model '!B144</f>
        <v>84720129.461538464</v>
      </c>
      <c r="C144" s="480">
        <f>+'Purchased Power Model '!C144</f>
        <v>216.29999999999998</v>
      </c>
      <c r="D144" s="480">
        <f>+'Purchased Power Model '!D144</f>
        <v>0.5</v>
      </c>
      <c r="E144" s="443">
        <f>+'Purchased Power Model '!E144</f>
        <v>7.400000000000001E-2</v>
      </c>
      <c r="F144" s="17">
        <f>+'Purchased Power Model '!F144</f>
        <v>31</v>
      </c>
      <c r="G144" s="17">
        <f>+'Purchased Power Model '!G144</f>
        <v>1</v>
      </c>
      <c r="H144" s="481">
        <f t="shared" si="13"/>
        <v>88083434.851602942</v>
      </c>
      <c r="I144" s="106">
        <f t="shared" si="14"/>
        <v>3363305.3900644779</v>
      </c>
      <c r="J144" s="5">
        <f t="shared" si="15"/>
        <v>3.9699011456201361E-2</v>
      </c>
      <c r="L144"/>
      <c r="M144"/>
      <c r="N144"/>
      <c r="T144" s="100"/>
      <c r="U144" s="100"/>
      <c r="V144" s="100"/>
      <c r="W144" s="100"/>
      <c r="X144" s="100"/>
      <c r="Y144" s="100"/>
      <c r="Z144" s="100"/>
      <c r="AA144" s="100"/>
      <c r="AB144" s="100"/>
    </row>
    <row r="145" spans="1:28" x14ac:dyDescent="0.2">
      <c r="A145" s="453">
        <v>41944</v>
      </c>
      <c r="B145" s="459">
        <f>+'Purchased Power Model '!B145</f>
        <v>94073964.750000015</v>
      </c>
      <c r="C145" s="480">
        <f>+'Purchased Power Model '!C145</f>
        <v>407.30000000000013</v>
      </c>
      <c r="D145" s="480">
        <f>+'Purchased Power Model '!D145</f>
        <v>0</v>
      </c>
      <c r="E145" s="443">
        <f>+'Purchased Power Model '!E145</f>
        <v>6.8000000000000005E-2</v>
      </c>
      <c r="F145" s="17">
        <f>+'Purchased Power Model '!F145</f>
        <v>30</v>
      </c>
      <c r="G145" s="17">
        <f>+'Purchased Power Model '!G145</f>
        <v>1</v>
      </c>
      <c r="H145" s="481">
        <f t="shared" si="13"/>
        <v>93088185.899183065</v>
      </c>
      <c r="I145" s="106">
        <f t="shared" si="14"/>
        <v>-985778.8508169502</v>
      </c>
      <c r="J145" s="5">
        <f t="shared" si="15"/>
        <v>-1.0478763741239577E-2</v>
      </c>
      <c r="L145"/>
      <c r="M145"/>
      <c r="N145"/>
      <c r="T145" s="100"/>
      <c r="U145" s="100"/>
      <c r="V145" s="100"/>
      <c r="W145" s="100"/>
      <c r="X145" s="100"/>
      <c r="Y145" s="100"/>
      <c r="Z145" s="100"/>
      <c r="AA145" s="100"/>
      <c r="AB145" s="100"/>
    </row>
    <row r="146" spans="1:28" x14ac:dyDescent="0.2">
      <c r="A146" s="453">
        <v>41974</v>
      </c>
      <c r="B146" s="459">
        <f>+'Purchased Power Model '!B146</f>
        <v>102732461.57384616</v>
      </c>
      <c r="C146" s="480">
        <f>+'Purchased Power Model '!C146</f>
        <v>551.79999999999995</v>
      </c>
      <c r="D146" s="480">
        <f>+'Purchased Power Model '!D146</f>
        <v>0</v>
      </c>
      <c r="E146" s="443">
        <f>+'Purchased Power Model '!E146</f>
        <v>6.6000000000000003E-2</v>
      </c>
      <c r="F146" s="17">
        <f>+'Purchased Power Model '!F146</f>
        <v>31</v>
      </c>
      <c r="G146" s="17">
        <f>+'Purchased Power Model '!G146</f>
        <v>0</v>
      </c>
      <c r="H146" s="481">
        <f t="shared" si="13"/>
        <v>108258530.04580626</v>
      </c>
      <c r="I146" s="106">
        <f t="shared" si="14"/>
        <v>5526068.4719600976</v>
      </c>
      <c r="J146" s="5">
        <f t="shared" si="15"/>
        <v>5.3790869870161226E-2</v>
      </c>
      <c r="L146"/>
      <c r="M146"/>
      <c r="N146"/>
      <c r="T146" s="100"/>
      <c r="U146" s="100"/>
      <c r="V146" s="100"/>
      <c r="W146" s="100"/>
      <c r="X146" s="100"/>
      <c r="Y146" s="100"/>
      <c r="Z146" s="100"/>
      <c r="AA146" s="100"/>
      <c r="AB146" s="100"/>
    </row>
    <row r="147" spans="1:28" x14ac:dyDescent="0.2">
      <c r="A147" s="453">
        <v>42005</v>
      </c>
      <c r="B147" s="459">
        <f>+'Purchased Power Model '!B147</f>
        <v>113173667.85769232</v>
      </c>
      <c r="C147" s="480">
        <f>+'Purchased Power Model '!C147</f>
        <v>775.6</v>
      </c>
      <c r="D147" s="480">
        <f>+'Purchased Power Model '!D147</f>
        <v>0</v>
      </c>
      <c r="E147" s="443">
        <f>+'Purchased Power Model '!E147</f>
        <v>6.7000000000000004E-2</v>
      </c>
      <c r="F147" s="17">
        <f>+'Purchased Power Model '!F147</f>
        <v>31</v>
      </c>
      <c r="G147" s="17">
        <f>+'Purchased Power Model '!G147</f>
        <v>0</v>
      </c>
      <c r="H147" s="481">
        <f t="shared" ref="H147:H173" si="16">$M$18+C147*$M$19+D147*$M$20+E147*$M$21+F147*$M$22+G147*$M$23</f>
        <v>116777606.75003651</v>
      </c>
      <c r="I147" s="106">
        <f t="shared" ref="I147:I173" si="17">H147-B147</f>
        <v>3603938.8923441917</v>
      </c>
      <c r="J147" s="5">
        <f t="shared" ref="J147:J173" si="18">I147/B147</f>
        <v>3.1844323512390561E-2</v>
      </c>
      <c r="L147"/>
      <c r="M147"/>
      <c r="N147"/>
      <c r="T147" s="100"/>
      <c r="U147" s="100"/>
      <c r="V147" s="100"/>
      <c r="W147" s="100"/>
      <c r="X147" s="100"/>
      <c r="Y147" s="100"/>
      <c r="Z147" s="100"/>
      <c r="AA147" s="100"/>
      <c r="AB147" s="100"/>
    </row>
    <row r="148" spans="1:28" x14ac:dyDescent="0.2">
      <c r="A148" s="453">
        <v>42036</v>
      </c>
      <c r="B148" s="459">
        <f>+'Purchased Power Model '!B148</f>
        <v>107355854.70923078</v>
      </c>
      <c r="C148" s="480">
        <f>+'Purchased Power Model '!C148</f>
        <v>809.4</v>
      </c>
      <c r="D148" s="480">
        <f>+'Purchased Power Model '!D148</f>
        <v>0</v>
      </c>
      <c r="E148" s="443">
        <f>+'Purchased Power Model '!E148</f>
        <v>6.8000000000000005E-2</v>
      </c>
      <c r="F148" s="17">
        <f>+'Purchased Power Model '!F148</f>
        <v>28</v>
      </c>
      <c r="G148" s="17">
        <f>+'Purchased Power Model '!G148</f>
        <v>0</v>
      </c>
      <c r="H148" s="481">
        <f t="shared" si="16"/>
        <v>109843287.13938633</v>
      </c>
      <c r="I148" s="106">
        <f t="shared" si="17"/>
        <v>2487432.4301555455</v>
      </c>
      <c r="J148" s="5">
        <f t="shared" si="18"/>
        <v>2.3169974631496913E-2</v>
      </c>
      <c r="L148"/>
      <c r="M148"/>
      <c r="N148"/>
      <c r="T148" s="100"/>
      <c r="U148" s="100"/>
      <c r="V148" s="100"/>
      <c r="W148" s="100"/>
      <c r="X148" s="100"/>
      <c r="Y148" s="100"/>
      <c r="Z148" s="100"/>
      <c r="AA148" s="100"/>
      <c r="AB148" s="100"/>
    </row>
    <row r="149" spans="1:28" x14ac:dyDescent="0.2">
      <c r="A149" s="453">
        <v>42064</v>
      </c>
      <c r="B149" s="459">
        <f>+'Purchased Power Model '!B149</f>
        <v>101615899.94538462</v>
      </c>
      <c r="C149" s="480">
        <f>+'Purchased Power Model '!C149</f>
        <v>611.6</v>
      </c>
      <c r="D149" s="480">
        <f>+'Purchased Power Model '!D149</f>
        <v>0</v>
      </c>
      <c r="E149" s="443">
        <f>+'Purchased Power Model '!E149</f>
        <v>7.2000000000000008E-2</v>
      </c>
      <c r="F149" s="17">
        <f>+'Purchased Power Model '!F149</f>
        <v>31</v>
      </c>
      <c r="G149" s="17">
        <f>+'Purchased Power Model '!G149</f>
        <v>1</v>
      </c>
      <c r="H149" s="481">
        <f t="shared" si="16"/>
        <v>103345004.02354485</v>
      </c>
      <c r="I149" s="106">
        <f t="shared" si="17"/>
        <v>1729104.0781602263</v>
      </c>
      <c r="J149" s="5">
        <f t="shared" si="18"/>
        <v>1.7016077986708438E-2</v>
      </c>
      <c r="L149"/>
      <c r="M149"/>
      <c r="N149"/>
      <c r="T149" s="100"/>
      <c r="U149" s="100"/>
      <c r="V149" s="100"/>
      <c r="W149" s="100"/>
      <c r="X149" s="100"/>
      <c r="Y149" s="100"/>
      <c r="Z149" s="100"/>
      <c r="AA149" s="100"/>
      <c r="AB149" s="100"/>
    </row>
    <row r="150" spans="1:28" x14ac:dyDescent="0.2">
      <c r="A150" s="453">
        <v>42095</v>
      </c>
      <c r="B150" s="459">
        <f>+'Purchased Power Model '!B150</f>
        <v>84454597.615384623</v>
      </c>
      <c r="C150" s="480">
        <f>+'Purchased Power Model '!C150</f>
        <v>335.6</v>
      </c>
      <c r="D150" s="480">
        <f>+'Purchased Power Model '!D150</f>
        <v>0</v>
      </c>
      <c r="E150" s="443">
        <f>+'Purchased Power Model '!E150</f>
        <v>7.5999999999999998E-2</v>
      </c>
      <c r="F150" s="17">
        <f>+'Purchased Power Model '!F150</f>
        <v>30</v>
      </c>
      <c r="G150" s="17">
        <f>+'Purchased Power Model '!G150</f>
        <v>1</v>
      </c>
      <c r="H150" s="481">
        <f t="shared" si="16"/>
        <v>89716258.515133917</v>
      </c>
      <c r="I150" s="106">
        <f t="shared" si="17"/>
        <v>5261660.8997492939</v>
      </c>
      <c r="J150" s="5">
        <f t="shared" si="18"/>
        <v>6.2301651399861817E-2</v>
      </c>
      <c r="L150"/>
      <c r="M150"/>
      <c r="N150"/>
      <c r="T150" s="100"/>
      <c r="U150" s="100"/>
      <c r="V150" s="100"/>
      <c r="W150" s="100"/>
      <c r="X150" s="100"/>
      <c r="Y150" s="100"/>
      <c r="Z150" s="100"/>
      <c r="AA150" s="100"/>
      <c r="AB150" s="100"/>
    </row>
    <row r="151" spans="1:28" x14ac:dyDescent="0.2">
      <c r="A151" s="453">
        <v>42125</v>
      </c>
      <c r="B151" s="459">
        <f>+'Purchased Power Model '!B151</f>
        <v>81506281.84615384</v>
      </c>
      <c r="C151" s="480">
        <f>+'Purchased Power Model '!C151</f>
        <v>120.5</v>
      </c>
      <c r="D151" s="480">
        <f>+'Purchased Power Model '!D151</f>
        <v>1.8</v>
      </c>
      <c r="E151" s="443">
        <f>+'Purchased Power Model '!E151</f>
        <v>7.8E-2</v>
      </c>
      <c r="F151" s="17">
        <f>+'Purchased Power Model '!F151</f>
        <v>31</v>
      </c>
      <c r="G151" s="17">
        <f>+'Purchased Power Model '!G151</f>
        <v>1</v>
      </c>
      <c r="H151" s="481">
        <f t="shared" si="16"/>
        <v>84294029.6173473</v>
      </c>
      <c r="I151" s="106">
        <f t="shared" si="17"/>
        <v>2787747.7711934596</v>
      </c>
      <c r="J151" s="5">
        <f t="shared" si="18"/>
        <v>3.4202857841748174E-2</v>
      </c>
      <c r="L151"/>
      <c r="M151"/>
      <c r="N151"/>
      <c r="T151" s="100"/>
      <c r="U151" s="100"/>
      <c r="V151" s="100"/>
      <c r="W151" s="100"/>
      <c r="X151" s="100"/>
      <c r="Y151" s="100"/>
      <c r="Z151" s="100"/>
      <c r="AA151" s="100"/>
      <c r="AB151" s="100"/>
    </row>
    <row r="152" spans="1:28" x14ac:dyDescent="0.2">
      <c r="A152" s="453">
        <v>42156</v>
      </c>
      <c r="B152" s="459">
        <f>+'Purchased Power Model '!B152</f>
        <v>83276943.692307696</v>
      </c>
      <c r="C152" s="480">
        <f>+'Purchased Power Model '!C152</f>
        <v>50.2</v>
      </c>
      <c r="D152" s="480">
        <f>+'Purchased Power Model '!D152</f>
        <v>13.1</v>
      </c>
      <c r="E152" s="443">
        <f>+'Purchased Power Model '!E152</f>
        <v>7.8E-2</v>
      </c>
      <c r="F152" s="17">
        <f>+'Purchased Power Model '!F152</f>
        <v>30</v>
      </c>
      <c r="G152" s="17">
        <f>+'Purchased Power Model '!G152</f>
        <v>0</v>
      </c>
      <c r="H152" s="481">
        <f t="shared" si="16"/>
        <v>87354573.205701098</v>
      </c>
      <c r="I152" s="106">
        <f t="shared" si="17"/>
        <v>4077629.5133934021</v>
      </c>
      <c r="J152" s="5">
        <f t="shared" si="18"/>
        <v>4.8964687374448555E-2</v>
      </c>
      <c r="L152"/>
      <c r="M152"/>
      <c r="N152"/>
      <c r="T152" s="100"/>
      <c r="U152" s="100"/>
      <c r="V152" s="100"/>
      <c r="W152" s="100"/>
      <c r="X152" s="100"/>
      <c r="Y152" s="100"/>
      <c r="Z152" s="100"/>
      <c r="AA152" s="100"/>
      <c r="AB152" s="100"/>
    </row>
    <row r="153" spans="1:28" x14ac:dyDescent="0.2">
      <c r="A153" s="453">
        <v>42186</v>
      </c>
      <c r="B153" s="459">
        <f>+'Purchased Power Model '!B153</f>
        <v>99414180.230769232</v>
      </c>
      <c r="C153" s="480">
        <f>+'Purchased Power Model '!C153</f>
        <v>6.8</v>
      </c>
      <c r="D153" s="480">
        <f>+'Purchased Power Model '!D153</f>
        <v>71.5</v>
      </c>
      <c r="E153" s="443">
        <f>+'Purchased Power Model '!E153</f>
        <v>7.8E-2</v>
      </c>
      <c r="F153" s="17">
        <f>+'Purchased Power Model '!F153</f>
        <v>31</v>
      </c>
      <c r="G153" s="17">
        <f>+'Purchased Power Model '!G153</f>
        <v>0</v>
      </c>
      <c r="H153" s="481">
        <f t="shared" si="16"/>
        <v>97358237.989440769</v>
      </c>
      <c r="I153" s="106">
        <f t="shared" si="17"/>
        <v>-2055942.241328463</v>
      </c>
      <c r="J153" s="5">
        <f t="shared" si="18"/>
        <v>-2.0680573300066681E-2</v>
      </c>
      <c r="L153"/>
      <c r="M153"/>
      <c r="N153"/>
      <c r="T153" s="100"/>
      <c r="U153" s="100"/>
      <c r="V153" s="100"/>
      <c r="W153" s="100"/>
      <c r="X153" s="100"/>
      <c r="Y153" s="100"/>
      <c r="Z153" s="100"/>
      <c r="AA153" s="100"/>
      <c r="AB153" s="100"/>
    </row>
    <row r="154" spans="1:28" x14ac:dyDescent="0.2">
      <c r="A154" s="453">
        <v>42217</v>
      </c>
      <c r="B154" s="459">
        <f>+'Purchased Power Model '!B154</f>
        <v>95068872.238461539</v>
      </c>
      <c r="C154" s="480">
        <f>+'Purchased Power Model '!C154</f>
        <v>4.9000000000000004</v>
      </c>
      <c r="D154" s="480">
        <f>+'Purchased Power Model '!D154</f>
        <v>62</v>
      </c>
      <c r="E154" s="443">
        <f>+'Purchased Power Model '!E154</f>
        <v>0.08</v>
      </c>
      <c r="F154" s="17">
        <f>+'Purchased Power Model '!F154</f>
        <v>31</v>
      </c>
      <c r="G154" s="17">
        <f>+'Purchased Power Model '!G154</f>
        <v>0</v>
      </c>
      <c r="H154" s="481">
        <f t="shared" si="16"/>
        <v>95674516.567982763</v>
      </c>
      <c r="I154" s="106">
        <f t="shared" si="17"/>
        <v>605644.3295212239</v>
      </c>
      <c r="J154" s="5">
        <f t="shared" si="18"/>
        <v>6.3705849797195914E-3</v>
      </c>
      <c r="L154"/>
      <c r="M154"/>
      <c r="N154"/>
      <c r="T154" s="100"/>
      <c r="U154" s="100"/>
      <c r="V154" s="100"/>
      <c r="W154" s="100"/>
      <c r="X154" s="100"/>
      <c r="Y154" s="100"/>
      <c r="Z154" s="100"/>
      <c r="AA154" s="100"/>
      <c r="AB154" s="100"/>
    </row>
    <row r="155" spans="1:28" x14ac:dyDescent="0.2">
      <c r="A155" s="453">
        <v>42248</v>
      </c>
      <c r="B155" s="459">
        <f>+'Purchased Power Model '!B155</f>
        <v>91662129.461538464</v>
      </c>
      <c r="C155" s="480">
        <f>+'Purchased Power Model '!C155</f>
        <v>37</v>
      </c>
      <c r="D155" s="480">
        <f>+'Purchased Power Model '!D155</f>
        <v>48.6</v>
      </c>
      <c r="E155" s="443">
        <f>+'Purchased Power Model '!E155</f>
        <v>8.3000000000000004E-2</v>
      </c>
      <c r="F155" s="17">
        <f>+'Purchased Power Model '!F155</f>
        <v>30</v>
      </c>
      <c r="G155" s="17">
        <f>+'Purchased Power Model '!G155</f>
        <v>1</v>
      </c>
      <c r="H155" s="481">
        <f t="shared" si="16"/>
        <v>85156156.335731119</v>
      </c>
      <c r="I155" s="106">
        <f t="shared" si="17"/>
        <v>-6505973.1258073449</v>
      </c>
      <c r="J155" s="5">
        <f t="shared" si="18"/>
        <v>-7.0977765452604494E-2</v>
      </c>
      <c r="L155"/>
      <c r="M155"/>
      <c r="N155"/>
      <c r="T155" s="100"/>
      <c r="U155" s="100"/>
      <c r="V155" s="100"/>
      <c r="W155" s="100"/>
      <c r="X155" s="100"/>
      <c r="Y155" s="100"/>
      <c r="Z155" s="100"/>
      <c r="AA155" s="100"/>
      <c r="AB155" s="100"/>
    </row>
    <row r="156" spans="1:28" x14ac:dyDescent="0.2">
      <c r="A156" s="453">
        <v>42278</v>
      </c>
      <c r="B156" s="459">
        <f>+'Purchased Power Model '!B156</f>
        <v>83968946.230769232</v>
      </c>
      <c r="C156" s="480">
        <f>+'Purchased Power Model '!C156</f>
        <v>248.1</v>
      </c>
      <c r="D156" s="480">
        <f>+'Purchased Power Model '!D156</f>
        <v>0</v>
      </c>
      <c r="E156" s="443">
        <f>+'Purchased Power Model '!E156</f>
        <v>8.1000000000000003E-2</v>
      </c>
      <c r="F156" s="17">
        <f>+'Purchased Power Model '!F156</f>
        <v>31</v>
      </c>
      <c r="G156" s="17">
        <f>+'Purchased Power Model '!G156</f>
        <v>1</v>
      </c>
      <c r="H156" s="481">
        <f t="shared" si="16"/>
        <v>88687602.917419806</v>
      </c>
      <c r="I156" s="106">
        <f t="shared" si="17"/>
        <v>4718656.6866505742</v>
      </c>
      <c r="J156" s="5">
        <f t="shared" si="18"/>
        <v>5.6195259062587703E-2</v>
      </c>
      <c r="L156"/>
      <c r="M156"/>
      <c r="N156"/>
      <c r="T156" s="100"/>
      <c r="U156" s="100"/>
      <c r="V156" s="100"/>
      <c r="W156" s="100"/>
      <c r="X156" s="100"/>
      <c r="Y156" s="100"/>
      <c r="Z156" s="100"/>
      <c r="AA156" s="100"/>
      <c r="AB156" s="100"/>
    </row>
    <row r="157" spans="1:28" x14ac:dyDescent="0.2">
      <c r="A157" s="453">
        <v>42309</v>
      </c>
      <c r="B157" s="459">
        <f>+'Purchased Power Model '!B157</f>
        <v>87046492.692307696</v>
      </c>
      <c r="C157" s="480">
        <f>+'Purchased Power Model '!C157</f>
        <v>345.6</v>
      </c>
      <c r="D157" s="480">
        <f>+'Purchased Power Model '!D157</f>
        <v>0</v>
      </c>
      <c r="E157" s="443">
        <f>+'Purchased Power Model '!E157</f>
        <v>7.8E-2</v>
      </c>
      <c r="F157" s="17">
        <f>+'Purchased Power Model '!F157</f>
        <v>30</v>
      </c>
      <c r="G157" s="17">
        <f>+'Purchased Power Model '!G157</f>
        <v>1</v>
      </c>
      <c r="H157" s="481">
        <f t="shared" si="16"/>
        <v>89945895.114921853</v>
      </c>
      <c r="I157" s="106">
        <f t="shared" si="17"/>
        <v>2899402.4226141572</v>
      </c>
      <c r="J157" s="5">
        <f t="shared" si="18"/>
        <v>3.3308664518661046E-2</v>
      </c>
      <c r="L157"/>
      <c r="M157"/>
      <c r="N157"/>
      <c r="T157" s="100"/>
      <c r="U157" s="100"/>
      <c r="V157" s="100"/>
      <c r="W157" s="100"/>
      <c r="X157" s="100"/>
      <c r="Y157" s="100"/>
      <c r="Z157" s="100"/>
      <c r="AA157" s="100"/>
      <c r="AB157" s="100"/>
    </row>
    <row r="158" spans="1:28" x14ac:dyDescent="0.2">
      <c r="A158" s="453">
        <v>42339</v>
      </c>
      <c r="B158" s="459">
        <f>+'Purchased Power Model '!B158</f>
        <v>94797164.692307696</v>
      </c>
      <c r="C158" s="480">
        <f>+'Purchased Power Model '!C158</f>
        <v>415</v>
      </c>
      <c r="D158" s="480">
        <f>+'Purchased Power Model '!D158</f>
        <v>0</v>
      </c>
      <c r="E158" s="443">
        <f>+'Purchased Power Model '!E158</f>
        <v>7.0000000000000007E-2</v>
      </c>
      <c r="F158" s="17">
        <f>+'Purchased Power Model '!F158</f>
        <v>31</v>
      </c>
      <c r="G158" s="17">
        <f>+'Purchased Power Model '!G158</f>
        <v>0</v>
      </c>
      <c r="H158" s="481">
        <f t="shared" si="16"/>
        <v>102695007.46019053</v>
      </c>
      <c r="I158" s="106">
        <f t="shared" si="17"/>
        <v>7897842.7678828388</v>
      </c>
      <c r="J158" s="5">
        <f t="shared" si="18"/>
        <v>8.3313069473307869E-2</v>
      </c>
      <c r="L158"/>
      <c r="M158"/>
      <c r="N158"/>
      <c r="T158" s="100"/>
      <c r="U158" s="100"/>
      <c r="V158" s="100"/>
      <c r="W158" s="100"/>
      <c r="X158" s="100"/>
      <c r="Y158" s="100"/>
      <c r="Z158" s="100"/>
      <c r="AA158" s="100"/>
      <c r="AB158" s="100"/>
    </row>
    <row r="159" spans="1:28" x14ac:dyDescent="0.2">
      <c r="A159" s="453">
        <v>42370</v>
      </c>
      <c r="B159" s="459">
        <f>+'Purchased Power Model '!B159</f>
        <v>105036543.53846155</v>
      </c>
      <c r="C159" s="480">
        <f>+'Purchased Power Model '!C159</f>
        <v>689.4</v>
      </c>
      <c r="D159" s="480">
        <f>+'Purchased Power Model '!D159</f>
        <v>0</v>
      </c>
      <c r="E159" s="443">
        <f>+'Purchased Power Model '!E159</f>
        <v>6.4000000000000001E-2</v>
      </c>
      <c r="F159" s="17">
        <f>+'Purchased Power Model '!F159</f>
        <v>31</v>
      </c>
      <c r="G159" s="17">
        <f>+'Purchased Power Model '!G159</f>
        <v>0</v>
      </c>
      <c r="H159" s="481">
        <f t="shared" si="16"/>
        <v>113698310.9070788</v>
      </c>
      <c r="I159" s="106">
        <f t="shared" si="17"/>
        <v>8661767.3686172515</v>
      </c>
      <c r="J159" s="5">
        <f t="shared" si="18"/>
        <v>8.2464322195118178E-2</v>
      </c>
      <c r="L159"/>
      <c r="M159"/>
      <c r="N159"/>
      <c r="T159" s="100"/>
      <c r="U159" s="100"/>
      <c r="V159" s="100"/>
      <c r="W159" s="100"/>
      <c r="X159" s="100"/>
      <c r="Y159" s="100"/>
      <c r="Z159" s="100"/>
      <c r="AA159" s="100"/>
      <c r="AB159" s="100"/>
    </row>
    <row r="160" spans="1:28" x14ac:dyDescent="0.2">
      <c r="A160" s="453">
        <v>42401</v>
      </c>
      <c r="B160" s="459">
        <f>+'Purchased Power Model '!B160</f>
        <v>96391484.384615391</v>
      </c>
      <c r="C160" s="480">
        <f>+'Purchased Power Model '!C160</f>
        <v>623.20000000000005</v>
      </c>
      <c r="D160" s="480">
        <f>+'Purchased Power Model '!D160</f>
        <v>0</v>
      </c>
      <c r="E160" s="443">
        <f>+'Purchased Power Model '!E160</f>
        <v>6.0999999999999999E-2</v>
      </c>
      <c r="F160" s="17">
        <f>+'Purchased Power Model '!F160</f>
        <v>29</v>
      </c>
      <c r="G160" s="17">
        <f>+'Purchased Power Model '!G160</f>
        <v>0</v>
      </c>
      <c r="H160" s="481">
        <f t="shared" si="16"/>
        <v>105950318.34034945</v>
      </c>
      <c r="I160" s="106">
        <f t="shared" si="17"/>
        <v>9558833.9557340592</v>
      </c>
      <c r="J160" s="5">
        <f t="shared" si="18"/>
        <v>9.9166788609593215E-2</v>
      </c>
      <c r="L160"/>
      <c r="M160"/>
      <c r="N160"/>
      <c r="T160" s="100"/>
      <c r="U160" s="100"/>
      <c r="V160" s="100"/>
      <c r="W160" s="100"/>
      <c r="X160" s="100"/>
      <c r="Y160" s="100"/>
      <c r="Z160" s="100"/>
      <c r="AA160" s="100"/>
      <c r="AB160" s="100"/>
    </row>
    <row r="161" spans="1:28" x14ac:dyDescent="0.2">
      <c r="A161" s="453">
        <v>42430</v>
      </c>
      <c r="B161" s="459">
        <f>+'Purchased Power Model '!B161</f>
        <v>93754132.461538464</v>
      </c>
      <c r="C161" s="480">
        <f>+'Purchased Power Model '!C161</f>
        <v>531.20000000000005</v>
      </c>
      <c r="D161" s="480">
        <f>+'Purchased Power Model '!D161</f>
        <v>0</v>
      </c>
      <c r="E161" s="443">
        <f>+'Purchased Power Model '!E161</f>
        <v>6.0999999999999999E-2</v>
      </c>
      <c r="F161" s="17">
        <f>+'Purchased Power Model '!F161</f>
        <v>31</v>
      </c>
      <c r="G161" s="17">
        <f>+'Purchased Power Model '!G161</f>
        <v>1</v>
      </c>
      <c r="H161" s="481">
        <f t="shared" si="16"/>
        <v>101106371.26460999</v>
      </c>
      <c r="I161" s="106">
        <f t="shared" si="17"/>
        <v>7352238.8030715287</v>
      </c>
      <c r="J161" s="5">
        <f t="shared" si="18"/>
        <v>7.8420423825986532E-2</v>
      </c>
      <c r="L161"/>
      <c r="M161"/>
      <c r="N161"/>
      <c r="T161" s="100"/>
      <c r="U161" s="100"/>
      <c r="V161" s="100"/>
      <c r="W161" s="100"/>
      <c r="X161" s="100"/>
      <c r="Y161" s="100"/>
      <c r="Z161" s="100"/>
      <c r="AA161" s="100"/>
      <c r="AB161" s="100"/>
    </row>
    <row r="162" spans="1:28" x14ac:dyDescent="0.2">
      <c r="A162" s="453">
        <v>42461</v>
      </c>
      <c r="B162" s="459">
        <f>+'Purchased Power Model '!B162</f>
        <v>84646746.000000015</v>
      </c>
      <c r="C162" s="480">
        <f>+'Purchased Power Model '!C162</f>
        <v>421.9</v>
      </c>
      <c r="D162" s="480">
        <f>+'Purchased Power Model '!D162</f>
        <v>0</v>
      </c>
      <c r="E162" s="443">
        <f>+'Purchased Power Model '!E162</f>
        <v>6.0999999999999999E-2</v>
      </c>
      <c r="F162" s="17">
        <f>+'Purchased Power Model '!F162</f>
        <v>30</v>
      </c>
      <c r="G162" s="17">
        <f>+'Purchased Power Model '!G162</f>
        <v>1</v>
      </c>
      <c r="H162" s="481">
        <f t="shared" si="16"/>
        <v>94189627.895240992</v>
      </c>
      <c r="I162" s="106">
        <f t="shared" si="17"/>
        <v>9542881.8952409774</v>
      </c>
      <c r="J162" s="5">
        <f t="shared" si="18"/>
        <v>0.11273772881052009</v>
      </c>
      <c r="L162"/>
      <c r="M162"/>
      <c r="N162"/>
      <c r="T162" s="100"/>
      <c r="U162" s="100"/>
      <c r="V162" s="100"/>
      <c r="W162" s="100"/>
      <c r="X162" s="100"/>
      <c r="Y162" s="100"/>
      <c r="Z162" s="100"/>
      <c r="AA162" s="100"/>
      <c r="AB162" s="100"/>
    </row>
    <row r="163" spans="1:28" x14ac:dyDescent="0.2">
      <c r="A163" s="453">
        <v>42491</v>
      </c>
      <c r="B163" s="459">
        <f>+'Purchased Power Model '!B163</f>
        <v>82523654.769230768</v>
      </c>
      <c r="C163" s="480">
        <f>+'Purchased Power Model '!C163</f>
        <v>164.3</v>
      </c>
      <c r="D163" s="480">
        <f>+'Purchased Power Model '!D163</f>
        <v>19.399999999999999</v>
      </c>
      <c r="E163" s="443">
        <f>+'Purchased Power Model '!E163</f>
        <v>5.7999999999999996E-2</v>
      </c>
      <c r="F163" s="17">
        <f>+'Purchased Power Model '!F163</f>
        <v>31</v>
      </c>
      <c r="G163" s="17">
        <f>+'Purchased Power Model '!G163</f>
        <v>1</v>
      </c>
      <c r="H163" s="481">
        <f t="shared" si="16"/>
        <v>90219053.816146001</v>
      </c>
      <c r="I163" s="106">
        <f t="shared" si="17"/>
        <v>7695399.0469152331</v>
      </c>
      <c r="J163" s="5">
        <f t="shared" si="18"/>
        <v>9.3250826910594969E-2</v>
      </c>
      <c r="L163"/>
      <c r="M163"/>
      <c r="N163"/>
      <c r="T163" s="100"/>
      <c r="U163" s="100"/>
      <c r="V163" s="100"/>
      <c r="W163" s="100"/>
      <c r="X163" s="100"/>
      <c r="Y163" s="100"/>
      <c r="Z163" s="100"/>
      <c r="AA163" s="100"/>
      <c r="AB163" s="100"/>
    </row>
    <row r="164" spans="1:28" x14ac:dyDescent="0.2">
      <c r="A164" s="453">
        <v>42522</v>
      </c>
      <c r="B164" s="459">
        <f>+'Purchased Power Model '!B164</f>
        <v>88597407.692307696</v>
      </c>
      <c r="C164" s="480">
        <f>+'Purchased Power Model '!C164</f>
        <v>39.1</v>
      </c>
      <c r="D164" s="480">
        <f>+'Purchased Power Model '!D164</f>
        <v>43.8</v>
      </c>
      <c r="E164" s="443">
        <f>+'Purchased Power Model '!E164</f>
        <v>6.5000000000000002E-2</v>
      </c>
      <c r="F164" s="17">
        <f>+'Purchased Power Model '!F164</f>
        <v>30</v>
      </c>
      <c r="G164" s="17">
        <f>+'Purchased Power Model '!G164</f>
        <v>0</v>
      </c>
      <c r="H164" s="481">
        <f t="shared" si="16"/>
        <v>92638325.550068289</v>
      </c>
      <c r="I164" s="106">
        <f t="shared" si="17"/>
        <v>4040917.8577605933</v>
      </c>
      <c r="J164" s="5">
        <f t="shared" si="18"/>
        <v>4.5609888178606818E-2</v>
      </c>
      <c r="L164"/>
      <c r="M164"/>
      <c r="N164"/>
      <c r="T164" s="100"/>
      <c r="U164" s="100"/>
      <c r="V164" s="100"/>
      <c r="W164" s="100"/>
      <c r="X164" s="100"/>
      <c r="Y164" s="100"/>
      <c r="Z164" s="100"/>
      <c r="AA164" s="100"/>
      <c r="AB164" s="100"/>
    </row>
    <row r="165" spans="1:28" x14ac:dyDescent="0.2">
      <c r="A165" s="453">
        <v>42552</v>
      </c>
      <c r="B165" s="459">
        <f>+'Purchased Power Model '!B165</f>
        <v>105096208.07692309</v>
      </c>
      <c r="C165" s="480">
        <f>+'Purchased Power Model '!C165</f>
        <v>2.4</v>
      </c>
      <c r="D165" s="480">
        <f>+'Purchased Power Model '!D165</f>
        <v>120.7</v>
      </c>
      <c r="E165" s="443">
        <f>+'Purchased Power Model '!E165</f>
        <v>6.5000000000000002E-2</v>
      </c>
      <c r="F165" s="17">
        <f>+'Purchased Power Model '!F165</f>
        <v>31</v>
      </c>
      <c r="G165" s="17">
        <f>+'Purchased Power Model '!G165</f>
        <v>0</v>
      </c>
      <c r="H165" s="481">
        <f t="shared" si="16"/>
        <v>105735237.78792161</v>
      </c>
      <c r="I165" s="106">
        <f t="shared" si="17"/>
        <v>639029.71099852026</v>
      </c>
      <c r="J165" s="5">
        <f t="shared" si="18"/>
        <v>6.0804259515319058E-3</v>
      </c>
      <c r="L165"/>
      <c r="M165"/>
      <c r="N165"/>
      <c r="T165" s="100"/>
      <c r="U165" s="100"/>
      <c r="V165" s="100"/>
      <c r="W165" s="100"/>
      <c r="X165" s="100"/>
      <c r="Y165" s="100"/>
      <c r="Z165" s="100"/>
      <c r="AA165" s="100"/>
      <c r="AB165" s="100"/>
    </row>
    <row r="166" spans="1:28" x14ac:dyDescent="0.2">
      <c r="A166" s="453">
        <v>42583</v>
      </c>
      <c r="B166" s="459">
        <f>+'Purchased Power Model '!B166</f>
        <v>110653600</v>
      </c>
      <c r="C166" s="480">
        <f>+'Purchased Power Model '!C166</f>
        <v>1.4</v>
      </c>
      <c r="D166" s="480">
        <f>+'Purchased Power Model '!D166</f>
        <v>135.6</v>
      </c>
      <c r="E166" s="443">
        <f>+'Purchased Power Model '!E166</f>
        <v>6.9000000000000006E-2</v>
      </c>
      <c r="F166" s="17">
        <f>+'Purchased Power Model '!F166</f>
        <v>31</v>
      </c>
      <c r="G166" s="17">
        <f>+'Purchased Power Model '!G166</f>
        <v>0</v>
      </c>
      <c r="H166" s="481">
        <f t="shared" si="16"/>
        <v>107671932.39752652</v>
      </c>
      <c r="I166" s="106">
        <f t="shared" si="17"/>
        <v>-2981667.6024734825</v>
      </c>
      <c r="J166" s="5">
        <f t="shared" si="18"/>
        <v>-2.6945961111735021E-2</v>
      </c>
      <c r="L166"/>
      <c r="M166"/>
      <c r="N166"/>
      <c r="T166" s="100"/>
      <c r="U166" s="100"/>
      <c r="V166" s="100"/>
      <c r="W166" s="100"/>
      <c r="X166" s="100"/>
      <c r="Y166" s="100"/>
      <c r="Z166" s="100"/>
      <c r="AA166" s="100"/>
      <c r="AB166" s="100"/>
    </row>
    <row r="167" spans="1:28" x14ac:dyDescent="0.2">
      <c r="A167" s="453">
        <v>42614</v>
      </c>
      <c r="B167" s="459">
        <f>+'Purchased Power Model '!B167</f>
        <v>88623306</v>
      </c>
      <c r="C167" s="480">
        <f>+'Purchased Power Model '!C167</f>
        <v>50.8</v>
      </c>
      <c r="D167" s="480">
        <f>+'Purchased Power Model '!D167</f>
        <v>35.299999999999997</v>
      </c>
      <c r="E167" s="443">
        <f>+'Purchased Power Model '!E167</f>
        <v>6.4000000000000001E-2</v>
      </c>
      <c r="F167" s="17">
        <f>+'Purchased Power Model '!F167</f>
        <v>30</v>
      </c>
      <c r="G167" s="17">
        <f>+'Purchased Power Model '!G167</f>
        <v>1</v>
      </c>
      <c r="H167" s="481">
        <f t="shared" si="16"/>
        <v>85114912.24990277</v>
      </c>
      <c r="I167" s="106">
        <f t="shared" si="17"/>
        <v>-3508393.7500972301</v>
      </c>
      <c r="J167" s="5">
        <f t="shared" si="18"/>
        <v>-3.9587710145875511E-2</v>
      </c>
      <c r="L167"/>
      <c r="M167"/>
      <c r="N167"/>
      <c r="T167" s="100"/>
      <c r="U167" s="100"/>
      <c r="V167" s="100"/>
      <c r="W167" s="100"/>
      <c r="X167" s="100"/>
      <c r="Y167" s="100"/>
      <c r="Z167" s="100"/>
      <c r="AA167" s="100"/>
      <c r="AB167" s="100"/>
    </row>
    <row r="168" spans="1:28" x14ac:dyDescent="0.2">
      <c r="A168" s="453">
        <v>42644</v>
      </c>
      <c r="B168" s="459">
        <f>+'Purchased Power Model '!B168</f>
        <v>81876959.846153855</v>
      </c>
      <c r="C168" s="480">
        <f>+'Purchased Power Model '!C168</f>
        <v>204</v>
      </c>
      <c r="D168" s="480">
        <f>+'Purchased Power Model '!D168</f>
        <v>0.3</v>
      </c>
      <c r="E168" s="443">
        <f>+'Purchased Power Model '!E168</f>
        <v>0.06</v>
      </c>
      <c r="F168" s="17">
        <f>+'Purchased Power Model '!F168</f>
        <v>31</v>
      </c>
      <c r="G168" s="17">
        <f>+'Purchased Power Model '!G168</f>
        <v>1</v>
      </c>
      <c r="H168" s="481">
        <f t="shared" si="16"/>
        <v>88661616.982890844</v>
      </c>
      <c r="I168" s="106">
        <f t="shared" si="17"/>
        <v>6784657.136736989</v>
      </c>
      <c r="J168" s="5">
        <f t="shared" si="18"/>
        <v>8.2864057843443445E-2</v>
      </c>
      <c r="L168"/>
      <c r="M168"/>
      <c r="N168"/>
      <c r="T168" s="100"/>
      <c r="U168" s="100"/>
      <c r="V168" s="100"/>
      <c r="W168" s="100"/>
      <c r="X168" s="100"/>
      <c r="Y168" s="100"/>
      <c r="Z168" s="100"/>
      <c r="AA168" s="100"/>
      <c r="AB168" s="100"/>
    </row>
    <row r="169" spans="1:28" x14ac:dyDescent="0.2">
      <c r="A169" s="453">
        <v>42675</v>
      </c>
      <c r="B169" s="459">
        <f>+'Purchased Power Model '!B169</f>
        <v>84765722.742307693</v>
      </c>
      <c r="C169" s="480">
        <f>+'Purchased Power Model '!C169</f>
        <v>298.5</v>
      </c>
      <c r="D169" s="480">
        <f>+'Purchased Power Model '!D169</f>
        <v>0</v>
      </c>
      <c r="E169" s="443">
        <f>+'Purchased Power Model '!E169</f>
        <v>5.4000000000000006E-2</v>
      </c>
      <c r="F169" s="17">
        <f>+'Purchased Power Model '!F169</f>
        <v>30</v>
      </c>
      <c r="G169" s="17">
        <f>+'Purchased Power Model '!G169</f>
        <v>1</v>
      </c>
      <c r="H169" s="481">
        <f t="shared" si="16"/>
        <v>89990395.029331803</v>
      </c>
      <c r="I169" s="106">
        <f t="shared" si="17"/>
        <v>5224672.2870241106</v>
      </c>
      <c r="J169" s="5">
        <f t="shared" si="18"/>
        <v>6.1636615815892852E-2</v>
      </c>
      <c r="L169"/>
      <c r="M169"/>
      <c r="N169"/>
      <c r="T169" s="100"/>
      <c r="U169" s="100"/>
      <c r="V169" s="100"/>
      <c r="W169" s="100"/>
      <c r="X169" s="100"/>
      <c r="Y169" s="100"/>
      <c r="Z169" s="100"/>
      <c r="AA169" s="100"/>
      <c r="AB169" s="100"/>
    </row>
    <row r="170" spans="1:28" x14ac:dyDescent="0.2">
      <c r="A170" s="453">
        <v>42705</v>
      </c>
      <c r="B170" s="459">
        <f>+'Purchased Power Model '!B170</f>
        <v>100061668.77</v>
      </c>
      <c r="C170" s="480">
        <f>+'Purchased Power Model '!C170</f>
        <v>483.4</v>
      </c>
      <c r="D170" s="480">
        <f>+'Purchased Power Model '!D170</f>
        <v>0</v>
      </c>
      <c r="E170" s="443">
        <f>+'Purchased Power Model '!E170</f>
        <v>5.2000000000000005E-2</v>
      </c>
      <c r="F170" s="17">
        <f>+'Purchased Power Model '!F170</f>
        <v>31</v>
      </c>
      <c r="G170" s="17">
        <f>+'Purchased Power Model '!G170</f>
        <v>0</v>
      </c>
      <c r="H170" s="481">
        <f t="shared" si="16"/>
        <v>106712530.94713958</v>
      </c>
      <c r="I170" s="106">
        <f t="shared" si="17"/>
        <v>6650862.1771395802</v>
      </c>
      <c r="J170" s="5">
        <f t="shared" si="18"/>
        <v>6.6467632000293098E-2</v>
      </c>
      <c r="L170"/>
      <c r="M170"/>
      <c r="N170"/>
      <c r="T170" s="100"/>
      <c r="U170" s="100"/>
      <c r="V170" s="100"/>
      <c r="W170" s="100"/>
      <c r="X170" s="100"/>
      <c r="Y170" s="100"/>
      <c r="Z170" s="100"/>
      <c r="AA170" s="100"/>
      <c r="AB170" s="100"/>
    </row>
    <row r="171" spans="1:28" x14ac:dyDescent="0.2">
      <c r="A171" s="453">
        <v>42736</v>
      </c>
      <c r="B171" s="459">
        <f>+'Purchased Power Model '!B171</f>
        <v>100646849</v>
      </c>
      <c r="C171" s="480">
        <f>+'Purchased Power Model '!C171</f>
        <v>584</v>
      </c>
      <c r="D171" s="480">
        <f ca="1">+'Purchased Power Model '!D171</f>
        <v>0</v>
      </c>
      <c r="E171" s="443">
        <f>+'Purchased Power Model '!E171</f>
        <v>5.2999999999999999E-2</v>
      </c>
      <c r="F171" s="17">
        <f>+'Purchased Power Model '!F171</f>
        <v>31</v>
      </c>
      <c r="G171" s="17">
        <f>+'Purchased Power Model '!G171</f>
        <v>0</v>
      </c>
      <c r="H171" s="481">
        <f t="shared" ca="1" si="16"/>
        <v>110499410.96300498</v>
      </c>
      <c r="I171" s="106">
        <f t="shared" ca="1" si="17"/>
        <v>9852561.9630049765</v>
      </c>
      <c r="J171" s="5">
        <f t="shared" ca="1" si="18"/>
        <v>9.7892403596311059E-2</v>
      </c>
      <c r="L171"/>
      <c r="M171"/>
      <c r="N171"/>
      <c r="T171" s="100"/>
      <c r="U171" s="100"/>
      <c r="V171" s="100"/>
      <c r="W171" s="100"/>
      <c r="X171" s="100"/>
      <c r="Y171" s="100"/>
      <c r="Z171" s="100"/>
      <c r="AA171" s="100"/>
      <c r="AB171" s="100"/>
    </row>
    <row r="172" spans="1:28" x14ac:dyDescent="0.2">
      <c r="A172" s="453">
        <v>42767</v>
      </c>
      <c r="B172" s="459">
        <f>+'Purchased Power Model '!B172</f>
        <v>87854689</v>
      </c>
      <c r="C172" s="480">
        <f>+'Purchased Power Model '!C172</f>
        <v>506</v>
      </c>
      <c r="D172" s="480">
        <f ca="1">+'Purchased Power Model '!D172</f>
        <v>0</v>
      </c>
      <c r="E172" s="443">
        <f>+'Purchased Power Model '!E172</f>
        <v>5.9000000000000004E-2</v>
      </c>
      <c r="F172" s="17">
        <f>+'Purchased Power Model '!F172</f>
        <v>28</v>
      </c>
      <c r="G172" s="17">
        <f>+'Purchased Power Model '!G172</f>
        <v>0</v>
      </c>
      <c r="H172" s="481">
        <f t="shared" ca="1" si="16"/>
        <v>98884600.814744189</v>
      </c>
      <c r="I172" s="106">
        <f t="shared" ca="1" si="17"/>
        <v>11029911.814744189</v>
      </c>
      <c r="J172" s="5">
        <f t="shared" ca="1" si="18"/>
        <v>0.12554721825654849</v>
      </c>
      <c r="L172"/>
      <c r="M172"/>
      <c r="N172"/>
      <c r="T172" s="100"/>
      <c r="U172" s="100"/>
      <c r="V172" s="100"/>
      <c r="W172" s="100"/>
      <c r="X172" s="100"/>
      <c r="Y172" s="100"/>
      <c r="Z172" s="100"/>
      <c r="AA172" s="100"/>
      <c r="AB172" s="100"/>
    </row>
    <row r="173" spans="1:28" x14ac:dyDescent="0.2">
      <c r="A173" s="453">
        <v>42795</v>
      </c>
      <c r="B173" s="459">
        <f>+'Purchased Power Model '!B173</f>
        <v>87926013</v>
      </c>
      <c r="C173" s="480">
        <f>+'Purchased Power Model '!C173</f>
        <v>561</v>
      </c>
      <c r="D173" s="480">
        <f ca="1">+'Purchased Power Model '!D173</f>
        <v>0</v>
      </c>
      <c r="E173" s="443">
        <f>+'Purchased Power Model '!E173</f>
        <v>6.2E-2</v>
      </c>
      <c r="F173" s="17">
        <f>+'Purchased Power Model '!F173</f>
        <v>31</v>
      </c>
      <c r="G173" s="17">
        <f>+'Purchased Power Model '!G173</f>
        <v>1</v>
      </c>
      <c r="H173" s="481">
        <f t="shared" ca="1" si="16"/>
        <v>102173774.61216182</v>
      </c>
      <c r="I173" s="106">
        <f t="shared" ca="1" si="17"/>
        <v>14247761.612161815</v>
      </c>
      <c r="J173" s="5">
        <f t="shared" ca="1" si="18"/>
        <v>0.16204262113149398</v>
      </c>
      <c r="L173"/>
      <c r="M173"/>
      <c r="N173"/>
      <c r="T173" s="100"/>
      <c r="U173" s="100"/>
      <c r="V173" s="100"/>
      <c r="W173" s="100"/>
      <c r="X173" s="100"/>
      <c r="Y173" s="100"/>
      <c r="Z173" s="100"/>
      <c r="AA173" s="100"/>
      <c r="AB173" s="100"/>
    </row>
    <row r="174" spans="1:28" x14ac:dyDescent="0.2">
      <c r="A174" s="3">
        <v>42826</v>
      </c>
      <c r="B174" s="470">
        <f>+H174</f>
        <v>93183987.223823041</v>
      </c>
      <c r="C174" s="436">
        <f>(+C162/SUM(C$159:C$170))*Trends!B$21</f>
        <v>408.41172620811477</v>
      </c>
      <c r="D174" s="436">
        <f>(+D162/SUM(D$159:D$170))*Trends!C$21</f>
        <v>0</v>
      </c>
      <c r="E174" s="437">
        <f>+'Purchased Power Model '!E174</f>
        <v>6.7312499999999997E-2</v>
      </c>
      <c r="F174" s="439">
        <f>+'Purchased Power Model '!F174</f>
        <v>30</v>
      </c>
      <c r="G174" s="439">
        <f>+'Purchased Power Model '!G174</f>
        <v>1</v>
      </c>
      <c r="H174" s="471">
        <f t="shared" si="8"/>
        <v>93183987.223823041</v>
      </c>
      <c r="I174" s="106"/>
      <c r="J174" s="5"/>
      <c r="L174"/>
      <c r="M174"/>
      <c r="N174"/>
      <c r="T174" s="100"/>
      <c r="U174" s="100"/>
      <c r="V174" s="100"/>
      <c r="W174" s="100"/>
      <c r="X174" s="100"/>
      <c r="Y174" s="100"/>
      <c r="Z174" s="100"/>
      <c r="AA174" s="100"/>
      <c r="AB174" s="100"/>
    </row>
    <row r="175" spans="1:28" x14ac:dyDescent="0.2">
      <c r="A175" s="3">
        <v>42856</v>
      </c>
      <c r="B175" s="470">
        <f t="shared" ref="B175:B206" si="19">+H175</f>
        <v>88310830.51553005</v>
      </c>
      <c r="C175" s="436">
        <f>(+C163/SUM(C$159:C$170))*Trends!B$21</f>
        <v>159.04727806587644</v>
      </c>
      <c r="D175" s="436">
        <f>(+D163/SUM(D$159:D$170))*Trends!C$21</f>
        <v>12.959921148972116</v>
      </c>
      <c r="E175" s="437">
        <f>+'Purchased Power Model '!E175</f>
        <v>6.7312499999999997E-2</v>
      </c>
      <c r="F175" s="439">
        <f>+'Purchased Power Model '!F175</f>
        <v>31</v>
      </c>
      <c r="G175" s="439">
        <f>+'Purchased Power Model '!G175</f>
        <v>1</v>
      </c>
      <c r="H175" s="471">
        <f t="shared" si="8"/>
        <v>88310830.51553005</v>
      </c>
      <c r="I175" s="106"/>
      <c r="J175" s="5"/>
      <c r="L175"/>
      <c r="M175"/>
      <c r="N175"/>
      <c r="T175" s="100"/>
      <c r="U175" s="100"/>
      <c r="V175" s="100"/>
      <c r="W175" s="100"/>
      <c r="X175" s="100"/>
      <c r="Y175" s="100"/>
      <c r="Z175" s="100"/>
      <c r="AA175" s="100"/>
      <c r="AB175" s="100"/>
    </row>
    <row r="176" spans="1:28" x14ac:dyDescent="0.2">
      <c r="A176" s="3">
        <v>42887</v>
      </c>
      <c r="B176" s="470">
        <f t="shared" si="19"/>
        <v>90182847.905123025</v>
      </c>
      <c r="C176" s="436">
        <f>(+C164/SUM(C$159:C$170))*Trends!B$21</f>
        <v>37.849960878732617</v>
      </c>
      <c r="D176" s="436">
        <f>(+D164/SUM(D$159:D$170))*Trends!C$21</f>
        <v>29.260028161081376</v>
      </c>
      <c r="E176" s="437">
        <f>+'Purchased Power Model '!E176</f>
        <v>6.7312499999999997E-2</v>
      </c>
      <c r="F176" s="439">
        <f>+'Purchased Power Model '!F176</f>
        <v>30</v>
      </c>
      <c r="G176" s="439">
        <f>+'Purchased Power Model '!G176</f>
        <v>0</v>
      </c>
      <c r="H176" s="471">
        <f t="shared" si="8"/>
        <v>90182847.905123025</v>
      </c>
      <c r="I176" s="106"/>
      <c r="J176" s="5"/>
      <c r="L176"/>
      <c r="M176"/>
      <c r="N176"/>
      <c r="T176" s="100"/>
      <c r="U176" s="100"/>
      <c r="V176" s="100"/>
      <c r="W176" s="100"/>
      <c r="X176" s="100"/>
      <c r="Y176" s="100"/>
      <c r="Z176" s="100"/>
      <c r="AA176" s="100"/>
      <c r="AB176" s="100"/>
    </row>
    <row r="177" spans="1:28" x14ac:dyDescent="0.2">
      <c r="A177" s="3">
        <v>42917</v>
      </c>
      <c r="B177" s="470">
        <f t="shared" si="19"/>
        <v>99469521.087811947</v>
      </c>
      <c r="C177" s="436">
        <f>(+C165/SUM(C$159:C$170))*Trends!B$21</f>
        <v>2.3232712559835873</v>
      </c>
      <c r="D177" s="436">
        <f>(+D165/SUM(D$159:D$170))*Trends!C$21</f>
        <v>80.632086736130645</v>
      </c>
      <c r="E177" s="437">
        <f>+'Purchased Power Model '!E177</f>
        <v>6.6562659999999996E-2</v>
      </c>
      <c r="F177" s="439">
        <f>+'Purchased Power Model '!F177</f>
        <v>31</v>
      </c>
      <c r="G177" s="439">
        <f>+'Purchased Power Model '!G177</f>
        <v>0</v>
      </c>
      <c r="H177" s="471">
        <f t="shared" si="8"/>
        <v>99469521.087811947</v>
      </c>
      <c r="I177" s="106"/>
      <c r="J177" s="5"/>
      <c r="L177"/>
      <c r="M177"/>
      <c r="N177"/>
      <c r="T177" s="100"/>
      <c r="U177" s="100"/>
      <c r="V177" s="100"/>
      <c r="W177" s="100"/>
      <c r="X177" s="100"/>
      <c r="Y177" s="100"/>
      <c r="Z177" s="100"/>
      <c r="AA177" s="100"/>
      <c r="AB177" s="100"/>
    </row>
    <row r="178" spans="1:28" x14ac:dyDescent="0.2">
      <c r="A178" s="3">
        <v>42948</v>
      </c>
      <c r="B178" s="470">
        <f t="shared" si="19"/>
        <v>100958165.93080014</v>
      </c>
      <c r="C178" s="436">
        <f>(+C166/SUM(C$159:C$170))*Trends!B$21</f>
        <v>1.355241565990426</v>
      </c>
      <c r="D178" s="436">
        <f>(+D166/SUM(D$159:D$170))*Trends!C$21</f>
        <v>90.585840608279341</v>
      </c>
      <c r="E178" s="437">
        <f>+'Purchased Power Model '!E178</f>
        <v>6.6562659999999996E-2</v>
      </c>
      <c r="F178" s="439">
        <f>+'Purchased Power Model '!F178</f>
        <v>31</v>
      </c>
      <c r="G178" s="439">
        <f>+'Purchased Power Model '!G178</f>
        <v>0</v>
      </c>
      <c r="H178" s="471">
        <f t="shared" si="8"/>
        <v>100958165.93080014</v>
      </c>
      <c r="I178" s="106"/>
      <c r="J178" s="5"/>
      <c r="L178"/>
      <c r="M178"/>
      <c r="N178"/>
      <c r="T178" s="100"/>
      <c r="U178" s="100"/>
      <c r="V178" s="100"/>
      <c r="W178" s="100"/>
      <c r="X178" s="100"/>
      <c r="Y178" s="100"/>
      <c r="Z178" s="100"/>
      <c r="AA178" s="100"/>
      <c r="AB178" s="100"/>
    </row>
    <row r="179" spans="1:28" x14ac:dyDescent="0.2">
      <c r="A179" s="3">
        <v>42979</v>
      </c>
      <c r="B179" s="470">
        <f t="shared" si="19"/>
        <v>83058286.495007068</v>
      </c>
      <c r="C179" s="436">
        <f>(+C167/SUM(C$159:C$170))*Trends!B$21</f>
        <v>49.175908251652601</v>
      </c>
      <c r="D179" s="436">
        <f>(+D167/SUM(D$159:D$170))*Trends!C$21</f>
        <v>23.581712193748235</v>
      </c>
      <c r="E179" s="437">
        <f>+'Purchased Power Model '!E179</f>
        <v>6.6562659999999996E-2</v>
      </c>
      <c r="F179" s="439">
        <f>+'Purchased Power Model '!F179</f>
        <v>30</v>
      </c>
      <c r="G179" s="439">
        <f>+'Purchased Power Model '!G179</f>
        <v>1</v>
      </c>
      <c r="H179" s="471">
        <f t="shared" si="8"/>
        <v>83058286.495007068</v>
      </c>
      <c r="I179" s="106"/>
      <c r="J179" s="107"/>
      <c r="L179"/>
      <c r="M179"/>
      <c r="N179"/>
      <c r="T179" s="100"/>
      <c r="U179" s="100"/>
      <c r="V179" s="100"/>
      <c r="W179" s="100"/>
      <c r="X179" s="100"/>
      <c r="Y179" s="100"/>
      <c r="Z179" s="100"/>
      <c r="AA179" s="100"/>
      <c r="AB179" s="100"/>
    </row>
    <row r="180" spans="1:28" x14ac:dyDescent="0.2">
      <c r="A180" s="3">
        <v>43009</v>
      </c>
      <c r="B180" s="470">
        <f t="shared" si="19"/>
        <v>87937242.534809381</v>
      </c>
      <c r="C180" s="436">
        <f>(+C168/SUM(C$159:C$170))*Trends!B$21</f>
        <v>197.47805675860496</v>
      </c>
      <c r="D180" s="436">
        <f>(+D168/SUM(D$159:D$170))*Trends!C$21</f>
        <v>0.20041115178822863</v>
      </c>
      <c r="E180" s="437">
        <f>+'Purchased Power Model '!E180</f>
        <v>6.5937659999999995E-2</v>
      </c>
      <c r="F180" s="439">
        <f>+'Purchased Power Model '!F180</f>
        <v>31</v>
      </c>
      <c r="G180" s="439">
        <f>+'Purchased Power Model '!G180</f>
        <v>1</v>
      </c>
      <c r="H180" s="471">
        <f t="shared" si="8"/>
        <v>87937242.534809381</v>
      </c>
      <c r="I180" s="106"/>
      <c r="J180" s="107"/>
      <c r="L180"/>
      <c r="M180"/>
      <c r="N180"/>
      <c r="T180" s="100"/>
      <c r="U180" s="100"/>
      <c r="V180" s="100"/>
      <c r="W180" s="100"/>
      <c r="X180" s="100"/>
      <c r="Y180" s="100"/>
      <c r="Z180" s="100"/>
      <c r="AA180" s="100"/>
      <c r="AB180" s="100"/>
    </row>
    <row r="181" spans="1:28" x14ac:dyDescent="0.2">
      <c r="A181" s="3">
        <v>43040</v>
      </c>
      <c r="B181" s="470">
        <f t="shared" si="19"/>
        <v>88701829.74937129</v>
      </c>
      <c r="C181" s="436">
        <f>(+C169/SUM(C$159:C$170))*Trends!B$21</f>
        <v>288.95686246295872</v>
      </c>
      <c r="D181" s="436">
        <f>(+D169/SUM(D$159:D$170))*Trends!C$21</f>
        <v>0</v>
      </c>
      <c r="E181" s="437">
        <f>+'Purchased Power Model '!E181</f>
        <v>6.5937659999999995E-2</v>
      </c>
      <c r="F181" s="439">
        <f>+'Purchased Power Model '!F181</f>
        <v>30</v>
      </c>
      <c r="G181" s="439">
        <f>+'Purchased Power Model '!G181</f>
        <v>1</v>
      </c>
      <c r="H181" s="471">
        <f t="shared" si="8"/>
        <v>88701829.74937129</v>
      </c>
      <c r="I181" s="106"/>
      <c r="J181" s="107"/>
      <c r="L181"/>
      <c r="M181"/>
      <c r="N181"/>
      <c r="T181" s="100"/>
      <c r="U181" s="100"/>
      <c r="V181" s="100"/>
      <c r="W181" s="100"/>
      <c r="X181" s="100"/>
      <c r="Y181" s="100"/>
      <c r="Z181" s="100"/>
      <c r="AA181" s="100"/>
      <c r="AB181" s="100"/>
    </row>
    <row r="182" spans="1:28" x14ac:dyDescent="0.2">
      <c r="A182" s="3">
        <v>43070</v>
      </c>
      <c r="B182" s="470">
        <f t="shared" si="19"/>
        <v>105042437.90004249</v>
      </c>
      <c r="C182" s="436">
        <f>(+C170/SUM(C$159:C$170))*Trends!B$21</f>
        <v>467.94555214269428</v>
      </c>
      <c r="D182" s="436">
        <f>(+D170/SUM(D$159:D$170))*Trends!C$21</f>
        <v>0</v>
      </c>
      <c r="E182" s="437">
        <f>+'Purchased Power Model '!E182</f>
        <v>6.5937659999999995E-2</v>
      </c>
      <c r="F182" s="439">
        <f>+'Purchased Power Model '!F182</f>
        <v>31</v>
      </c>
      <c r="G182" s="439">
        <f>+'Purchased Power Model '!G182</f>
        <v>0</v>
      </c>
      <c r="H182" s="471">
        <f t="shared" si="8"/>
        <v>105042437.90004249</v>
      </c>
      <c r="I182" s="106"/>
      <c r="J182" s="107"/>
      <c r="L182"/>
      <c r="M182"/>
      <c r="N182"/>
      <c r="T182" s="100"/>
      <c r="U182" s="100"/>
      <c r="V182" s="100"/>
      <c r="W182" s="100"/>
      <c r="X182" s="100"/>
      <c r="Y182" s="100"/>
      <c r="Z182" s="100"/>
      <c r="AA182" s="100"/>
      <c r="AB182" s="100"/>
    </row>
    <row r="183" spans="1:28" x14ac:dyDescent="0.2">
      <c r="A183" s="3">
        <v>43101</v>
      </c>
      <c r="B183" s="470">
        <f t="shared" ca="1" si="19"/>
        <v>108761285.21551423</v>
      </c>
      <c r="C183" s="436">
        <f>(+C171/SUM(C$159:C$170))*Trends!B$21</f>
        <v>565.32933895600627</v>
      </c>
      <c r="D183" s="436">
        <f ca="1">(+D171/SUM(D$159:D$170))*Trends!C$21</f>
        <v>0</v>
      </c>
      <c r="E183" s="437">
        <f>+'Purchased Power Model '!E183</f>
        <v>6.6219020000000003E-2</v>
      </c>
      <c r="F183" s="439">
        <f>+'Purchased Power Model '!F183</f>
        <v>31</v>
      </c>
      <c r="G183" s="439">
        <f>+'Purchased Power Model '!G183</f>
        <v>0</v>
      </c>
      <c r="H183" s="471">
        <f t="shared" ca="1" si="8"/>
        <v>108761285.21551423</v>
      </c>
      <c r="I183" s="106"/>
      <c r="J183" s="107"/>
      <c r="L183"/>
      <c r="M183"/>
      <c r="N183"/>
      <c r="T183" s="100"/>
      <c r="U183" s="100"/>
      <c r="V183" s="100"/>
      <c r="W183" s="100"/>
      <c r="X183" s="100"/>
      <c r="Y183" s="100"/>
      <c r="Z183" s="100"/>
      <c r="AA183" s="100"/>
      <c r="AB183" s="100"/>
    </row>
    <row r="184" spans="1:28" x14ac:dyDescent="0.2">
      <c r="A184" s="3">
        <v>43132</v>
      </c>
      <c r="B184" s="470">
        <f t="shared" ca="1" si="19"/>
        <v>97705670.013603047</v>
      </c>
      <c r="C184" s="436">
        <f>(+C172/SUM(C$159:C$170))*Trends!B$21</f>
        <v>489.82302313653969</v>
      </c>
      <c r="D184" s="436">
        <f ca="1">(+D172/SUM(D$159:D$170))*Trends!C$21</f>
        <v>0</v>
      </c>
      <c r="E184" s="437">
        <f>+'Purchased Power Model '!E184</f>
        <v>6.6219020000000003E-2</v>
      </c>
      <c r="F184" s="439">
        <f>+'Purchased Power Model '!F184</f>
        <v>28</v>
      </c>
      <c r="G184" s="439">
        <f>+'Purchased Power Model '!G184</f>
        <v>0</v>
      </c>
      <c r="H184" s="471">
        <f t="shared" ca="1" si="8"/>
        <v>97705670.013603047</v>
      </c>
      <c r="I184" s="106"/>
      <c r="J184" s="107"/>
      <c r="L184"/>
      <c r="M184"/>
      <c r="N184"/>
      <c r="T184" s="100"/>
      <c r="U184" s="100"/>
      <c r="V184" s="100"/>
      <c r="W184" s="100"/>
      <c r="X184" s="100"/>
      <c r="Y184" s="100"/>
      <c r="Z184" s="100"/>
      <c r="AA184" s="100"/>
      <c r="AB184" s="100"/>
    </row>
    <row r="185" spans="1:28" x14ac:dyDescent="0.2">
      <c r="A185" s="3">
        <v>43160</v>
      </c>
      <c r="B185" s="470">
        <f t="shared" ca="1" si="19"/>
        <v>101159009.13530591</v>
      </c>
      <c r="C185" s="436">
        <f>(+C173/SUM(C$159:C$170))*Trends!B$21</f>
        <v>543.06465608616361</v>
      </c>
      <c r="D185" s="436">
        <f ca="1">(+D173/SUM(D$159:D$170))*Trends!C$21</f>
        <v>0</v>
      </c>
      <c r="E185" s="437">
        <f>+'Purchased Power Model '!E185</f>
        <v>6.6219020000000003E-2</v>
      </c>
      <c r="F185" s="439">
        <f>+'Purchased Power Model '!F185</f>
        <v>31</v>
      </c>
      <c r="G185" s="439">
        <f>+'Purchased Power Model '!G185</f>
        <v>1</v>
      </c>
      <c r="H185" s="471">
        <f t="shared" ca="1" si="8"/>
        <v>101159009.13530591</v>
      </c>
      <c r="I185" s="106"/>
      <c r="J185" s="107"/>
      <c r="L185"/>
      <c r="M185"/>
      <c r="N185"/>
      <c r="T185" s="100"/>
      <c r="U185" s="100"/>
      <c r="V185" s="100"/>
      <c r="W185" s="100"/>
      <c r="X185" s="100"/>
      <c r="Y185" s="100"/>
      <c r="Z185" s="100"/>
      <c r="AA185" s="100"/>
      <c r="AB185" s="100"/>
    </row>
    <row r="186" spans="1:28" x14ac:dyDescent="0.2">
      <c r="A186" s="3">
        <v>43191</v>
      </c>
      <c r="B186" s="470">
        <f t="shared" si="19"/>
        <v>92820048.284541696</v>
      </c>
      <c r="C186" s="436">
        <f>(+C174/SUM(C$159:C$170))*Trends!B$21</f>
        <v>395.35467671081329</v>
      </c>
      <c r="D186" s="436">
        <f>(+D174/SUM(D$159:D$170))*Trends!C$21</f>
        <v>0</v>
      </c>
      <c r="E186" s="437">
        <f>+'Purchased Power Model '!E186</f>
        <v>6.5531039999999999E-2</v>
      </c>
      <c r="F186" s="439">
        <f>+'Purchased Power Model '!F186</f>
        <v>30</v>
      </c>
      <c r="G186" s="439">
        <f>+'Purchased Power Model '!G186</f>
        <v>1</v>
      </c>
      <c r="H186" s="471">
        <f t="shared" si="8"/>
        <v>92820048.284541696</v>
      </c>
      <c r="I186" s="106"/>
      <c r="J186" s="107"/>
      <c r="L186"/>
      <c r="M186"/>
      <c r="N186"/>
      <c r="T186" s="100"/>
      <c r="U186" s="100"/>
      <c r="V186" s="100"/>
      <c r="W186" s="100"/>
      <c r="X186" s="100"/>
      <c r="Y186" s="100"/>
      <c r="Z186" s="100"/>
      <c r="AA186" s="100"/>
      <c r="AB186" s="100"/>
    </row>
    <row r="187" spans="1:28" x14ac:dyDescent="0.2">
      <c r="A187" s="3">
        <v>43221</v>
      </c>
      <c r="B187" s="470">
        <f t="shared" si="19"/>
        <v>87593618.251892298</v>
      </c>
      <c r="C187" s="436">
        <f>(+C175/SUM(C$159:C$170))*Trends!B$21</f>
        <v>153.96248728036653</v>
      </c>
      <c r="D187" s="436">
        <f>(+D175/SUM(D$159:D$170))*Trends!C$21</f>
        <v>8.6577090818337492</v>
      </c>
      <c r="E187" s="437">
        <f>+'Purchased Power Model '!E187</f>
        <v>6.5531039999999999E-2</v>
      </c>
      <c r="F187" s="439">
        <f>+'Purchased Power Model '!F187</f>
        <v>31</v>
      </c>
      <c r="G187" s="439">
        <f>+'Purchased Power Model '!G187</f>
        <v>1</v>
      </c>
      <c r="H187" s="471">
        <f t="shared" si="8"/>
        <v>87593618.251892298</v>
      </c>
      <c r="I187" s="106"/>
      <c r="J187" s="107"/>
      <c r="L187"/>
      <c r="M187"/>
      <c r="N187"/>
      <c r="T187" s="100"/>
      <c r="U187" s="100"/>
      <c r="V187" s="100"/>
      <c r="W187" s="100"/>
      <c r="X187" s="100"/>
      <c r="Y187" s="100"/>
      <c r="Z187" s="100"/>
      <c r="AA187" s="100"/>
      <c r="AB187" s="100"/>
    </row>
    <row r="188" spans="1:28" x14ac:dyDescent="0.2">
      <c r="A188" s="3">
        <v>43252</v>
      </c>
      <c r="B188" s="470">
        <f t="shared" si="19"/>
        <v>88785000.387191728</v>
      </c>
      <c r="C188" s="436">
        <f>(+C176/SUM(C$159:C$170))*Trends!B$21</f>
        <v>36.639885895692828</v>
      </c>
      <c r="D188" s="436">
        <f>(+D176/SUM(D$159:D$170))*Trends!C$21</f>
        <v>19.546786483727747</v>
      </c>
      <c r="E188" s="437">
        <f>+'Purchased Power Model '!E188</f>
        <v>6.5531039999999999E-2</v>
      </c>
      <c r="F188" s="439">
        <f>+'Purchased Power Model '!F188</f>
        <v>30</v>
      </c>
      <c r="G188" s="439">
        <f>+'Purchased Power Model '!G188</f>
        <v>0</v>
      </c>
      <c r="H188" s="471">
        <f t="shared" si="8"/>
        <v>88785000.387191728</v>
      </c>
      <c r="I188" s="106"/>
      <c r="J188" s="107"/>
      <c r="L188"/>
      <c r="M188"/>
      <c r="N188"/>
      <c r="T188" s="100"/>
      <c r="U188" s="100"/>
      <c r="V188" s="100"/>
      <c r="W188" s="100"/>
      <c r="X188" s="100"/>
      <c r="Y188" s="100"/>
      <c r="Z188" s="100"/>
      <c r="AA188" s="100"/>
      <c r="AB188" s="100"/>
    </row>
    <row r="189" spans="1:28" x14ac:dyDescent="0.2">
      <c r="A189" s="3">
        <v>43282</v>
      </c>
      <c r="B189" s="470">
        <f t="shared" si="19"/>
        <v>95510770.943999738</v>
      </c>
      <c r="C189" s="436">
        <f>(+C177/SUM(C$159:C$170))*Trends!B$21</f>
        <v>2.2489955536998147</v>
      </c>
      <c r="D189" s="436">
        <f>(+D177/SUM(D$159:D$170))*Trends!C$21</f>
        <v>53.865231246254318</v>
      </c>
      <c r="E189" s="437">
        <f>+'Purchased Power Model '!E189</f>
        <v>6.4656290000000005E-2</v>
      </c>
      <c r="F189" s="439">
        <f>+'Purchased Power Model '!F189</f>
        <v>31</v>
      </c>
      <c r="G189" s="439">
        <f>+'Purchased Power Model '!G189</f>
        <v>0</v>
      </c>
      <c r="H189" s="471">
        <f t="shared" si="8"/>
        <v>95510770.943999738</v>
      </c>
      <c r="I189" s="106"/>
      <c r="J189" s="107"/>
      <c r="L189"/>
      <c r="M189"/>
      <c r="N189"/>
      <c r="T189" s="100"/>
      <c r="U189" s="100"/>
      <c r="V189" s="100"/>
      <c r="W189" s="100"/>
      <c r="X189" s="100"/>
      <c r="Y189" s="100"/>
      <c r="Z189" s="100"/>
      <c r="AA189" s="100"/>
      <c r="AB189" s="100"/>
    </row>
    <row r="190" spans="1:28" x14ac:dyDescent="0.2">
      <c r="A190" s="3">
        <v>43313</v>
      </c>
      <c r="B190" s="470">
        <f t="shared" si="19"/>
        <v>96494086.508433923</v>
      </c>
      <c r="C190" s="436">
        <f>(+C178/SUM(C$159:C$170))*Trends!B$21</f>
        <v>1.3119140729915588</v>
      </c>
      <c r="D190" s="436">
        <f>(+D178/SUM(D$159:D$170))*Trends!C$21</f>
        <v>60.514708840033848</v>
      </c>
      <c r="E190" s="437">
        <f>+'Purchased Power Model '!E190</f>
        <v>6.4656290000000005E-2</v>
      </c>
      <c r="F190" s="439">
        <f>+'Purchased Power Model '!F190</f>
        <v>31</v>
      </c>
      <c r="G190" s="439">
        <f>+'Purchased Power Model '!G190</f>
        <v>0</v>
      </c>
      <c r="H190" s="471">
        <f t="shared" si="8"/>
        <v>96494086.508433923</v>
      </c>
      <c r="I190" s="106"/>
      <c r="J190" s="107"/>
      <c r="L190"/>
      <c r="M190"/>
      <c r="N190"/>
      <c r="T190" s="100"/>
      <c r="U190" s="100"/>
      <c r="V190" s="100"/>
      <c r="W190" s="100"/>
      <c r="X190" s="100"/>
      <c r="Y190" s="100"/>
      <c r="Z190" s="100"/>
      <c r="AA190" s="100"/>
      <c r="AB190" s="100"/>
    </row>
    <row r="191" spans="1:28" x14ac:dyDescent="0.2">
      <c r="A191" s="3">
        <v>43344</v>
      </c>
      <c r="B191" s="470">
        <f t="shared" si="19"/>
        <v>81945131.369939417</v>
      </c>
      <c r="C191" s="436">
        <f>(+C179/SUM(C$159:C$170))*Trends!B$21</f>
        <v>47.603739219979417</v>
      </c>
      <c r="D191" s="436">
        <f>(+D179/SUM(D$159:D$170))*Trends!C$21</f>
        <v>15.753460339625333</v>
      </c>
      <c r="E191" s="437">
        <f>+'Purchased Power Model '!E191</f>
        <v>6.4656290000000005E-2</v>
      </c>
      <c r="F191" s="439">
        <f>+'Purchased Power Model '!F191</f>
        <v>30</v>
      </c>
      <c r="G191" s="439">
        <f>+'Purchased Power Model '!G191</f>
        <v>1</v>
      </c>
      <c r="H191" s="471">
        <f t="shared" si="8"/>
        <v>81945131.369939417</v>
      </c>
      <c r="I191" s="106"/>
      <c r="J191" s="107"/>
      <c r="L191"/>
      <c r="M191"/>
      <c r="N191"/>
      <c r="T191" s="100"/>
      <c r="U191" s="100"/>
      <c r="V191" s="100"/>
      <c r="W191" s="100"/>
      <c r="X191" s="100"/>
      <c r="Y191" s="100"/>
      <c r="Z191" s="100"/>
      <c r="AA191" s="100"/>
      <c r="AB191" s="100"/>
    </row>
    <row r="192" spans="1:28" x14ac:dyDescent="0.2">
      <c r="A192" s="3">
        <v>43374</v>
      </c>
      <c r="B192" s="470">
        <f t="shared" si="19"/>
        <v>87865588.476217896</v>
      </c>
      <c r="C192" s="436">
        <f>(+C180/SUM(C$159:C$170))*Trends!B$21</f>
        <v>191.16462206448432</v>
      </c>
      <c r="D192" s="436">
        <f>(+D180/SUM(D$159:D$170))*Trends!C$21</f>
        <v>0.13388209920361471</v>
      </c>
      <c r="E192" s="437">
        <f>+'Purchased Power Model '!E192</f>
        <v>6.3593549999999999E-2</v>
      </c>
      <c r="F192" s="439">
        <f>+'Purchased Power Model '!F192</f>
        <v>31</v>
      </c>
      <c r="G192" s="439">
        <f>+'Purchased Power Model '!G192</f>
        <v>1</v>
      </c>
      <c r="H192" s="471">
        <f t="shared" si="8"/>
        <v>87865588.476217896</v>
      </c>
      <c r="I192" s="106"/>
      <c r="J192" s="107"/>
      <c r="L192"/>
      <c r="M192"/>
      <c r="N192"/>
      <c r="T192" s="100"/>
      <c r="U192" s="100"/>
      <c r="V192" s="100"/>
      <c r="W192" s="100"/>
      <c r="X192" s="100"/>
      <c r="Y192" s="100"/>
      <c r="Z192" s="100"/>
      <c r="AA192" s="100"/>
      <c r="AB192" s="100"/>
    </row>
    <row r="193" spans="1:28" x14ac:dyDescent="0.2">
      <c r="A193" s="3">
        <v>43405</v>
      </c>
      <c r="B193" s="470">
        <f t="shared" si="19"/>
        <v>88528037.921885669</v>
      </c>
      <c r="C193" s="436">
        <f>(+C181/SUM(C$159:C$170))*Trends!B$21</f>
        <v>279.71882199141453</v>
      </c>
      <c r="D193" s="436">
        <f>(+D181/SUM(D$159:D$170))*Trends!C$21</f>
        <v>0</v>
      </c>
      <c r="E193" s="437">
        <f>+'Purchased Power Model '!E193</f>
        <v>6.3593549999999999E-2</v>
      </c>
      <c r="F193" s="439">
        <f>+'Purchased Power Model '!F193</f>
        <v>30</v>
      </c>
      <c r="G193" s="439">
        <f>+'Purchased Power Model '!G193</f>
        <v>1</v>
      </c>
      <c r="H193" s="471">
        <f t="shared" si="8"/>
        <v>88528037.921885669</v>
      </c>
      <c r="I193" s="106"/>
      <c r="J193" s="107"/>
      <c r="L193"/>
      <c r="M193"/>
      <c r="N193"/>
      <c r="T193" s="100"/>
      <c r="U193" s="100"/>
      <c r="V193" s="100"/>
      <c r="W193" s="100"/>
      <c r="X193" s="100"/>
      <c r="Y193" s="100"/>
      <c r="Z193" s="100"/>
      <c r="AA193" s="100"/>
      <c r="AB193" s="100"/>
    </row>
    <row r="194" spans="1:28" x14ac:dyDescent="0.2">
      <c r="A194" s="3">
        <v>43435</v>
      </c>
      <c r="B194" s="470">
        <f t="shared" si="19"/>
        <v>104648847.67812434</v>
      </c>
      <c r="C194" s="436">
        <f>(+C182/SUM(C$159:C$170))*Trends!B$21</f>
        <v>452.98518777437113</v>
      </c>
      <c r="D194" s="436">
        <f>(+D182/SUM(D$159:D$170))*Trends!C$21</f>
        <v>0</v>
      </c>
      <c r="E194" s="437">
        <f>+'Purchased Power Model '!E194</f>
        <v>6.3593549999999999E-2</v>
      </c>
      <c r="F194" s="439">
        <f>+'Purchased Power Model '!F194</f>
        <v>31</v>
      </c>
      <c r="G194" s="439">
        <f>+'Purchased Power Model '!G194</f>
        <v>0</v>
      </c>
      <c r="H194" s="471">
        <f t="shared" si="8"/>
        <v>104648847.67812434</v>
      </c>
      <c r="I194" s="106"/>
      <c r="J194" s="107"/>
      <c r="L194"/>
      <c r="M194"/>
      <c r="N194"/>
      <c r="T194" s="100"/>
      <c r="U194" s="100"/>
      <c r="V194" s="100"/>
      <c r="W194" s="100"/>
      <c r="X194" s="100"/>
      <c r="Y194" s="100"/>
      <c r="Z194" s="100"/>
      <c r="AA194" s="100"/>
      <c r="AB194" s="100"/>
    </row>
    <row r="195" spans="1:28" x14ac:dyDescent="0.2">
      <c r="A195" s="3">
        <v>43466</v>
      </c>
      <c r="B195" s="470">
        <f t="shared" ca="1" si="19"/>
        <v>108366360.72290294</v>
      </c>
      <c r="C195" s="436">
        <f>(+C183/SUM(C$159:C$170))*Trends!B$21</f>
        <v>547.25558473362173</v>
      </c>
      <c r="D195" s="436">
        <f ca="1">(+D183/SUM(D$159:D$170))*Trends!C$21</f>
        <v>0</v>
      </c>
      <c r="E195" s="437">
        <f>+'Purchased Power Model '!E195</f>
        <v>6.2343830000000003E-2</v>
      </c>
      <c r="F195" s="439">
        <f>+'Purchased Power Model '!F195</f>
        <v>31</v>
      </c>
      <c r="G195" s="439">
        <f>+'Purchased Power Model '!G195</f>
        <v>0</v>
      </c>
      <c r="H195" s="471">
        <f t="shared" ca="1" si="8"/>
        <v>108366360.72290294</v>
      </c>
      <c r="I195" s="106"/>
      <c r="J195" s="107"/>
      <c r="L195"/>
      <c r="M195"/>
      <c r="N195"/>
      <c r="T195" s="100"/>
      <c r="U195" s="100"/>
      <c r="V195" s="100"/>
      <c r="W195" s="100"/>
      <c r="X195" s="100"/>
      <c r="Y195" s="100"/>
      <c r="Z195" s="100"/>
      <c r="AA195" s="100"/>
      <c r="AB195" s="100"/>
    </row>
    <row r="196" spans="1:28" x14ac:dyDescent="0.2">
      <c r="A196" s="3">
        <v>43497</v>
      </c>
      <c r="B196" s="470">
        <f t="shared" ca="1" si="19"/>
        <v>97403467.396414891</v>
      </c>
      <c r="C196" s="436">
        <f>(+C184/SUM(C$159:C$170))*Trends!B$21</f>
        <v>474.16322923837765</v>
      </c>
      <c r="D196" s="436">
        <f ca="1">(+D184/SUM(D$159:D$170))*Trends!C$21</f>
        <v>0</v>
      </c>
      <c r="E196" s="437">
        <f>+'Purchased Power Model '!E196</f>
        <v>6.2343830000000003E-2</v>
      </c>
      <c r="F196" s="439">
        <f>+'Purchased Power Model '!F196</f>
        <v>28</v>
      </c>
      <c r="G196" s="439">
        <f>+'Purchased Power Model '!G196</f>
        <v>0</v>
      </c>
      <c r="H196" s="471">
        <f t="shared" ref="H196:H206" ca="1" si="20">$M$18+C196*$M$19+D196*$M$20+E196*$M$21+F196*$M$22+G196*$M$23</f>
        <v>97403467.396414891</v>
      </c>
      <c r="I196" s="106"/>
      <c r="J196" s="107"/>
      <c r="L196"/>
      <c r="M196"/>
      <c r="N196"/>
      <c r="T196" s="100"/>
      <c r="U196" s="100"/>
      <c r="V196" s="100"/>
      <c r="W196" s="100"/>
      <c r="X196" s="100"/>
      <c r="Y196" s="100"/>
      <c r="Z196" s="100"/>
      <c r="AA196" s="100"/>
      <c r="AB196" s="100"/>
    </row>
    <row r="197" spans="1:28" x14ac:dyDescent="0.2">
      <c r="A197" s="3">
        <v>43525</v>
      </c>
      <c r="B197" s="470">
        <f t="shared" ca="1" si="19"/>
        <v>100791425.70852451</v>
      </c>
      <c r="C197" s="436">
        <f>(+C185/SUM(C$159:C$170))*Trends!B$21</f>
        <v>525.70271067733177</v>
      </c>
      <c r="D197" s="436">
        <f ca="1">(+D185/SUM(D$159:D$170))*Trends!C$21</f>
        <v>0</v>
      </c>
      <c r="E197" s="437">
        <f>+'Purchased Power Model '!E197</f>
        <v>6.2343830000000003E-2</v>
      </c>
      <c r="F197" s="439">
        <f>+'Purchased Power Model '!F197</f>
        <v>31</v>
      </c>
      <c r="G197" s="439">
        <f>+'Purchased Power Model '!G197</f>
        <v>1</v>
      </c>
      <c r="H197" s="471">
        <f t="shared" ca="1" si="20"/>
        <v>100791425.70852451</v>
      </c>
      <c r="I197" s="106"/>
      <c r="J197" s="107"/>
      <c r="L197"/>
      <c r="M197"/>
      <c r="N197"/>
      <c r="T197" s="100"/>
      <c r="U197" s="100"/>
      <c r="V197" s="100"/>
      <c r="W197" s="100"/>
      <c r="X197" s="100"/>
      <c r="Y197" s="100"/>
      <c r="Z197" s="100"/>
      <c r="AA197" s="100"/>
      <c r="AB197" s="100"/>
    </row>
    <row r="198" spans="1:28" x14ac:dyDescent="0.2">
      <c r="A198" s="3">
        <v>43556</v>
      </c>
      <c r="B198" s="470">
        <f t="shared" si="19"/>
        <v>92691740.68167752</v>
      </c>
      <c r="C198" s="436">
        <f>(+C186/SUM(C$159:C$170))*Trends!B$21</f>
        <v>382.7150651337152</v>
      </c>
      <c r="D198" s="436">
        <f>(+D186/SUM(D$159:D$170))*Trends!C$21</f>
        <v>0</v>
      </c>
      <c r="E198" s="437">
        <f>+'Purchased Power Model '!E198</f>
        <v>6.0906349999999998E-2</v>
      </c>
      <c r="F198" s="439">
        <f>+'Purchased Power Model '!F198</f>
        <v>30</v>
      </c>
      <c r="G198" s="439">
        <f>+'Purchased Power Model '!G198</f>
        <v>1</v>
      </c>
      <c r="H198" s="471">
        <f t="shared" si="20"/>
        <v>92691740.68167752</v>
      </c>
      <c r="I198" s="106"/>
      <c r="J198" s="107"/>
      <c r="L198"/>
      <c r="M198"/>
      <c r="N198"/>
      <c r="T198" s="100"/>
      <c r="U198" s="100"/>
      <c r="V198" s="100"/>
      <c r="W198" s="100"/>
      <c r="X198" s="100"/>
      <c r="Y198" s="100"/>
      <c r="Z198" s="100"/>
      <c r="AA198" s="100"/>
      <c r="AB198" s="100"/>
    </row>
    <row r="199" spans="1:28" x14ac:dyDescent="0.2">
      <c r="A199" s="3">
        <v>43586</v>
      </c>
      <c r="B199" s="470">
        <f t="shared" si="19"/>
        <v>87321174.626117021</v>
      </c>
      <c r="C199" s="436">
        <f>(+C187/SUM(C$159:C$170))*Trends!B$21</f>
        <v>149.04025883258927</v>
      </c>
      <c r="D199" s="436">
        <f>(+D187/SUM(D$159:D$170))*Trends!C$21</f>
        <v>5.7836714964590294</v>
      </c>
      <c r="E199" s="437">
        <f>+'Purchased Power Model '!E199</f>
        <v>6.0906349999999998E-2</v>
      </c>
      <c r="F199" s="439">
        <f>+'Purchased Power Model '!F199</f>
        <v>31</v>
      </c>
      <c r="G199" s="439">
        <f>+'Purchased Power Model '!G199</f>
        <v>1</v>
      </c>
      <c r="H199" s="471">
        <f t="shared" si="20"/>
        <v>87321174.626117021</v>
      </c>
      <c r="I199" s="106"/>
      <c r="J199" s="107"/>
      <c r="L199"/>
      <c r="M199"/>
      <c r="N199"/>
      <c r="T199" s="100"/>
      <c r="U199" s="100"/>
      <c r="V199" s="100"/>
      <c r="W199" s="100"/>
      <c r="X199" s="100"/>
      <c r="Y199" s="100"/>
      <c r="Z199" s="100"/>
      <c r="AA199" s="100"/>
      <c r="AB199" s="100"/>
    </row>
    <row r="200" spans="1:28" x14ac:dyDescent="0.2">
      <c r="A200" s="3">
        <v>43617</v>
      </c>
      <c r="B200" s="470">
        <f t="shared" si="19"/>
        <v>88102515.146145687</v>
      </c>
      <c r="C200" s="436">
        <f>(+C188/SUM(C$159:C$170))*Trends!B$21</f>
        <v>35.46849738499234</v>
      </c>
      <c r="D200" s="436">
        <f>(+D188/SUM(D$159:D$170))*Trends!C$21</f>
        <v>13.057979976541523</v>
      </c>
      <c r="E200" s="437">
        <f>+'Purchased Power Model '!E200</f>
        <v>6.0906349999999998E-2</v>
      </c>
      <c r="F200" s="439">
        <f>+'Purchased Power Model '!F200</f>
        <v>30</v>
      </c>
      <c r="G200" s="439">
        <f>+'Purchased Power Model '!G200</f>
        <v>0</v>
      </c>
      <c r="H200" s="471">
        <f t="shared" si="20"/>
        <v>88102515.146145687</v>
      </c>
      <c r="I200" s="106"/>
      <c r="J200" s="107"/>
      <c r="L200"/>
      <c r="M200"/>
      <c r="N200"/>
      <c r="T200" s="100"/>
      <c r="U200" s="100"/>
      <c r="V200" s="100"/>
      <c r="W200" s="100"/>
      <c r="X200" s="100"/>
      <c r="Y200" s="100"/>
      <c r="Z200" s="100"/>
      <c r="AA200" s="100"/>
      <c r="AB200" s="100"/>
    </row>
    <row r="201" spans="1:28" x14ac:dyDescent="0.2">
      <c r="A201" s="3">
        <v>43647</v>
      </c>
      <c r="B201" s="470">
        <f t="shared" si="19"/>
        <v>93182100.722828925</v>
      </c>
      <c r="C201" s="436">
        <f>(+C189/SUM(C$159:C$170))*Trends!B$21</f>
        <v>2.1770944686440306</v>
      </c>
      <c r="D201" s="436">
        <f>(+D189/SUM(D$159:D$170))*Trends!C$21</f>
        <v>35.983976784670361</v>
      </c>
      <c r="E201" s="437">
        <f>+'Purchased Power Model '!E201</f>
        <v>5.928129E-2</v>
      </c>
      <c r="F201" s="439">
        <f>+'Purchased Power Model '!F201</f>
        <v>31</v>
      </c>
      <c r="G201" s="439">
        <f>+'Purchased Power Model '!G201</f>
        <v>0</v>
      </c>
      <c r="H201" s="471">
        <f t="shared" si="20"/>
        <v>93182100.722828925</v>
      </c>
      <c r="I201" s="106"/>
      <c r="J201" s="107"/>
      <c r="L201"/>
      <c r="M201"/>
      <c r="N201"/>
      <c r="T201" s="100"/>
      <c r="U201" s="100"/>
      <c r="V201" s="100"/>
      <c r="W201" s="100"/>
      <c r="X201" s="100"/>
      <c r="Y201" s="100"/>
      <c r="Z201" s="100"/>
      <c r="AA201" s="100"/>
      <c r="AB201" s="100"/>
    </row>
    <row r="202" spans="1:28" x14ac:dyDescent="0.2">
      <c r="A202" s="3">
        <v>43678</v>
      </c>
      <c r="B202" s="470">
        <f t="shared" si="19"/>
        <v>93828194.158474892</v>
      </c>
      <c r="C202" s="436">
        <f>(+C190/SUM(C$159:C$170))*Trends!B$21</f>
        <v>1.2699717733756846</v>
      </c>
      <c r="D202" s="436">
        <f>(+D190/SUM(D$159:D$170))*Trends!C$21</f>
        <v>40.426074995868284</v>
      </c>
      <c r="E202" s="437">
        <f>+'Purchased Power Model '!E202</f>
        <v>5.928129E-2</v>
      </c>
      <c r="F202" s="439">
        <f>+'Purchased Power Model '!F202</f>
        <v>31</v>
      </c>
      <c r="G202" s="439">
        <f>+'Purchased Power Model '!G202</f>
        <v>0</v>
      </c>
      <c r="H202" s="471">
        <f t="shared" si="20"/>
        <v>93828194.158474892</v>
      </c>
      <c r="I202" s="106"/>
      <c r="J202" s="107"/>
      <c r="L202"/>
      <c r="M202"/>
      <c r="N202"/>
      <c r="T202" s="100"/>
      <c r="U202" s="100"/>
      <c r="V202" s="100"/>
      <c r="W202" s="100"/>
      <c r="X202" s="100"/>
      <c r="Y202" s="100"/>
      <c r="Z202" s="100"/>
      <c r="AA202" s="100"/>
      <c r="AB202" s="100"/>
    </row>
    <row r="203" spans="1:28" x14ac:dyDescent="0.2">
      <c r="A203" s="3">
        <v>43709</v>
      </c>
      <c r="B203" s="470">
        <f t="shared" si="19"/>
        <v>81500164.296314999</v>
      </c>
      <c r="C203" s="436">
        <f>(+C191/SUM(C$159:C$170))*Trends!B$21</f>
        <v>46.081832919631978</v>
      </c>
      <c r="D203" s="436">
        <f>(+D191/SUM(D$159:D$170))*Trends!C$21</f>
        <v>10.523897104381641</v>
      </c>
      <c r="E203" s="437">
        <f>+'Purchased Power Model '!E203</f>
        <v>5.928129E-2</v>
      </c>
      <c r="F203" s="439">
        <f>+'Purchased Power Model '!F203</f>
        <v>30</v>
      </c>
      <c r="G203" s="439">
        <f>+'Purchased Power Model '!G203</f>
        <v>1</v>
      </c>
      <c r="H203" s="471">
        <f t="shared" si="20"/>
        <v>81500164.296314999</v>
      </c>
      <c r="I203" s="106"/>
      <c r="J203" s="107"/>
      <c r="L203"/>
      <c r="M203"/>
      <c r="N203"/>
      <c r="T203" s="100"/>
      <c r="U203" s="100"/>
      <c r="V203" s="100"/>
      <c r="W203" s="100"/>
      <c r="X203" s="100"/>
      <c r="Y203" s="100"/>
      <c r="Z203" s="100"/>
      <c r="AA203" s="100"/>
      <c r="AB203" s="100"/>
    </row>
    <row r="204" spans="1:28" x14ac:dyDescent="0.2">
      <c r="A204" s="3">
        <v>43739</v>
      </c>
      <c r="B204" s="470">
        <f t="shared" si="19"/>
        <v>88097088.038918287</v>
      </c>
      <c r="C204" s="436">
        <f>(+C192/SUM(C$159:C$170))*Trends!B$21</f>
        <v>185.05302983474263</v>
      </c>
      <c r="D204" s="436">
        <f>(+D192/SUM(D$159:D$170))*Trends!C$21</f>
        <v>8.94382190174077E-2</v>
      </c>
      <c r="E204" s="437">
        <f>+'Purchased Power Model '!E204</f>
        <v>5.7468579999999998E-2</v>
      </c>
      <c r="F204" s="439">
        <f>+'Purchased Power Model '!F204</f>
        <v>31</v>
      </c>
      <c r="G204" s="439">
        <f>+'Purchased Power Model '!G204</f>
        <v>1</v>
      </c>
      <c r="H204" s="471">
        <f t="shared" si="20"/>
        <v>88097088.038918287</v>
      </c>
      <c r="I204" s="106"/>
      <c r="J204" s="107"/>
      <c r="L204"/>
      <c r="M204"/>
      <c r="N204"/>
      <c r="T204" s="100"/>
      <c r="U204" s="100"/>
      <c r="V204" s="100"/>
      <c r="W204" s="100"/>
      <c r="X204" s="100"/>
      <c r="Y204" s="100"/>
      <c r="Z204" s="100"/>
      <c r="AA204" s="100"/>
      <c r="AB204" s="100"/>
    </row>
    <row r="205" spans="1:28" x14ac:dyDescent="0.2">
      <c r="A205" s="3">
        <v>43770</v>
      </c>
      <c r="B205" s="470">
        <f t="shared" si="19"/>
        <v>88657605.663315326</v>
      </c>
      <c r="C205" s="436">
        <f>(+C193/SUM(C$159:C$170))*Trends!B$21</f>
        <v>270.77612453760133</v>
      </c>
      <c r="D205" s="436">
        <f>(+D193/SUM(D$159:D$170))*Trends!C$21</f>
        <v>0</v>
      </c>
      <c r="E205" s="437">
        <f>+'Purchased Power Model '!E205</f>
        <v>5.7468579999999998E-2</v>
      </c>
      <c r="F205" s="439">
        <f>+'Purchased Power Model '!F205</f>
        <v>30</v>
      </c>
      <c r="G205" s="439">
        <f>+'Purchased Power Model '!G205</f>
        <v>1</v>
      </c>
      <c r="H205" s="471">
        <f t="shared" si="20"/>
        <v>88657605.663315326</v>
      </c>
      <c r="I205" s="106"/>
      <c r="J205" s="107"/>
      <c r="L205"/>
      <c r="M205"/>
      <c r="N205"/>
      <c r="T205" s="100"/>
      <c r="U205" s="100"/>
      <c r="V205" s="100"/>
      <c r="W205" s="100"/>
      <c r="X205" s="100"/>
      <c r="Y205" s="100"/>
      <c r="Z205" s="100"/>
      <c r="AA205" s="100"/>
      <c r="AB205" s="100"/>
    </row>
    <row r="206" spans="1:28" x14ac:dyDescent="0.2">
      <c r="A206" s="3">
        <v>43800</v>
      </c>
      <c r="B206" s="470">
        <f t="shared" si="19"/>
        <v>104565644.04793046</v>
      </c>
      <c r="C206" s="436">
        <f>(+C194/SUM(C$159:C$170))*Trends!B$21</f>
        <v>438.5031108927185</v>
      </c>
      <c r="D206" s="436">
        <f>(+D194/SUM(D$159:D$170))*Trends!C$21</f>
        <v>0</v>
      </c>
      <c r="E206" s="437">
        <f>+'Purchased Power Model '!E206</f>
        <v>5.7468579999999998E-2</v>
      </c>
      <c r="F206" s="439">
        <f>+'Purchased Power Model '!F206</f>
        <v>31</v>
      </c>
      <c r="G206" s="439">
        <f>+'Purchased Power Model '!G206</f>
        <v>0</v>
      </c>
      <c r="H206" s="471">
        <f t="shared" si="20"/>
        <v>104565644.04793046</v>
      </c>
      <c r="I206" s="106"/>
      <c r="J206" s="107"/>
      <c r="L206"/>
      <c r="M206"/>
      <c r="N206"/>
      <c r="T206" s="100"/>
      <c r="U206" s="100"/>
      <c r="V206" s="100"/>
      <c r="W206" s="100"/>
      <c r="X206" s="100"/>
      <c r="Y206" s="100"/>
      <c r="Z206" s="100"/>
      <c r="AA206" s="100"/>
      <c r="AB206" s="100"/>
    </row>
    <row r="207" spans="1:28" x14ac:dyDescent="0.2">
      <c r="A207" s="105"/>
      <c r="B207" s="100"/>
      <c r="C207" s="101"/>
      <c r="D207" s="101"/>
      <c r="E207" s="102"/>
      <c r="F207" s="101"/>
      <c r="G207" s="101"/>
      <c r="H207" s="101"/>
      <c r="I207" s="106"/>
      <c r="J207" s="107"/>
      <c r="L207"/>
      <c r="M207"/>
      <c r="N207"/>
      <c r="T207" s="108"/>
      <c r="U207" s="108"/>
      <c r="V207" s="108"/>
      <c r="W207" s="100"/>
      <c r="X207" s="100"/>
      <c r="Y207" s="100"/>
      <c r="Z207" s="100"/>
      <c r="AA207" s="100"/>
      <c r="AB207" s="100"/>
    </row>
    <row r="208" spans="1:28" x14ac:dyDescent="0.2">
      <c r="A208" s="3"/>
      <c r="B208" s="6"/>
      <c r="C208" s="18"/>
      <c r="D208" s="164" t="s">
        <v>60</v>
      </c>
      <c r="E208" s="34"/>
      <c r="F208" s="164"/>
      <c r="G208" s="164"/>
      <c r="H208" s="43">
        <f ca="1">SUM(H3:H206)</f>
        <v>19529130048.064106</v>
      </c>
      <c r="I208" s="36"/>
      <c r="J208" s="5"/>
      <c r="L208"/>
      <c r="M208"/>
      <c r="N208"/>
      <c r="T208" s="100"/>
      <c r="U208" s="100"/>
      <c r="V208" s="100"/>
      <c r="W208" s="100"/>
      <c r="X208" s="100"/>
      <c r="Y208" s="100"/>
      <c r="Z208" s="100"/>
      <c r="AA208" s="100"/>
      <c r="AB208" s="100"/>
    </row>
    <row r="209" spans="1:28" ht="38.25" x14ac:dyDescent="0.2">
      <c r="A209" s="3"/>
      <c r="B209" s="6"/>
      <c r="C209" s="23"/>
      <c r="D209" s="23"/>
      <c r="E209" s="34"/>
      <c r="F209"/>
      <c r="G209"/>
      <c r="H209" s="164"/>
      <c r="I209" s="36"/>
      <c r="J209" s="5" t="s">
        <v>196</v>
      </c>
      <c r="L209" s="354" t="s">
        <v>281</v>
      </c>
      <c r="M209" s="351" t="s">
        <v>279</v>
      </c>
      <c r="N209" s="354" t="s">
        <v>283</v>
      </c>
      <c r="O209" s="352" t="s">
        <v>280</v>
      </c>
      <c r="P209" s="354" t="s">
        <v>347</v>
      </c>
      <c r="Q209" s="352" t="s">
        <v>282</v>
      </c>
      <c r="R209" s="354" t="s">
        <v>351</v>
      </c>
      <c r="S209" s="352" t="s">
        <v>282</v>
      </c>
      <c r="T209" s="100"/>
      <c r="U209" s="100"/>
      <c r="V209" s="100"/>
      <c r="W209" s="100"/>
      <c r="X209" s="100"/>
      <c r="Y209" s="100"/>
      <c r="Z209" s="100"/>
      <c r="AA209" s="100"/>
      <c r="AB209" s="100"/>
    </row>
    <row r="210" spans="1:28" x14ac:dyDescent="0.2">
      <c r="A210" s="16">
        <v>2003</v>
      </c>
      <c r="B210" s="6">
        <f>SUM(B3:B14)</f>
        <v>1232724170</v>
      </c>
      <c r="C210" s="96"/>
      <c r="D210" s="23" t="s">
        <v>195</v>
      </c>
      <c r="E210" s="97" t="s">
        <v>107</v>
      </c>
      <c r="F210"/>
      <c r="G210"/>
      <c r="H210" s="6">
        <f>SUM(H3:H14)</f>
        <v>1183815892.46276</v>
      </c>
      <c r="I210" s="36">
        <f t="shared" ref="I210:I224" si="21">H210-B210</f>
        <v>-48908277.537240028</v>
      </c>
      <c r="J210" s="5">
        <f t="shared" ref="J210:J226" si="22">I210/B210</f>
        <v>-3.9674956269608985E-2</v>
      </c>
      <c r="L210" s="167"/>
      <c r="M210" s="353">
        <f>+H210-L210</f>
        <v>1183815892.46276</v>
      </c>
      <c r="N210" s="167"/>
      <c r="O210" s="353">
        <f>+M210-N210</f>
        <v>1183815892.46276</v>
      </c>
      <c r="P210" s="167"/>
      <c r="Q210" s="353">
        <f>+O210+P210</f>
        <v>1183815892.46276</v>
      </c>
      <c r="R210" s="167"/>
      <c r="S210" s="392">
        <f>+Q210+R210</f>
        <v>1183815892.46276</v>
      </c>
      <c r="T210" s="100"/>
      <c r="U210" s="100"/>
      <c r="V210" s="100"/>
      <c r="W210" s="100"/>
      <c r="X210" s="100"/>
      <c r="Y210" s="100"/>
      <c r="Z210" s="100"/>
      <c r="AA210" s="100"/>
      <c r="AB210" s="100"/>
    </row>
    <row r="211" spans="1:28" x14ac:dyDescent="0.2">
      <c r="A211">
        <v>2004</v>
      </c>
      <c r="B211" s="6">
        <f>SUM(B15:B26)</f>
        <v>1178441190</v>
      </c>
      <c r="C211" s="96">
        <f>+B211-B210</f>
        <v>-54282980</v>
      </c>
      <c r="D211" s="98">
        <f>+C211/B210</f>
        <v>-4.4034976616058402E-2</v>
      </c>
      <c r="E211" s="98">
        <f>RATE(1,0,-B$210,B211)</f>
        <v>-4.4034976616058499E-2</v>
      </c>
      <c r="F211"/>
      <c r="G211"/>
      <c r="H211" s="6">
        <f>SUM(H15:H26)</f>
        <v>1172093429.9426394</v>
      </c>
      <c r="I211" s="36">
        <f t="shared" si="21"/>
        <v>-6347760.0573606491</v>
      </c>
      <c r="J211" s="5">
        <f t="shared" si="22"/>
        <v>-5.3865734762382576E-3</v>
      </c>
      <c r="L211" s="167"/>
      <c r="M211" s="353">
        <f t="shared" ref="M211:M226" si="23">+H211-L211</f>
        <v>1172093429.9426394</v>
      </c>
      <c r="N211" s="167"/>
      <c r="O211" s="353">
        <f t="shared" ref="O211:O226" si="24">+M211-N211</f>
        <v>1172093429.9426394</v>
      </c>
      <c r="P211" s="167"/>
      <c r="Q211" s="353">
        <f t="shared" ref="Q211:Q226" si="25">+O211+P211</f>
        <v>1172093429.9426394</v>
      </c>
      <c r="R211" s="167"/>
      <c r="S211" s="392">
        <f t="shared" ref="S211:S226" si="26">+Q211+R211</f>
        <v>1172093429.9426394</v>
      </c>
      <c r="T211" s="100"/>
      <c r="U211" s="100"/>
      <c r="V211" s="100"/>
      <c r="W211" s="100"/>
      <c r="X211" s="100"/>
      <c r="Y211" s="100"/>
      <c r="Z211" s="100"/>
      <c r="AA211" s="100"/>
      <c r="AB211" s="100"/>
    </row>
    <row r="212" spans="1:28" x14ac:dyDescent="0.2">
      <c r="A212" s="16">
        <v>2005</v>
      </c>
      <c r="B212" s="6">
        <f>SUM(B27:B38)</f>
        <v>1174501350</v>
      </c>
      <c r="C212" s="96">
        <f t="shared" ref="C212:C226" si="27">+B212-B211</f>
        <v>-3939840</v>
      </c>
      <c r="D212" s="98">
        <f t="shared" ref="D212:D226" si="28">+C212/B211</f>
        <v>-3.3432639943619079E-3</v>
      </c>
      <c r="E212" s="98">
        <f>RATE(2,0,-B$210,B212)</f>
        <v>-2.3901142331683341E-2</v>
      </c>
      <c r="F212"/>
      <c r="G212"/>
      <c r="H212" s="6">
        <f>SUM(H27:H38)</f>
        <v>1190184872.5411994</v>
      </c>
      <c r="I212" s="36">
        <f t="shared" si="21"/>
        <v>15683522.541199446</v>
      </c>
      <c r="J212" s="5">
        <f t="shared" si="22"/>
        <v>1.335334569108792E-2</v>
      </c>
      <c r="L212" s="167"/>
      <c r="M212" s="353">
        <f t="shared" si="23"/>
        <v>1190184872.5411994</v>
      </c>
      <c r="N212" s="167"/>
      <c r="O212" s="353">
        <f t="shared" si="24"/>
        <v>1190184872.5411994</v>
      </c>
      <c r="P212" s="167"/>
      <c r="Q212" s="353">
        <f t="shared" si="25"/>
        <v>1190184872.5411994</v>
      </c>
      <c r="R212" s="167"/>
      <c r="S212" s="392">
        <f t="shared" si="26"/>
        <v>1190184872.5411994</v>
      </c>
      <c r="T212" s="108"/>
      <c r="U212" s="108"/>
      <c r="V212" s="108"/>
      <c r="W212" s="100"/>
      <c r="X212" s="100"/>
      <c r="Y212" s="100"/>
      <c r="Z212" s="100"/>
      <c r="AA212" s="100"/>
      <c r="AB212" s="100"/>
    </row>
    <row r="213" spans="1:28" x14ac:dyDescent="0.2">
      <c r="A213">
        <v>2006</v>
      </c>
      <c r="B213" s="6">
        <f>SUM(B39:B50)</f>
        <v>1151360440</v>
      </c>
      <c r="C213" s="96">
        <f t="shared" si="27"/>
        <v>-23140910</v>
      </c>
      <c r="D213" s="98">
        <f t="shared" si="28"/>
        <v>-1.9702753002369899E-2</v>
      </c>
      <c r="E213" s="98">
        <f>RATE(3,0,-B$210,B213)</f>
        <v>-2.2503680894619967E-2</v>
      </c>
      <c r="F213"/>
      <c r="G213"/>
      <c r="H213" s="6">
        <f>SUM(H39:H50)</f>
        <v>1153842860.4705679</v>
      </c>
      <c r="I213" s="36">
        <f t="shared" si="21"/>
        <v>2482420.4705679417</v>
      </c>
      <c r="J213" s="5">
        <f t="shared" si="22"/>
        <v>2.1560758771318753E-3</v>
      </c>
      <c r="L213" s="167"/>
      <c r="M213" s="353">
        <f t="shared" si="23"/>
        <v>1153842860.4705679</v>
      </c>
      <c r="N213" s="167"/>
      <c r="O213" s="353">
        <f t="shared" si="24"/>
        <v>1153842860.4705679</v>
      </c>
      <c r="P213" s="167"/>
      <c r="Q213" s="353">
        <f t="shared" si="25"/>
        <v>1153842860.4705679</v>
      </c>
      <c r="R213" s="167"/>
      <c r="S213" s="392">
        <f t="shared" si="26"/>
        <v>1153842860.4705679</v>
      </c>
      <c r="T213" s="100"/>
      <c r="U213" s="100"/>
      <c r="V213" s="100"/>
      <c r="W213" s="100"/>
      <c r="X213" s="100"/>
      <c r="Y213" s="100"/>
      <c r="Z213" s="100"/>
      <c r="AA213" s="100"/>
      <c r="AB213" s="100"/>
    </row>
    <row r="214" spans="1:28" x14ac:dyDescent="0.2">
      <c r="A214" s="16">
        <v>2007</v>
      </c>
      <c r="B214" s="6">
        <f>SUM(B51:B62)</f>
        <v>1191153590</v>
      </c>
      <c r="C214" s="96">
        <f t="shared" si="27"/>
        <v>39793150</v>
      </c>
      <c r="D214" s="98">
        <f t="shared" si="28"/>
        <v>3.4561852759158546E-2</v>
      </c>
      <c r="E214" s="98">
        <f>RATE(4,0,-B$210,B214)</f>
        <v>-8.5393934317338754E-3</v>
      </c>
      <c r="F214"/>
      <c r="G214"/>
      <c r="H214" s="6">
        <f>SUM(H51:H62)</f>
        <v>1127871153.89165</v>
      </c>
      <c r="I214" s="36">
        <f t="shared" si="21"/>
        <v>-63282436.108350039</v>
      </c>
      <c r="J214" s="5">
        <f t="shared" si="22"/>
        <v>-5.3127016229997708E-2</v>
      </c>
      <c r="L214" s="167"/>
      <c r="M214" s="353">
        <f t="shared" si="23"/>
        <v>1127871153.89165</v>
      </c>
      <c r="N214" s="167"/>
      <c r="O214" s="353">
        <f t="shared" si="24"/>
        <v>1127871153.89165</v>
      </c>
      <c r="P214" s="167"/>
      <c r="Q214" s="353">
        <f t="shared" si="25"/>
        <v>1127871153.89165</v>
      </c>
      <c r="R214" s="167"/>
      <c r="S214" s="392">
        <f t="shared" si="26"/>
        <v>1127871153.89165</v>
      </c>
      <c r="T214" s="100"/>
      <c r="U214" s="100"/>
      <c r="V214" s="100"/>
      <c r="W214" s="100"/>
      <c r="X214" s="100"/>
      <c r="Y214" s="100"/>
      <c r="Z214" s="100"/>
      <c r="AA214" s="100"/>
      <c r="AB214" s="100"/>
    </row>
    <row r="215" spans="1:28" x14ac:dyDescent="0.2">
      <c r="A215">
        <v>2008</v>
      </c>
      <c r="B215" s="6">
        <f>SUM(B63:B74)</f>
        <v>1158881926</v>
      </c>
      <c r="C215" s="96">
        <f t="shared" si="27"/>
        <v>-32271664</v>
      </c>
      <c r="D215" s="98">
        <f t="shared" si="28"/>
        <v>-2.70927815446537E-2</v>
      </c>
      <c r="E215" s="98">
        <f>RATE(5,0,-B$210,B215)</f>
        <v>-1.2278162500929547E-2</v>
      </c>
      <c r="F215"/>
      <c r="G215"/>
      <c r="H215" s="6">
        <f>SUM(H63:H74)</f>
        <v>1094855785.2248654</v>
      </c>
      <c r="I215" s="36">
        <f t="shared" si="21"/>
        <v>-64026140.775134563</v>
      </c>
      <c r="J215" s="5">
        <f t="shared" si="22"/>
        <v>-5.5248200302965601E-2</v>
      </c>
      <c r="L215" s="167"/>
      <c r="M215" s="353">
        <f t="shared" si="23"/>
        <v>1094855785.2248654</v>
      </c>
      <c r="N215" s="167"/>
      <c r="O215" s="353">
        <f t="shared" si="24"/>
        <v>1094855785.2248654</v>
      </c>
      <c r="P215" s="167"/>
      <c r="Q215" s="353">
        <f t="shared" si="25"/>
        <v>1094855785.2248654</v>
      </c>
      <c r="R215" s="167"/>
      <c r="S215" s="392">
        <f t="shared" si="26"/>
        <v>1094855785.2248654</v>
      </c>
      <c r="T215" s="100"/>
      <c r="U215" s="100"/>
      <c r="V215" s="100"/>
      <c r="W215" s="100"/>
      <c r="X215" s="100"/>
      <c r="Y215" s="100"/>
      <c r="Z215" s="100"/>
      <c r="AA215" s="100"/>
      <c r="AB215" s="100"/>
    </row>
    <row r="216" spans="1:28" x14ac:dyDescent="0.2">
      <c r="A216" s="16">
        <v>2009</v>
      </c>
      <c r="B216" s="6">
        <f>SUM(B75:B86)</f>
        <v>1128390784.5107694</v>
      </c>
      <c r="C216" s="96">
        <f t="shared" si="27"/>
        <v>-30491141.489230633</v>
      </c>
      <c r="D216" s="98">
        <f t="shared" si="28"/>
        <v>-2.6310826672803447E-2</v>
      </c>
      <c r="E216" s="98">
        <f>RATE(6,0,-B$210,B216)</f>
        <v>-1.4630905973235077E-2</v>
      </c>
      <c r="F216"/>
      <c r="G216"/>
      <c r="H216" s="6">
        <f>SUM(H75:H86)</f>
        <v>1121629083.8762841</v>
      </c>
      <c r="I216" s="36">
        <f t="shared" si="21"/>
        <v>-6761700.6344852448</v>
      </c>
      <c r="J216" s="5">
        <f t="shared" si="22"/>
        <v>-5.9923394690048629E-3</v>
      </c>
      <c r="L216" s="167"/>
      <c r="M216" s="353">
        <f t="shared" si="23"/>
        <v>1121629083.8762841</v>
      </c>
      <c r="N216" s="167"/>
      <c r="O216" s="353">
        <f t="shared" si="24"/>
        <v>1121629083.8762841</v>
      </c>
      <c r="P216" s="167"/>
      <c r="Q216" s="353">
        <f t="shared" si="25"/>
        <v>1121629083.8762841</v>
      </c>
      <c r="R216" s="167"/>
      <c r="S216" s="392">
        <f t="shared" si="26"/>
        <v>1121629083.8762841</v>
      </c>
      <c r="T216" s="100"/>
      <c r="U216" s="100"/>
      <c r="V216" s="100"/>
      <c r="W216" s="100"/>
      <c r="X216" s="100"/>
      <c r="Y216" s="100"/>
      <c r="Z216" s="100"/>
      <c r="AA216" s="100"/>
      <c r="AB216" s="100"/>
    </row>
    <row r="217" spans="1:28" x14ac:dyDescent="0.2">
      <c r="A217">
        <v>2010</v>
      </c>
      <c r="B217" s="6">
        <f>SUM(B87:B98)</f>
        <v>1148489331.8146157</v>
      </c>
      <c r="C217" s="96">
        <f t="shared" si="27"/>
        <v>20098547.303846359</v>
      </c>
      <c r="D217" s="98">
        <f t="shared" si="28"/>
        <v>1.781169039993568E-2</v>
      </c>
      <c r="E217" s="98">
        <f>RATE(7,0,-B$210,B217)</f>
        <v>-1.0060343960087228E-2</v>
      </c>
      <c r="F217"/>
      <c r="G217"/>
      <c r="H217" s="6">
        <f>SUM(H87:H98)</f>
        <v>1134092280.5446804</v>
      </c>
      <c r="I217" s="36">
        <f t="shared" si="21"/>
        <v>-14397051.269935369</v>
      </c>
      <c r="J217" s="5">
        <f t="shared" si="22"/>
        <v>-1.2535642144092011E-2</v>
      </c>
      <c r="L217" s="167"/>
      <c r="M217" s="353">
        <f t="shared" si="23"/>
        <v>1134092280.5446804</v>
      </c>
      <c r="N217" s="167"/>
      <c r="O217" s="353">
        <f t="shared" si="24"/>
        <v>1134092280.5446804</v>
      </c>
      <c r="P217" s="167"/>
      <c r="Q217" s="353">
        <f t="shared" si="25"/>
        <v>1134092280.5446804</v>
      </c>
      <c r="R217" s="167"/>
      <c r="S217" s="392">
        <f t="shared" si="26"/>
        <v>1134092280.5446804</v>
      </c>
      <c r="T217" s="100"/>
      <c r="U217" s="100"/>
      <c r="V217" s="100"/>
      <c r="W217" s="100"/>
      <c r="X217" s="100"/>
      <c r="Y217" s="100"/>
      <c r="Z217" s="100"/>
      <c r="AA217" s="100"/>
      <c r="AB217" s="100"/>
    </row>
    <row r="218" spans="1:28" x14ac:dyDescent="0.2">
      <c r="A218">
        <v>2011</v>
      </c>
      <c r="B218" s="6">
        <f>SUM(B99:B110)</f>
        <v>1148632387.3953846</v>
      </c>
      <c r="C218" s="96">
        <f t="shared" si="27"/>
        <v>143055.58076882362</v>
      </c>
      <c r="D218" s="98">
        <f t="shared" si="28"/>
        <v>1.2455978197272019E-4</v>
      </c>
      <c r="E218" s="98">
        <f>RATE(8,0,-B$210,B218)</f>
        <v>-8.7929249231188996E-3</v>
      </c>
      <c r="F218"/>
      <c r="G218"/>
      <c r="H218" s="6">
        <f>SUM(H99:H110)</f>
        <v>1156423557.8162477</v>
      </c>
      <c r="I218" s="36">
        <f t="shared" si="21"/>
        <v>7791170.4208631516</v>
      </c>
      <c r="J218" s="5">
        <f t="shared" si="22"/>
        <v>6.7829973334900045E-3</v>
      </c>
      <c r="L218" s="167"/>
      <c r="M218" s="353">
        <f t="shared" si="23"/>
        <v>1156423557.8162477</v>
      </c>
      <c r="N218" s="167"/>
      <c r="O218" s="353">
        <f t="shared" si="24"/>
        <v>1156423557.8162477</v>
      </c>
      <c r="P218" s="167"/>
      <c r="Q218" s="353">
        <f t="shared" si="25"/>
        <v>1156423557.8162477</v>
      </c>
      <c r="R218" s="167"/>
      <c r="S218" s="392">
        <f t="shared" si="26"/>
        <v>1156423557.8162477</v>
      </c>
      <c r="T218" s="100"/>
      <c r="U218" s="100"/>
      <c r="V218" s="100"/>
      <c r="W218" s="100"/>
      <c r="X218" s="100"/>
      <c r="Y218" s="100"/>
      <c r="Z218" s="100"/>
      <c r="AA218" s="100"/>
      <c r="AB218" s="100"/>
    </row>
    <row r="219" spans="1:28" x14ac:dyDescent="0.2">
      <c r="A219">
        <v>2012</v>
      </c>
      <c r="B219" s="6">
        <f>SUM(B111:B122)</f>
        <v>1136211952.670979</v>
      </c>
      <c r="C219" s="96">
        <f t="shared" si="27"/>
        <v>-12420434.724405527</v>
      </c>
      <c r="D219" s="98">
        <f t="shared" si="28"/>
        <v>-1.0813237429748827E-2</v>
      </c>
      <c r="E219" s="98">
        <f>RATE(9,0,-B$210,B219)</f>
        <v>-9.0176077035169049E-3</v>
      </c>
      <c r="F219"/>
      <c r="G219"/>
      <c r="H219" s="6">
        <f>SUM(H111:H122)</f>
        <v>1149518396.9534879</v>
      </c>
      <c r="I219" s="36">
        <f t="shared" si="21"/>
        <v>13306444.28250885</v>
      </c>
      <c r="J219" s="5">
        <f t="shared" si="22"/>
        <v>1.1711234203467398E-2</v>
      </c>
      <c r="L219" s="167"/>
      <c r="M219" s="353">
        <f t="shared" si="23"/>
        <v>1149518396.9534879</v>
      </c>
      <c r="N219" s="167"/>
      <c r="O219" s="353">
        <f t="shared" si="24"/>
        <v>1149518396.9534879</v>
      </c>
      <c r="P219" s="167"/>
      <c r="Q219" s="353">
        <f t="shared" si="25"/>
        <v>1149518396.9534879</v>
      </c>
      <c r="R219" s="167"/>
      <c r="S219" s="392">
        <f t="shared" si="26"/>
        <v>1149518396.9534879</v>
      </c>
      <c r="T219" s="100"/>
      <c r="U219" s="100"/>
      <c r="V219" s="100"/>
      <c r="W219" s="100"/>
      <c r="X219" s="100"/>
      <c r="Y219" s="100"/>
      <c r="Z219" s="100"/>
      <c r="AA219" s="100"/>
      <c r="AB219" s="100"/>
    </row>
    <row r="220" spans="1:28" x14ac:dyDescent="0.2">
      <c r="A220">
        <v>2013</v>
      </c>
      <c r="B220" s="6">
        <f>SUM(B123:B134)</f>
        <v>1130407041.6666667</v>
      </c>
      <c r="C220" s="96">
        <f t="shared" si="27"/>
        <v>-5804911.0043122768</v>
      </c>
      <c r="D220" s="98">
        <f t="shared" si="28"/>
        <v>-5.1090036420284399E-3</v>
      </c>
      <c r="E220" s="98">
        <f>RATE(10,0,-B$210,B220)</f>
        <v>-8.6274392985243292E-3</v>
      </c>
      <c r="F220"/>
      <c r="G220"/>
      <c r="H220" s="6">
        <f ca="1">SUM(H123:H134)</f>
        <v>1148384908.6668141</v>
      </c>
      <c r="I220" s="36">
        <f t="shared" ca="1" si="21"/>
        <v>17977867.000147343</v>
      </c>
      <c r="J220" s="5">
        <f t="shared" ca="1" si="22"/>
        <v>1.5903888013330897E-2</v>
      </c>
      <c r="L220" s="167"/>
      <c r="M220" s="353">
        <f t="shared" ca="1" si="23"/>
        <v>1148384908.6668141</v>
      </c>
      <c r="N220" s="167"/>
      <c r="O220" s="353">
        <f t="shared" ca="1" si="24"/>
        <v>1148384908.6668141</v>
      </c>
      <c r="P220" s="167"/>
      <c r="Q220" s="353">
        <f t="shared" ca="1" si="25"/>
        <v>1148384908.6668141</v>
      </c>
      <c r="R220" s="167"/>
      <c r="S220" s="392">
        <f t="shared" ca="1" si="26"/>
        <v>1148384908.6668141</v>
      </c>
      <c r="T220" s="100"/>
      <c r="U220" s="100"/>
      <c r="V220" s="100"/>
      <c r="W220" s="100"/>
      <c r="X220" s="100"/>
      <c r="Y220" s="100"/>
      <c r="Z220" s="100"/>
      <c r="AA220" s="100"/>
      <c r="AB220" s="100"/>
    </row>
    <row r="221" spans="1:28" x14ac:dyDescent="0.2">
      <c r="A221">
        <v>2014</v>
      </c>
      <c r="B221" s="6">
        <f>SUM(B135:B146)</f>
        <v>1134970142.7733078</v>
      </c>
      <c r="C221" s="96">
        <f t="shared" ref="C221" si="29">+B221-B220</f>
        <v>4563101.1066410542</v>
      </c>
      <c r="D221" s="98">
        <f t="shared" ref="D221" si="30">+C221/B220</f>
        <v>4.0366885010847415E-3</v>
      </c>
      <c r="E221" s="98">
        <f>RATE(10,0,-B$210,B221)</f>
        <v>-8.2279781660642495E-3</v>
      </c>
      <c r="F221"/>
      <c r="G221"/>
      <c r="H221" s="6">
        <f>SUM(H135:H146)</f>
        <v>1159153505.7394249</v>
      </c>
      <c r="I221" s="36">
        <f t="shared" si="21"/>
        <v>24183362.966117144</v>
      </c>
      <c r="J221" s="5">
        <f t="shared" si="22"/>
        <v>2.1307488236672834E-2</v>
      </c>
      <c r="L221" s="6"/>
      <c r="M221" s="353">
        <f t="shared" si="23"/>
        <v>1159153505.7394249</v>
      </c>
      <c r="N221" s="6"/>
      <c r="O221" s="353">
        <f t="shared" si="24"/>
        <v>1159153505.7394249</v>
      </c>
      <c r="P221" s="6"/>
      <c r="Q221" s="353">
        <f t="shared" si="25"/>
        <v>1159153505.7394249</v>
      </c>
      <c r="R221" s="6"/>
      <c r="S221" s="392">
        <f t="shared" si="26"/>
        <v>1159153505.7394249</v>
      </c>
      <c r="T221" s="100"/>
      <c r="U221" s="100"/>
      <c r="V221" s="100"/>
      <c r="W221" s="100"/>
      <c r="X221" s="100"/>
      <c r="Y221" s="100"/>
      <c r="Z221" s="100"/>
      <c r="AA221" s="100"/>
      <c r="AB221" s="100"/>
    </row>
    <row r="222" spans="1:28" x14ac:dyDescent="0.2">
      <c r="A222">
        <v>2015</v>
      </c>
      <c r="B222" s="6">
        <f>SUM(B147:B158)</f>
        <v>1123341031.2123077</v>
      </c>
      <c r="C222" s="96">
        <f t="shared" si="27"/>
        <v>-11629111.561000109</v>
      </c>
      <c r="D222" s="98">
        <f t="shared" si="28"/>
        <v>-1.0246182804936428E-2</v>
      </c>
      <c r="E222" s="98">
        <f>RATE(12,0,-B$210,B222)</f>
        <v>-7.7133635136097944E-3</v>
      </c>
      <c r="F222"/>
      <c r="G222"/>
      <c r="H222" s="6">
        <f>SUM(H147:H158)</f>
        <v>1150848175.636837</v>
      </c>
      <c r="I222" s="36">
        <f t="shared" si="21"/>
        <v>27507144.424529314</v>
      </c>
      <c r="J222" s="5">
        <f t="shared" si="22"/>
        <v>2.448690438632305E-2</v>
      </c>
      <c r="L222" s="364">
        <f>+'Purchased Power Model '!L222</f>
        <v>0</v>
      </c>
      <c r="M222" s="353">
        <f t="shared" si="23"/>
        <v>1150848175.636837</v>
      </c>
      <c r="N222" s="364">
        <f>+'Purchased Power Model '!N222</f>
        <v>0</v>
      </c>
      <c r="O222" s="353">
        <f t="shared" si="24"/>
        <v>1150848175.636837</v>
      </c>
      <c r="P222" s="364">
        <f>+'Purchased Power Model '!P222</f>
        <v>0</v>
      </c>
      <c r="Q222" s="353">
        <f t="shared" si="25"/>
        <v>1150848175.636837</v>
      </c>
      <c r="R222" s="364">
        <f>+'Purchased Power Model '!R222</f>
        <v>0</v>
      </c>
      <c r="S222" s="392">
        <f t="shared" si="26"/>
        <v>1150848175.636837</v>
      </c>
      <c r="T222" s="100"/>
      <c r="U222" s="100"/>
      <c r="V222" s="100"/>
      <c r="W222" s="100"/>
      <c r="X222" s="100"/>
      <c r="Y222" s="100"/>
      <c r="Z222" s="100"/>
      <c r="AA222" s="100"/>
      <c r="AB222" s="100"/>
    </row>
    <row r="223" spans="1:28" x14ac:dyDescent="0.2">
      <c r="A223">
        <v>2016</v>
      </c>
      <c r="B223" s="6">
        <f>SUM(B159:B170)</f>
        <v>1122027434.2815385</v>
      </c>
      <c r="C223" s="96">
        <f t="shared" si="27"/>
        <v>-1313596.9307692051</v>
      </c>
      <c r="D223" s="98">
        <f t="shared" si="28"/>
        <v>-1.1693661090181791E-3</v>
      </c>
      <c r="E223" s="98">
        <f>RATE(13,0,-B$210,B223)</f>
        <v>-7.2115048451986642E-3</v>
      </c>
      <c r="F223"/>
      <c r="G223"/>
      <c r="H223" s="6">
        <f>SUM(H159:H170)</f>
        <v>1181688633.1682065</v>
      </c>
      <c r="I223" s="36">
        <f t="shared" si="21"/>
        <v>59661198.886667967</v>
      </c>
      <c r="J223" s="5">
        <f t="shared" si="22"/>
        <v>5.3172673914939066E-2</v>
      </c>
      <c r="L223" s="364">
        <f>+'Purchased Power Model '!L223</f>
        <v>0</v>
      </c>
      <c r="M223" s="353">
        <f t="shared" si="23"/>
        <v>1181688633.1682065</v>
      </c>
      <c r="N223" s="364">
        <f>+'Purchased Power Model '!N223</f>
        <v>0</v>
      </c>
      <c r="O223" s="353">
        <f t="shared" si="24"/>
        <v>1181688633.1682065</v>
      </c>
      <c r="P223" s="364">
        <f>+'Purchased Power Model '!P223</f>
        <v>0</v>
      </c>
      <c r="Q223" s="353">
        <f t="shared" si="25"/>
        <v>1181688633.1682065</v>
      </c>
      <c r="R223" s="364">
        <f>+'Purchased Power Model '!R223</f>
        <v>0</v>
      </c>
      <c r="S223" s="392">
        <f t="shared" si="26"/>
        <v>1181688633.1682065</v>
      </c>
      <c r="T223" s="100"/>
      <c r="U223" s="100"/>
      <c r="V223" s="100"/>
      <c r="W223" s="100"/>
      <c r="X223" s="100"/>
      <c r="Y223" s="100"/>
      <c r="Z223" s="100"/>
      <c r="AA223" s="100"/>
      <c r="AB223" s="100"/>
    </row>
    <row r="224" spans="1:28" x14ac:dyDescent="0.2">
      <c r="A224">
        <v>2017</v>
      </c>
      <c r="B224" s="6">
        <f>SUM(B171:B182)</f>
        <v>1113272700.3423185</v>
      </c>
      <c r="C224" s="96">
        <f t="shared" si="27"/>
        <v>-8754733.9392199516</v>
      </c>
      <c r="D224" s="98">
        <f t="shared" si="28"/>
        <v>-7.8026023889744027E-3</v>
      </c>
      <c r="E224" s="98">
        <f>RATE(14,0,-B$210,B224)</f>
        <v>-7.2537377740847413E-3</v>
      </c>
      <c r="F224"/>
      <c r="G224"/>
      <c r="H224" s="6">
        <f ca="1">SUM(H171:H182)</f>
        <v>1148402935.7322295</v>
      </c>
      <c r="I224" s="36">
        <f t="shared" ca="1" si="21"/>
        <v>35130235.389910936</v>
      </c>
      <c r="J224" s="5">
        <f t="shared" ca="1" si="22"/>
        <v>3.1555822198019223E-2</v>
      </c>
      <c r="L224" s="364">
        <f>+'Purchased Power Model '!L224</f>
        <v>4941368.3109572101</v>
      </c>
      <c r="M224" s="353">
        <f t="shared" ca="1" si="23"/>
        <v>1143461567.4212723</v>
      </c>
      <c r="N224" s="364">
        <f>+'Purchased Power Model '!N224</f>
        <v>2576978.491482255</v>
      </c>
      <c r="O224" s="353">
        <f t="shared" ca="1" si="24"/>
        <v>1140884588.92979</v>
      </c>
      <c r="P224" s="364">
        <f>+'Purchased Power Model '!P224</f>
        <v>0</v>
      </c>
      <c r="Q224" s="353">
        <f t="shared" ca="1" si="25"/>
        <v>1140884588.92979</v>
      </c>
      <c r="R224" s="364">
        <f>+'Purchased Power Model '!R224</f>
        <v>0</v>
      </c>
      <c r="S224" s="392">
        <f t="shared" ca="1" si="26"/>
        <v>1140884588.92979</v>
      </c>
      <c r="T224" s="100"/>
      <c r="U224" s="100"/>
      <c r="V224" s="100"/>
      <c r="W224" s="100"/>
      <c r="X224" s="100"/>
      <c r="Y224" s="100"/>
      <c r="Z224" s="100"/>
      <c r="AA224" s="100"/>
      <c r="AB224" s="100"/>
    </row>
    <row r="225" spans="1:28" x14ac:dyDescent="0.2">
      <c r="A225">
        <v>2018</v>
      </c>
      <c r="B225" s="6">
        <f ca="1">SUM(B183:B194)</f>
        <v>1131817094.18665</v>
      </c>
      <c r="C225" s="96">
        <f t="shared" ca="1" si="27"/>
        <v>18544393.844331503</v>
      </c>
      <c r="D225" s="98">
        <f t="shared" ca="1" si="28"/>
        <v>1.6657548360459497E-2</v>
      </c>
      <c r="E225" s="98">
        <f ca="1">RATE(15,0,-B$210,B225)</f>
        <v>-5.6772964683206549E-3</v>
      </c>
      <c r="F225"/>
      <c r="G225"/>
      <c r="H225" s="6">
        <f ca="1">SUM(H183:H194)</f>
        <v>1131817094.18665</v>
      </c>
      <c r="I225" s="36">
        <f ca="1">H225-B225</f>
        <v>0</v>
      </c>
      <c r="J225" s="5">
        <f t="shared" ca="1" si="22"/>
        <v>0</v>
      </c>
      <c r="L225" s="364">
        <f>+'Purchased Power Model '!L225</f>
        <v>17000279.164718885</v>
      </c>
      <c r="M225" s="353">
        <f t="shared" ca="1" si="23"/>
        <v>1114816815.0219312</v>
      </c>
      <c r="N225" s="364">
        <f>+'Purchased Power Model '!N225</f>
        <v>5153956.9829645101</v>
      </c>
      <c r="O225" s="353">
        <f t="shared" ca="1" si="24"/>
        <v>1109662858.0389667</v>
      </c>
      <c r="P225" s="364">
        <f>+'Purchased Power Model '!P225</f>
        <v>0</v>
      </c>
      <c r="Q225" s="353">
        <f t="shared" ca="1" si="25"/>
        <v>1109662858.0389667</v>
      </c>
      <c r="R225" s="364">
        <f>+'Purchased Power Model '!R225</f>
        <v>10441497.430416999</v>
      </c>
      <c r="S225" s="392">
        <f t="shared" ca="1" si="26"/>
        <v>1120104355.4693837</v>
      </c>
      <c r="T225" s="100"/>
      <c r="U225" s="100"/>
      <c r="V225" s="100"/>
      <c r="W225" s="100"/>
      <c r="X225" s="100"/>
      <c r="Y225" s="100"/>
      <c r="Z225" s="100"/>
      <c r="AA225" s="100"/>
      <c r="AB225" s="100"/>
    </row>
    <row r="226" spans="1:28" x14ac:dyDescent="0.2">
      <c r="A226">
        <v>2019</v>
      </c>
      <c r="B226" s="6">
        <f ca="1">SUM(B195:B206)</f>
        <v>1124507481.2095654</v>
      </c>
      <c r="C226" s="96">
        <f t="shared" ca="1" si="27"/>
        <v>-7309612.9770846367</v>
      </c>
      <c r="D226" s="98">
        <f t="shared" ca="1" si="28"/>
        <v>-6.4582987963594006E-3</v>
      </c>
      <c r="E226" s="98">
        <f ca="1">RATE(16,0,-B$210,B226)</f>
        <v>-5.7261270950356895E-3</v>
      </c>
      <c r="F226"/>
      <c r="G226"/>
      <c r="H226" s="6">
        <f ca="1">SUM(H195:H206)</f>
        <v>1124507481.2095654</v>
      </c>
      <c r="I226" s="36">
        <f ca="1">H226-B226</f>
        <v>0</v>
      </c>
      <c r="J226" s="5">
        <f t="shared" ca="1" si="22"/>
        <v>0</v>
      </c>
      <c r="L226" s="364">
        <f>+'Purchased Power Model '!L226</f>
        <v>29149803.002804432</v>
      </c>
      <c r="M226" s="353">
        <f t="shared" ca="1" si="23"/>
        <v>1095357678.2067609</v>
      </c>
      <c r="N226" s="364">
        <f>+'Purchased Power Model '!N226</f>
        <v>5153956.9829645101</v>
      </c>
      <c r="O226" s="353">
        <f t="shared" ca="1" si="24"/>
        <v>1090203721.2237964</v>
      </c>
      <c r="P226" s="364">
        <f>+'Purchased Power Model '!P226</f>
        <v>0</v>
      </c>
      <c r="Q226" s="353">
        <f t="shared" ca="1" si="25"/>
        <v>1090203721.2237964</v>
      </c>
      <c r="R226" s="364">
        <f>+'Purchased Power Model '!R226</f>
        <v>25363260.283881385</v>
      </c>
      <c r="S226" s="392">
        <f t="shared" ca="1" si="26"/>
        <v>1115566981.5076778</v>
      </c>
      <c r="T226" s="100"/>
      <c r="U226" s="100"/>
      <c r="V226" s="100"/>
      <c r="W226" s="100"/>
      <c r="X226" s="100"/>
      <c r="Y226" s="100"/>
      <c r="Z226" s="100"/>
      <c r="AA226" s="100"/>
      <c r="AB226" s="100"/>
    </row>
    <row r="227" spans="1:28" x14ac:dyDescent="0.2">
      <c r="A227"/>
      <c r="B227" s="6"/>
      <c r="C227" s="90"/>
      <c r="D227" s="164"/>
      <c r="E227" s="34"/>
      <c r="F227" s="164"/>
      <c r="G227" s="164"/>
      <c r="H227" s="6"/>
      <c r="I227" s="164"/>
      <c r="J227" s="164"/>
      <c r="L227"/>
      <c r="M227"/>
      <c r="N227"/>
      <c r="T227" s="100"/>
      <c r="U227" s="100"/>
      <c r="V227" s="100"/>
      <c r="W227" s="100"/>
      <c r="X227" s="100"/>
      <c r="Y227" s="100"/>
      <c r="Z227" s="100"/>
      <c r="AA227" s="100"/>
      <c r="AB227" s="100"/>
    </row>
    <row r="228" spans="1:28" x14ac:dyDescent="0.2">
      <c r="A228" t="s">
        <v>9</v>
      </c>
      <c r="B228" s="6">
        <f ca="1">SUM(B210:B226)</f>
        <v>19529130048.064098</v>
      </c>
      <c r="C228" s="90"/>
      <c r="D228" s="164"/>
      <c r="E228" s="34"/>
      <c r="F228" s="164"/>
      <c r="G228" s="164"/>
      <c r="H228" s="6">
        <f ca="1">SUM(H210:H226)</f>
        <v>19529130048.06411</v>
      </c>
      <c r="I228" s="168">
        <f ca="1">H228-B228</f>
        <v>0</v>
      </c>
      <c r="J228" s="164"/>
      <c r="L228"/>
      <c r="M228"/>
      <c r="N228"/>
      <c r="T228" s="100"/>
      <c r="U228" s="100"/>
      <c r="V228" s="100"/>
      <c r="W228" s="100"/>
      <c r="X228" s="100"/>
      <c r="Y228" s="100"/>
      <c r="Z228" s="100"/>
      <c r="AA228" s="100"/>
      <c r="AB228" s="100"/>
    </row>
    <row r="229" spans="1:28" x14ac:dyDescent="0.2">
      <c r="A229"/>
      <c r="B229" s="6"/>
      <c r="C229" s="164"/>
      <c r="D229" s="164"/>
      <c r="E229" s="34"/>
      <c r="F229" s="164"/>
      <c r="G229" s="164"/>
      <c r="H229" s="164"/>
      <c r="I229" s="54"/>
      <c r="J229" s="164"/>
      <c r="T229" s="100"/>
      <c r="U229" s="100"/>
      <c r="V229" s="100"/>
      <c r="W229" s="100"/>
      <c r="X229" s="100"/>
      <c r="Y229" s="100"/>
      <c r="Z229" s="100"/>
      <c r="AA229" s="100"/>
      <c r="AB229" s="100"/>
    </row>
    <row r="230" spans="1:28" x14ac:dyDescent="0.2">
      <c r="A230"/>
      <c r="B230" s="6"/>
      <c r="C230" s="164"/>
      <c r="D230" s="164"/>
      <c r="E230" s="34"/>
      <c r="F230" s="164"/>
      <c r="G230" s="164"/>
      <c r="H230" s="6">
        <f ca="1">SUM(H210:H226)</f>
        <v>19529130048.06411</v>
      </c>
      <c r="I230" s="168">
        <f ca="1">H208-H230</f>
        <v>0</v>
      </c>
      <c r="J230" s="164"/>
      <c r="T230" s="100"/>
      <c r="U230" s="100"/>
      <c r="V230" s="100"/>
      <c r="W230" s="100"/>
      <c r="X230" s="100"/>
      <c r="Y230" s="100"/>
      <c r="Z230" s="100"/>
      <c r="AA230" s="100"/>
      <c r="AB230" s="100"/>
    </row>
    <row r="231" spans="1:28" x14ac:dyDescent="0.2">
      <c r="A231"/>
      <c r="B231" s="6"/>
      <c r="C231" s="164"/>
      <c r="D231" s="164"/>
      <c r="E231" s="34"/>
      <c r="F231" s="164"/>
      <c r="G231" s="164"/>
      <c r="H231" s="23"/>
      <c r="I231" s="169" t="s">
        <v>69</v>
      </c>
      <c r="J231" s="18"/>
      <c r="T231" s="100"/>
      <c r="U231" s="100"/>
      <c r="V231" s="100"/>
      <c r="W231" s="100"/>
      <c r="X231" s="100"/>
      <c r="Y231" s="100"/>
      <c r="Z231" s="100"/>
      <c r="AA231" s="100"/>
      <c r="AB231" s="100"/>
    </row>
    <row r="232" spans="1:28" x14ac:dyDescent="0.2">
      <c r="B232" s="100"/>
      <c r="C232" s="101"/>
      <c r="D232" s="101"/>
      <c r="E232" s="102"/>
      <c r="F232" s="101"/>
      <c r="G232" s="101"/>
      <c r="H232" s="101"/>
      <c r="I232" s="101"/>
      <c r="J232" s="101"/>
      <c r="T232" s="100"/>
      <c r="U232" s="100"/>
      <c r="V232" s="100"/>
      <c r="W232" s="100"/>
      <c r="X232" s="100"/>
      <c r="Y232" s="100"/>
      <c r="Z232" s="100"/>
      <c r="AA232" s="100"/>
      <c r="AB232" s="100"/>
    </row>
    <row r="233" spans="1:28" x14ac:dyDescent="0.2">
      <c r="B233" s="100"/>
      <c r="C233" s="100"/>
      <c r="D233" s="100"/>
      <c r="E233" s="102"/>
      <c r="F233" s="100"/>
      <c r="G233" s="100"/>
      <c r="H233" s="100"/>
      <c r="I233" s="101"/>
      <c r="J233" s="101"/>
      <c r="T233" s="100"/>
      <c r="U233" s="100"/>
      <c r="V233" s="100"/>
      <c r="W233" s="100"/>
      <c r="X233" s="100"/>
      <c r="Y233" s="100"/>
      <c r="Z233" s="100"/>
      <c r="AA233" s="100"/>
      <c r="AB233" s="100"/>
    </row>
    <row r="234" spans="1:28" x14ac:dyDescent="0.2">
      <c r="B234" s="100"/>
      <c r="C234" s="101"/>
      <c r="D234" s="101"/>
      <c r="E234" s="102"/>
      <c r="F234" s="101"/>
      <c r="G234" s="101"/>
      <c r="H234" s="100"/>
      <c r="I234" s="101"/>
      <c r="J234" s="101"/>
      <c r="T234" s="100"/>
      <c r="U234" s="100"/>
      <c r="V234" s="100"/>
      <c r="W234" s="100"/>
      <c r="X234" s="100"/>
      <c r="Y234" s="100"/>
      <c r="Z234" s="100"/>
      <c r="AA234" s="100"/>
      <c r="AB234" s="100"/>
    </row>
  </sheetData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2"/>
  <sheetViews>
    <sheetView topLeftCell="I206" workbookViewId="0">
      <selection activeCell="S230" sqref="S230"/>
    </sheetView>
  </sheetViews>
  <sheetFormatPr defaultColWidth="9.140625" defaultRowHeight="12.75" x14ac:dyDescent="0.2"/>
  <cols>
    <col min="1" max="1" width="11.85546875" style="99" customWidth="1"/>
    <col min="2" max="2" width="18" style="99" customWidth="1"/>
    <col min="3" max="3" width="13.42578125" style="99" bestFit="1" customWidth="1"/>
    <col min="4" max="4" width="13.42578125" style="99" customWidth="1"/>
    <col min="5" max="5" width="14.42578125" style="99" customWidth="1"/>
    <col min="6" max="6" width="14" style="99" bestFit="1" customWidth="1"/>
    <col min="7" max="7" width="12.7109375" style="99" bestFit="1" customWidth="1"/>
    <col min="8" max="8" width="17.5703125" style="99" bestFit="1" customWidth="1"/>
    <col min="9" max="9" width="17" style="99" customWidth="1"/>
    <col min="10" max="10" width="13" style="99" customWidth="1"/>
    <col min="11" max="11" width="2.5703125" style="99" customWidth="1"/>
    <col min="12" max="12" width="30.42578125" style="99" bestFit="1" customWidth="1"/>
    <col min="13" max="13" width="15.5703125" style="99" bestFit="1" customWidth="1"/>
    <col min="14" max="14" width="25.140625" style="99" bestFit="1" customWidth="1"/>
    <col min="15" max="15" width="24.140625" style="99" bestFit="1" customWidth="1"/>
    <col min="16" max="16" width="17.140625" style="99" bestFit="1" customWidth="1"/>
    <col min="17" max="17" width="17.85546875" style="99" bestFit="1" customWidth="1"/>
    <col min="18" max="18" width="17.140625" style="99" bestFit="1" customWidth="1"/>
    <col min="19" max="19" width="15.5703125" style="99" bestFit="1" customWidth="1"/>
    <col min="20" max="20" width="14.5703125" style="99" bestFit="1" customWidth="1"/>
    <col min="21" max="21" width="11.28515625" style="99" customWidth="1"/>
    <col min="22" max="22" width="11.5703125" style="99" customWidth="1"/>
    <col min="23" max="23" width="9.28515625" style="99" customWidth="1"/>
    <col min="24" max="24" width="9.140625" style="99"/>
    <col min="25" max="25" width="11.7109375" style="99" bestFit="1" customWidth="1"/>
    <col min="26" max="26" width="10.7109375" style="99" bestFit="1" customWidth="1"/>
    <col min="27" max="16384" width="9.140625" style="99"/>
  </cols>
  <sheetData>
    <row r="1" spans="1:28" x14ac:dyDescent="0.2">
      <c r="B1" s="100"/>
      <c r="C1" s="101"/>
      <c r="D1" s="101"/>
      <c r="E1" s="102"/>
      <c r="F1" s="101"/>
      <c r="G1" s="101"/>
      <c r="H1" s="101"/>
      <c r="I1" s="101"/>
      <c r="J1" s="101"/>
      <c r="T1" s="100"/>
      <c r="U1" s="100"/>
      <c r="V1" s="100"/>
      <c r="W1" s="100"/>
      <c r="X1" s="100"/>
      <c r="Y1" s="100"/>
      <c r="Z1" s="100"/>
      <c r="AA1" s="100"/>
      <c r="AB1" s="100"/>
    </row>
    <row r="2" spans="1:28" ht="38.25" x14ac:dyDescent="0.2">
      <c r="A2" s="472"/>
      <c r="B2" s="475" t="s">
        <v>0</v>
      </c>
      <c r="C2" s="476" t="s">
        <v>3</v>
      </c>
      <c r="D2" s="476" t="s">
        <v>4</v>
      </c>
      <c r="E2" s="477" t="str">
        <f>+'Purchased Power Model '!E2</f>
        <v>Oshawa Qtrly Unemployment Rate</v>
      </c>
      <c r="F2" s="476" t="s">
        <v>5</v>
      </c>
      <c r="G2" s="476" t="s">
        <v>17</v>
      </c>
      <c r="H2" s="478" t="s">
        <v>10</v>
      </c>
      <c r="I2" s="103" t="s">
        <v>11</v>
      </c>
      <c r="L2" t="s">
        <v>18</v>
      </c>
      <c r="M2"/>
      <c r="N2"/>
      <c r="O2"/>
      <c r="P2"/>
      <c r="Q2"/>
      <c r="R2"/>
      <c r="S2"/>
      <c r="T2"/>
      <c r="U2" s="104"/>
      <c r="V2" s="104"/>
      <c r="W2" s="100"/>
      <c r="X2" s="100"/>
      <c r="Y2" s="100"/>
      <c r="Z2" s="100"/>
      <c r="AA2" s="100"/>
      <c r="AB2" s="100"/>
    </row>
    <row r="3" spans="1:28" ht="13.5" thickBot="1" x14ac:dyDescent="0.25">
      <c r="A3" s="479">
        <v>37622</v>
      </c>
      <c r="B3" s="459">
        <f>+'Purchased Power Model '!B3</f>
        <v>126011890</v>
      </c>
      <c r="C3" s="480">
        <f>+'Purchased Power Model '!C3</f>
        <v>786</v>
      </c>
      <c r="D3" s="480">
        <f>+'Purchased Power Model '!D3</f>
        <v>0</v>
      </c>
      <c r="E3" s="443">
        <f>+'Purchased Power Model '!E3</f>
        <v>5.2000000000000005E-2</v>
      </c>
      <c r="F3" s="17">
        <f>+'Purchased Power Model '!F3</f>
        <v>31</v>
      </c>
      <c r="G3" s="17">
        <f>+'Purchased Power Model '!G3</f>
        <v>0</v>
      </c>
      <c r="H3" s="481">
        <f>$M$18+C3*$M$19+D3*$M$20+E3*$M$21+F3*$M$22+G3*$M$23</f>
        <v>118335604.95606168</v>
      </c>
      <c r="I3" s="106">
        <f t="shared" ref="I3:I66" si="0">H3-B3</f>
        <v>-7676285.0439383239</v>
      </c>
      <c r="J3" s="5">
        <f t="shared" ref="J3:J66" si="1">I3/B3</f>
        <v>-6.0917148722539782E-2</v>
      </c>
      <c r="K3"/>
      <c r="L3"/>
      <c r="M3"/>
      <c r="N3"/>
      <c r="O3"/>
      <c r="P3"/>
      <c r="Q3"/>
      <c r="R3"/>
      <c r="S3"/>
      <c r="T3"/>
      <c r="U3" s="100"/>
      <c r="V3" s="100"/>
      <c r="W3" s="100"/>
      <c r="X3" s="100"/>
      <c r="Y3" s="100"/>
      <c r="Z3" s="100"/>
      <c r="AA3" s="100"/>
      <c r="AB3" s="100"/>
    </row>
    <row r="4" spans="1:28" x14ac:dyDescent="0.2">
      <c r="A4" s="479">
        <v>37653</v>
      </c>
      <c r="B4" s="459">
        <f>+'Purchased Power Model '!B4</f>
        <v>112581000</v>
      </c>
      <c r="C4" s="480">
        <f>+'Purchased Power Model '!C4</f>
        <v>686.5</v>
      </c>
      <c r="D4" s="480">
        <f>+'Purchased Power Model '!D4</f>
        <v>0</v>
      </c>
      <c r="E4" s="443">
        <f>+'Purchased Power Model '!E4</f>
        <v>5.2000000000000005E-2</v>
      </c>
      <c r="F4" s="17">
        <f>+'Purchased Power Model '!F4</f>
        <v>28</v>
      </c>
      <c r="G4" s="17">
        <f>+'Purchased Power Model '!G4</f>
        <v>0</v>
      </c>
      <c r="H4" s="481">
        <f t="shared" ref="H4:H67" si="2">$M$18+C4*$M$19+D4*$M$20+E4*$M$21+F4*$M$22+G4*$M$23</f>
        <v>106358375.85138433</v>
      </c>
      <c r="I4" s="106">
        <f t="shared" si="0"/>
        <v>-6222624.1486156732</v>
      </c>
      <c r="J4" s="5">
        <f t="shared" si="1"/>
        <v>-5.5272418513032155E-2</v>
      </c>
      <c r="K4"/>
      <c r="L4" s="49" t="s">
        <v>19</v>
      </c>
      <c r="M4" s="49"/>
      <c r="N4"/>
      <c r="O4"/>
      <c r="P4"/>
      <c r="Q4"/>
      <c r="R4"/>
      <c r="S4"/>
      <c r="T4"/>
      <c r="U4" s="100"/>
      <c r="V4" s="100"/>
      <c r="W4" s="100"/>
      <c r="X4" s="100"/>
      <c r="Y4" s="100"/>
      <c r="Z4" s="100"/>
      <c r="AA4" s="100"/>
      <c r="AB4" s="100"/>
    </row>
    <row r="5" spans="1:28" x14ac:dyDescent="0.2">
      <c r="A5" s="479">
        <v>37681</v>
      </c>
      <c r="B5" s="459">
        <f>+'Purchased Power Model '!B5</f>
        <v>110536430</v>
      </c>
      <c r="C5" s="480">
        <f>+'Purchased Power Model '!C5</f>
        <v>572.5</v>
      </c>
      <c r="D5" s="480">
        <f>+'Purchased Power Model '!D5</f>
        <v>0</v>
      </c>
      <c r="E5" s="443">
        <f>+'Purchased Power Model '!E5</f>
        <v>5.2000000000000005E-2</v>
      </c>
      <c r="F5" s="17">
        <f>+'Purchased Power Model '!F5</f>
        <v>31</v>
      </c>
      <c r="G5" s="17">
        <f>+'Purchased Power Model '!G5</f>
        <v>1</v>
      </c>
      <c r="H5" s="481">
        <f t="shared" si="2"/>
        <v>103387848.88866398</v>
      </c>
      <c r="I5" s="106">
        <f t="shared" si="0"/>
        <v>-7148581.1113360226</v>
      </c>
      <c r="J5" s="5">
        <f t="shared" si="1"/>
        <v>-6.4671720548022241E-2</v>
      </c>
      <c r="K5"/>
      <c r="L5" s="35" t="s">
        <v>20</v>
      </c>
      <c r="M5" s="466">
        <v>0.89900817580650394</v>
      </c>
      <c r="N5"/>
      <c r="O5"/>
      <c r="P5"/>
      <c r="Q5"/>
      <c r="R5"/>
      <c r="S5"/>
      <c r="T5"/>
      <c r="U5" s="100"/>
      <c r="V5" s="100"/>
      <c r="W5" s="100"/>
      <c r="X5" s="100"/>
      <c r="Y5" s="100"/>
      <c r="Z5" s="100"/>
      <c r="AA5" s="100"/>
      <c r="AB5" s="100"/>
    </row>
    <row r="6" spans="1:28" x14ac:dyDescent="0.2">
      <c r="A6" s="479">
        <v>37712</v>
      </c>
      <c r="B6" s="459">
        <f>+'Purchased Power Model '!B6</f>
        <v>97712940</v>
      </c>
      <c r="C6" s="480">
        <f>+'Purchased Power Model '!C6</f>
        <v>403.9</v>
      </c>
      <c r="D6" s="480">
        <f>+'Purchased Power Model '!D6</f>
        <v>0</v>
      </c>
      <c r="E6" s="443">
        <f>+'Purchased Power Model '!E6</f>
        <v>5.5999999999999994E-2</v>
      </c>
      <c r="F6" s="17">
        <f>+'Purchased Power Model '!F6</f>
        <v>30</v>
      </c>
      <c r="G6" s="17">
        <f>+'Purchased Power Model '!G6</f>
        <v>1</v>
      </c>
      <c r="H6" s="481">
        <f t="shared" si="2"/>
        <v>93884411.207610041</v>
      </c>
      <c r="I6" s="106">
        <f t="shared" si="0"/>
        <v>-3828528.7923899591</v>
      </c>
      <c r="J6" s="5">
        <f t="shared" si="1"/>
        <v>-3.9181389817868124E-2</v>
      </c>
      <c r="K6"/>
      <c r="L6" s="35" t="s">
        <v>21</v>
      </c>
      <c r="M6" s="466">
        <v>0.80821570016693789</v>
      </c>
      <c r="N6"/>
      <c r="O6"/>
      <c r="P6"/>
      <c r="Q6"/>
      <c r="R6"/>
      <c r="S6"/>
      <c r="T6"/>
      <c r="U6" s="100"/>
      <c r="V6" s="100"/>
      <c r="W6" s="100"/>
      <c r="X6" s="100"/>
      <c r="Y6" s="100"/>
      <c r="Z6" s="100"/>
      <c r="AA6" s="100"/>
      <c r="AB6" s="100"/>
    </row>
    <row r="7" spans="1:28" x14ac:dyDescent="0.2">
      <c r="A7" s="479">
        <v>37742</v>
      </c>
      <c r="B7" s="459">
        <f>+'Purchased Power Model '!B7</f>
        <v>90261150</v>
      </c>
      <c r="C7" s="480">
        <f>+'Purchased Power Model '!C7</f>
        <v>192</v>
      </c>
      <c r="D7" s="480">
        <f>+'Purchased Power Model '!D7</f>
        <v>0</v>
      </c>
      <c r="E7" s="443">
        <f>+'Purchased Power Model '!E7</f>
        <v>5.5999999999999994E-2</v>
      </c>
      <c r="F7" s="17">
        <f>+'Purchased Power Model '!F7</f>
        <v>31</v>
      </c>
      <c r="G7" s="17">
        <f>+'Purchased Power Model '!G7</f>
        <v>1</v>
      </c>
      <c r="H7" s="481">
        <f t="shared" si="2"/>
        <v>88463641.782313541</v>
      </c>
      <c r="I7" s="106">
        <f t="shared" si="0"/>
        <v>-1797508.2176864594</v>
      </c>
      <c r="J7" s="5">
        <f t="shared" si="1"/>
        <v>-1.9914528207168415E-2</v>
      </c>
      <c r="K7"/>
      <c r="L7" s="35" t="s">
        <v>22</v>
      </c>
      <c r="M7" s="466">
        <v>0.80240405471745124</v>
      </c>
      <c r="N7"/>
      <c r="O7"/>
      <c r="P7"/>
      <c r="Q7"/>
      <c r="R7"/>
      <c r="S7"/>
      <c r="T7"/>
      <c r="U7" s="100"/>
      <c r="V7" s="100"/>
      <c r="W7" s="100"/>
      <c r="X7" s="100"/>
      <c r="Y7" s="100"/>
      <c r="Z7" s="100"/>
      <c r="AA7" s="100"/>
      <c r="AB7" s="100"/>
    </row>
    <row r="8" spans="1:28" x14ac:dyDescent="0.2">
      <c r="A8" s="479">
        <v>37773</v>
      </c>
      <c r="B8" s="459">
        <f>+'Purchased Power Model '!B8</f>
        <v>92476040</v>
      </c>
      <c r="C8" s="480">
        <f>+'Purchased Power Model '!C8</f>
        <v>55.1</v>
      </c>
      <c r="D8" s="480">
        <f>+'Purchased Power Model '!D8</f>
        <v>31</v>
      </c>
      <c r="E8" s="443">
        <f>+'Purchased Power Model '!E8</f>
        <v>5.5999999999999994E-2</v>
      </c>
      <c r="F8" s="17">
        <f>+'Purchased Power Model '!F8</f>
        <v>30</v>
      </c>
      <c r="G8" s="17">
        <f>+'Purchased Power Model '!G8</f>
        <v>0</v>
      </c>
      <c r="H8" s="481">
        <f t="shared" si="2"/>
        <v>91985879.438937098</v>
      </c>
      <c r="I8" s="106">
        <f t="shared" si="0"/>
        <v>-490160.56106290221</v>
      </c>
      <c r="J8" s="5">
        <f t="shared" si="1"/>
        <v>-5.3004060409907496E-3</v>
      </c>
      <c r="K8"/>
      <c r="L8" s="35" t="s">
        <v>23</v>
      </c>
      <c r="M8" s="59">
        <v>4591291.7862805864</v>
      </c>
      <c r="N8"/>
      <c r="O8"/>
      <c r="P8"/>
      <c r="Q8"/>
      <c r="R8"/>
      <c r="S8"/>
      <c r="T8"/>
      <c r="U8" s="100"/>
      <c r="V8" s="100"/>
      <c r="W8" s="100"/>
      <c r="X8" s="100"/>
      <c r="Y8" s="100"/>
      <c r="Z8" s="100"/>
      <c r="AA8" s="100"/>
      <c r="AB8" s="100"/>
    </row>
    <row r="9" spans="1:28" ht="13.5" thickBot="1" x14ac:dyDescent="0.25">
      <c r="A9" s="479">
        <v>37803</v>
      </c>
      <c r="B9" s="459">
        <f>+'Purchased Power Model '!B9</f>
        <v>100371630</v>
      </c>
      <c r="C9" s="480">
        <f>+'Purchased Power Model '!C9</f>
        <v>5.7</v>
      </c>
      <c r="D9" s="480">
        <f>+'Purchased Power Model '!D9</f>
        <v>59.1</v>
      </c>
      <c r="E9" s="443">
        <f>+'Purchased Power Model '!E9</f>
        <v>5.0999999999999997E-2</v>
      </c>
      <c r="F9" s="17">
        <f>+'Purchased Power Model '!F9</f>
        <v>31</v>
      </c>
      <c r="G9" s="17">
        <f>+'Purchased Power Model '!G9</f>
        <v>0</v>
      </c>
      <c r="H9" s="481">
        <f t="shared" si="2"/>
        <v>97500518.259077847</v>
      </c>
      <c r="I9" s="106">
        <f t="shared" si="0"/>
        <v>-2871111.740922153</v>
      </c>
      <c r="J9" s="5">
        <f t="shared" si="1"/>
        <v>-2.8604813341400883E-2</v>
      </c>
      <c r="K9"/>
      <c r="L9" s="47" t="s">
        <v>24</v>
      </c>
      <c r="M9" s="60">
        <v>171</v>
      </c>
      <c r="N9"/>
      <c r="O9"/>
      <c r="P9"/>
      <c r="Q9"/>
      <c r="R9"/>
      <c r="S9"/>
      <c r="T9"/>
      <c r="U9" s="100"/>
      <c r="V9" s="100"/>
      <c r="W9" s="100"/>
      <c r="X9" s="100"/>
      <c r="Y9" s="100"/>
      <c r="Z9" s="100"/>
      <c r="AA9" s="100"/>
      <c r="AB9" s="100"/>
    </row>
    <row r="10" spans="1:28" x14ac:dyDescent="0.2">
      <c r="A10" s="479">
        <v>37834</v>
      </c>
      <c r="B10" s="459">
        <f>+'Purchased Power Model '!B10</f>
        <v>101507680</v>
      </c>
      <c r="C10" s="480">
        <f>+'Purchased Power Model '!C10</f>
        <v>10.4</v>
      </c>
      <c r="D10" s="480">
        <f>+'Purchased Power Model '!D10</f>
        <v>106.5</v>
      </c>
      <c r="E10" s="443">
        <f>+'Purchased Power Model '!E10</f>
        <v>5.0999999999999997E-2</v>
      </c>
      <c r="F10" s="17">
        <f>+'Purchased Power Model '!F10</f>
        <v>31</v>
      </c>
      <c r="G10" s="17">
        <f>+'Purchased Power Model '!G10</f>
        <v>0</v>
      </c>
      <c r="H10" s="481">
        <f t="shared" si="2"/>
        <v>104947073.52873427</v>
      </c>
      <c r="I10" s="106">
        <f t="shared" si="0"/>
        <v>3439393.5287342668</v>
      </c>
      <c r="J10" s="5">
        <f t="shared" si="1"/>
        <v>3.3883086764807023E-2</v>
      </c>
      <c r="K10"/>
      <c r="L10"/>
      <c r="M10"/>
      <c r="N10"/>
      <c r="O10"/>
      <c r="P10"/>
      <c r="Q10"/>
      <c r="R10"/>
      <c r="S10"/>
      <c r="T10"/>
      <c r="U10" s="100"/>
      <c r="V10" s="100"/>
      <c r="W10" s="100"/>
      <c r="X10" s="100"/>
      <c r="Y10" s="100"/>
      <c r="Z10" s="100"/>
      <c r="AA10" s="100"/>
      <c r="AB10" s="100"/>
    </row>
    <row r="11" spans="1:28" ht="13.5" thickBot="1" x14ac:dyDescent="0.25">
      <c r="A11" s="479">
        <v>37865</v>
      </c>
      <c r="B11" s="459">
        <f>+'Purchased Power Model '!B11</f>
        <v>91341000</v>
      </c>
      <c r="C11" s="480">
        <f>+'Purchased Power Model '!C11</f>
        <v>55.2</v>
      </c>
      <c r="D11" s="480">
        <f>+'Purchased Power Model '!D11</f>
        <v>12.1</v>
      </c>
      <c r="E11" s="443">
        <f>+'Purchased Power Model '!E11</f>
        <v>5.0999999999999997E-2</v>
      </c>
      <c r="F11" s="17">
        <f>+'Purchased Power Model '!F11</f>
        <v>30</v>
      </c>
      <c r="G11" s="17">
        <f>+'Purchased Power Model '!G11</f>
        <v>1</v>
      </c>
      <c r="H11" s="481">
        <f t="shared" si="2"/>
        <v>82731609.371544942</v>
      </c>
      <c r="I11" s="106">
        <f t="shared" si="0"/>
        <v>-8609390.6284550577</v>
      </c>
      <c r="J11" s="5">
        <f t="shared" si="1"/>
        <v>-9.4255489084365818E-2</v>
      </c>
      <c r="K11"/>
      <c r="L11" t="s">
        <v>25</v>
      </c>
      <c r="M11"/>
      <c r="N11"/>
      <c r="O11"/>
      <c r="P11"/>
      <c r="Q11"/>
      <c r="R11"/>
      <c r="S11"/>
      <c r="T11"/>
      <c r="U11" s="100"/>
      <c r="V11" s="100"/>
      <c r="W11" s="100"/>
      <c r="X11" s="100"/>
      <c r="Y11" s="100"/>
      <c r="Z11" s="100"/>
      <c r="AA11" s="100"/>
      <c r="AB11" s="100"/>
    </row>
    <row r="12" spans="1:28" x14ac:dyDescent="0.2">
      <c r="A12" s="479">
        <v>37895</v>
      </c>
      <c r="B12" s="459">
        <f>+'Purchased Power Model '!B12</f>
        <v>95672250</v>
      </c>
      <c r="C12" s="480">
        <f>+'Purchased Power Model '!C12</f>
        <v>289.7</v>
      </c>
      <c r="D12" s="480">
        <f>+'Purchased Power Model '!D12</f>
        <v>0</v>
      </c>
      <c r="E12" s="443">
        <f>+'Purchased Power Model '!E12</f>
        <v>4.8000000000000001E-2</v>
      </c>
      <c r="F12" s="17">
        <f>+'Purchased Power Model '!F12</f>
        <v>31</v>
      </c>
      <c r="G12" s="17">
        <f>+'Purchased Power Model '!G12</f>
        <v>1</v>
      </c>
      <c r="H12" s="481">
        <f t="shared" si="2"/>
        <v>92834247.03890723</v>
      </c>
      <c r="I12" s="106">
        <f t="shared" si="0"/>
        <v>-2838002.9610927701</v>
      </c>
      <c r="J12" s="5">
        <f t="shared" si="1"/>
        <v>-2.9663804928730851E-2</v>
      </c>
      <c r="K12"/>
      <c r="L12" s="48"/>
      <c r="M12" s="48" t="s">
        <v>29</v>
      </c>
      <c r="N12" s="48" t="s">
        <v>30</v>
      </c>
      <c r="O12" s="48" t="s">
        <v>31</v>
      </c>
      <c r="P12" s="48" t="s">
        <v>32</v>
      </c>
      <c r="Q12" s="48" t="s">
        <v>33</v>
      </c>
      <c r="R12"/>
      <c r="S12"/>
      <c r="T12"/>
      <c r="U12" s="100"/>
      <c r="V12" s="100"/>
      <c r="W12" s="100"/>
      <c r="X12" s="100"/>
      <c r="Y12" s="100"/>
      <c r="Z12" s="100"/>
      <c r="AA12" s="100"/>
      <c r="AB12" s="100"/>
    </row>
    <row r="13" spans="1:28" x14ac:dyDescent="0.2">
      <c r="A13" s="479">
        <v>37926</v>
      </c>
      <c r="B13" s="459">
        <f>+'Purchased Power Model '!B13</f>
        <v>101404920</v>
      </c>
      <c r="C13" s="480">
        <f>+'Purchased Power Model '!C13</f>
        <v>387.6</v>
      </c>
      <c r="D13" s="480">
        <f>+'Purchased Power Model '!D13</f>
        <v>0</v>
      </c>
      <c r="E13" s="443">
        <f>+'Purchased Power Model '!E13</f>
        <v>4.8000000000000001E-2</v>
      </c>
      <c r="F13" s="17">
        <f>+'Purchased Power Model '!F13</f>
        <v>30</v>
      </c>
      <c r="G13" s="17">
        <f>+'Purchased Power Model '!G13</f>
        <v>1</v>
      </c>
      <c r="H13" s="481">
        <f t="shared" si="2"/>
        <v>93876198.099970028</v>
      </c>
      <c r="I13" s="106">
        <f t="shared" si="0"/>
        <v>-7528721.9000299722</v>
      </c>
      <c r="J13" s="5">
        <f t="shared" si="1"/>
        <v>-7.4244148114607972E-2</v>
      </c>
      <c r="K13"/>
      <c r="L13" s="35" t="s">
        <v>26</v>
      </c>
      <c r="M13" s="59">
        <v>5</v>
      </c>
      <c r="N13" s="59">
        <v>1.4657772049739774E+16</v>
      </c>
      <c r="O13" s="59">
        <v>2931554409947955</v>
      </c>
      <c r="P13" s="59">
        <v>139.06830813953346</v>
      </c>
      <c r="Q13" s="59">
        <v>2.8579444866555155E-57</v>
      </c>
      <c r="R13"/>
      <c r="S13"/>
      <c r="T13"/>
      <c r="U13" s="100"/>
      <c r="V13" s="100"/>
      <c r="W13" s="100"/>
      <c r="X13" s="100"/>
      <c r="Y13" s="100"/>
      <c r="Z13" s="100"/>
      <c r="AA13" s="100"/>
      <c r="AB13" s="100"/>
    </row>
    <row r="14" spans="1:28" x14ac:dyDescent="0.2">
      <c r="A14" s="479">
        <v>37956</v>
      </c>
      <c r="B14" s="459">
        <f>+'Purchased Power Model '!B14</f>
        <v>112847240</v>
      </c>
      <c r="C14" s="480">
        <f>+'Purchased Power Model '!C14</f>
        <v>548.20000000000005</v>
      </c>
      <c r="D14" s="480">
        <f>+'Purchased Power Model '!D14</f>
        <v>0</v>
      </c>
      <c r="E14" s="443">
        <f>+'Purchased Power Model '!E14</f>
        <v>4.8000000000000001E-2</v>
      </c>
      <c r="F14" s="17">
        <f>+'Purchased Power Model '!F14</f>
        <v>31</v>
      </c>
      <c r="G14" s="17">
        <f>+'Purchased Power Model '!G14</f>
        <v>0</v>
      </c>
      <c r="H14" s="481">
        <f t="shared" si="2"/>
        <v>109510484.03955507</v>
      </c>
      <c r="I14" s="106">
        <f t="shared" si="0"/>
        <v>-3336755.9604449272</v>
      </c>
      <c r="J14" s="5">
        <f t="shared" si="1"/>
        <v>-2.9568786622029278E-2</v>
      </c>
      <c r="K14"/>
      <c r="L14" s="35" t="s">
        <v>27</v>
      </c>
      <c r="M14" s="59">
        <v>165</v>
      </c>
      <c r="N14" s="59">
        <v>3478193444016649.5</v>
      </c>
      <c r="O14" s="59">
        <v>21079960266767.574</v>
      </c>
      <c r="P14" s="59"/>
      <c r="Q14" s="59"/>
      <c r="R14"/>
      <c r="S14"/>
      <c r="T14"/>
      <c r="U14" s="100"/>
      <c r="V14" s="100"/>
      <c r="W14" s="100"/>
      <c r="X14" s="100"/>
      <c r="Y14" s="100"/>
      <c r="Z14" s="100"/>
      <c r="AA14" s="100"/>
      <c r="AB14" s="100"/>
    </row>
    <row r="15" spans="1:28" ht="13.5" thickBot="1" x14ac:dyDescent="0.25">
      <c r="A15" s="479">
        <v>37987</v>
      </c>
      <c r="B15" s="459">
        <f>+'Purchased Power Model '!B15</f>
        <v>127196340</v>
      </c>
      <c r="C15" s="480">
        <f>+'Purchased Power Model '!C15</f>
        <v>828.8</v>
      </c>
      <c r="D15" s="480">
        <f>+'Purchased Power Model '!D15</f>
        <v>0</v>
      </c>
      <c r="E15" s="443">
        <f>+'Purchased Power Model '!E15</f>
        <v>5.0999999999999997E-2</v>
      </c>
      <c r="F15" s="17">
        <f>+'Purchased Power Model '!F15</f>
        <v>31</v>
      </c>
      <c r="G15" s="17">
        <f>+'Purchased Power Model '!G15</f>
        <v>0</v>
      </c>
      <c r="H15" s="481">
        <f t="shared" si="2"/>
        <v>120056817.51415342</v>
      </c>
      <c r="I15" s="106">
        <f t="shared" si="0"/>
        <v>-7139522.4858465791</v>
      </c>
      <c r="J15" s="5">
        <f t="shared" si="1"/>
        <v>-5.612993648910479E-2</v>
      </c>
      <c r="K15"/>
      <c r="L15" s="47" t="s">
        <v>9</v>
      </c>
      <c r="M15" s="60">
        <v>170</v>
      </c>
      <c r="N15" s="60">
        <v>1.8135965493756424E+16</v>
      </c>
      <c r="O15" s="60"/>
      <c r="P15" s="60"/>
      <c r="Q15" s="60"/>
      <c r="R15"/>
      <c r="S15"/>
      <c r="T15"/>
      <c r="U15" s="100"/>
      <c r="V15" s="100"/>
      <c r="W15" s="100"/>
      <c r="X15" s="100"/>
      <c r="Y15" s="100"/>
      <c r="Z15" s="100"/>
      <c r="AA15" s="100"/>
      <c r="AB15" s="100"/>
    </row>
    <row r="16" spans="1:28" ht="13.5" thickBot="1" x14ac:dyDescent="0.25">
      <c r="A16" s="479">
        <v>38018</v>
      </c>
      <c r="B16" s="459">
        <f>+'Purchased Power Model '!B16</f>
        <v>108928270</v>
      </c>
      <c r="C16" s="480">
        <f>+'Purchased Power Model '!C16</f>
        <v>615.6</v>
      </c>
      <c r="D16" s="480">
        <f>+'Purchased Power Model '!D16</f>
        <v>0</v>
      </c>
      <c r="E16" s="443">
        <f>+'Purchased Power Model '!E16</f>
        <v>5.0999999999999997E-2</v>
      </c>
      <c r="F16" s="17">
        <f>+'Purchased Power Model '!F16</f>
        <v>29</v>
      </c>
      <c r="G16" s="17">
        <f>+'Purchased Power Model '!G16</f>
        <v>0</v>
      </c>
      <c r="H16" s="481">
        <f t="shared" si="2"/>
        <v>106430748.48740545</v>
      </c>
      <c r="I16" s="106">
        <f t="shared" si="0"/>
        <v>-2497521.5125945508</v>
      </c>
      <c r="J16" s="5">
        <f t="shared" si="1"/>
        <v>-2.2928129792151759E-2</v>
      </c>
      <c r="K16"/>
      <c r="L16"/>
      <c r="M16"/>
      <c r="N16"/>
      <c r="O16"/>
      <c r="P16"/>
      <c r="Q16"/>
      <c r="R16"/>
      <c r="S16"/>
      <c r="T16"/>
      <c r="U16" s="100"/>
      <c r="V16" s="100"/>
      <c r="W16" s="100"/>
      <c r="X16" s="100"/>
      <c r="Y16" s="100"/>
      <c r="Z16" s="100"/>
      <c r="AA16" s="100"/>
      <c r="AB16" s="100"/>
    </row>
    <row r="17" spans="1:28" x14ac:dyDescent="0.2">
      <c r="A17" s="479">
        <v>38047</v>
      </c>
      <c r="B17" s="459">
        <f>+'Purchased Power Model '!B17</f>
        <v>105064150</v>
      </c>
      <c r="C17" s="480">
        <f>+'Purchased Power Model '!C17</f>
        <v>487.1</v>
      </c>
      <c r="D17" s="480">
        <f>+'Purchased Power Model '!D17</f>
        <v>0</v>
      </c>
      <c r="E17" s="443">
        <f>+'Purchased Power Model '!E17</f>
        <v>5.0999999999999997E-2</v>
      </c>
      <c r="F17" s="17">
        <f>+'Purchased Power Model '!F17</f>
        <v>31</v>
      </c>
      <c r="G17" s="17">
        <f>+'Purchased Power Model '!G17</f>
        <v>1</v>
      </c>
      <c r="H17" s="481">
        <f t="shared" si="2"/>
        <v>100184811.32136308</v>
      </c>
      <c r="I17" s="106">
        <f t="shared" si="0"/>
        <v>-4879338.6786369234</v>
      </c>
      <c r="J17" s="5">
        <f t="shared" si="1"/>
        <v>-4.6441518621117894E-2</v>
      </c>
      <c r="K17"/>
      <c r="L17" s="48"/>
      <c r="M17" s="48" t="s">
        <v>34</v>
      </c>
      <c r="N17" s="48" t="s">
        <v>23</v>
      </c>
      <c r="O17" s="48" t="s">
        <v>35</v>
      </c>
      <c r="P17" s="48" t="s">
        <v>36</v>
      </c>
      <c r="Q17" s="48" t="s">
        <v>37</v>
      </c>
      <c r="R17" s="48" t="s">
        <v>38</v>
      </c>
      <c r="S17" s="48" t="s">
        <v>39</v>
      </c>
      <c r="T17" s="48" t="s">
        <v>40</v>
      </c>
      <c r="U17" s="100"/>
      <c r="V17" s="100"/>
      <c r="W17" s="100"/>
      <c r="X17" s="100"/>
      <c r="Y17" s="100"/>
      <c r="Z17" s="100"/>
      <c r="AA17" s="100"/>
      <c r="AB17" s="100"/>
    </row>
    <row r="18" spans="1:28" x14ac:dyDescent="0.2">
      <c r="A18" s="479">
        <v>38078</v>
      </c>
      <c r="B18" s="459">
        <f>+'Purchased Power Model '!B18</f>
        <v>91322380</v>
      </c>
      <c r="C18" s="480">
        <f>+'Purchased Power Model '!C18</f>
        <v>345</v>
      </c>
      <c r="D18" s="480">
        <f>+'Purchased Power Model '!D18</f>
        <v>0</v>
      </c>
      <c r="E18" s="443">
        <f>+'Purchased Power Model '!E18</f>
        <v>5.2999999999999999E-2</v>
      </c>
      <c r="F18" s="17">
        <f>+'Purchased Power Model '!F18</f>
        <v>30</v>
      </c>
      <c r="G18" s="17">
        <f>+'Purchased Power Model '!G18</f>
        <v>1</v>
      </c>
      <c r="H18" s="481">
        <f t="shared" si="2"/>
        <v>91853727.130824104</v>
      </c>
      <c r="I18" s="106">
        <f t="shared" si="0"/>
        <v>531347.13082410395</v>
      </c>
      <c r="J18" s="5">
        <f t="shared" si="1"/>
        <v>5.8183670949454444E-3</v>
      </c>
      <c r="K18"/>
      <c r="L18" s="35" t="s">
        <v>28</v>
      </c>
      <c r="M18" s="59">
        <v>7888919.4720674306</v>
      </c>
      <c r="N18" s="59">
        <v>13635771.283267884</v>
      </c>
      <c r="O18" s="59">
        <v>0.57854589287132796</v>
      </c>
      <c r="P18" s="59">
        <v>0.56368448051201214</v>
      </c>
      <c r="Q18" s="59">
        <v>-19034169.551120035</v>
      </c>
      <c r="R18" s="59">
        <v>34812008.495254897</v>
      </c>
      <c r="S18" s="59">
        <v>-19034169.551120035</v>
      </c>
      <c r="T18" s="59">
        <v>34812008.495254897</v>
      </c>
      <c r="U18" s="100"/>
      <c r="V18" s="100"/>
      <c r="W18" s="100"/>
      <c r="X18" s="100"/>
      <c r="Y18" s="100"/>
      <c r="Z18" s="100"/>
      <c r="AA18" s="100"/>
      <c r="AB18" s="100"/>
    </row>
    <row r="19" spans="1:28" x14ac:dyDescent="0.2">
      <c r="A19" s="479">
        <v>38108</v>
      </c>
      <c r="B19" s="459">
        <f>+'Purchased Power Model '!B19</f>
        <v>86885250</v>
      </c>
      <c r="C19" s="480">
        <f>+'Purchased Power Model '!C19</f>
        <v>177.5</v>
      </c>
      <c r="D19" s="480">
        <f>+'Purchased Power Model '!D19</f>
        <v>0</v>
      </c>
      <c r="E19" s="443">
        <f>+'Purchased Power Model '!E19</f>
        <v>5.2999999999999999E-2</v>
      </c>
      <c r="F19" s="17">
        <f>+'Purchased Power Model '!F19</f>
        <v>31</v>
      </c>
      <c r="G19" s="17">
        <f>+'Purchased Power Model '!G19</f>
        <v>1</v>
      </c>
      <c r="H19" s="481">
        <f t="shared" si="2"/>
        <v>88138392.226334408</v>
      </c>
      <c r="I19" s="106">
        <f t="shared" si="0"/>
        <v>1253142.2263344079</v>
      </c>
      <c r="J19" s="5">
        <f t="shared" si="1"/>
        <v>1.4422957018992382E-2</v>
      </c>
      <c r="K19"/>
      <c r="L19" s="35" t="s">
        <v>3</v>
      </c>
      <c r="M19" s="59">
        <v>38410.687405558827</v>
      </c>
      <c r="N19" s="59">
        <v>2119.9194743133048</v>
      </c>
      <c r="O19" s="59">
        <v>18.118937002548652</v>
      </c>
      <c r="P19" s="59">
        <v>4.3724150311917488E-41</v>
      </c>
      <c r="Q19" s="59">
        <v>34225.021663353182</v>
      </c>
      <c r="R19" s="59">
        <v>42596.353147764472</v>
      </c>
      <c r="S19" s="59">
        <v>34225.021663353182</v>
      </c>
      <c r="T19" s="59">
        <v>42596.353147764472</v>
      </c>
      <c r="U19" s="100"/>
      <c r="V19" s="100"/>
      <c r="W19" s="100"/>
      <c r="X19" s="100"/>
      <c r="Y19" s="100"/>
      <c r="Z19" s="100"/>
      <c r="AA19" s="100"/>
      <c r="AB19" s="100"/>
    </row>
    <row r="20" spans="1:28" x14ac:dyDescent="0.2">
      <c r="A20" s="479">
        <v>38139</v>
      </c>
      <c r="B20" s="459">
        <f>+'Purchased Power Model '!B20</f>
        <v>86876500</v>
      </c>
      <c r="C20" s="480">
        <f>+'Purchased Power Model '!C20</f>
        <v>73.2</v>
      </c>
      <c r="D20" s="480">
        <f>+'Purchased Power Model '!D20</f>
        <v>15.6</v>
      </c>
      <c r="E20" s="443">
        <f>+'Purchased Power Model '!E20</f>
        <v>5.2999999999999999E-2</v>
      </c>
      <c r="F20" s="17">
        <f>+'Purchased Power Model '!F20</f>
        <v>30</v>
      </c>
      <c r="G20" s="17">
        <f>+'Purchased Power Model '!G20</f>
        <v>0</v>
      </c>
      <c r="H20" s="481">
        <f t="shared" si="2"/>
        <v>90552126.613090277</v>
      </c>
      <c r="I20" s="106">
        <f t="shared" si="0"/>
        <v>3675626.6130902767</v>
      </c>
      <c r="J20" s="5">
        <f t="shared" si="1"/>
        <v>4.2308640577029197E-2</v>
      </c>
      <c r="K20"/>
      <c r="L20" s="35" t="s">
        <v>4</v>
      </c>
      <c r="M20" s="59">
        <v>153291.6674862928</v>
      </c>
      <c r="N20" s="59">
        <v>16325.570824503289</v>
      </c>
      <c r="O20" s="59">
        <v>9.3896666238594904</v>
      </c>
      <c r="P20" s="59">
        <v>4.7682338785921327E-17</v>
      </c>
      <c r="Q20" s="59">
        <v>121057.71551308859</v>
      </c>
      <c r="R20" s="59">
        <v>185525.61945949701</v>
      </c>
      <c r="S20" s="59">
        <v>121057.71551308859</v>
      </c>
      <c r="T20" s="59">
        <v>185525.61945949701</v>
      </c>
      <c r="U20" s="100"/>
      <c r="V20" s="100"/>
      <c r="W20" s="100"/>
      <c r="X20" s="100"/>
      <c r="Y20" s="100"/>
      <c r="Z20" s="100"/>
      <c r="AA20" s="100"/>
      <c r="AB20" s="100"/>
    </row>
    <row r="21" spans="1:28" x14ac:dyDescent="0.2">
      <c r="A21" s="479">
        <v>38169</v>
      </c>
      <c r="B21" s="459">
        <f>+'Purchased Power Model '!B21</f>
        <v>92903530</v>
      </c>
      <c r="C21" s="480">
        <f>+'Purchased Power Model '!C21</f>
        <v>2</v>
      </c>
      <c r="D21" s="480">
        <f>+'Purchased Power Model '!D21</f>
        <v>69.3</v>
      </c>
      <c r="E21" s="443">
        <f>+'Purchased Power Model '!E21</f>
        <v>5.2999999999999999E-2</v>
      </c>
      <c r="F21" s="17">
        <f>+'Purchased Power Model '!F21</f>
        <v>31</v>
      </c>
      <c r="G21" s="17">
        <f>+'Purchased Power Model '!G21</f>
        <v>0</v>
      </c>
      <c r="H21" s="481">
        <f t="shared" si="2"/>
        <v>98767503.449769825</v>
      </c>
      <c r="I21" s="106">
        <f t="shared" si="0"/>
        <v>5863973.4497698247</v>
      </c>
      <c r="J21" s="5">
        <f t="shared" si="1"/>
        <v>6.31189519899817E-2</v>
      </c>
      <c r="K21"/>
      <c r="L21" s="35" t="s">
        <v>217</v>
      </c>
      <c r="M21" s="59">
        <v>-77235137.133823559</v>
      </c>
      <c r="N21" s="59">
        <v>24570515.844764173</v>
      </c>
      <c r="O21" s="59">
        <v>-3.1434072292902999</v>
      </c>
      <c r="P21" s="59">
        <v>1.9804606870269239E-3</v>
      </c>
      <c r="Q21" s="59">
        <v>-125748284.77263382</v>
      </c>
      <c r="R21" s="59">
        <v>-28721989.495013304</v>
      </c>
      <c r="S21" s="59">
        <v>-125748284.77263382</v>
      </c>
      <c r="T21" s="59">
        <v>-28721989.495013304</v>
      </c>
      <c r="U21" s="100"/>
      <c r="V21" s="100"/>
      <c r="W21" s="100"/>
      <c r="X21" s="100"/>
      <c r="Y21" s="100"/>
      <c r="Z21" s="100"/>
      <c r="AA21" s="100"/>
      <c r="AB21" s="100"/>
    </row>
    <row r="22" spans="1:28" x14ac:dyDescent="0.2">
      <c r="A22" s="479">
        <v>38200</v>
      </c>
      <c r="B22" s="459">
        <f>+'Purchased Power Model '!B22</f>
        <v>94121760</v>
      </c>
      <c r="C22" s="480">
        <f>+'Purchased Power Model '!C22</f>
        <v>19.600000000000001</v>
      </c>
      <c r="D22" s="480">
        <f>+'Purchased Power Model '!D22</f>
        <v>53.6</v>
      </c>
      <c r="E22" s="443">
        <f>+'Purchased Power Model '!E22</f>
        <v>5.2999999999999999E-2</v>
      </c>
      <c r="F22" s="17">
        <f>+'Purchased Power Model '!F22</f>
        <v>31</v>
      </c>
      <c r="G22" s="17">
        <f>+'Purchased Power Model '!G22</f>
        <v>0</v>
      </c>
      <c r="H22" s="481">
        <f t="shared" si="2"/>
        <v>97036852.368572861</v>
      </c>
      <c r="I22" s="106">
        <f t="shared" si="0"/>
        <v>2915092.368572861</v>
      </c>
      <c r="J22" s="5">
        <f t="shared" si="1"/>
        <v>3.0971502961407233E-2</v>
      </c>
      <c r="K22"/>
      <c r="L22" s="35" t="s">
        <v>5</v>
      </c>
      <c r="M22" s="59">
        <v>2718455.2359414138</v>
      </c>
      <c r="N22" s="59">
        <v>445568.99283711897</v>
      </c>
      <c r="O22" s="59">
        <v>6.1010871035524801</v>
      </c>
      <c r="P22" s="59">
        <v>7.2535642525279285E-9</v>
      </c>
      <c r="Q22" s="59">
        <v>1838703.4851295003</v>
      </c>
      <c r="R22" s="59">
        <v>3598206.9867533273</v>
      </c>
      <c r="S22" s="59">
        <v>1838703.4851295003</v>
      </c>
      <c r="T22" s="59">
        <v>3598206.9867533273</v>
      </c>
      <c r="U22" s="100"/>
      <c r="V22" s="100"/>
      <c r="W22" s="100"/>
      <c r="X22" s="100"/>
      <c r="Y22" s="100"/>
      <c r="Z22" s="100"/>
      <c r="AA22" s="100"/>
      <c r="AB22" s="100"/>
    </row>
    <row r="23" spans="1:28" ht="13.5" thickBot="1" x14ac:dyDescent="0.25">
      <c r="A23" s="479">
        <v>38231</v>
      </c>
      <c r="B23" s="459">
        <f>+'Purchased Power Model '!B23</f>
        <v>88536700</v>
      </c>
      <c r="C23" s="480">
        <f>+'Purchased Power Model '!C23</f>
        <v>41.7</v>
      </c>
      <c r="D23" s="480">
        <f>+'Purchased Power Model '!D23</f>
        <v>26.7</v>
      </c>
      <c r="E23" s="443">
        <f>+'Purchased Power Model '!E23</f>
        <v>5.2999999999999999E-2</v>
      </c>
      <c r="F23" s="17">
        <f>+'Purchased Power Model '!F23</f>
        <v>30</v>
      </c>
      <c r="G23" s="17">
        <f>+'Purchased Power Model '!G23</f>
        <v>1</v>
      </c>
      <c r="H23" s="481">
        <f t="shared" si="2"/>
        <v>84296653.162602127</v>
      </c>
      <c r="I23" s="106">
        <f t="shared" si="0"/>
        <v>-4240046.8373978734</v>
      </c>
      <c r="J23" s="5">
        <f t="shared" si="1"/>
        <v>-4.7890274173284904E-2</v>
      </c>
      <c r="K23"/>
      <c r="L23" s="47" t="s">
        <v>17</v>
      </c>
      <c r="M23" s="60">
        <v>-6747074.3063108958</v>
      </c>
      <c r="N23" s="60">
        <v>896017.0185557066</v>
      </c>
      <c r="O23" s="60">
        <v>-7.530073834073522</v>
      </c>
      <c r="P23" s="60">
        <v>3.1462215848568049E-12</v>
      </c>
      <c r="Q23" s="60">
        <v>-8516211.1930866148</v>
      </c>
      <c r="R23" s="60">
        <v>-4977937.4195351759</v>
      </c>
      <c r="S23" s="60">
        <v>-8516211.1930866148</v>
      </c>
      <c r="T23" s="60">
        <v>-4977937.4195351759</v>
      </c>
      <c r="U23" s="100"/>
      <c r="V23" s="100"/>
      <c r="W23" s="100"/>
      <c r="X23" s="100"/>
      <c r="Y23" s="100"/>
      <c r="Z23" s="100"/>
      <c r="AA23" s="100"/>
      <c r="AB23" s="100"/>
    </row>
    <row r="24" spans="1:28" x14ac:dyDescent="0.2">
      <c r="A24" s="479">
        <v>38261</v>
      </c>
      <c r="B24" s="459">
        <f>+'Purchased Power Model '!B24</f>
        <v>88377710</v>
      </c>
      <c r="C24" s="480">
        <f>+'Purchased Power Model '!C24</f>
        <v>235</v>
      </c>
      <c r="D24" s="480">
        <f>+'Purchased Power Model '!D24</f>
        <v>0</v>
      </c>
      <c r="E24" s="443">
        <f>+'Purchased Power Model '!E24</f>
        <v>5.7999999999999996E-2</v>
      </c>
      <c r="F24" s="17">
        <f>+'Purchased Power Model '!F24</f>
        <v>31</v>
      </c>
      <c r="G24" s="17">
        <f>+'Purchased Power Model '!G24</f>
        <v>1</v>
      </c>
      <c r="H24" s="481">
        <f t="shared" si="2"/>
        <v>89960831.066484928</v>
      </c>
      <c r="I24" s="106">
        <f t="shared" si="0"/>
        <v>1583121.0664849281</v>
      </c>
      <c r="J24" s="5">
        <f t="shared" si="1"/>
        <v>1.7913126131972962E-2</v>
      </c>
      <c r="K24"/>
      <c r="L24"/>
      <c r="M24"/>
      <c r="N24"/>
      <c r="O24"/>
      <c r="P24"/>
      <c r="Q24"/>
      <c r="R24"/>
      <c r="S24"/>
      <c r="T24"/>
      <c r="U24" s="100"/>
      <c r="V24" s="100"/>
      <c r="W24" s="100"/>
      <c r="X24" s="100"/>
      <c r="Y24" s="100"/>
      <c r="Z24" s="100"/>
      <c r="AA24" s="100"/>
      <c r="AB24" s="100"/>
    </row>
    <row r="25" spans="1:28" x14ac:dyDescent="0.2">
      <c r="A25" s="479">
        <v>38292</v>
      </c>
      <c r="B25" s="459">
        <f>+'Purchased Power Model '!B25</f>
        <v>94905100</v>
      </c>
      <c r="C25" s="480">
        <f>+'Purchased Power Model '!C25</f>
        <v>385.7</v>
      </c>
      <c r="D25" s="480">
        <f>+'Purchased Power Model '!D25</f>
        <v>0</v>
      </c>
      <c r="E25" s="443">
        <f>+'Purchased Power Model '!E25</f>
        <v>5.7999999999999996E-2</v>
      </c>
      <c r="F25" s="17">
        <f>+'Purchased Power Model '!F25</f>
        <v>30</v>
      </c>
      <c r="G25" s="17">
        <f>+'Purchased Power Model '!G25</f>
        <v>1</v>
      </c>
      <c r="H25" s="481">
        <f t="shared" si="2"/>
        <v>93030866.422561228</v>
      </c>
      <c r="I25" s="106">
        <f t="shared" si="0"/>
        <v>-1874233.5774387717</v>
      </c>
      <c r="J25" s="5">
        <f t="shared" si="1"/>
        <v>-1.9748502213672098E-2</v>
      </c>
      <c r="K25"/>
      <c r="L25"/>
      <c r="M25"/>
      <c r="N25"/>
      <c r="O25"/>
      <c r="P25"/>
      <c r="Q25"/>
      <c r="R25"/>
      <c r="S25"/>
      <c r="T25"/>
      <c r="U25" s="100"/>
      <c r="V25" s="100"/>
      <c r="W25" s="100"/>
      <c r="X25" s="100"/>
      <c r="Y25" s="100"/>
      <c r="Z25" s="100"/>
      <c r="AA25" s="100"/>
      <c r="AB25" s="100"/>
    </row>
    <row r="26" spans="1:28" x14ac:dyDescent="0.2">
      <c r="A26" s="479">
        <v>38322</v>
      </c>
      <c r="B26" s="459">
        <f>+'Purchased Power Model '!B26</f>
        <v>113323500</v>
      </c>
      <c r="C26" s="480">
        <f>+'Purchased Power Model '!C26</f>
        <v>627.5</v>
      </c>
      <c r="D26" s="480">
        <f>+'Purchased Power Model '!D26</f>
        <v>0</v>
      </c>
      <c r="E26" s="443">
        <f>+'Purchased Power Model '!E26</f>
        <v>5.7999999999999996E-2</v>
      </c>
      <c r="F26" s="17">
        <f>+'Purchased Power Model '!F26</f>
        <v>31</v>
      </c>
      <c r="G26" s="17">
        <f>+'Purchased Power Model '!G26</f>
        <v>0</v>
      </c>
      <c r="H26" s="481">
        <f t="shared" si="2"/>
        <v>111784100.17947766</v>
      </c>
      <c r="I26" s="106">
        <f t="shared" si="0"/>
        <v>-1539399.8205223382</v>
      </c>
      <c r="J26" s="5">
        <f t="shared" si="1"/>
        <v>-1.3584118214865744E-2</v>
      </c>
      <c r="K26"/>
      <c r="L26"/>
      <c r="M26"/>
      <c r="N26"/>
      <c r="O26"/>
      <c r="P26"/>
      <c r="Q26"/>
      <c r="R26"/>
      <c r="S26"/>
      <c r="T26"/>
      <c r="U26" s="100"/>
      <c r="V26" s="100"/>
      <c r="W26" s="100"/>
      <c r="X26" s="100"/>
      <c r="Y26" s="100"/>
      <c r="Z26" s="100"/>
      <c r="AA26" s="100"/>
      <c r="AB26" s="100"/>
    </row>
    <row r="27" spans="1:28" x14ac:dyDescent="0.2">
      <c r="A27" s="479">
        <v>38353</v>
      </c>
      <c r="B27" s="459">
        <f>+'Purchased Power Model '!B27</f>
        <v>118166820</v>
      </c>
      <c r="C27" s="480">
        <f>+'Purchased Power Model '!C27</f>
        <v>745.5</v>
      </c>
      <c r="D27" s="480">
        <f>+'Purchased Power Model '!D27</f>
        <v>0</v>
      </c>
      <c r="E27" s="443">
        <f>+'Purchased Power Model '!E27</f>
        <v>7.2000000000000008E-2</v>
      </c>
      <c r="F27" s="17">
        <f>+'Purchased Power Model '!F27</f>
        <v>31</v>
      </c>
      <c r="G27" s="17">
        <f>+'Purchased Power Model '!G27</f>
        <v>0</v>
      </c>
      <c r="H27" s="481">
        <f t="shared" si="2"/>
        <v>115235269.37346007</v>
      </c>
      <c r="I27" s="106">
        <f t="shared" si="0"/>
        <v>-2931550.6265399307</v>
      </c>
      <c r="J27" s="5">
        <f t="shared" si="1"/>
        <v>-2.4808576777643088E-2</v>
      </c>
      <c r="K27"/>
      <c r="T27" s="100"/>
      <c r="U27" s="100"/>
      <c r="V27" s="100"/>
      <c r="W27" s="100"/>
      <c r="X27" s="100"/>
      <c r="Y27" s="100"/>
      <c r="Z27" s="100"/>
      <c r="AA27" s="100"/>
      <c r="AB27" s="100"/>
    </row>
    <row r="28" spans="1:28" x14ac:dyDescent="0.2">
      <c r="A28" s="479">
        <v>38384</v>
      </c>
      <c r="B28" s="459">
        <f>+'Purchased Power Model '!B28</f>
        <v>100566840</v>
      </c>
      <c r="C28" s="480">
        <f>+'Purchased Power Model '!C28</f>
        <v>589.5</v>
      </c>
      <c r="D28" s="480">
        <f>+'Purchased Power Model '!D28</f>
        <v>0</v>
      </c>
      <c r="E28" s="443">
        <f>+'Purchased Power Model '!E28</f>
        <v>7.2000000000000008E-2</v>
      </c>
      <c r="F28" s="17">
        <f>+'Purchased Power Model '!F28</f>
        <v>28</v>
      </c>
      <c r="G28" s="17">
        <f>+'Purchased Power Model '!G28</f>
        <v>0</v>
      </c>
      <c r="H28" s="481">
        <f t="shared" si="2"/>
        <v>101087836.43036865</v>
      </c>
      <c r="I28" s="106">
        <f t="shared" si="0"/>
        <v>520996.43036864698</v>
      </c>
      <c r="J28" s="5">
        <f t="shared" si="1"/>
        <v>5.1805985985902206E-3</v>
      </c>
      <c r="K28"/>
      <c r="T28" s="100"/>
      <c r="U28" s="100"/>
      <c r="V28" s="100"/>
      <c r="W28" s="100"/>
      <c r="X28" s="100"/>
      <c r="Y28" s="100"/>
      <c r="Z28" s="100"/>
      <c r="AA28" s="100"/>
      <c r="AB28" s="100"/>
    </row>
    <row r="29" spans="1:28" x14ac:dyDescent="0.2">
      <c r="A29" s="479">
        <v>38412</v>
      </c>
      <c r="B29" s="459">
        <f>+'Purchased Power Model '!B29</f>
        <v>104158730</v>
      </c>
      <c r="C29" s="480">
        <f>+'Purchased Power Model '!C29</f>
        <v>578.29999999999995</v>
      </c>
      <c r="D29" s="480">
        <f>+'Purchased Power Model '!D29</f>
        <v>0</v>
      </c>
      <c r="E29" s="443">
        <f>+'Purchased Power Model '!E29</f>
        <v>7.2000000000000008E-2</v>
      </c>
      <c r="F29" s="17">
        <f>+'Purchased Power Model '!F29</f>
        <v>31</v>
      </c>
      <c r="G29" s="17">
        <f>+'Purchased Power Model '!G29</f>
        <v>1</v>
      </c>
      <c r="H29" s="481">
        <f t="shared" si="2"/>
        <v>102065928.13293974</v>
      </c>
      <c r="I29" s="106">
        <f t="shared" si="0"/>
        <v>-2092801.867060259</v>
      </c>
      <c r="J29" s="5">
        <f t="shared" si="1"/>
        <v>-2.0092428806114081E-2</v>
      </c>
      <c r="K29"/>
      <c r="T29" s="100"/>
      <c r="U29" s="100"/>
      <c r="V29" s="100"/>
      <c r="W29" s="100"/>
      <c r="X29" s="100"/>
      <c r="Y29" s="100"/>
      <c r="Z29" s="100"/>
      <c r="AA29" s="100"/>
      <c r="AB29" s="100"/>
    </row>
    <row r="30" spans="1:28" x14ac:dyDescent="0.2">
      <c r="A30" s="479">
        <v>38443</v>
      </c>
      <c r="B30" s="459">
        <f>+'Purchased Power Model '!B30</f>
        <v>84434840</v>
      </c>
      <c r="C30" s="480">
        <f>+'Purchased Power Model '!C30</f>
        <v>325.3</v>
      </c>
      <c r="D30" s="480">
        <f>+'Purchased Power Model '!D30</f>
        <v>0</v>
      </c>
      <c r="E30" s="443">
        <f>+'Purchased Power Model '!E30</f>
        <v>6.3E-2</v>
      </c>
      <c r="F30" s="17">
        <f>+'Purchased Power Model '!F30</f>
        <v>30</v>
      </c>
      <c r="G30" s="17">
        <f>+'Purchased Power Model '!G30</f>
        <v>1</v>
      </c>
      <c r="H30" s="481">
        <f t="shared" si="2"/>
        <v>90324685.217596367</v>
      </c>
      <c r="I30" s="106">
        <f t="shared" si="0"/>
        <v>5889845.217596367</v>
      </c>
      <c r="J30" s="5">
        <f t="shared" si="1"/>
        <v>6.9756100889116004E-2</v>
      </c>
      <c r="K30"/>
      <c r="T30" s="100"/>
      <c r="U30" s="100"/>
      <c r="V30" s="100"/>
      <c r="W30" s="100"/>
      <c r="X30" s="100"/>
      <c r="Y30" s="100"/>
      <c r="Z30" s="100"/>
      <c r="AA30" s="100"/>
      <c r="AB30" s="100"/>
    </row>
    <row r="31" spans="1:28" x14ac:dyDescent="0.2">
      <c r="A31" s="479">
        <v>38473</v>
      </c>
      <c r="B31" s="459">
        <f>+'Purchased Power Model '!B31</f>
        <v>81831370</v>
      </c>
      <c r="C31" s="480">
        <f>+'Purchased Power Model '!C31</f>
        <v>216.1</v>
      </c>
      <c r="D31" s="480">
        <f>+'Purchased Power Model '!D31</f>
        <v>0.3</v>
      </c>
      <c r="E31" s="443">
        <f>+'Purchased Power Model '!E31</f>
        <v>6.3E-2</v>
      </c>
      <c r="F31" s="17">
        <f>+'Purchased Power Model '!F31</f>
        <v>31</v>
      </c>
      <c r="G31" s="17">
        <f>+'Purchased Power Model '!G31</f>
        <v>1</v>
      </c>
      <c r="H31" s="481">
        <f t="shared" si="2"/>
        <v>88894680.889096633</v>
      </c>
      <c r="I31" s="106">
        <f t="shared" si="0"/>
        <v>7063310.8890966326</v>
      </c>
      <c r="J31" s="5">
        <f t="shared" si="1"/>
        <v>8.631544222095551E-2</v>
      </c>
      <c r="K31"/>
      <c r="T31" s="100"/>
      <c r="U31" s="100"/>
      <c r="V31" s="100"/>
      <c r="W31" s="100"/>
      <c r="X31" s="100"/>
      <c r="Y31" s="100"/>
      <c r="Z31" s="100"/>
      <c r="AA31" s="100"/>
      <c r="AB31" s="100"/>
    </row>
    <row r="32" spans="1:28" x14ac:dyDescent="0.2">
      <c r="A32" s="479">
        <v>38504</v>
      </c>
      <c r="B32" s="459">
        <f>+'Purchased Power Model '!B32</f>
        <v>98362500</v>
      </c>
      <c r="C32" s="480">
        <f>+'Purchased Power Model '!C32</f>
        <v>13.7</v>
      </c>
      <c r="D32" s="480">
        <f>+'Purchased Power Model '!D32</f>
        <v>89.9</v>
      </c>
      <c r="E32" s="443">
        <f>+'Purchased Power Model '!E32</f>
        <v>6.3E-2</v>
      </c>
      <c r="F32" s="17">
        <f>+'Purchased Power Model '!F32</f>
        <v>30</v>
      </c>
      <c r="G32" s="17">
        <f>+'Purchased Power Model '!G32</f>
        <v>0</v>
      </c>
      <c r="H32" s="481">
        <f t="shared" si="2"/>
        <v>98883910.235352844</v>
      </c>
      <c r="I32" s="106">
        <f t="shared" si="0"/>
        <v>521410.235352844</v>
      </c>
      <c r="J32" s="5">
        <f t="shared" si="1"/>
        <v>5.3009046674580658E-3</v>
      </c>
      <c r="K32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x14ac:dyDescent="0.2">
      <c r="A33" s="479">
        <v>38534</v>
      </c>
      <c r="B33" s="459">
        <f>+'Purchased Power Model '!B33</f>
        <v>103745750</v>
      </c>
      <c r="C33" s="480">
        <f>+'Purchased Power Model '!C33</f>
        <v>2.2000000000000002</v>
      </c>
      <c r="D33" s="480">
        <f>+'Purchased Power Model '!D33</f>
        <v>153</v>
      </c>
      <c r="E33" s="443">
        <f>+'Purchased Power Model '!E33</f>
        <v>5.7000000000000002E-2</v>
      </c>
      <c r="F33" s="17">
        <f>+'Purchased Power Model '!F33</f>
        <v>31</v>
      </c>
      <c r="G33" s="17">
        <f>+'Purchased Power Model '!G33</f>
        <v>0</v>
      </c>
      <c r="H33" s="481">
        <f t="shared" si="2"/>
        <v>111296757.60731834</v>
      </c>
      <c r="I33" s="106">
        <f t="shared" si="0"/>
        <v>7551007.6073183417</v>
      </c>
      <c r="J33" s="5">
        <f t="shared" si="1"/>
        <v>7.2783777719264087E-2</v>
      </c>
      <c r="K33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1:28" x14ac:dyDescent="0.2">
      <c r="A34" s="479">
        <v>38565</v>
      </c>
      <c r="B34" s="459">
        <f>+'Purchased Power Model '!B34</f>
        <v>101425330</v>
      </c>
      <c r="C34" s="480">
        <f>+'Purchased Power Model '!C34</f>
        <v>0</v>
      </c>
      <c r="D34" s="480">
        <f>+'Purchased Power Model '!D34</f>
        <v>108</v>
      </c>
      <c r="E34" s="443">
        <f>+'Purchased Power Model '!E34</f>
        <v>5.7000000000000002E-2</v>
      </c>
      <c r="F34" s="17">
        <f>+'Purchased Power Model '!F34</f>
        <v>31</v>
      </c>
      <c r="G34" s="17">
        <f>+'Purchased Power Model '!G34</f>
        <v>0</v>
      </c>
      <c r="H34" s="481">
        <f t="shared" si="2"/>
        <v>104314129.05814295</v>
      </c>
      <c r="I34" s="106">
        <f t="shared" si="0"/>
        <v>2888799.0581429452</v>
      </c>
      <c r="J34" s="5">
        <f t="shared" si="1"/>
        <v>2.848202769606907E-2</v>
      </c>
      <c r="K34"/>
      <c r="T34" s="100"/>
      <c r="U34" s="100"/>
      <c r="V34" s="100"/>
      <c r="W34" s="100"/>
      <c r="X34" s="100"/>
      <c r="Y34" s="100"/>
      <c r="Z34" s="100"/>
      <c r="AA34" s="100"/>
      <c r="AB34" s="100"/>
    </row>
    <row r="35" spans="1:28" x14ac:dyDescent="0.2">
      <c r="A35" s="479">
        <v>38596</v>
      </c>
      <c r="B35" s="459">
        <f>+'Purchased Power Model '!B35</f>
        <v>87813850</v>
      </c>
      <c r="C35" s="480">
        <f>+'Purchased Power Model '!C35</f>
        <v>36.700000000000003</v>
      </c>
      <c r="D35" s="480">
        <f>+'Purchased Power Model '!D35</f>
        <v>32.799999999999997</v>
      </c>
      <c r="E35" s="443">
        <f>+'Purchased Power Model '!E35</f>
        <v>5.7000000000000002E-2</v>
      </c>
      <c r="F35" s="17">
        <f>+'Purchased Power Model '!F35</f>
        <v>30</v>
      </c>
      <c r="G35" s="17">
        <f>+'Purchased Power Model '!G35</f>
        <v>1</v>
      </c>
      <c r="H35" s="481">
        <f t="shared" si="2"/>
        <v>84730738.348705426</v>
      </c>
      <c r="I35" s="106">
        <f t="shared" si="0"/>
        <v>-3083111.6512945741</v>
      </c>
      <c r="J35" s="5">
        <f t="shared" si="1"/>
        <v>-3.5109628507286425E-2</v>
      </c>
      <c r="K35"/>
      <c r="T35" s="100"/>
      <c r="U35" s="100"/>
      <c r="V35" s="100"/>
      <c r="W35" s="100"/>
      <c r="X35" s="100"/>
      <c r="Y35" s="100"/>
      <c r="Z35" s="100"/>
      <c r="AA35" s="100"/>
      <c r="AB35" s="100"/>
    </row>
    <row r="36" spans="1:28" x14ac:dyDescent="0.2">
      <c r="A36" s="479">
        <v>38626</v>
      </c>
      <c r="B36" s="459">
        <f>+'Purchased Power Model '!B36</f>
        <v>87350690</v>
      </c>
      <c r="C36" s="480">
        <f>+'Purchased Power Model '!C36</f>
        <v>223.8</v>
      </c>
      <c r="D36" s="480">
        <f>+'Purchased Power Model '!D36</f>
        <v>0.5</v>
      </c>
      <c r="E36" s="443">
        <f>+'Purchased Power Model '!E36</f>
        <v>6.7000000000000004E-2</v>
      </c>
      <c r="F36" s="17">
        <f>+'Purchased Power Model '!F36</f>
        <v>31</v>
      </c>
      <c r="G36" s="17">
        <f>+'Purchased Power Model '!G36</f>
        <v>1</v>
      </c>
      <c r="H36" s="481">
        <f t="shared" si="2"/>
        <v>88912160.967081398</v>
      </c>
      <c r="I36" s="106">
        <f t="shared" si="0"/>
        <v>1561470.9670813978</v>
      </c>
      <c r="J36" s="5">
        <f t="shared" si="1"/>
        <v>1.7875885892617422E-2</v>
      </c>
      <c r="K36"/>
      <c r="T36" s="100"/>
      <c r="U36" s="100"/>
      <c r="V36" s="100"/>
      <c r="W36" s="100"/>
      <c r="X36" s="100"/>
      <c r="Y36" s="100"/>
      <c r="Z36" s="100"/>
      <c r="AA36" s="100"/>
      <c r="AB36" s="100"/>
    </row>
    <row r="37" spans="1:28" x14ac:dyDescent="0.2">
      <c r="A37" s="479">
        <v>38657</v>
      </c>
      <c r="B37" s="459">
        <f>+'Purchased Power Model '!B37</f>
        <v>94515140</v>
      </c>
      <c r="C37" s="480">
        <f>+'Purchased Power Model '!C37</f>
        <v>398.5</v>
      </c>
      <c r="D37" s="480">
        <f>+'Purchased Power Model '!D37</f>
        <v>0</v>
      </c>
      <c r="E37" s="443">
        <f>+'Purchased Power Model '!E37</f>
        <v>6.7000000000000004E-2</v>
      </c>
      <c r="F37" s="17">
        <f>+'Purchased Power Model '!F37</f>
        <v>30</v>
      </c>
      <c r="G37" s="17">
        <f>+'Purchased Power Model '!G37</f>
        <v>1</v>
      </c>
      <c r="H37" s="481">
        <f t="shared" si="2"/>
        <v>92827406.987147972</v>
      </c>
      <c r="I37" s="106">
        <f t="shared" si="0"/>
        <v>-1687733.012852028</v>
      </c>
      <c r="J37" s="5">
        <f t="shared" si="1"/>
        <v>-1.7856747742764047E-2</v>
      </c>
      <c r="K37"/>
      <c r="T37" s="100"/>
      <c r="U37" s="100"/>
      <c r="V37" s="100"/>
      <c r="W37" s="100"/>
      <c r="X37" s="100"/>
      <c r="Y37" s="100"/>
      <c r="Z37" s="100"/>
      <c r="AA37" s="100"/>
      <c r="AB37" s="100"/>
    </row>
    <row r="38" spans="1:28" x14ac:dyDescent="0.2">
      <c r="A38" s="479">
        <v>38687</v>
      </c>
      <c r="B38" s="459">
        <f>+'Purchased Power Model '!B38</f>
        <v>112129490</v>
      </c>
      <c r="C38" s="480">
        <f>+'Purchased Power Model '!C38</f>
        <v>641.1</v>
      </c>
      <c r="D38" s="480">
        <f>+'Purchased Power Model '!D38</f>
        <v>0</v>
      </c>
      <c r="E38" s="443">
        <f>+'Purchased Power Model '!E38</f>
        <v>6.7000000000000004E-2</v>
      </c>
      <c r="F38" s="17">
        <f>+'Purchased Power Model '!F38</f>
        <v>31</v>
      </c>
      <c r="G38" s="17">
        <f>+'Purchased Power Model '!G38</f>
        <v>0</v>
      </c>
      <c r="H38" s="481">
        <f t="shared" si="2"/>
        <v>111611369.29398885</v>
      </c>
      <c r="I38" s="106">
        <f t="shared" si="0"/>
        <v>-518120.70601114631</v>
      </c>
      <c r="J38" s="5">
        <f t="shared" si="1"/>
        <v>-4.6207354194792672E-3</v>
      </c>
      <c r="K38"/>
      <c r="T38" s="100"/>
      <c r="U38" s="100"/>
      <c r="V38" s="100"/>
      <c r="W38" s="100"/>
      <c r="X38" s="100"/>
      <c r="Y38" s="100"/>
      <c r="Z38" s="100"/>
      <c r="AA38" s="100"/>
      <c r="AB38" s="100"/>
    </row>
    <row r="39" spans="1:28" x14ac:dyDescent="0.2">
      <c r="A39" s="479">
        <v>38718</v>
      </c>
      <c r="B39" s="459">
        <f>+'Purchased Power Model '!B39</f>
        <v>108586490</v>
      </c>
      <c r="C39" s="480">
        <f>+'Purchased Power Model '!C39</f>
        <v>558.20000000000005</v>
      </c>
      <c r="D39" s="480">
        <f>+'Purchased Power Model '!D39</f>
        <v>0</v>
      </c>
      <c r="E39" s="443">
        <f>+'Purchased Power Model '!E39</f>
        <v>6.7000000000000004E-2</v>
      </c>
      <c r="F39" s="17">
        <f>+'Purchased Power Model '!F39</f>
        <v>31</v>
      </c>
      <c r="G39" s="17">
        <f>+'Purchased Power Model '!G39</f>
        <v>0</v>
      </c>
      <c r="H39" s="481">
        <f t="shared" si="2"/>
        <v>108427123.30806802</v>
      </c>
      <c r="I39" s="106">
        <f t="shared" si="0"/>
        <v>-159366.69193197787</v>
      </c>
      <c r="J39" s="5">
        <f t="shared" si="1"/>
        <v>-1.4676475124297495E-3</v>
      </c>
      <c r="K39"/>
      <c r="T39" s="100"/>
      <c r="U39" s="100"/>
      <c r="V39" s="100"/>
      <c r="W39" s="100"/>
      <c r="X39" s="100"/>
      <c r="Y39" s="100"/>
      <c r="Z39" s="100"/>
      <c r="AA39" s="100"/>
      <c r="AB39" s="100"/>
    </row>
    <row r="40" spans="1:28" x14ac:dyDescent="0.2">
      <c r="A40" s="479">
        <v>38749</v>
      </c>
      <c r="B40" s="459">
        <f>+'Purchased Power Model '!B40</f>
        <v>101769990</v>
      </c>
      <c r="C40" s="480">
        <f>+'Purchased Power Model '!C40</f>
        <v>608.79999999999995</v>
      </c>
      <c r="D40" s="480">
        <f>+'Purchased Power Model '!D40</f>
        <v>0</v>
      </c>
      <c r="E40" s="443">
        <f>+'Purchased Power Model '!E40</f>
        <v>6.7000000000000004E-2</v>
      </c>
      <c r="F40" s="17">
        <f>+'Purchased Power Model '!F40</f>
        <v>28</v>
      </c>
      <c r="G40" s="17">
        <f>+'Purchased Power Model '!G40</f>
        <v>0</v>
      </c>
      <c r="H40" s="481">
        <f t="shared" si="2"/>
        <v>102215338.38296506</v>
      </c>
      <c r="I40" s="106">
        <f t="shared" si="0"/>
        <v>445348.38296505809</v>
      </c>
      <c r="J40" s="5">
        <f t="shared" si="1"/>
        <v>4.3760285617111495E-3</v>
      </c>
      <c r="K40"/>
      <c r="T40" s="100"/>
      <c r="U40" s="100"/>
      <c r="V40" s="100"/>
      <c r="W40" s="100"/>
      <c r="X40" s="100"/>
      <c r="Y40" s="100"/>
      <c r="Z40" s="100"/>
      <c r="AA40" s="100"/>
      <c r="AB40" s="100"/>
    </row>
    <row r="41" spans="1:28" x14ac:dyDescent="0.2">
      <c r="A41" s="479">
        <v>38777</v>
      </c>
      <c r="B41" s="459">
        <f>+'Purchased Power Model '!B41</f>
        <v>102729300</v>
      </c>
      <c r="C41" s="480">
        <f>+'Purchased Power Model '!C41</f>
        <v>534</v>
      </c>
      <c r="D41" s="480">
        <f>+'Purchased Power Model '!D41</f>
        <v>0</v>
      </c>
      <c r="E41" s="443">
        <f>+'Purchased Power Model '!E41</f>
        <v>6.7000000000000004E-2</v>
      </c>
      <c r="F41" s="17">
        <f>+'Purchased Power Model '!F41</f>
        <v>31</v>
      </c>
      <c r="G41" s="17">
        <f>+'Purchased Power Model '!G41</f>
        <v>1</v>
      </c>
      <c r="H41" s="481">
        <f t="shared" si="2"/>
        <v>100750510.36654261</v>
      </c>
      <c r="I41" s="106">
        <f t="shared" si="0"/>
        <v>-1978789.6334573925</v>
      </c>
      <c r="J41" s="5">
        <f t="shared" si="1"/>
        <v>-1.9262173824384984E-2</v>
      </c>
      <c r="K41"/>
      <c r="T41" s="100"/>
      <c r="U41" s="100"/>
      <c r="V41" s="100"/>
      <c r="W41" s="100"/>
      <c r="X41" s="100"/>
      <c r="Y41" s="100"/>
      <c r="Z41" s="100"/>
      <c r="AA41" s="100"/>
      <c r="AB41" s="100"/>
    </row>
    <row r="42" spans="1:28" x14ac:dyDescent="0.2">
      <c r="A42" s="479">
        <v>38808</v>
      </c>
      <c r="B42" s="459">
        <f>+'Purchased Power Model '!B42</f>
        <v>85245280</v>
      </c>
      <c r="C42" s="480">
        <f>+'Purchased Power Model '!C42</f>
        <v>323.60000000000002</v>
      </c>
      <c r="D42" s="480">
        <f>+'Purchased Power Model '!D42</f>
        <v>0</v>
      </c>
      <c r="E42" s="443">
        <f>+'Purchased Power Model '!E42</f>
        <v>6.3E-2</v>
      </c>
      <c r="F42" s="17">
        <f>+'Purchased Power Model '!F42</f>
        <v>30</v>
      </c>
      <c r="G42" s="17">
        <f>+'Purchased Power Model '!G42</f>
        <v>1</v>
      </c>
      <c r="H42" s="481">
        <f t="shared" si="2"/>
        <v>90259387.049006909</v>
      </c>
      <c r="I42" s="106">
        <f t="shared" si="0"/>
        <v>5014107.0490069091</v>
      </c>
      <c r="J42" s="5">
        <f t="shared" si="1"/>
        <v>5.8819761622073495E-2</v>
      </c>
      <c r="K42"/>
      <c r="T42" s="100"/>
      <c r="U42" s="100"/>
      <c r="V42" s="100"/>
      <c r="W42" s="100"/>
      <c r="X42" s="100"/>
      <c r="Y42" s="100"/>
      <c r="Z42" s="100"/>
      <c r="AA42" s="100"/>
      <c r="AB42" s="100"/>
    </row>
    <row r="43" spans="1:28" x14ac:dyDescent="0.2">
      <c r="A43" s="479">
        <v>38838</v>
      </c>
      <c r="B43" s="459">
        <f>+'Purchased Power Model '!B43</f>
        <v>85191000</v>
      </c>
      <c r="C43" s="480">
        <f>+'Purchased Power Model '!C43</f>
        <v>172.6</v>
      </c>
      <c r="D43" s="480">
        <f>+'Purchased Power Model '!D43</f>
        <v>12.8</v>
      </c>
      <c r="E43" s="443">
        <f>+'Purchased Power Model '!E43</f>
        <v>6.3E-2</v>
      </c>
      <c r="F43" s="17">
        <f>+'Purchased Power Model '!F43</f>
        <v>31</v>
      </c>
      <c r="G43" s="17">
        <f>+'Purchased Power Model '!G43</f>
        <v>1</v>
      </c>
      <c r="H43" s="481">
        <f t="shared" si="2"/>
        <v>89139961.83053349</v>
      </c>
      <c r="I43" s="106">
        <f t="shared" si="0"/>
        <v>3948961.8305334896</v>
      </c>
      <c r="J43" s="5">
        <f t="shared" si="1"/>
        <v>4.6354213831666366E-2</v>
      </c>
      <c r="K43"/>
      <c r="T43" s="100"/>
      <c r="U43" s="100"/>
      <c r="V43" s="100"/>
      <c r="W43" s="100"/>
      <c r="X43" s="100"/>
      <c r="Y43" s="100"/>
      <c r="Z43" s="100"/>
      <c r="AA43" s="100"/>
      <c r="AB43" s="100"/>
    </row>
    <row r="44" spans="1:28" x14ac:dyDescent="0.2">
      <c r="A44" s="479">
        <v>38869</v>
      </c>
      <c r="B44" s="459">
        <f>+'Purchased Power Model '!B44</f>
        <v>91808310</v>
      </c>
      <c r="C44" s="480">
        <f>+'Purchased Power Model '!C44</f>
        <v>22.6</v>
      </c>
      <c r="D44" s="480">
        <f>+'Purchased Power Model '!D44</f>
        <v>36.200000000000003</v>
      </c>
      <c r="E44" s="443">
        <f>+'Purchased Power Model '!E44</f>
        <v>6.3E-2</v>
      </c>
      <c r="F44" s="17">
        <f>+'Purchased Power Model '!F44</f>
        <v>30</v>
      </c>
      <c r="G44" s="17">
        <f>+'Purchased Power Model '!G44</f>
        <v>0</v>
      </c>
      <c r="H44" s="481">
        <f t="shared" si="2"/>
        <v>90994002.809248403</v>
      </c>
      <c r="I44" s="106">
        <f t="shared" si="0"/>
        <v>-814307.19075159729</v>
      </c>
      <c r="J44" s="5">
        <f t="shared" si="1"/>
        <v>-8.8696457951529372E-3</v>
      </c>
      <c r="K44"/>
      <c r="T44" s="100"/>
      <c r="U44" s="100"/>
      <c r="V44" s="100"/>
      <c r="W44" s="100"/>
      <c r="X44" s="100"/>
      <c r="Y44" s="100"/>
      <c r="Z44" s="100"/>
      <c r="AA44" s="100"/>
      <c r="AB44" s="100"/>
    </row>
    <row r="45" spans="1:28" x14ac:dyDescent="0.2">
      <c r="A45" s="479">
        <v>38899</v>
      </c>
      <c r="B45" s="459">
        <f>+'Purchased Power Model '!B45</f>
        <v>103610940</v>
      </c>
      <c r="C45" s="480">
        <f>+'Purchased Power Model '!C45</f>
        <v>1.7</v>
      </c>
      <c r="D45" s="480">
        <f>+'Purchased Power Model '!D45</f>
        <v>107.6</v>
      </c>
      <c r="E45" s="443">
        <f>+'Purchased Power Model '!E45</f>
        <v>6.6000000000000003E-2</v>
      </c>
      <c r="F45" s="17">
        <f>+'Purchased Power Model '!F45</f>
        <v>31</v>
      </c>
      <c r="G45" s="17">
        <f>+'Purchased Power Model '!G45</f>
        <v>0</v>
      </c>
      <c r="H45" s="481">
        <f t="shared" si="2"/>
        <v>103622994.32553346</v>
      </c>
      <c r="I45" s="106">
        <f t="shared" si="0"/>
        <v>12054.325533464551</v>
      </c>
      <c r="J45" s="5">
        <f t="shared" si="1"/>
        <v>1.163422080087735E-4</v>
      </c>
      <c r="K45"/>
      <c r="T45" s="100"/>
      <c r="U45" s="100"/>
      <c r="V45" s="100"/>
      <c r="W45" s="100"/>
      <c r="X45" s="100"/>
      <c r="Y45" s="100"/>
      <c r="Z45" s="100"/>
      <c r="AA45" s="100"/>
      <c r="AB45" s="100"/>
    </row>
    <row r="46" spans="1:28" x14ac:dyDescent="0.2">
      <c r="A46" s="479">
        <v>38930</v>
      </c>
      <c r="B46" s="459">
        <f>+'Purchased Power Model '!B46</f>
        <v>98252830</v>
      </c>
      <c r="C46" s="480">
        <f>+'Purchased Power Model '!C46</f>
        <v>4.4000000000000004</v>
      </c>
      <c r="D46" s="480">
        <f>+'Purchased Power Model '!D46</f>
        <v>82.1</v>
      </c>
      <c r="E46" s="443">
        <f>+'Purchased Power Model '!E46</f>
        <v>6.6000000000000003E-2</v>
      </c>
      <c r="F46" s="17">
        <f>+'Purchased Power Model '!F46</f>
        <v>31</v>
      </c>
      <c r="G46" s="17">
        <f>+'Purchased Power Model '!G46</f>
        <v>0</v>
      </c>
      <c r="H46" s="481">
        <f t="shared" si="2"/>
        <v>99817765.660628006</v>
      </c>
      <c r="I46" s="106">
        <f t="shared" si="0"/>
        <v>1564935.6606280059</v>
      </c>
      <c r="J46" s="5">
        <f t="shared" si="1"/>
        <v>1.5927639546138322E-2</v>
      </c>
      <c r="K46"/>
      <c r="T46" s="100"/>
      <c r="U46" s="100"/>
      <c r="V46" s="100"/>
      <c r="W46" s="100"/>
      <c r="X46" s="100"/>
      <c r="Y46" s="100"/>
      <c r="Z46" s="100"/>
      <c r="AA46" s="100"/>
      <c r="AB46" s="100"/>
    </row>
    <row r="47" spans="1:28" x14ac:dyDescent="0.2">
      <c r="A47" s="479">
        <v>38961</v>
      </c>
      <c r="B47" s="459">
        <f>+'Purchased Power Model '!B47</f>
        <v>83090470</v>
      </c>
      <c r="C47" s="480">
        <f>+'Purchased Power Model '!C47</f>
        <v>70.7</v>
      </c>
      <c r="D47" s="480">
        <f>+'Purchased Power Model '!D47</f>
        <v>5.0999999999999996</v>
      </c>
      <c r="E47" s="443">
        <f>+'Purchased Power Model '!E47</f>
        <v>6.6000000000000003E-2</v>
      </c>
      <c r="F47" s="17">
        <f>+'Purchased Power Model '!F47</f>
        <v>30</v>
      </c>
      <c r="G47" s="17">
        <f>+'Purchased Power Model '!G47</f>
        <v>1</v>
      </c>
      <c r="H47" s="481">
        <f t="shared" si="2"/>
        <v>81095406.296919703</v>
      </c>
      <c r="I47" s="106">
        <f t="shared" si="0"/>
        <v>-1995063.7030802965</v>
      </c>
      <c r="J47" s="5">
        <f t="shared" si="1"/>
        <v>-2.4010740378292438E-2</v>
      </c>
      <c r="K47"/>
      <c r="T47" s="100"/>
      <c r="U47" s="100"/>
      <c r="V47" s="100"/>
      <c r="W47" s="100"/>
      <c r="X47" s="100"/>
      <c r="Y47" s="100"/>
      <c r="Z47" s="100"/>
      <c r="AA47" s="100"/>
      <c r="AB47" s="100"/>
    </row>
    <row r="48" spans="1:28" x14ac:dyDescent="0.2">
      <c r="A48" s="479">
        <v>38991</v>
      </c>
      <c r="B48" s="459">
        <f>+'Purchased Power Model '!B48</f>
        <v>90859410</v>
      </c>
      <c r="C48" s="480">
        <f>+'Purchased Power Model '!C48</f>
        <v>274.60000000000002</v>
      </c>
      <c r="D48" s="480">
        <f>+'Purchased Power Model '!D48</f>
        <v>0</v>
      </c>
      <c r="E48" s="443">
        <f>+'Purchased Power Model '!E48</f>
        <v>6.7000000000000004E-2</v>
      </c>
      <c r="F48" s="17">
        <f>+'Purchased Power Model '!F48</f>
        <v>31</v>
      </c>
      <c r="G48" s="17">
        <f>+'Purchased Power Model '!G48</f>
        <v>1</v>
      </c>
      <c r="H48" s="481">
        <f t="shared" si="2"/>
        <v>90786778.053540647</v>
      </c>
      <c r="I48" s="106">
        <f t="shared" si="0"/>
        <v>-72631.94645935297</v>
      </c>
      <c r="J48" s="5">
        <f t="shared" si="1"/>
        <v>-7.9938826874787069E-4</v>
      </c>
      <c r="K48"/>
      <c r="T48" s="100"/>
      <c r="U48" s="100"/>
      <c r="V48" s="100"/>
      <c r="W48" s="100"/>
      <c r="X48" s="100"/>
      <c r="Y48" s="100"/>
      <c r="Z48" s="100"/>
      <c r="AA48" s="100"/>
      <c r="AB48" s="100"/>
    </row>
    <row r="49" spans="1:28" x14ac:dyDescent="0.2">
      <c r="A49" s="479">
        <v>39022</v>
      </c>
      <c r="B49" s="459">
        <f>+'Purchased Power Model '!B49</f>
        <v>95117460</v>
      </c>
      <c r="C49" s="480">
        <f>+'Purchased Power Model '!C49</f>
        <v>367.5</v>
      </c>
      <c r="D49" s="480">
        <f>+'Purchased Power Model '!D49</f>
        <v>0</v>
      </c>
      <c r="E49" s="443">
        <f>+'Purchased Power Model '!E49</f>
        <v>6.7000000000000004E-2</v>
      </c>
      <c r="F49" s="17">
        <f>+'Purchased Power Model '!F49</f>
        <v>30</v>
      </c>
      <c r="G49" s="17">
        <f>+'Purchased Power Model '!G49</f>
        <v>1</v>
      </c>
      <c r="H49" s="481">
        <f t="shared" si="2"/>
        <v>91636675.677575648</v>
      </c>
      <c r="I49" s="106">
        <f t="shared" si="0"/>
        <v>-3480784.3224243522</v>
      </c>
      <c r="J49" s="5">
        <f t="shared" si="1"/>
        <v>-3.6594588653064877E-2</v>
      </c>
      <c r="K49"/>
      <c r="T49" s="100"/>
      <c r="U49" s="100"/>
      <c r="V49" s="100"/>
      <c r="W49" s="100"/>
      <c r="X49" s="100"/>
      <c r="Y49" s="100"/>
      <c r="Z49" s="100"/>
      <c r="AA49" s="100"/>
      <c r="AB49" s="100"/>
    </row>
    <row r="50" spans="1:28" x14ac:dyDescent="0.2">
      <c r="A50" s="479">
        <v>39052</v>
      </c>
      <c r="B50" s="459">
        <f>+'Purchased Power Model '!B50</f>
        <v>105098960</v>
      </c>
      <c r="C50" s="480">
        <f>+'Purchased Power Model '!C50</f>
        <v>471.5</v>
      </c>
      <c r="D50" s="480">
        <f>+'Purchased Power Model '!D50</f>
        <v>0</v>
      </c>
      <c r="E50" s="443">
        <f>+'Purchased Power Model '!E50</f>
        <v>6.7000000000000004E-2</v>
      </c>
      <c r="F50" s="17">
        <f>+'Purchased Power Model '!F50</f>
        <v>31</v>
      </c>
      <c r="G50" s="17">
        <f>+'Purchased Power Model '!G50</f>
        <v>0</v>
      </c>
      <c r="H50" s="481">
        <f t="shared" si="2"/>
        <v>105096916.71000607</v>
      </c>
      <c r="I50" s="106">
        <f t="shared" si="0"/>
        <v>-2043.2899939268827</v>
      </c>
      <c r="J50" s="5">
        <f t="shared" si="1"/>
        <v>-1.9441581476418823E-5</v>
      </c>
      <c r="K50"/>
      <c r="T50" s="100"/>
      <c r="U50" s="100"/>
      <c r="V50" s="100"/>
      <c r="W50" s="100"/>
      <c r="X50" s="100"/>
      <c r="Y50" s="100"/>
      <c r="Z50" s="100"/>
      <c r="AA50" s="100"/>
      <c r="AB50" s="100"/>
    </row>
    <row r="51" spans="1:28" x14ac:dyDescent="0.2">
      <c r="A51" s="479">
        <v>39083</v>
      </c>
      <c r="B51" s="459">
        <f>+'Purchased Power Model '!B51</f>
        <v>112093789.99999999</v>
      </c>
      <c r="C51" s="480">
        <f>+'Purchased Power Model '!C51</f>
        <v>573.1</v>
      </c>
      <c r="D51" s="480">
        <f>+'Purchased Power Model '!D51</f>
        <v>0</v>
      </c>
      <c r="E51" s="443">
        <f>+'Purchased Power Model '!E51</f>
        <v>6.2E-2</v>
      </c>
      <c r="F51" s="17">
        <f>+'Purchased Power Model '!F51</f>
        <v>31</v>
      </c>
      <c r="G51" s="17">
        <f>+'Purchased Power Model '!G51</f>
        <v>0</v>
      </c>
      <c r="H51" s="481">
        <f t="shared" si="2"/>
        <v>109385618.23607996</v>
      </c>
      <c r="I51" s="106">
        <f t="shared" si="0"/>
        <v>-2708171.763920024</v>
      </c>
      <c r="J51" s="5">
        <f t="shared" si="1"/>
        <v>-2.4159873298244483E-2</v>
      </c>
      <c r="K51"/>
      <c r="T51" s="100"/>
      <c r="U51" s="100"/>
      <c r="V51" s="100"/>
      <c r="W51" s="100"/>
      <c r="X51" s="100"/>
      <c r="Y51" s="100"/>
      <c r="Z51" s="100"/>
      <c r="AA51" s="100"/>
      <c r="AB51" s="100"/>
    </row>
    <row r="52" spans="1:28" x14ac:dyDescent="0.2">
      <c r="A52" s="479">
        <v>39114</v>
      </c>
      <c r="B52" s="459">
        <f>+'Purchased Power Model '!B52</f>
        <v>109302770</v>
      </c>
      <c r="C52" s="480">
        <f>+'Purchased Power Model '!C52</f>
        <v>693.5</v>
      </c>
      <c r="D52" s="480">
        <f>+'Purchased Power Model '!D52</f>
        <v>0</v>
      </c>
      <c r="E52" s="443">
        <f>+'Purchased Power Model '!E52</f>
        <v>6.2E-2</v>
      </c>
      <c r="F52" s="17">
        <f>+'Purchased Power Model '!F52</f>
        <v>28</v>
      </c>
      <c r="G52" s="17">
        <f>+'Purchased Power Model '!G52</f>
        <v>0</v>
      </c>
      <c r="H52" s="481">
        <f t="shared" si="2"/>
        <v>105854899.291885</v>
      </c>
      <c r="I52" s="106">
        <f t="shared" si="0"/>
        <v>-3447870.7081149966</v>
      </c>
      <c r="J52" s="5">
        <f t="shared" si="1"/>
        <v>-3.1544220774231031E-2</v>
      </c>
      <c r="K52"/>
      <c r="T52" s="100"/>
      <c r="U52" s="100"/>
      <c r="V52" s="100"/>
      <c r="W52" s="100"/>
      <c r="X52" s="100"/>
      <c r="Y52" s="100"/>
      <c r="Z52" s="100"/>
      <c r="AA52" s="100"/>
      <c r="AB52" s="100"/>
    </row>
    <row r="53" spans="1:28" x14ac:dyDescent="0.2">
      <c r="A53" s="479">
        <v>39142</v>
      </c>
      <c r="B53" s="459">
        <f>+'Purchased Power Model '!B53</f>
        <v>106781890</v>
      </c>
      <c r="C53" s="480">
        <f>+'Purchased Power Model '!C53</f>
        <v>477.9</v>
      </c>
      <c r="D53" s="480">
        <f>+'Purchased Power Model '!D53</f>
        <v>0</v>
      </c>
      <c r="E53" s="443">
        <f>+'Purchased Power Model '!E53</f>
        <v>6.2E-2</v>
      </c>
      <c r="F53" s="17">
        <f>+'Purchased Power Model '!F53</f>
        <v>31</v>
      </c>
      <c r="G53" s="17">
        <f>+'Purchased Power Model '!G53</f>
        <v>1</v>
      </c>
      <c r="H53" s="481">
        <f t="shared" si="2"/>
        <v>98981846.488759875</v>
      </c>
      <c r="I53" s="106">
        <f t="shared" si="0"/>
        <v>-7800043.5112401247</v>
      </c>
      <c r="J53" s="5">
        <f t="shared" si="1"/>
        <v>-7.3046501717099449E-2</v>
      </c>
      <c r="K53"/>
      <c r="T53" s="100"/>
      <c r="U53" s="100"/>
      <c r="V53" s="100"/>
      <c r="W53" s="100"/>
      <c r="X53" s="100"/>
      <c r="Y53" s="100"/>
      <c r="Z53" s="100"/>
      <c r="AA53" s="100"/>
      <c r="AB53" s="100"/>
    </row>
    <row r="54" spans="1:28" x14ac:dyDescent="0.2">
      <c r="A54" s="479">
        <v>39173</v>
      </c>
      <c r="B54" s="459">
        <f>+'Purchased Power Model '!B54</f>
        <v>92267850</v>
      </c>
      <c r="C54" s="480">
        <f>+'Purchased Power Model '!C54</f>
        <v>280.39999999999998</v>
      </c>
      <c r="D54" s="480">
        <f>+'Purchased Power Model '!D54</f>
        <v>0</v>
      </c>
      <c r="E54" s="443">
        <f>+'Purchased Power Model '!E54</f>
        <v>5.9000000000000004E-2</v>
      </c>
      <c r="F54" s="17">
        <f>+'Purchased Power Model '!F54</f>
        <v>30</v>
      </c>
      <c r="G54" s="17">
        <f>+'Purchased Power Model '!G54</f>
        <v>1</v>
      </c>
      <c r="H54" s="481">
        <f t="shared" si="2"/>
        <v>88908985.901622057</v>
      </c>
      <c r="I54" s="106">
        <f t="shared" si="0"/>
        <v>-3358864.098377943</v>
      </c>
      <c r="J54" s="5">
        <f t="shared" si="1"/>
        <v>-3.6403407019649239E-2</v>
      </c>
      <c r="K54"/>
      <c r="T54" s="100"/>
      <c r="U54" s="100"/>
      <c r="V54" s="100"/>
      <c r="W54" s="100"/>
      <c r="X54" s="100"/>
      <c r="Y54" s="100"/>
      <c r="Z54" s="100"/>
      <c r="AA54" s="100"/>
      <c r="AB54" s="100"/>
    </row>
    <row r="55" spans="1:28" x14ac:dyDescent="0.2">
      <c r="A55" s="479">
        <v>39203</v>
      </c>
      <c r="B55" s="459">
        <f>+'Purchased Power Model '!B55</f>
        <v>86029130</v>
      </c>
      <c r="C55" s="480">
        <f>+'Purchased Power Model '!C55</f>
        <v>72.8</v>
      </c>
      <c r="D55" s="480">
        <f>+'Purchased Power Model '!D55</f>
        <v>4.5</v>
      </c>
      <c r="E55" s="443">
        <f>+'Purchased Power Model '!E55</f>
        <v>5.9000000000000004E-2</v>
      </c>
      <c r="F55" s="17">
        <f>+'Purchased Power Model '!F55</f>
        <v>31</v>
      </c>
      <c r="G55" s="17">
        <f>+'Purchased Power Model '!G55</f>
        <v>1</v>
      </c>
      <c r="H55" s="481">
        <f t="shared" si="2"/>
        <v>84343194.935857773</v>
      </c>
      <c r="I55" s="106">
        <f t="shared" si="0"/>
        <v>-1685935.0641422272</v>
      </c>
      <c r="J55" s="5">
        <f t="shared" si="1"/>
        <v>-1.9597258093185729E-2</v>
      </c>
      <c r="K55"/>
      <c r="T55" s="100"/>
      <c r="U55" s="100"/>
      <c r="V55" s="100"/>
      <c r="W55" s="100"/>
      <c r="X55" s="100"/>
      <c r="Y55" s="100"/>
      <c r="Z55" s="100"/>
      <c r="AA55" s="100"/>
      <c r="AB55" s="100"/>
    </row>
    <row r="56" spans="1:28" x14ac:dyDescent="0.2">
      <c r="A56" s="479">
        <v>39234</v>
      </c>
      <c r="B56" s="459">
        <f>+'Purchased Power Model '!B56</f>
        <v>96829929.999999985</v>
      </c>
      <c r="C56" s="480">
        <f>+'Purchased Power Model '!C56</f>
        <v>6.2</v>
      </c>
      <c r="D56" s="480">
        <f>+'Purchased Power Model '!D56</f>
        <v>32.799999999999997</v>
      </c>
      <c r="E56" s="443">
        <f>+'Purchased Power Model '!E56</f>
        <v>5.9000000000000004E-2</v>
      </c>
      <c r="F56" s="17">
        <f>+'Purchased Power Model '!F56</f>
        <v>30</v>
      </c>
      <c r="G56" s="17">
        <f>+'Purchased Power Model '!G56</f>
        <v>0</v>
      </c>
      <c r="H56" s="481">
        <f t="shared" si="2"/>
        <v>90151816.414879128</v>
      </c>
      <c r="I56" s="106">
        <f t="shared" si="0"/>
        <v>-6678113.5851208568</v>
      </c>
      <c r="J56" s="5">
        <f t="shared" si="1"/>
        <v>-6.8967452368506904E-2</v>
      </c>
      <c r="K56"/>
      <c r="T56" s="100"/>
      <c r="U56" s="100"/>
      <c r="V56" s="100"/>
      <c r="W56" s="100"/>
      <c r="X56" s="100"/>
      <c r="Y56" s="100"/>
      <c r="Z56" s="100"/>
      <c r="AA56" s="100"/>
      <c r="AB56" s="100"/>
    </row>
    <row r="57" spans="1:28" x14ac:dyDescent="0.2">
      <c r="A57" s="479">
        <v>39264</v>
      </c>
      <c r="B57" s="459">
        <f>+'Purchased Power Model '!B57</f>
        <v>96919610</v>
      </c>
      <c r="C57" s="480">
        <f>+'Purchased Power Model '!C57</f>
        <v>8.6999999999999993</v>
      </c>
      <c r="D57" s="480">
        <f>+'Purchased Power Model '!D57</f>
        <v>41.6</v>
      </c>
      <c r="E57" s="443">
        <f>+'Purchased Power Model '!E57</f>
        <v>6.4000000000000001E-2</v>
      </c>
      <c r="F57" s="17">
        <f>+'Purchased Power Model '!F57</f>
        <v>31</v>
      </c>
      <c r="G57" s="17">
        <f>+'Purchased Power Model '!G57</f>
        <v>0</v>
      </c>
      <c r="H57" s="481">
        <f t="shared" si="2"/>
        <v>93929089.35754469</v>
      </c>
      <c r="I57" s="106">
        <f t="shared" si="0"/>
        <v>-2990520.6424553096</v>
      </c>
      <c r="J57" s="5">
        <f t="shared" si="1"/>
        <v>-3.0855681759917417E-2</v>
      </c>
      <c r="K57"/>
      <c r="T57" s="100"/>
      <c r="U57" s="100"/>
      <c r="V57" s="100"/>
      <c r="W57" s="100"/>
      <c r="X57" s="100"/>
      <c r="Y57" s="100"/>
      <c r="Z57" s="100"/>
      <c r="AA57" s="100"/>
      <c r="AB57" s="100"/>
    </row>
    <row r="58" spans="1:28" x14ac:dyDescent="0.2">
      <c r="A58" s="479">
        <v>39295</v>
      </c>
      <c r="B58" s="459">
        <f>+'Purchased Power Model '!B58</f>
        <v>103644560</v>
      </c>
      <c r="C58" s="480">
        <f>+'Purchased Power Model '!C58</f>
        <v>4</v>
      </c>
      <c r="D58" s="480">
        <f>+'Purchased Power Model '!D58</f>
        <v>87.8</v>
      </c>
      <c r="E58" s="443">
        <f>+'Purchased Power Model '!E58</f>
        <v>6.4000000000000001E-2</v>
      </c>
      <c r="F58" s="17">
        <f>+'Purchased Power Model '!F58</f>
        <v>31</v>
      </c>
      <c r="G58" s="17">
        <f>+'Purchased Power Model '!G58</f>
        <v>0</v>
      </c>
      <c r="H58" s="481">
        <f t="shared" si="2"/>
        <v>100830634.1646053</v>
      </c>
      <c r="I58" s="106">
        <f t="shared" si="0"/>
        <v>-2813925.8353946954</v>
      </c>
      <c r="J58" s="5">
        <f t="shared" si="1"/>
        <v>-2.7149768742273549E-2</v>
      </c>
      <c r="K58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479">
        <v>39326</v>
      </c>
      <c r="B59" s="459">
        <f>+'Purchased Power Model '!B59</f>
        <v>87760000</v>
      </c>
      <c r="C59" s="480">
        <f>+'Purchased Power Model '!C59</f>
        <v>20.100000000000001</v>
      </c>
      <c r="D59" s="480">
        <f>+'Purchased Power Model '!D59</f>
        <v>12.3</v>
      </c>
      <c r="E59" s="443">
        <f>+'Purchased Power Model '!E59</f>
        <v>6.4000000000000001E-2</v>
      </c>
      <c r="F59" s="17">
        <f>+'Purchased Power Model '!F59</f>
        <v>30</v>
      </c>
      <c r="G59" s="17">
        <f>+'Purchased Power Model '!G59</f>
        <v>1</v>
      </c>
      <c r="H59" s="481">
        <f t="shared" si="2"/>
        <v>80409995.794367388</v>
      </c>
      <c r="I59" s="106">
        <f t="shared" si="0"/>
        <v>-7350004.2056326121</v>
      </c>
      <c r="J59" s="5">
        <f t="shared" si="1"/>
        <v>-8.3751187393261303E-2</v>
      </c>
      <c r="K59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479">
        <v>39356</v>
      </c>
      <c r="B60" s="459">
        <f>+'Purchased Power Model '!B60</f>
        <v>88883380</v>
      </c>
      <c r="C60" s="480">
        <f>+'Purchased Power Model '!C60</f>
        <v>101.5</v>
      </c>
      <c r="D60" s="480">
        <f>+'Purchased Power Model '!D60</f>
        <v>0</v>
      </c>
      <c r="E60" s="443">
        <f>+'Purchased Power Model '!E60</f>
        <v>6.0999999999999999E-2</v>
      </c>
      <c r="F60" s="17">
        <f>+'Purchased Power Model '!F60</f>
        <v>31</v>
      </c>
      <c r="G60" s="17">
        <f>+'Purchased Power Model '!G60</f>
        <v>1</v>
      </c>
      <c r="H60" s="481">
        <f t="shared" si="2"/>
        <v>84601298.88644135</v>
      </c>
      <c r="I60" s="106">
        <f t="shared" si="0"/>
        <v>-4282081.11355865</v>
      </c>
      <c r="J60" s="5">
        <f t="shared" si="1"/>
        <v>-4.8176398259816962E-2</v>
      </c>
      <c r="K6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479">
        <v>39387</v>
      </c>
      <c r="B61" s="459">
        <f>+'Purchased Power Model '!B61</f>
        <v>97788230</v>
      </c>
      <c r="C61" s="480">
        <f>+'Purchased Power Model '!C61</f>
        <v>314.10000000000002</v>
      </c>
      <c r="D61" s="480">
        <f>+'Purchased Power Model '!D61</f>
        <v>0</v>
      </c>
      <c r="E61" s="443">
        <f>+'Purchased Power Model '!E61</f>
        <v>6.0999999999999999E-2</v>
      </c>
      <c r="F61" s="17">
        <f>+'Purchased Power Model '!F61</f>
        <v>30</v>
      </c>
      <c r="G61" s="17">
        <f>+'Purchased Power Model '!G61</f>
        <v>1</v>
      </c>
      <c r="H61" s="481">
        <f t="shared" si="2"/>
        <v>90048955.792921752</v>
      </c>
      <c r="I61" s="106">
        <f t="shared" si="0"/>
        <v>-7739274.2070782483</v>
      </c>
      <c r="J61" s="5">
        <f t="shared" si="1"/>
        <v>-7.9143207797893966E-2</v>
      </c>
      <c r="K61"/>
      <c r="T61" s="100"/>
      <c r="U61" s="100"/>
      <c r="V61" s="100"/>
      <c r="W61" s="100"/>
      <c r="X61" s="100"/>
      <c r="Y61" s="100"/>
      <c r="Z61" s="100"/>
      <c r="AA61" s="100"/>
      <c r="AB61" s="100"/>
    </row>
    <row r="62" spans="1:28" x14ac:dyDescent="0.2">
      <c r="A62" s="479">
        <v>39417</v>
      </c>
      <c r="B62" s="459">
        <f>+'Purchased Power Model '!B62</f>
        <v>112852450</v>
      </c>
      <c r="C62" s="480">
        <f>+'Purchased Power Model '!C62</f>
        <v>337.8</v>
      </c>
      <c r="D62" s="480">
        <f>+'Purchased Power Model '!D62</f>
        <v>0</v>
      </c>
      <c r="E62" s="443">
        <f>+'Purchased Power Model '!E62</f>
        <v>6.0999999999999999E-2</v>
      </c>
      <c r="F62" s="17">
        <f>+'Purchased Power Model '!F62</f>
        <v>31</v>
      </c>
      <c r="G62" s="17">
        <f>+'Purchased Power Model '!G62</f>
        <v>0</v>
      </c>
      <c r="H62" s="481">
        <f t="shared" si="2"/>
        <v>100424818.6266858</v>
      </c>
      <c r="I62" s="106">
        <f t="shared" si="0"/>
        <v>-12427631.373314202</v>
      </c>
      <c r="J62" s="5">
        <f t="shared" si="1"/>
        <v>-0.11012283183319638</v>
      </c>
      <c r="K62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479">
        <v>39448</v>
      </c>
      <c r="B63" s="459">
        <f>+'Purchased Power Model '!B63</f>
        <v>111423480</v>
      </c>
      <c r="C63" s="480">
        <f>+'Purchased Power Model '!C63</f>
        <v>432.8</v>
      </c>
      <c r="D63" s="480">
        <f>+'Purchased Power Model '!D63</f>
        <v>0</v>
      </c>
      <c r="E63" s="443">
        <f>+'Purchased Power Model '!E63</f>
        <v>6.6000000000000003E-2</v>
      </c>
      <c r="F63" s="17">
        <f>+'Purchased Power Model '!F63</f>
        <v>31</v>
      </c>
      <c r="G63" s="17">
        <f>+'Purchased Power Model '!G63</f>
        <v>0</v>
      </c>
      <c r="H63" s="481">
        <f t="shared" si="2"/>
        <v>103687658.24454477</v>
      </c>
      <c r="I63" s="106">
        <f t="shared" si="0"/>
        <v>-7735821.7554552257</v>
      </c>
      <c r="J63" s="5">
        <f t="shared" si="1"/>
        <v>-6.9427213684720906E-2</v>
      </c>
      <c r="K63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x14ac:dyDescent="0.2">
      <c r="A64" s="479">
        <v>39479</v>
      </c>
      <c r="B64" s="459">
        <f>+'Purchased Power Model '!B64</f>
        <v>106527560</v>
      </c>
      <c r="C64" s="480">
        <f>+'Purchased Power Model '!C64</f>
        <v>317.60000000000002</v>
      </c>
      <c r="D64" s="480">
        <f>+'Purchased Power Model '!D64</f>
        <v>0</v>
      </c>
      <c r="E64" s="443">
        <f>+'Purchased Power Model '!E64</f>
        <v>6.6000000000000003E-2</v>
      </c>
      <c r="F64" s="17">
        <f>+'Purchased Power Model '!F64</f>
        <v>29</v>
      </c>
      <c r="G64" s="17">
        <f>+'Purchased Power Model '!G64</f>
        <v>0</v>
      </c>
      <c r="H64" s="481">
        <f t="shared" si="2"/>
        <v>93825836.583541557</v>
      </c>
      <c r="I64" s="106">
        <f t="shared" si="0"/>
        <v>-12701723.416458443</v>
      </c>
      <c r="J64" s="5">
        <f t="shared" si="1"/>
        <v>-0.1192341532694304</v>
      </c>
      <c r="K64"/>
      <c r="T64" s="100"/>
      <c r="U64" s="100"/>
      <c r="V64" s="100"/>
      <c r="W64" s="100"/>
      <c r="X64" s="100"/>
      <c r="Y64" s="100"/>
      <c r="Z64" s="100"/>
      <c r="AA64" s="100"/>
      <c r="AB64" s="100"/>
    </row>
    <row r="65" spans="1:28" x14ac:dyDescent="0.2">
      <c r="A65" s="479">
        <v>39508</v>
      </c>
      <c r="B65" s="459">
        <f>+'Purchased Power Model '!B65</f>
        <v>105633899.99999999</v>
      </c>
      <c r="C65" s="480">
        <f>+'Purchased Power Model '!C65</f>
        <v>430</v>
      </c>
      <c r="D65" s="480">
        <f>+'Purchased Power Model '!D65</f>
        <v>0</v>
      </c>
      <c r="E65" s="443">
        <f>+'Purchased Power Model '!E65</f>
        <v>6.6000000000000003E-2</v>
      </c>
      <c r="F65" s="17">
        <f>+'Purchased Power Model '!F65</f>
        <v>31</v>
      </c>
      <c r="G65" s="17">
        <f>+'Purchased Power Model '!G65</f>
        <v>1</v>
      </c>
      <c r="H65" s="481">
        <f t="shared" si="2"/>
        <v>96833034.013498306</v>
      </c>
      <c r="I65" s="106">
        <f t="shared" si="0"/>
        <v>-8800865.9865016788</v>
      </c>
      <c r="J65" s="5">
        <f t="shared" si="1"/>
        <v>-8.3314788022610928E-2</v>
      </c>
      <c r="K65"/>
      <c r="T65" s="100"/>
      <c r="U65" s="100"/>
      <c r="V65" s="100"/>
      <c r="W65" s="100"/>
      <c r="X65" s="100"/>
      <c r="Y65" s="100"/>
      <c r="Z65" s="100"/>
      <c r="AA65" s="100"/>
      <c r="AB65" s="100"/>
    </row>
    <row r="66" spans="1:28" x14ac:dyDescent="0.2">
      <c r="A66" s="479">
        <v>39539</v>
      </c>
      <c r="B66" s="459">
        <f>+'Purchased Power Model '!B66</f>
        <v>86147429.999999985</v>
      </c>
      <c r="C66" s="480">
        <f>+'Purchased Power Model '!C66</f>
        <v>144.6</v>
      </c>
      <c r="D66" s="480">
        <f>+'Purchased Power Model '!D66</f>
        <v>0</v>
      </c>
      <c r="E66" s="443">
        <f>+'Purchased Power Model '!E66</f>
        <v>7.400000000000001E-2</v>
      </c>
      <c r="F66" s="17">
        <f>+'Purchased Power Model '!F66</f>
        <v>30</v>
      </c>
      <c r="G66" s="17">
        <f>+'Purchased Power Model '!G66</f>
        <v>1</v>
      </c>
      <c r="H66" s="481">
        <f t="shared" si="2"/>
        <v>82534287.494939819</v>
      </c>
      <c r="I66" s="106">
        <f t="shared" si="0"/>
        <v>-3613142.5050601661</v>
      </c>
      <c r="J66" s="5">
        <f t="shared" si="1"/>
        <v>-4.1941384729180742E-2</v>
      </c>
      <c r="K66"/>
      <c r="T66" s="100"/>
      <c r="U66" s="100"/>
      <c r="V66" s="100"/>
      <c r="W66" s="100"/>
      <c r="X66" s="100"/>
      <c r="Y66" s="100"/>
      <c r="Z66" s="100"/>
      <c r="AA66" s="100"/>
      <c r="AB66" s="100"/>
    </row>
    <row r="67" spans="1:28" x14ac:dyDescent="0.2">
      <c r="A67" s="479">
        <v>39569</v>
      </c>
      <c r="B67" s="459">
        <f>+'Purchased Power Model '!B67</f>
        <v>82776310</v>
      </c>
      <c r="C67" s="480">
        <f>+'Purchased Power Model '!C67</f>
        <v>151</v>
      </c>
      <c r="D67" s="480">
        <f>+'Purchased Power Model '!D67</f>
        <v>0</v>
      </c>
      <c r="E67" s="443">
        <f>+'Purchased Power Model '!E67</f>
        <v>7.400000000000001E-2</v>
      </c>
      <c r="F67" s="17">
        <f>+'Purchased Power Model '!F67</f>
        <v>31</v>
      </c>
      <c r="G67" s="17">
        <f>+'Purchased Power Model '!G67</f>
        <v>1</v>
      </c>
      <c r="H67" s="481">
        <f t="shared" si="2"/>
        <v>85498571.130276814</v>
      </c>
      <c r="I67" s="106">
        <f t="shared" ref="I67:I130" si="3">H67-B67</f>
        <v>2722261.1302768141</v>
      </c>
      <c r="J67" s="5">
        <f t="shared" ref="J67:J130" si="4">I67/B67</f>
        <v>3.288695920701E-2</v>
      </c>
      <c r="K67"/>
      <c r="T67" s="100"/>
      <c r="U67" s="100"/>
      <c r="V67" s="100"/>
      <c r="W67" s="100"/>
      <c r="X67" s="100"/>
      <c r="Y67" s="100"/>
      <c r="Z67" s="100"/>
      <c r="AA67" s="100"/>
      <c r="AB67" s="100"/>
    </row>
    <row r="68" spans="1:28" x14ac:dyDescent="0.2">
      <c r="A68" s="479">
        <v>39600</v>
      </c>
      <c r="B68" s="459">
        <f>+'Purchased Power Model '!B68</f>
        <v>90692793</v>
      </c>
      <c r="C68" s="480">
        <f>+'Purchased Power Model '!C68</f>
        <v>15.5</v>
      </c>
      <c r="D68" s="480">
        <f>+'Purchased Power Model '!D68</f>
        <v>23.6</v>
      </c>
      <c r="E68" s="443">
        <f>+'Purchased Power Model '!E68</f>
        <v>7.400000000000001E-2</v>
      </c>
      <c r="F68" s="17">
        <f>+'Purchased Power Model '!F68</f>
        <v>30</v>
      </c>
      <c r="G68" s="17">
        <f>+'Purchased Power Model '!G68</f>
        <v>0</v>
      </c>
      <c r="H68" s="481">
        <f t="shared" ref="H68:H131" si="5">$M$18+C68*$M$19+D68*$M$20+E68*$M$21+F68*$M$22+G68*$M$23</f>
        <v>87940225.409869581</v>
      </c>
      <c r="I68" s="106">
        <f t="shared" si="3"/>
        <v>-2752567.5901304185</v>
      </c>
      <c r="J68" s="5">
        <f t="shared" si="4"/>
        <v>-3.0350455632460437E-2</v>
      </c>
      <c r="K68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28" x14ac:dyDescent="0.2">
      <c r="A69" s="479">
        <v>39630</v>
      </c>
      <c r="B69" s="459">
        <f>+'Purchased Power Model '!B69</f>
        <v>98868440</v>
      </c>
      <c r="C69" s="480">
        <f>+'Purchased Power Model '!C69</f>
        <v>1</v>
      </c>
      <c r="D69" s="480">
        <f>+'Purchased Power Model '!D69</f>
        <v>61.4</v>
      </c>
      <c r="E69" s="443">
        <f>+'Purchased Power Model '!E69</f>
        <v>6.8000000000000005E-2</v>
      </c>
      <c r="F69" s="17">
        <f>+'Purchased Power Model '!F69</f>
        <v>31</v>
      </c>
      <c r="G69" s="17">
        <f>+'Purchased Power Model '!G69</f>
        <v>0</v>
      </c>
      <c r="H69" s="481">
        <f t="shared" si="5"/>
        <v>96359561.532215193</v>
      </c>
      <c r="I69" s="106">
        <f t="shared" si="3"/>
        <v>-2508878.4677848071</v>
      </c>
      <c r="J69" s="5">
        <f t="shared" si="4"/>
        <v>-2.5375928534776184E-2</v>
      </c>
      <c r="K69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28" x14ac:dyDescent="0.2">
      <c r="A70" s="479">
        <v>39661</v>
      </c>
      <c r="B70" s="459">
        <f>+'Purchased Power Model '!B70</f>
        <v>93432320</v>
      </c>
      <c r="C70" s="480">
        <f>+'Purchased Power Model '!C70</f>
        <v>13.8</v>
      </c>
      <c r="D70" s="480">
        <f>+'Purchased Power Model '!D70</f>
        <v>29.9</v>
      </c>
      <c r="E70" s="443">
        <f>+'Purchased Power Model '!E70</f>
        <v>6.8000000000000005E-2</v>
      </c>
      <c r="F70" s="17">
        <f>+'Purchased Power Model '!F70</f>
        <v>31</v>
      </c>
      <c r="G70" s="17">
        <f>+'Purchased Power Model '!G70</f>
        <v>0</v>
      </c>
      <c r="H70" s="481">
        <f t="shared" si="5"/>
        <v>92022530.805188119</v>
      </c>
      <c r="I70" s="106">
        <f t="shared" si="3"/>
        <v>-1409789.1948118806</v>
      </c>
      <c r="J70" s="5">
        <f t="shared" si="4"/>
        <v>-1.5088881393632103E-2</v>
      </c>
      <c r="K7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28" x14ac:dyDescent="0.2">
      <c r="A71" s="479">
        <v>39692</v>
      </c>
      <c r="B71" s="459">
        <f>+'Purchased Power Model '!B71</f>
        <v>86855072</v>
      </c>
      <c r="C71" s="480">
        <f>+'Purchased Power Model '!C71</f>
        <v>51.6</v>
      </c>
      <c r="D71" s="480">
        <f>+'Purchased Power Model '!D71</f>
        <v>15.1</v>
      </c>
      <c r="E71" s="443">
        <f>+'Purchased Power Model '!E71</f>
        <v>6.8000000000000005E-2</v>
      </c>
      <c r="F71" s="17">
        <f>+'Purchased Power Model '!F71</f>
        <v>30</v>
      </c>
      <c r="G71" s="17">
        <f>+'Purchased Power Model '!G71</f>
        <v>1</v>
      </c>
      <c r="H71" s="481">
        <f t="shared" si="5"/>
        <v>81740208.568068817</v>
      </c>
      <c r="I71" s="106">
        <f t="shared" si="3"/>
        <v>-5114863.4319311827</v>
      </c>
      <c r="J71" s="5">
        <f t="shared" si="4"/>
        <v>-5.8889634354700467E-2</v>
      </c>
      <c r="K71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28" x14ac:dyDescent="0.2">
      <c r="A72" s="479">
        <v>39722</v>
      </c>
      <c r="B72" s="459">
        <f>+'Purchased Power Model '!B72</f>
        <v>88294618</v>
      </c>
      <c r="C72" s="480">
        <f>+'Purchased Power Model '!C72</f>
        <v>203.1</v>
      </c>
      <c r="D72" s="480">
        <f>+'Purchased Power Model '!D72</f>
        <v>0</v>
      </c>
      <c r="E72" s="443">
        <f>+'Purchased Power Model '!E72</f>
        <v>0.08</v>
      </c>
      <c r="F72" s="17">
        <f>+'Purchased Power Model '!F72</f>
        <v>31</v>
      </c>
      <c r="G72" s="17">
        <f>+'Purchased Power Model '!G72</f>
        <v>1</v>
      </c>
      <c r="H72" s="481">
        <f t="shared" si="5"/>
        <v>87036357.121303484</v>
      </c>
      <c r="I72" s="106">
        <f t="shared" si="3"/>
        <v>-1258260.8786965162</v>
      </c>
      <c r="J72" s="5">
        <f t="shared" si="4"/>
        <v>-1.4250708675091796E-2</v>
      </c>
      <c r="K72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28" x14ac:dyDescent="0.2">
      <c r="A73" s="479">
        <v>39753</v>
      </c>
      <c r="B73" s="459">
        <f>+'Purchased Power Model '!B73</f>
        <v>95870835</v>
      </c>
      <c r="C73" s="480">
        <f>+'Purchased Power Model '!C73</f>
        <v>268.8</v>
      </c>
      <c r="D73" s="480">
        <f>+'Purchased Power Model '!D73</f>
        <v>0</v>
      </c>
      <c r="E73" s="443">
        <f>+'Purchased Power Model '!E73</f>
        <v>0.08</v>
      </c>
      <c r="F73" s="17">
        <f>+'Purchased Power Model '!F73</f>
        <v>30</v>
      </c>
      <c r="G73" s="17">
        <f>+'Purchased Power Model '!G73</f>
        <v>1</v>
      </c>
      <c r="H73" s="481">
        <f t="shared" si="5"/>
        <v>86841484.047907293</v>
      </c>
      <c r="I73" s="106">
        <f t="shared" si="3"/>
        <v>-9029350.9520927072</v>
      </c>
      <c r="J73" s="5">
        <f t="shared" si="4"/>
        <v>-9.4182458639196234E-2</v>
      </c>
      <c r="K73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28" x14ac:dyDescent="0.2">
      <c r="A74" s="479">
        <v>39783</v>
      </c>
      <c r="B74" s="459">
        <f>+'Purchased Power Model '!B74</f>
        <v>112359168</v>
      </c>
      <c r="C74" s="480">
        <f>+'Purchased Power Model '!C74</f>
        <v>378.9</v>
      </c>
      <c r="D74" s="480">
        <f>+'Purchased Power Model '!D74</f>
        <v>0</v>
      </c>
      <c r="E74" s="443">
        <f>+'Purchased Power Model '!E74</f>
        <v>0.08</v>
      </c>
      <c r="F74" s="17">
        <f>+'Purchased Power Model '!F74</f>
        <v>31</v>
      </c>
      <c r="G74" s="17">
        <f>+'Purchased Power Model '!G74</f>
        <v>0</v>
      </c>
      <c r="H74" s="481">
        <f t="shared" si="5"/>
        <v>100536030.27351162</v>
      </c>
      <c r="I74" s="106">
        <f t="shared" si="3"/>
        <v>-11823137.726488382</v>
      </c>
      <c r="J74" s="5">
        <f t="shared" si="4"/>
        <v>-0.1052262840401985</v>
      </c>
      <c r="K74"/>
      <c r="T74" s="100"/>
      <c r="U74" s="100"/>
      <c r="V74" s="100"/>
      <c r="W74" s="100"/>
      <c r="X74" s="100"/>
      <c r="Y74" s="100"/>
      <c r="Z74" s="100"/>
      <c r="AA74" s="100"/>
      <c r="AB74" s="100"/>
    </row>
    <row r="75" spans="1:28" x14ac:dyDescent="0.2">
      <c r="A75" s="479">
        <v>39814</v>
      </c>
      <c r="B75" s="459">
        <f>+'Purchased Power Model '!B75</f>
        <v>119321706</v>
      </c>
      <c r="C75" s="480">
        <f>+'Purchased Power Model '!C75</f>
        <v>684.3</v>
      </c>
      <c r="D75" s="480">
        <f>+'Purchased Power Model '!D75</f>
        <v>0</v>
      </c>
      <c r="E75" s="443">
        <f>+'Purchased Power Model '!E75</f>
        <v>8.3000000000000004E-2</v>
      </c>
      <c r="F75" s="17">
        <f>+'Purchased Power Model '!F75</f>
        <v>31</v>
      </c>
      <c r="G75" s="17">
        <f>+'Purchased Power Model '!G75</f>
        <v>0</v>
      </c>
      <c r="H75" s="481">
        <f t="shared" si="5"/>
        <v>112034948.79576781</v>
      </c>
      <c r="I75" s="106">
        <f t="shared" si="3"/>
        <v>-7286757.2042321861</v>
      </c>
      <c r="J75" s="5">
        <f t="shared" si="4"/>
        <v>-6.1068161431015629E-2</v>
      </c>
      <c r="K75"/>
      <c r="T75" s="108"/>
      <c r="U75" s="108"/>
      <c r="V75" s="108"/>
      <c r="W75" s="108"/>
      <c r="X75" s="108"/>
      <c r="Y75" s="108"/>
      <c r="Z75" s="108"/>
      <c r="AA75" s="108"/>
      <c r="AB75" s="108"/>
    </row>
    <row r="76" spans="1:28" x14ac:dyDescent="0.2">
      <c r="A76" s="479">
        <v>39845</v>
      </c>
      <c r="B76" s="459">
        <f>+'Purchased Power Model '!B76</f>
        <v>99385016</v>
      </c>
      <c r="C76" s="480">
        <f>+'Purchased Power Model '!C76</f>
        <v>595.29999999999995</v>
      </c>
      <c r="D76" s="480">
        <f>+'Purchased Power Model '!D76</f>
        <v>0</v>
      </c>
      <c r="E76" s="443">
        <f>+'Purchased Power Model '!E76</f>
        <v>8.3000000000000004E-2</v>
      </c>
      <c r="F76" s="17">
        <f>+'Purchased Power Model '!F76</f>
        <v>28</v>
      </c>
      <c r="G76" s="17">
        <f>+'Purchased Power Model '!G76</f>
        <v>0</v>
      </c>
      <c r="H76" s="481">
        <f t="shared" si="5"/>
        <v>100461031.90884882</v>
      </c>
      <c r="I76" s="106">
        <f t="shared" si="3"/>
        <v>1076015.9088488221</v>
      </c>
      <c r="J76" s="5">
        <f t="shared" si="4"/>
        <v>1.0826741818392644E-2</v>
      </c>
      <c r="K76"/>
      <c r="T76" s="100"/>
      <c r="U76" s="100"/>
      <c r="V76" s="100"/>
      <c r="W76" s="100"/>
      <c r="X76" s="100"/>
      <c r="Y76" s="100"/>
      <c r="Z76" s="100"/>
      <c r="AA76" s="100"/>
      <c r="AB76" s="100"/>
    </row>
    <row r="77" spans="1:28" x14ac:dyDescent="0.2">
      <c r="A77" s="479">
        <v>39873</v>
      </c>
      <c r="B77" s="459">
        <f>+'Purchased Power Model '!B77</f>
        <v>100852310</v>
      </c>
      <c r="C77" s="480">
        <f>+'Purchased Power Model '!C77</f>
        <v>442.2</v>
      </c>
      <c r="D77" s="480">
        <f>+'Purchased Power Model '!D77</f>
        <v>0</v>
      </c>
      <c r="E77" s="443">
        <f>+'Purchased Power Model '!E77</f>
        <v>8.3000000000000004E-2</v>
      </c>
      <c r="F77" s="17">
        <f>+'Purchased Power Model '!F77</f>
        <v>31</v>
      </c>
      <c r="G77" s="17">
        <f>+'Purchased Power Model '!G77</f>
        <v>1</v>
      </c>
      <c r="H77" s="481">
        <f t="shared" si="5"/>
        <v>95988647.068571121</v>
      </c>
      <c r="I77" s="106">
        <f t="shared" si="3"/>
        <v>-4863662.9314288795</v>
      </c>
      <c r="J77" s="5">
        <f t="shared" si="4"/>
        <v>-4.8225597722341508E-2</v>
      </c>
      <c r="K77"/>
      <c r="T77" s="100"/>
      <c r="U77" s="100"/>
      <c r="V77" s="100"/>
      <c r="W77" s="100"/>
      <c r="X77" s="100"/>
      <c r="Y77" s="100"/>
      <c r="Z77" s="100"/>
      <c r="AA77" s="100"/>
      <c r="AB77" s="100"/>
    </row>
    <row r="78" spans="1:28" x14ac:dyDescent="0.2">
      <c r="A78" s="479">
        <v>39904</v>
      </c>
      <c r="B78" s="459">
        <f>+'Purchased Power Model '!B78</f>
        <v>86741668</v>
      </c>
      <c r="C78" s="480">
        <f>+'Purchased Power Model '!C78</f>
        <v>313.8</v>
      </c>
      <c r="D78" s="480">
        <f>+'Purchased Power Model '!D78</f>
        <v>0</v>
      </c>
      <c r="E78" s="443">
        <f>+'Purchased Power Model '!E78</f>
        <v>8.8000000000000009E-2</v>
      </c>
      <c r="F78" s="17">
        <f>+'Purchased Power Model '!F78</f>
        <v>30</v>
      </c>
      <c r="G78" s="17">
        <f>+'Purchased Power Model '!G78</f>
        <v>1</v>
      </c>
      <c r="H78" s="481">
        <f t="shared" si="5"/>
        <v>87952083.884086847</v>
      </c>
      <c r="I78" s="106">
        <f t="shared" si="3"/>
        <v>1210415.8840868473</v>
      </c>
      <c r="J78" s="5">
        <f t="shared" si="4"/>
        <v>1.3954261106517428E-2</v>
      </c>
      <c r="K78"/>
      <c r="T78" s="100"/>
      <c r="U78" s="100"/>
      <c r="V78" s="100"/>
      <c r="W78" s="100"/>
      <c r="X78" s="100"/>
      <c r="Y78" s="100"/>
      <c r="Z78" s="100"/>
      <c r="AA78" s="100"/>
      <c r="AB78" s="100"/>
    </row>
    <row r="79" spans="1:28" x14ac:dyDescent="0.2">
      <c r="A79" s="479">
        <v>39934</v>
      </c>
      <c r="B79" s="459">
        <f>+'Purchased Power Model '!B79</f>
        <v>80591893.384615391</v>
      </c>
      <c r="C79" s="480">
        <f>+'Purchased Power Model '!C79</f>
        <v>170.1</v>
      </c>
      <c r="D79" s="480">
        <f>+'Purchased Power Model '!D79</f>
        <v>0</v>
      </c>
      <c r="E79" s="443">
        <f>+'Purchased Power Model '!E79</f>
        <v>8.8000000000000009E-2</v>
      </c>
      <c r="F79" s="17">
        <f>+'Purchased Power Model '!F79</f>
        <v>31</v>
      </c>
      <c r="G79" s="17">
        <f>+'Purchased Power Model '!G79</f>
        <v>1</v>
      </c>
      <c r="H79" s="481">
        <f t="shared" si="5"/>
        <v>85150923.339849457</v>
      </c>
      <c r="I79" s="106">
        <f t="shared" si="3"/>
        <v>4559029.9552340657</v>
      </c>
      <c r="J79" s="5">
        <f t="shared" si="4"/>
        <v>5.6569336738083918E-2</v>
      </c>
      <c r="K79"/>
      <c r="T79" s="100"/>
      <c r="U79" s="100"/>
      <c r="V79" s="100"/>
      <c r="W79" s="100"/>
      <c r="X79" s="100"/>
      <c r="Y79" s="100"/>
      <c r="Z79" s="100"/>
      <c r="AA79" s="100"/>
      <c r="AB79" s="100"/>
    </row>
    <row r="80" spans="1:28" x14ac:dyDescent="0.2">
      <c r="A80" s="479">
        <v>39965</v>
      </c>
      <c r="B80" s="459">
        <f>+'Purchased Power Model '!B80</f>
        <v>84198050.923076928</v>
      </c>
      <c r="C80" s="480">
        <f>+'Purchased Power Model '!C80</f>
        <v>57.9</v>
      </c>
      <c r="D80" s="480">
        <f>+'Purchased Power Model '!D80</f>
        <v>26.3</v>
      </c>
      <c r="E80" s="443">
        <f>+'Purchased Power Model '!E80</f>
        <v>8.8000000000000009E-2</v>
      </c>
      <c r="F80" s="17">
        <f>+'Purchased Power Model '!F80</f>
        <v>30</v>
      </c>
      <c r="G80" s="17">
        <f>+'Purchased Power Model '!G80</f>
        <v>0</v>
      </c>
      <c r="H80" s="481">
        <f t="shared" si="5"/>
        <v>88901434.138204738</v>
      </c>
      <c r="I80" s="106">
        <f t="shared" si="3"/>
        <v>4703383.2151278108</v>
      </c>
      <c r="J80" s="5">
        <f t="shared" si="4"/>
        <v>5.5860951216374438E-2</v>
      </c>
      <c r="K80"/>
      <c r="T80" s="100"/>
      <c r="U80" s="100"/>
      <c r="V80" s="100"/>
      <c r="W80" s="100"/>
      <c r="X80" s="100"/>
      <c r="Y80" s="100"/>
      <c r="Z80" s="100"/>
      <c r="AA80" s="100"/>
      <c r="AB80" s="100"/>
    </row>
    <row r="81" spans="1:28" x14ac:dyDescent="0.2">
      <c r="A81" s="479">
        <v>39995</v>
      </c>
      <c r="B81" s="459">
        <f>+'Purchased Power Model '!B81</f>
        <v>87831701.059230775</v>
      </c>
      <c r="C81" s="480">
        <f>+'Purchased Power Model '!C81</f>
        <v>16.8</v>
      </c>
      <c r="D81" s="480">
        <f>+'Purchased Power Model '!D81</f>
        <v>25.6</v>
      </c>
      <c r="E81" s="443">
        <f>+'Purchased Power Model '!E81</f>
        <v>9.5000000000000001E-2</v>
      </c>
      <c r="F81" s="17">
        <f>+'Purchased Power Model '!F81</f>
        <v>31</v>
      </c>
      <c r="G81" s="17">
        <f>+'Purchased Power Model '!G81</f>
        <v>0</v>
      </c>
      <c r="H81" s="481">
        <f t="shared" si="5"/>
        <v>89393259.994600505</v>
      </c>
      <c r="I81" s="106">
        <f t="shared" si="3"/>
        <v>1561558.93536973</v>
      </c>
      <c r="J81" s="5">
        <f t="shared" si="4"/>
        <v>1.7778990006315221E-2</v>
      </c>
      <c r="K81"/>
      <c r="T81" s="100"/>
      <c r="U81" s="100"/>
      <c r="V81" s="100"/>
      <c r="W81" s="100"/>
      <c r="X81" s="100"/>
      <c r="Y81" s="100"/>
      <c r="Z81" s="100"/>
      <c r="AA81" s="100"/>
      <c r="AB81" s="100"/>
    </row>
    <row r="82" spans="1:28" x14ac:dyDescent="0.2">
      <c r="A82" s="479">
        <v>40026</v>
      </c>
      <c r="B82" s="459">
        <f>+'Purchased Power Model '!B82</f>
        <v>97879755</v>
      </c>
      <c r="C82" s="480">
        <f>+'Purchased Power Model '!C82</f>
        <v>13.1</v>
      </c>
      <c r="D82" s="480">
        <f>+'Purchased Power Model '!D82</f>
        <v>77.7</v>
      </c>
      <c r="E82" s="443">
        <f>+'Purchased Power Model '!E82</f>
        <v>9.5000000000000001E-2</v>
      </c>
      <c r="F82" s="17">
        <f>+'Purchased Power Model '!F82</f>
        <v>31</v>
      </c>
      <c r="G82" s="17">
        <f>+'Purchased Power Model '!G82</f>
        <v>0</v>
      </c>
      <c r="H82" s="481">
        <f t="shared" si="5"/>
        <v>97237636.327235788</v>
      </c>
      <c r="I82" s="106">
        <f t="shared" si="3"/>
        <v>-642118.67276421189</v>
      </c>
      <c r="J82" s="5">
        <f t="shared" si="4"/>
        <v>-6.5602807522782613E-3</v>
      </c>
      <c r="K82"/>
      <c r="T82" s="100"/>
      <c r="U82" s="100"/>
      <c r="V82" s="100"/>
      <c r="W82" s="100"/>
      <c r="X82" s="100"/>
      <c r="Y82" s="100"/>
      <c r="Z82" s="100"/>
      <c r="AA82" s="100"/>
      <c r="AB82" s="100"/>
    </row>
    <row r="83" spans="1:28" x14ac:dyDescent="0.2">
      <c r="A83" s="479">
        <v>40057</v>
      </c>
      <c r="B83" s="459">
        <f>+'Purchased Power Model '!B83</f>
        <v>83907661.687692314</v>
      </c>
      <c r="C83" s="480">
        <f>+'Purchased Power Model '!C83</f>
        <v>64.8</v>
      </c>
      <c r="D83" s="480">
        <f>+'Purchased Power Model '!D83</f>
        <v>9</v>
      </c>
      <c r="E83" s="443">
        <f>+'Purchased Power Model '!E83</f>
        <v>9.5000000000000001E-2</v>
      </c>
      <c r="F83" s="17">
        <f>+'Purchased Power Model '!F83</f>
        <v>30</v>
      </c>
      <c r="G83" s="17">
        <f>+'Purchased Power Model '!G83</f>
        <v>1</v>
      </c>
      <c r="H83" s="481">
        <f t="shared" si="5"/>
        <v>79226801.767542571</v>
      </c>
      <c r="I83" s="106">
        <f t="shared" si="3"/>
        <v>-4680859.9201497436</v>
      </c>
      <c r="J83" s="5">
        <f t="shared" si="4"/>
        <v>-5.5785846322021132E-2</v>
      </c>
      <c r="K83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479">
        <v>40087</v>
      </c>
      <c r="B84" s="459">
        <f>+'Purchased Power Model '!B84</f>
        <v>88097164.336923078</v>
      </c>
      <c r="C84" s="480">
        <f>+'Purchased Power Model '!C84</f>
        <v>287.89999999999998</v>
      </c>
      <c r="D84" s="480">
        <f>+'Purchased Power Model '!D84</f>
        <v>0</v>
      </c>
      <c r="E84" s="443">
        <f>+'Purchased Power Model '!E84</f>
        <v>0.1</v>
      </c>
      <c r="F84" s="17">
        <f>+'Purchased Power Model '!F84</f>
        <v>31</v>
      </c>
      <c r="G84" s="17">
        <f>+'Purchased Power Model '!G84</f>
        <v>1</v>
      </c>
      <c r="H84" s="481">
        <f t="shared" si="5"/>
        <v>88748880.6706184</v>
      </c>
      <c r="I84" s="106">
        <f t="shared" si="3"/>
        <v>651716.33369532228</v>
      </c>
      <c r="J84" s="5">
        <f t="shared" si="4"/>
        <v>7.3976993311937562E-3</v>
      </c>
      <c r="K84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479">
        <v>40118</v>
      </c>
      <c r="B85" s="459">
        <f>+'Purchased Power Model '!B85</f>
        <v>89873866.688461557</v>
      </c>
      <c r="C85" s="480">
        <f>+'Purchased Power Model '!C85</f>
        <v>347.4</v>
      </c>
      <c r="D85" s="480">
        <f>+'Purchased Power Model '!D85</f>
        <v>0</v>
      </c>
      <c r="E85" s="443">
        <f>+'Purchased Power Model '!E85</f>
        <v>0.1</v>
      </c>
      <c r="F85" s="17">
        <f>+'Purchased Power Model '!F85</f>
        <v>30</v>
      </c>
      <c r="G85" s="17">
        <f>+'Purchased Power Model '!G85</f>
        <v>1</v>
      </c>
      <c r="H85" s="481">
        <f t="shared" si="5"/>
        <v>88315861.335307747</v>
      </c>
      <c r="I85" s="106">
        <f t="shared" si="3"/>
        <v>-1558005.3531538099</v>
      </c>
      <c r="J85" s="5">
        <f t="shared" si="4"/>
        <v>-1.7335465920860778E-2</v>
      </c>
      <c r="K85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479">
        <v>40148</v>
      </c>
      <c r="B86" s="459">
        <f>+'Purchased Power Model '!B86</f>
        <v>109709991.43076923</v>
      </c>
      <c r="C86" s="480">
        <f>+'Purchased Power Model '!C86</f>
        <v>619.1</v>
      </c>
      <c r="D86" s="480">
        <f>+'Purchased Power Model '!D86</f>
        <v>0</v>
      </c>
      <c r="E86" s="443">
        <f>+'Purchased Power Model '!E86</f>
        <v>0.1</v>
      </c>
      <c r="F86" s="17">
        <f>+'Purchased Power Model '!F86</f>
        <v>31</v>
      </c>
      <c r="G86" s="17">
        <f>+'Purchased Power Model '!G86</f>
        <v>0</v>
      </c>
      <c r="H86" s="481">
        <f t="shared" si="5"/>
        <v>108217574.64565037</v>
      </c>
      <c r="I86" s="106">
        <f t="shared" si="3"/>
        <v>-1492416.785118863</v>
      </c>
      <c r="J86" s="5">
        <f t="shared" si="4"/>
        <v>-1.3603289597015684E-2</v>
      </c>
      <c r="K86"/>
      <c r="T86" s="109"/>
      <c r="U86" s="109"/>
      <c r="V86" s="109"/>
      <c r="W86" s="109"/>
      <c r="X86" s="109"/>
      <c r="Y86" s="109"/>
      <c r="Z86" s="109"/>
      <c r="AA86" s="109"/>
      <c r="AB86" s="109"/>
    </row>
    <row r="87" spans="1:28" x14ac:dyDescent="0.2">
      <c r="A87" s="479">
        <v>40179</v>
      </c>
      <c r="B87" s="459">
        <f>+'Purchased Power Model '!B87</f>
        <v>114148404.02769232</v>
      </c>
      <c r="C87" s="480">
        <f>+'Purchased Power Model '!C87</f>
        <v>699.9</v>
      </c>
      <c r="D87" s="480">
        <f>+'Purchased Power Model '!D87</f>
        <v>0</v>
      </c>
      <c r="E87" s="443">
        <f>+'Purchased Power Model '!E87</f>
        <v>0.10300000000000001</v>
      </c>
      <c r="F87" s="17">
        <f>+'Purchased Power Model '!F87</f>
        <v>31</v>
      </c>
      <c r="G87" s="17">
        <f>+'Purchased Power Model '!G87</f>
        <v>0</v>
      </c>
      <c r="H87" s="481">
        <f t="shared" si="5"/>
        <v>111089452.77661806</v>
      </c>
      <c r="I87" s="106">
        <f t="shared" si="3"/>
        <v>-3058951.2510742545</v>
      </c>
      <c r="J87" s="5">
        <f t="shared" si="4"/>
        <v>-2.6798020323894806E-2</v>
      </c>
      <c r="K87"/>
      <c r="T87" s="108"/>
      <c r="U87" s="108"/>
      <c r="V87" s="108"/>
      <c r="W87" s="100"/>
      <c r="X87" s="100"/>
      <c r="Y87" s="100"/>
      <c r="Z87" s="100"/>
      <c r="AA87" s="100"/>
      <c r="AB87" s="100"/>
    </row>
    <row r="88" spans="1:28" x14ac:dyDescent="0.2">
      <c r="A88" s="479">
        <v>40210</v>
      </c>
      <c r="B88" s="459">
        <f>+'Purchased Power Model '!B88</f>
        <v>100280891.65769231</v>
      </c>
      <c r="C88" s="480">
        <f>+'Purchased Power Model '!C88</f>
        <v>583.79999999999995</v>
      </c>
      <c r="D88" s="480">
        <f>+'Purchased Power Model '!D88</f>
        <v>0</v>
      </c>
      <c r="E88" s="443">
        <f>+'Purchased Power Model '!E88</f>
        <v>0.10300000000000001</v>
      </c>
      <c r="F88" s="17">
        <f>+'Purchased Power Model '!F88</f>
        <v>28</v>
      </c>
      <c r="G88" s="17">
        <f>+'Purchased Power Model '!G88</f>
        <v>0</v>
      </c>
      <c r="H88" s="481">
        <f t="shared" si="5"/>
        <v>98474606.261008441</v>
      </c>
      <c r="I88" s="106">
        <f t="shared" si="3"/>
        <v>-1806285.3966838717</v>
      </c>
      <c r="J88" s="5">
        <f t="shared" si="4"/>
        <v>-1.8012259033850699E-2</v>
      </c>
      <c r="K88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479">
        <v>40238</v>
      </c>
      <c r="B89" s="459">
        <f>+'Purchased Power Model '!B89</f>
        <v>95443611.384615391</v>
      </c>
      <c r="C89" s="480">
        <f>+'Purchased Power Model '!C89</f>
        <v>411</v>
      </c>
      <c r="D89" s="480">
        <f>+'Purchased Power Model '!D89</f>
        <v>0</v>
      </c>
      <c r="E89" s="443">
        <f>+'Purchased Power Model '!E89</f>
        <v>0.10300000000000001</v>
      </c>
      <c r="F89" s="17">
        <f>+'Purchased Power Model '!F89</f>
        <v>31</v>
      </c>
      <c r="G89" s="17">
        <f>+'Purchased Power Model '!G89</f>
        <v>1</v>
      </c>
      <c r="H89" s="481">
        <f t="shared" si="5"/>
        <v>93245530.878841221</v>
      </c>
      <c r="I89" s="106">
        <f t="shared" si="3"/>
        <v>-2198080.5057741702</v>
      </c>
      <c r="J89" s="5">
        <f t="shared" si="4"/>
        <v>-2.3030148104061367E-2</v>
      </c>
      <c r="K89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479">
        <v>40269</v>
      </c>
      <c r="B90" s="459">
        <f>+'Purchased Power Model '!B90</f>
        <v>80941805.90538463</v>
      </c>
      <c r="C90" s="480">
        <f>+'Purchased Power Model '!C90</f>
        <v>244</v>
      </c>
      <c r="D90" s="480">
        <f>+'Purchased Power Model '!D90</f>
        <v>0</v>
      </c>
      <c r="E90" s="443">
        <f>+'Purchased Power Model '!E90</f>
        <v>9.9000000000000005E-2</v>
      </c>
      <c r="F90" s="17">
        <f>+'Purchased Power Model '!F90</f>
        <v>30</v>
      </c>
      <c r="G90" s="17">
        <f>+'Purchased Power Model '!G90</f>
        <v>1</v>
      </c>
      <c r="H90" s="481">
        <f t="shared" si="5"/>
        <v>84421431.394706786</v>
      </c>
      <c r="I90" s="106">
        <f t="shared" si="3"/>
        <v>3479625.4893221557</v>
      </c>
      <c r="J90" s="5">
        <f t="shared" si="4"/>
        <v>4.2989224794287358E-2</v>
      </c>
      <c r="K9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479">
        <v>40299</v>
      </c>
      <c r="B91" s="459">
        <f>+'Purchased Power Model '!B91</f>
        <v>87418768.25846155</v>
      </c>
      <c r="C91" s="480">
        <f>+'Purchased Power Model '!C91</f>
        <v>121.7</v>
      </c>
      <c r="D91" s="480">
        <f>+'Purchased Power Model '!D91</f>
        <v>23.2</v>
      </c>
      <c r="E91" s="443">
        <f>+'Purchased Power Model '!E91</f>
        <v>9.9000000000000005E-2</v>
      </c>
      <c r="F91" s="17">
        <f>+'Purchased Power Model '!F91</f>
        <v>31</v>
      </c>
      <c r="G91" s="17">
        <f>+'Purchased Power Model '!G91</f>
        <v>1</v>
      </c>
      <c r="H91" s="481">
        <f t="shared" si="5"/>
        <v>85998626.246630341</v>
      </c>
      <c r="I91" s="106">
        <f t="shared" si="3"/>
        <v>-1420142.0118312091</v>
      </c>
      <c r="J91" s="5">
        <f t="shared" si="4"/>
        <v>-1.6245275930134705E-2</v>
      </c>
      <c r="K91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479">
        <v>40330</v>
      </c>
      <c r="B92" s="459">
        <f>+'Purchased Power Model '!B92</f>
        <v>89087288.937692314</v>
      </c>
      <c r="C92" s="480">
        <f>+'Purchased Power Model '!C92</f>
        <v>19.399999999999999</v>
      </c>
      <c r="D92" s="480">
        <f>+'Purchased Power Model '!D92</f>
        <v>46.6</v>
      </c>
      <c r="E92" s="443">
        <f>+'Purchased Power Model '!E92</f>
        <v>9.9000000000000005E-2</v>
      </c>
      <c r="F92" s="17">
        <f>+'Purchased Power Model '!F92</f>
        <v>30</v>
      </c>
      <c r="G92" s="17">
        <f>+'Purchased Power Model '!G92</f>
        <v>0</v>
      </c>
      <c r="H92" s="481">
        <f t="shared" si="5"/>
        <v>89684857.014590412</v>
      </c>
      <c r="I92" s="106">
        <f t="shared" si="3"/>
        <v>597568.07689809799</v>
      </c>
      <c r="J92" s="5">
        <f t="shared" si="4"/>
        <v>6.7076693434462613E-3</v>
      </c>
      <c r="K92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479">
        <v>40360</v>
      </c>
      <c r="B93" s="459">
        <f>+'Purchased Power Model '!B93</f>
        <v>107904059.08</v>
      </c>
      <c r="C93" s="480">
        <f>+'Purchased Power Model '!C93</f>
        <v>3.5</v>
      </c>
      <c r="D93" s="480">
        <f>+'Purchased Power Model '!D93</f>
        <v>124</v>
      </c>
      <c r="E93" s="443">
        <f>+'Purchased Power Model '!E93</f>
        <v>0.10099999999999999</v>
      </c>
      <c r="F93" s="17">
        <f>+'Purchased Power Model '!F93</f>
        <v>31</v>
      </c>
      <c r="G93" s="17">
        <f>+'Purchased Power Model '!G93</f>
        <v>0</v>
      </c>
      <c r="H93" s="481">
        <f t="shared" si="5"/>
        <v>103502887.10995485</v>
      </c>
      <c r="I93" s="106">
        <f t="shared" si="3"/>
        <v>-4401171.9700451493</v>
      </c>
      <c r="J93" s="5">
        <f t="shared" si="4"/>
        <v>-4.0787825847979672E-2</v>
      </c>
      <c r="K93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479">
        <v>40391</v>
      </c>
      <c r="B94" s="459">
        <f>+'Purchased Power Model '!B94</f>
        <v>102274426.19461538</v>
      </c>
      <c r="C94" s="480">
        <f>+'Purchased Power Model '!C94</f>
        <v>3.2</v>
      </c>
      <c r="D94" s="480">
        <f>+'Purchased Power Model '!D94</f>
        <v>96.8</v>
      </c>
      <c r="E94" s="443">
        <f>+'Purchased Power Model '!E94</f>
        <v>0.10099999999999999</v>
      </c>
      <c r="F94" s="17">
        <f>+'Purchased Power Model '!F94</f>
        <v>31</v>
      </c>
      <c r="G94" s="17">
        <f>+'Purchased Power Model '!G94</f>
        <v>0</v>
      </c>
      <c r="H94" s="481">
        <f t="shared" si="5"/>
        <v>99321830.548106015</v>
      </c>
      <c r="I94" s="106">
        <f t="shared" si="3"/>
        <v>-2952595.6465093642</v>
      </c>
      <c r="J94" s="5">
        <f t="shared" si="4"/>
        <v>-2.8869344530869777E-2</v>
      </c>
      <c r="K94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479">
        <v>40422</v>
      </c>
      <c r="B95" s="459">
        <f>+'Purchased Power Model '!B95</f>
        <v>83491002.500769228</v>
      </c>
      <c r="C95" s="480">
        <f>+'Purchased Power Model '!C95</f>
        <v>85.5</v>
      </c>
      <c r="D95" s="480">
        <f>+'Purchased Power Model '!D95</f>
        <v>18.5</v>
      </c>
      <c r="E95" s="443">
        <f>+'Purchased Power Model '!E95</f>
        <v>0.10099999999999999</v>
      </c>
      <c r="F95" s="17">
        <f>+'Purchased Power Model '!F95</f>
        <v>30</v>
      </c>
      <c r="G95" s="17">
        <f>+'Purchased Power Model '!G95</f>
        <v>1</v>
      </c>
      <c r="H95" s="481">
        <f t="shared" si="5"/>
        <v>81014763.015154481</v>
      </c>
      <c r="I95" s="106">
        <f t="shared" si="3"/>
        <v>-2476239.4856147468</v>
      </c>
      <c r="J95" s="5">
        <f t="shared" si="4"/>
        <v>-2.9658758566133307E-2</v>
      </c>
      <c r="K95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479">
        <v>40452</v>
      </c>
      <c r="B96" s="459">
        <f>+'Purchased Power Model '!B96</f>
        <v>84900189.230769232</v>
      </c>
      <c r="C96" s="480">
        <f>+'Purchased Power Model '!C96</f>
        <v>247.8</v>
      </c>
      <c r="D96" s="480">
        <f>+'Purchased Power Model '!D96</f>
        <v>0</v>
      </c>
      <c r="E96" s="443">
        <f>+'Purchased Power Model '!E96</f>
        <v>9.3000000000000013E-2</v>
      </c>
      <c r="F96" s="17">
        <f>+'Purchased Power Model '!F96</f>
        <v>31</v>
      </c>
      <c r="G96" s="17">
        <f>+'Purchased Power Model '!G96</f>
        <v>1</v>
      </c>
      <c r="H96" s="481">
        <f t="shared" si="5"/>
        <v>87749258.065592259</v>
      </c>
      <c r="I96" s="106">
        <f t="shared" si="3"/>
        <v>2849068.8348230273</v>
      </c>
      <c r="J96" s="5">
        <f t="shared" si="4"/>
        <v>3.3557862009929156E-2</v>
      </c>
      <c r="K96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479">
        <v>40483</v>
      </c>
      <c r="B97" s="459">
        <f>+'Purchased Power Model '!B97</f>
        <v>91736751.63692309</v>
      </c>
      <c r="C97" s="480">
        <f>+'Purchased Power Model '!C97</f>
        <v>389.2</v>
      </c>
      <c r="D97" s="480">
        <f>+'Purchased Power Model '!D97</f>
        <v>0</v>
      </c>
      <c r="E97" s="443">
        <f>+'Purchased Power Model '!E97</f>
        <v>9.3000000000000013E-2</v>
      </c>
      <c r="F97" s="17">
        <f>+'Purchased Power Model '!F97</f>
        <v>30</v>
      </c>
      <c r="G97" s="17">
        <f>+'Purchased Power Model '!G97</f>
        <v>1</v>
      </c>
      <c r="H97" s="481">
        <f t="shared" si="5"/>
        <v>90462074.028796867</v>
      </c>
      <c r="I97" s="106">
        <f t="shared" si="3"/>
        <v>-1274677.6081262231</v>
      </c>
      <c r="J97" s="5">
        <f t="shared" si="4"/>
        <v>-1.3894950337582899E-2</v>
      </c>
      <c r="K97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479">
        <v>40513</v>
      </c>
      <c r="B98" s="459">
        <f>+'Purchased Power Model '!B98</f>
        <v>110862133</v>
      </c>
      <c r="C98" s="480">
        <f>+'Purchased Power Model '!C98</f>
        <v>628.70000000000005</v>
      </c>
      <c r="D98" s="480">
        <f>+'Purchased Power Model '!D98</f>
        <v>0</v>
      </c>
      <c r="E98" s="443">
        <f>+'Purchased Power Model '!E98</f>
        <v>9.3000000000000013E-2</v>
      </c>
      <c r="F98" s="17">
        <f>+'Purchased Power Model '!F98</f>
        <v>31</v>
      </c>
      <c r="G98" s="17">
        <f>+'Purchased Power Model '!G98</f>
        <v>0</v>
      </c>
      <c r="H98" s="481">
        <f t="shared" si="5"/>
        <v>109126963.2046805</v>
      </c>
      <c r="I98" s="106">
        <f t="shared" si="3"/>
        <v>-1735169.7953194976</v>
      </c>
      <c r="J98" s="5">
        <f t="shared" si="4"/>
        <v>-1.5651600310806736E-2</v>
      </c>
      <c r="K98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479">
        <v>40544</v>
      </c>
      <c r="B99" s="459">
        <f>+'Purchased Power Model '!B99</f>
        <v>113644387.32076925</v>
      </c>
      <c r="C99" s="480">
        <f>+'Purchased Power Model '!C99</f>
        <v>760.9</v>
      </c>
      <c r="D99" s="480">
        <f>+'Purchased Power Model '!D99</f>
        <v>0</v>
      </c>
      <c r="E99" s="443">
        <f>+'Purchased Power Model '!E99</f>
        <v>8.8000000000000009E-2</v>
      </c>
      <c r="F99" s="17">
        <f>+'Purchased Power Model '!F99</f>
        <v>31</v>
      </c>
      <c r="G99" s="17">
        <f>+'Purchased Power Model '!G99</f>
        <v>0</v>
      </c>
      <c r="H99" s="481">
        <f t="shared" si="5"/>
        <v>114591031.7653645</v>
      </c>
      <c r="I99" s="106">
        <f t="shared" si="3"/>
        <v>946644.44459524751</v>
      </c>
      <c r="J99" s="5">
        <f t="shared" si="4"/>
        <v>8.3298829525410446E-3</v>
      </c>
      <c r="K99"/>
      <c r="T99" s="108"/>
      <c r="U99" s="108"/>
      <c r="V99" s="108"/>
      <c r="W99" s="100"/>
      <c r="X99" s="100"/>
      <c r="Y99" s="100"/>
      <c r="Z99" s="100"/>
      <c r="AA99" s="100"/>
      <c r="AB99" s="100"/>
    </row>
    <row r="100" spans="1:28" x14ac:dyDescent="0.2">
      <c r="A100" s="479">
        <v>40575</v>
      </c>
      <c r="B100" s="459">
        <f>+'Purchased Power Model '!B100</f>
        <v>100561048.38461539</v>
      </c>
      <c r="C100" s="480">
        <f>+'Purchased Power Model '!C100</f>
        <v>634.19999999999993</v>
      </c>
      <c r="D100" s="480">
        <f>+'Purchased Power Model '!D100</f>
        <v>0</v>
      </c>
      <c r="E100" s="443">
        <f>+'Purchased Power Model '!E100</f>
        <v>8.8000000000000009E-2</v>
      </c>
      <c r="F100" s="17">
        <f>+'Purchased Power Model '!F100</f>
        <v>28</v>
      </c>
      <c r="G100" s="17">
        <f>+'Purchased Power Model '!G100</f>
        <v>0</v>
      </c>
      <c r="H100" s="481">
        <f t="shared" si="5"/>
        <v>101569031.96325594</v>
      </c>
      <c r="I100" s="106">
        <f t="shared" si="3"/>
        <v>1007983.5786405504</v>
      </c>
      <c r="J100" s="5">
        <f t="shared" si="4"/>
        <v>1.0023598548667871E-2</v>
      </c>
      <c r="K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479">
        <v>40603</v>
      </c>
      <c r="B101" s="459">
        <f>+'Purchased Power Model '!B101</f>
        <v>102613396.81846155</v>
      </c>
      <c r="C101" s="480">
        <f>+'Purchased Power Model '!C101</f>
        <v>559.80000000000007</v>
      </c>
      <c r="D101" s="480">
        <f>+'Purchased Power Model '!D101</f>
        <v>0</v>
      </c>
      <c r="E101" s="443">
        <f>+'Purchased Power Model '!E101</f>
        <v>8.8000000000000009E-2</v>
      </c>
      <c r="F101" s="17">
        <f>+'Purchased Power Model '!F101</f>
        <v>31</v>
      </c>
      <c r="G101" s="17">
        <f>+'Purchased Power Model '!G101</f>
        <v>1</v>
      </c>
      <c r="H101" s="481">
        <f t="shared" si="5"/>
        <v>100119568.22179574</v>
      </c>
      <c r="I101" s="106">
        <f t="shared" si="3"/>
        <v>-2493828.5966658145</v>
      </c>
      <c r="J101" s="5">
        <f t="shared" si="4"/>
        <v>-2.4303148263162658E-2</v>
      </c>
      <c r="K101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479">
        <v>40634</v>
      </c>
      <c r="B102" s="459">
        <f>+'Purchased Power Model '!B102</f>
        <v>87015565.163076922</v>
      </c>
      <c r="C102" s="480">
        <f>+'Purchased Power Model '!C102</f>
        <v>350.79999999999995</v>
      </c>
      <c r="D102" s="480">
        <f>+'Purchased Power Model '!D102</f>
        <v>0</v>
      </c>
      <c r="E102" s="443">
        <f>+'Purchased Power Model '!E102</f>
        <v>9.0999999999999998E-2</v>
      </c>
      <c r="F102" s="17">
        <f>+'Purchased Power Model '!F102</f>
        <v>30</v>
      </c>
      <c r="G102" s="17">
        <f>+'Purchased Power Model '!G102</f>
        <v>1</v>
      </c>
      <c r="H102" s="481">
        <f t="shared" si="5"/>
        <v>89141573.906691045</v>
      </c>
      <c r="I102" s="106">
        <f t="shared" si="3"/>
        <v>2126008.7436141223</v>
      </c>
      <c r="J102" s="5">
        <f t="shared" si="4"/>
        <v>2.443251089192771E-2</v>
      </c>
      <c r="K102"/>
      <c r="T102" s="100"/>
      <c r="U102" s="100"/>
      <c r="V102" s="100"/>
      <c r="W102" s="100"/>
      <c r="X102" s="100"/>
      <c r="Y102" s="100"/>
      <c r="Z102" s="100"/>
      <c r="AA102" s="100"/>
      <c r="AB102" s="100"/>
    </row>
    <row r="103" spans="1:28" x14ac:dyDescent="0.2">
      <c r="A103" s="479">
        <v>40664</v>
      </c>
      <c r="B103" s="459">
        <f>+'Purchased Power Model '!B103</f>
        <v>82921009.75</v>
      </c>
      <c r="C103" s="480">
        <f>+'Purchased Power Model '!C103</f>
        <v>157.69999999999996</v>
      </c>
      <c r="D103" s="480">
        <f>+'Purchased Power Model '!D103</f>
        <v>2.8</v>
      </c>
      <c r="E103" s="443">
        <f>+'Purchased Power Model '!E103</f>
        <v>9.0999999999999998E-2</v>
      </c>
      <c r="F103" s="17">
        <f>+'Purchased Power Model '!F103</f>
        <v>31</v>
      </c>
      <c r="G103" s="17">
        <f>+'Purchased Power Model '!G103</f>
        <v>1</v>
      </c>
      <c r="H103" s="481">
        <f t="shared" si="5"/>
        <v>84872142.073580667</v>
      </c>
      <c r="I103" s="106">
        <f t="shared" si="3"/>
        <v>1951132.3235806674</v>
      </c>
      <c r="J103" s="5">
        <f t="shared" si="4"/>
        <v>2.3530011627489467E-2</v>
      </c>
      <c r="K103"/>
      <c r="T103" s="100"/>
      <c r="U103" s="100"/>
      <c r="V103" s="100"/>
      <c r="W103" s="100"/>
      <c r="X103" s="100"/>
      <c r="Y103" s="100"/>
      <c r="Z103" s="100"/>
      <c r="AA103" s="100"/>
      <c r="AB103" s="100"/>
    </row>
    <row r="104" spans="1:28" x14ac:dyDescent="0.2">
      <c r="A104" s="479">
        <v>40695</v>
      </c>
      <c r="B104" s="459">
        <f>+'Purchased Power Model '!B104</f>
        <v>88149132.009230778</v>
      </c>
      <c r="C104" s="480">
        <f>+'Purchased Power Model '!C104</f>
        <v>26.699999999999996</v>
      </c>
      <c r="D104" s="480">
        <f>+'Purchased Power Model '!D104</f>
        <v>36.900000000000006</v>
      </c>
      <c r="E104" s="443">
        <f>+'Purchased Power Model '!E104</f>
        <v>9.0999999999999998E-2</v>
      </c>
      <c r="F104" s="17">
        <f>+'Purchased Power Model '!F104</f>
        <v>30</v>
      </c>
      <c r="G104" s="17">
        <f>+'Purchased Power Model '!G104</f>
        <v>0</v>
      </c>
      <c r="H104" s="481">
        <f t="shared" si="5"/>
        <v>89096206.95510453</v>
      </c>
      <c r="I104" s="106">
        <f t="shared" si="3"/>
        <v>947074.94587375224</v>
      </c>
      <c r="J104" s="5">
        <f t="shared" si="4"/>
        <v>1.0744007618527392E-2</v>
      </c>
      <c r="K104"/>
      <c r="T104" s="100"/>
      <c r="U104" s="100"/>
      <c r="V104" s="100"/>
      <c r="W104" s="100"/>
      <c r="X104" s="100"/>
      <c r="Y104" s="100"/>
      <c r="Z104" s="100"/>
      <c r="AA104" s="100"/>
      <c r="AB104" s="100"/>
    </row>
    <row r="105" spans="1:28" x14ac:dyDescent="0.2">
      <c r="A105" s="479">
        <v>40725</v>
      </c>
      <c r="B105" s="459">
        <f>+'Purchased Power Model '!B105</f>
        <v>108927664.71923079</v>
      </c>
      <c r="C105" s="480">
        <f>+'Purchased Power Model '!C105</f>
        <v>0.2</v>
      </c>
      <c r="D105" s="480">
        <f>+'Purchased Power Model '!D105</f>
        <v>141.19999999999999</v>
      </c>
      <c r="E105" s="443">
        <f>+'Purchased Power Model '!E105</f>
        <v>7.2999999999999995E-2</v>
      </c>
      <c r="F105" s="17">
        <f>+'Purchased Power Model '!F105</f>
        <v>31</v>
      </c>
      <c r="G105" s="17">
        <f>+'Purchased Power Model '!G105</f>
        <v>0</v>
      </c>
      <c r="H105" s="481">
        <f t="shared" si="5"/>
        <v>108175332.36202779</v>
      </c>
      <c r="I105" s="106">
        <f t="shared" si="3"/>
        <v>-752332.35720299184</v>
      </c>
      <c r="J105" s="5">
        <f t="shared" si="4"/>
        <v>-6.9067151962009365E-3</v>
      </c>
      <c r="K105"/>
      <c r="T105" s="100"/>
      <c r="U105" s="100"/>
      <c r="V105" s="100"/>
      <c r="W105" s="100"/>
      <c r="X105" s="100"/>
      <c r="Y105" s="100"/>
      <c r="Z105" s="100"/>
      <c r="AA105" s="100"/>
      <c r="AB105" s="100"/>
    </row>
    <row r="106" spans="1:28" x14ac:dyDescent="0.2">
      <c r="A106" s="479">
        <v>40756</v>
      </c>
      <c r="B106" s="459">
        <f>+'Purchased Power Model '!B106</f>
        <v>100307973.92692308</v>
      </c>
      <c r="C106" s="480">
        <f>+'Purchased Power Model '!C106</f>
        <v>3.7</v>
      </c>
      <c r="D106" s="480">
        <f>+'Purchased Power Model '!D106</f>
        <v>80.499999999999957</v>
      </c>
      <c r="E106" s="443">
        <f>+'Purchased Power Model '!E106</f>
        <v>7.2999999999999995E-2</v>
      </c>
      <c r="F106" s="17">
        <f>+'Purchased Power Model '!F106</f>
        <v>31</v>
      </c>
      <c r="G106" s="17">
        <f>+'Purchased Power Model '!G106</f>
        <v>0</v>
      </c>
      <c r="H106" s="481">
        <f t="shared" si="5"/>
        <v>99004965.551529273</v>
      </c>
      <c r="I106" s="106">
        <f t="shared" si="3"/>
        <v>-1303008.3753938079</v>
      </c>
      <c r="J106" s="5">
        <f t="shared" si="4"/>
        <v>-1.2990077701530316E-2</v>
      </c>
      <c r="K106"/>
      <c r="T106" s="100"/>
      <c r="U106" s="100"/>
      <c r="V106" s="100"/>
      <c r="W106" s="100"/>
      <c r="X106" s="100"/>
      <c r="Y106" s="100"/>
      <c r="Z106" s="100"/>
      <c r="AA106" s="100"/>
      <c r="AB106" s="100"/>
    </row>
    <row r="107" spans="1:28" x14ac:dyDescent="0.2">
      <c r="A107" s="479">
        <v>40787</v>
      </c>
      <c r="B107" s="459">
        <f>+'Purchased Power Model '!B107</f>
        <v>85805170.040769234</v>
      </c>
      <c r="C107" s="480">
        <f>+'Purchased Power Model '!C107</f>
        <v>48.900000000000006</v>
      </c>
      <c r="D107" s="480">
        <f>+'Purchased Power Model '!D107</f>
        <v>34.6</v>
      </c>
      <c r="E107" s="443">
        <f>+'Purchased Power Model '!E107</f>
        <v>7.2999999999999995E-2</v>
      </c>
      <c r="F107" s="17">
        <f>+'Purchased Power Model '!F107</f>
        <v>30</v>
      </c>
      <c r="G107" s="17">
        <f>+'Purchased Power Model '!G107</f>
        <v>1</v>
      </c>
      <c r="H107" s="481">
        <f t="shared" si="5"/>
        <v>84239511.542387396</v>
      </c>
      <c r="I107" s="106">
        <f t="shared" si="3"/>
        <v>-1565658.4983818382</v>
      </c>
      <c r="J107" s="5">
        <f t="shared" si="4"/>
        <v>-1.8246668558991673E-2</v>
      </c>
      <c r="K107"/>
      <c r="T107" s="100"/>
      <c r="U107" s="100"/>
      <c r="V107" s="100"/>
      <c r="W107" s="100"/>
      <c r="X107" s="100"/>
      <c r="Y107" s="100"/>
      <c r="Z107" s="100"/>
      <c r="AA107" s="100"/>
      <c r="AB107" s="100"/>
    </row>
    <row r="108" spans="1:28" x14ac:dyDescent="0.2">
      <c r="A108" s="479">
        <v>40817</v>
      </c>
      <c r="B108" s="459">
        <f>+'Purchased Power Model '!B108</f>
        <v>85767949.723076925</v>
      </c>
      <c r="C108" s="480">
        <f>+'Purchased Power Model '!C108</f>
        <v>225.29999999999998</v>
      </c>
      <c r="D108" s="480">
        <f>+'Purchased Power Model '!D108</f>
        <v>0</v>
      </c>
      <c r="E108" s="443">
        <f>+'Purchased Power Model '!E108</f>
        <v>7.400000000000001E-2</v>
      </c>
      <c r="F108" s="17">
        <f>+'Purchased Power Model '!F108</f>
        <v>31</v>
      </c>
      <c r="G108" s="17">
        <f>+'Purchased Power Model '!G108</f>
        <v>1</v>
      </c>
      <c r="H108" s="481">
        <f t="shared" si="5"/>
        <v>88352485.204509825</v>
      </c>
      <c r="I108" s="106">
        <f t="shared" si="3"/>
        <v>2584535.4814328998</v>
      </c>
      <c r="J108" s="5">
        <f t="shared" si="4"/>
        <v>3.013404762242438E-2</v>
      </c>
      <c r="K108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479">
        <v>40848</v>
      </c>
      <c r="B109" s="459">
        <f>+'Purchased Power Model '!B109</f>
        <v>89407468.154615387</v>
      </c>
      <c r="C109" s="480">
        <f>+'Purchased Power Model '!C109</f>
        <v>349.69999999999993</v>
      </c>
      <c r="D109" s="480">
        <f>+'Purchased Power Model '!D109</f>
        <v>0</v>
      </c>
      <c r="E109" s="443">
        <f>+'Purchased Power Model '!E109</f>
        <v>7.400000000000001E-2</v>
      </c>
      <c r="F109" s="17">
        <f>+'Purchased Power Model '!F109</f>
        <v>30</v>
      </c>
      <c r="G109" s="17">
        <f>+'Purchased Power Model '!G109</f>
        <v>1</v>
      </c>
      <c r="H109" s="481">
        <f t="shared" si="5"/>
        <v>90412319.481819928</v>
      </c>
      <c r="I109" s="106">
        <f t="shared" si="3"/>
        <v>1004851.3272045404</v>
      </c>
      <c r="J109" s="5">
        <f t="shared" si="4"/>
        <v>1.1239008865196996E-2</v>
      </c>
      <c r="K109"/>
      <c r="T109" s="100"/>
      <c r="U109" s="100"/>
      <c r="V109" s="100"/>
      <c r="W109" s="100"/>
      <c r="X109" s="100"/>
      <c r="Y109" s="100"/>
      <c r="Z109" s="100"/>
      <c r="AA109" s="100"/>
      <c r="AB109" s="100"/>
    </row>
    <row r="110" spans="1:28" x14ac:dyDescent="0.2">
      <c r="A110" s="479">
        <v>40878</v>
      </c>
      <c r="B110" s="459">
        <f>+'Purchased Power Model '!B110</f>
        <v>103511621.38461539</v>
      </c>
      <c r="C110" s="480">
        <f>+'Purchased Power Model '!C110</f>
        <v>531.20000000000005</v>
      </c>
      <c r="D110" s="480">
        <f>+'Purchased Power Model '!D110</f>
        <v>0</v>
      </c>
      <c r="E110" s="443">
        <f>+'Purchased Power Model '!E110</f>
        <v>7.400000000000001E-2</v>
      </c>
      <c r="F110" s="17">
        <f>+'Purchased Power Model '!F110</f>
        <v>31</v>
      </c>
      <c r="G110" s="17">
        <f>+'Purchased Power Model '!G110</f>
        <v>0</v>
      </c>
      <c r="H110" s="481">
        <f t="shared" si="5"/>
        <v>106849388.78818117</v>
      </c>
      <c r="I110" s="106">
        <f t="shared" si="3"/>
        <v>3337767.4035657793</v>
      </c>
      <c r="J110" s="5">
        <f t="shared" si="4"/>
        <v>3.2245339788116403E-2</v>
      </c>
      <c r="K110"/>
      <c r="T110" s="100"/>
      <c r="U110" s="100"/>
      <c r="V110" s="100"/>
      <c r="W110" s="100"/>
      <c r="X110" s="100"/>
      <c r="Y110" s="100"/>
      <c r="Z110" s="100"/>
      <c r="AA110" s="100"/>
      <c r="AB110" s="100"/>
    </row>
    <row r="111" spans="1:28" x14ac:dyDescent="0.2">
      <c r="A111" s="479">
        <v>40909</v>
      </c>
      <c r="B111" s="459">
        <f>+'Purchased Power Model '!B111</f>
        <v>107982172.33461541</v>
      </c>
      <c r="C111" s="480">
        <f>+'Purchased Power Model '!C111</f>
        <v>611</v>
      </c>
      <c r="D111" s="480">
        <f>+'Purchased Power Model '!D111</f>
        <v>0</v>
      </c>
      <c r="E111" s="443">
        <f>+'Purchased Power Model '!E111</f>
        <v>7.9000000000000001E-2</v>
      </c>
      <c r="F111" s="17">
        <f>+'Purchased Power Model '!F111</f>
        <v>31</v>
      </c>
      <c r="G111" s="17">
        <f>+'Purchased Power Model '!G111</f>
        <v>0</v>
      </c>
      <c r="H111" s="481">
        <f t="shared" si="5"/>
        <v>109528385.95747565</v>
      </c>
      <c r="I111" s="106">
        <f t="shared" si="3"/>
        <v>1546213.622860238</v>
      </c>
      <c r="J111" s="5">
        <f t="shared" si="4"/>
        <v>1.431915648139424E-2</v>
      </c>
      <c r="K111"/>
      <c r="T111" s="108"/>
      <c r="U111" s="108"/>
      <c r="V111" s="108"/>
      <c r="W111" s="100"/>
      <c r="X111" s="100"/>
      <c r="Y111" s="100"/>
      <c r="Z111" s="100"/>
      <c r="AA111" s="100"/>
      <c r="AB111" s="100"/>
    </row>
    <row r="112" spans="1:28" x14ac:dyDescent="0.2">
      <c r="A112" s="479">
        <v>40940</v>
      </c>
      <c r="B112" s="459">
        <f>+'Purchased Power Model '!B112</f>
        <v>97310518.529230773</v>
      </c>
      <c r="C112" s="480">
        <f>+'Purchased Power Model '!C112</f>
        <v>536.20000000000005</v>
      </c>
      <c r="D112" s="480">
        <f>+'Purchased Power Model '!D112</f>
        <v>0</v>
      </c>
      <c r="E112" s="443">
        <f>+'Purchased Power Model '!E112</f>
        <v>7.9000000000000001E-2</v>
      </c>
      <c r="F112" s="17">
        <f>+'Purchased Power Model '!F112</f>
        <v>29</v>
      </c>
      <c r="G112" s="17">
        <f>+'Purchased Power Model '!G112</f>
        <v>0</v>
      </c>
      <c r="H112" s="481">
        <f t="shared" si="5"/>
        <v>101218356.06765701</v>
      </c>
      <c r="I112" s="106">
        <f t="shared" si="3"/>
        <v>3907837.5384262353</v>
      </c>
      <c r="J112" s="5">
        <f t="shared" si="4"/>
        <v>4.0158428888161492E-2</v>
      </c>
      <c r="K112"/>
      <c r="T112" s="100"/>
      <c r="U112" s="100"/>
      <c r="V112" s="100"/>
      <c r="W112" s="100"/>
      <c r="X112" s="100"/>
      <c r="Y112" s="100"/>
      <c r="Z112" s="100"/>
      <c r="AA112" s="100"/>
      <c r="AB112" s="100"/>
    </row>
    <row r="113" spans="1:28" x14ac:dyDescent="0.2">
      <c r="A113" s="479">
        <v>40969</v>
      </c>
      <c r="B113" s="459">
        <f>+'Purchased Power Model '!B113</f>
        <v>92940593.720769227</v>
      </c>
      <c r="C113" s="480">
        <f>+'Purchased Power Model '!C113</f>
        <v>399.39999999999992</v>
      </c>
      <c r="D113" s="480">
        <f>+'Purchased Power Model '!D113</f>
        <v>0</v>
      </c>
      <c r="E113" s="443">
        <f>+'Purchased Power Model '!E113</f>
        <v>7.9000000000000001E-2</v>
      </c>
      <c r="F113" s="17">
        <f>+'Purchased Power Model '!F113</f>
        <v>31</v>
      </c>
      <c r="G113" s="17">
        <f>+'Purchased Power Model '!G113</f>
        <v>1</v>
      </c>
      <c r="H113" s="481">
        <f t="shared" si="5"/>
        <v>94653610.1961485</v>
      </c>
      <c r="I113" s="106">
        <f t="shared" si="3"/>
        <v>1713016.4753792733</v>
      </c>
      <c r="J113" s="5">
        <f t="shared" si="4"/>
        <v>1.8431305490966207E-2</v>
      </c>
      <c r="K113"/>
      <c r="T113" s="100"/>
      <c r="U113" s="100"/>
      <c r="V113" s="100"/>
      <c r="W113" s="100"/>
      <c r="X113" s="100"/>
      <c r="Y113" s="100"/>
      <c r="Z113" s="100"/>
      <c r="AA113" s="100"/>
      <c r="AB113" s="100"/>
    </row>
    <row r="114" spans="1:28" x14ac:dyDescent="0.2">
      <c r="A114" s="479">
        <v>41000</v>
      </c>
      <c r="B114" s="459">
        <f>+'Purchased Power Model '!B114</f>
        <v>84061512.170000002</v>
      </c>
      <c r="C114" s="480">
        <f>+'Purchased Power Model '!C114</f>
        <v>336.89999999999992</v>
      </c>
      <c r="D114" s="480">
        <f>+'Purchased Power Model '!D114</f>
        <v>0</v>
      </c>
      <c r="E114" s="443">
        <f>+'Purchased Power Model '!E114</f>
        <v>8.4000000000000005E-2</v>
      </c>
      <c r="F114" s="17">
        <f>+'Purchased Power Model '!F114</f>
        <v>30</v>
      </c>
      <c r="G114" s="17">
        <f>+'Purchased Power Model '!G114</f>
        <v>1</v>
      </c>
      <c r="H114" s="481">
        <f t="shared" si="5"/>
        <v>89148311.311690539</v>
      </c>
      <c r="I114" s="106">
        <f t="shared" si="3"/>
        <v>5086799.1416905373</v>
      </c>
      <c r="J114" s="5">
        <f t="shared" si="4"/>
        <v>6.0512819843204314E-2</v>
      </c>
      <c r="K114"/>
      <c r="T114" s="100"/>
      <c r="U114" s="100"/>
      <c r="V114" s="100"/>
      <c r="W114" s="100"/>
      <c r="X114" s="100"/>
      <c r="Y114" s="100"/>
      <c r="Z114" s="100"/>
      <c r="AA114" s="100"/>
      <c r="AB114" s="100"/>
    </row>
    <row r="115" spans="1:28" x14ac:dyDescent="0.2">
      <c r="A115" s="479">
        <v>41030</v>
      </c>
      <c r="B115" s="459">
        <f>+'Purchased Power Model '!B115</f>
        <v>84298340.921818167</v>
      </c>
      <c r="C115" s="480">
        <f>+'Purchased Power Model '!C115</f>
        <v>109.30000000000001</v>
      </c>
      <c r="D115" s="480">
        <f>+'Purchased Power Model '!D115</f>
        <v>21.8</v>
      </c>
      <c r="E115" s="443">
        <f>+'Purchased Power Model '!E115</f>
        <v>8.4000000000000005E-2</v>
      </c>
      <c r="F115" s="17">
        <f>+'Purchased Power Model '!F115</f>
        <v>31</v>
      </c>
      <c r="G115" s="17">
        <f>+'Purchased Power Model '!G115</f>
        <v>1</v>
      </c>
      <c r="H115" s="481">
        <f t="shared" si="5"/>
        <v>86466252.445327953</v>
      </c>
      <c r="I115" s="106">
        <f t="shared" si="3"/>
        <v>2167911.5235097855</v>
      </c>
      <c r="J115" s="5">
        <f t="shared" si="4"/>
        <v>2.571713155684046E-2</v>
      </c>
      <c r="K115"/>
      <c r="T115" s="100"/>
      <c r="U115" s="100"/>
      <c r="V115" s="100"/>
      <c r="W115" s="100"/>
      <c r="X115" s="100"/>
      <c r="Y115" s="100"/>
      <c r="Z115" s="100"/>
      <c r="AA115" s="100"/>
      <c r="AB115" s="100"/>
    </row>
    <row r="116" spans="1:28" x14ac:dyDescent="0.2">
      <c r="A116" s="479">
        <v>41061</v>
      </c>
      <c r="B116" s="459">
        <f>+'Purchased Power Model '!B116</f>
        <v>93187121.853636354</v>
      </c>
      <c r="C116" s="480">
        <f>+'Purchased Power Model '!C116</f>
        <v>28.2</v>
      </c>
      <c r="D116" s="480">
        <f>+'Purchased Power Model '!D116</f>
        <v>64.3</v>
      </c>
      <c r="E116" s="443">
        <f>+'Purchased Power Model '!E116</f>
        <v>8.4000000000000005E-2</v>
      </c>
      <c r="F116" s="17">
        <f>+'Purchased Power Model '!F116</f>
        <v>30</v>
      </c>
      <c r="G116" s="17">
        <f>+'Purchased Power Model '!G116</f>
        <v>0</v>
      </c>
      <c r="H116" s="481">
        <f t="shared" si="5"/>
        <v>93894660.635274053</v>
      </c>
      <c r="I116" s="106">
        <f t="shared" si="3"/>
        <v>707538.78163769841</v>
      </c>
      <c r="J116" s="5">
        <f t="shared" si="4"/>
        <v>7.5926669647442147E-3</v>
      </c>
      <c r="K116"/>
      <c r="T116" s="100"/>
      <c r="U116" s="100"/>
      <c r="V116" s="100"/>
      <c r="W116" s="100"/>
      <c r="X116" s="100"/>
      <c r="Y116" s="100"/>
      <c r="Z116" s="100"/>
      <c r="AA116" s="100"/>
      <c r="AB116" s="100"/>
    </row>
    <row r="117" spans="1:28" x14ac:dyDescent="0.2">
      <c r="A117" s="479">
        <v>41091</v>
      </c>
      <c r="B117" s="459">
        <f>+'Purchased Power Model '!B117</f>
        <v>110767074.55090907</v>
      </c>
      <c r="C117" s="480">
        <f>+'Purchased Power Model '!C117</f>
        <v>0</v>
      </c>
      <c r="D117" s="480">
        <f>+'Purchased Power Model '!D117</f>
        <v>155.30000000000001</v>
      </c>
      <c r="E117" s="443">
        <f>+'Purchased Power Model '!E117</f>
        <v>8.900000000000001E-2</v>
      </c>
      <c r="F117" s="17">
        <f>+'Purchased Power Model '!F117</f>
        <v>31</v>
      </c>
      <c r="G117" s="17">
        <f>+'Purchased Power Model '!G117</f>
        <v>0</v>
      </c>
      <c r="H117" s="481">
        <f t="shared" si="5"/>
        <v>109093300.54196224</v>
      </c>
      <c r="I117" s="106">
        <f t="shared" si="3"/>
        <v>-1673774.008946836</v>
      </c>
      <c r="J117" s="5">
        <f t="shared" si="4"/>
        <v>-1.5110753946810806E-2</v>
      </c>
      <c r="K117"/>
      <c r="T117" s="100"/>
      <c r="U117" s="100"/>
      <c r="V117" s="100"/>
      <c r="W117" s="100"/>
      <c r="X117" s="100"/>
      <c r="Y117" s="100"/>
      <c r="Z117" s="100"/>
      <c r="AA117" s="100"/>
      <c r="AB117" s="100"/>
    </row>
    <row r="118" spans="1:28" x14ac:dyDescent="0.2">
      <c r="A118" s="479">
        <v>41122</v>
      </c>
      <c r="B118" s="459">
        <f>+'Purchased Power Model '!B118</f>
        <v>101373951.59181817</v>
      </c>
      <c r="C118" s="480">
        <f>+'Purchased Power Model '!C118</f>
        <v>4.4000000000000004</v>
      </c>
      <c r="D118" s="480">
        <f>+'Purchased Power Model '!D118</f>
        <v>102.79999999999998</v>
      </c>
      <c r="E118" s="443">
        <f>+'Purchased Power Model '!E118</f>
        <v>8.900000000000001E-2</v>
      </c>
      <c r="F118" s="17">
        <f>+'Purchased Power Model '!F118</f>
        <v>31</v>
      </c>
      <c r="G118" s="17">
        <f>+'Purchased Power Model '!G118</f>
        <v>0</v>
      </c>
      <c r="H118" s="481">
        <f t="shared" si="5"/>
        <v>101214495.02351633</v>
      </c>
      <c r="I118" s="106">
        <f t="shared" si="3"/>
        <v>-159456.56830184162</v>
      </c>
      <c r="J118" s="5">
        <f t="shared" si="4"/>
        <v>-1.5729540557311299E-3</v>
      </c>
      <c r="K118"/>
      <c r="T118" s="100"/>
      <c r="U118" s="100"/>
      <c r="V118" s="100"/>
      <c r="W118" s="100"/>
      <c r="X118" s="100"/>
      <c r="Y118" s="100"/>
      <c r="Z118" s="100"/>
      <c r="AA118" s="100"/>
      <c r="AB118" s="100"/>
    </row>
    <row r="119" spans="1:28" x14ac:dyDescent="0.2">
      <c r="A119" s="479">
        <v>41153</v>
      </c>
      <c r="B119" s="459">
        <f>+'Purchased Power Model '!B119</f>
        <v>85023139.218181819</v>
      </c>
      <c r="C119" s="480">
        <f>+'Purchased Power Model '!C119</f>
        <v>84</v>
      </c>
      <c r="D119" s="480">
        <f>+'Purchased Power Model '!D119</f>
        <v>24.400000000000002</v>
      </c>
      <c r="E119" s="443">
        <f>+'Purchased Power Model '!E119</f>
        <v>8.900000000000001E-2</v>
      </c>
      <c r="F119" s="17">
        <f>+'Purchased Power Model '!F119</f>
        <v>30</v>
      </c>
      <c r="G119" s="17">
        <f>+'Purchased Power Model '!G119</f>
        <v>1</v>
      </c>
      <c r="H119" s="481">
        <f t="shared" si="5"/>
        <v>82788389.467821151</v>
      </c>
      <c r="I119" s="106">
        <f t="shared" si="3"/>
        <v>-2234749.7503606677</v>
      </c>
      <c r="J119" s="5">
        <f t="shared" si="4"/>
        <v>-2.6284018337948835E-2</v>
      </c>
      <c r="K119"/>
      <c r="T119" s="100"/>
      <c r="U119" s="100"/>
      <c r="V119" s="100"/>
      <c r="W119" s="100"/>
      <c r="X119" s="100"/>
      <c r="Y119" s="100"/>
      <c r="Z119" s="100"/>
      <c r="AA119" s="100"/>
      <c r="AB119" s="100"/>
    </row>
    <row r="120" spans="1:28" x14ac:dyDescent="0.2">
      <c r="A120" s="479">
        <v>41183</v>
      </c>
      <c r="B120" s="459">
        <f>+'Purchased Power Model '!B120</f>
        <v>85295690.281818166</v>
      </c>
      <c r="C120" s="480">
        <f>+'Purchased Power Model '!C120</f>
        <v>228.99999999999994</v>
      </c>
      <c r="D120" s="480">
        <f>+'Purchased Power Model '!D120</f>
        <v>0</v>
      </c>
      <c r="E120" s="443">
        <f>+'Purchased Power Model '!E120</f>
        <v>9.1999999999999998E-2</v>
      </c>
      <c r="F120" s="17">
        <f>+'Purchased Power Model '!F120</f>
        <v>31</v>
      </c>
      <c r="G120" s="17">
        <f>+'Purchased Power Model '!G120</f>
        <v>1</v>
      </c>
      <c r="H120" s="481">
        <f t="shared" si="5"/>
        <v>87104372.279501572</v>
      </c>
      <c r="I120" s="106">
        <f t="shared" si="3"/>
        <v>1808681.9976834059</v>
      </c>
      <c r="J120" s="5">
        <f t="shared" si="4"/>
        <v>2.1204846243784357E-2</v>
      </c>
      <c r="K120"/>
      <c r="T120" s="100"/>
      <c r="U120" s="100"/>
      <c r="V120" s="100"/>
      <c r="W120" s="100"/>
      <c r="X120" s="100"/>
      <c r="Y120" s="100"/>
      <c r="Z120" s="100"/>
      <c r="AA120" s="100"/>
      <c r="AB120" s="100"/>
    </row>
    <row r="121" spans="1:28" x14ac:dyDescent="0.2">
      <c r="A121" s="479">
        <v>41214</v>
      </c>
      <c r="B121" s="459">
        <f>+'Purchased Power Model '!B121</f>
        <v>91679199.734545454</v>
      </c>
      <c r="C121" s="480">
        <f>+'Purchased Power Model '!C121</f>
        <v>427.89999999999992</v>
      </c>
      <c r="D121" s="480">
        <f>+'Purchased Power Model '!D121</f>
        <v>0</v>
      </c>
      <c r="E121" s="443">
        <f>+'Purchased Power Model '!E121</f>
        <v>9.1999999999999998E-2</v>
      </c>
      <c r="F121" s="17">
        <f>+'Purchased Power Model '!F121</f>
        <v>30</v>
      </c>
      <c r="G121" s="17">
        <f>+'Purchased Power Model '!G121</f>
        <v>1</v>
      </c>
      <c r="H121" s="481">
        <f t="shared" si="5"/>
        <v>92025802.768525809</v>
      </c>
      <c r="I121" s="106">
        <f t="shared" si="3"/>
        <v>346603.03398035467</v>
      </c>
      <c r="J121" s="5">
        <f t="shared" si="4"/>
        <v>3.7806071059077089E-3</v>
      </c>
      <c r="K121"/>
      <c r="T121" s="100"/>
      <c r="U121" s="100"/>
      <c r="V121" s="100"/>
      <c r="W121" s="100"/>
      <c r="X121" s="100"/>
      <c r="Y121" s="100"/>
      <c r="Z121" s="100"/>
      <c r="AA121" s="100"/>
      <c r="AB121" s="100"/>
    </row>
    <row r="122" spans="1:28" x14ac:dyDescent="0.2">
      <c r="A122" s="479">
        <v>41244</v>
      </c>
      <c r="B122" s="459">
        <f>+'Purchased Power Model '!B122</f>
        <v>102292637.76363637</v>
      </c>
      <c r="C122" s="480">
        <f>+'Purchased Power Model '!C122</f>
        <v>451.09999999999997</v>
      </c>
      <c r="D122" s="480">
        <f>+'Purchased Power Model '!D122</f>
        <v>0</v>
      </c>
      <c r="E122" s="443">
        <f>+'Purchased Power Model '!E122</f>
        <v>9.1999999999999998E-2</v>
      </c>
      <c r="F122" s="17">
        <f>+'Purchased Power Model '!F122</f>
        <v>31</v>
      </c>
      <c r="G122" s="17">
        <f>+'Purchased Power Model '!G122</f>
        <v>0</v>
      </c>
      <c r="H122" s="481">
        <f t="shared" si="5"/>
        <v>102382460.25858708</v>
      </c>
      <c r="I122" s="106">
        <f t="shared" si="3"/>
        <v>89822.494950711727</v>
      </c>
      <c r="J122" s="5">
        <f t="shared" si="4"/>
        <v>8.7809344752904977E-4</v>
      </c>
      <c r="K122"/>
      <c r="T122" s="100"/>
      <c r="U122" s="100"/>
      <c r="V122" s="100"/>
      <c r="W122" s="100"/>
      <c r="X122" s="100"/>
      <c r="Y122" s="100"/>
      <c r="Z122" s="100"/>
      <c r="AA122" s="100"/>
      <c r="AB122" s="100"/>
    </row>
    <row r="123" spans="1:28" x14ac:dyDescent="0.2">
      <c r="A123" s="453">
        <v>41275</v>
      </c>
      <c r="B123" s="459">
        <f>+'Purchased Power Model '!B123</f>
        <v>107376383.33333334</v>
      </c>
      <c r="C123" s="480">
        <f>+'Purchased Power Model '!C123</f>
        <v>615.40000000000009</v>
      </c>
      <c r="D123" s="480">
        <f>+'Purchased Power Model '!D123</f>
        <v>0</v>
      </c>
      <c r="E123" s="443">
        <f>+'Purchased Power Model '!E123</f>
        <v>8.8000000000000009E-2</v>
      </c>
      <c r="F123" s="17">
        <f>+'Purchased Power Model '!F123</f>
        <v>31</v>
      </c>
      <c r="G123" s="17">
        <f>+'Purchased Power Model '!G123</f>
        <v>0</v>
      </c>
      <c r="H123" s="481">
        <f t="shared" si="5"/>
        <v>109002276.74785569</v>
      </c>
      <c r="I123" s="106">
        <f t="shared" si="3"/>
        <v>1625893.4145223498</v>
      </c>
      <c r="J123" s="5">
        <f t="shared" si="4"/>
        <v>1.514200203107061E-2</v>
      </c>
      <c r="K123"/>
      <c r="T123" s="100"/>
      <c r="U123" s="108"/>
      <c r="V123" s="108"/>
      <c r="W123" s="100"/>
      <c r="X123" s="100"/>
      <c r="Y123" s="100"/>
      <c r="Z123" s="100"/>
      <c r="AA123" s="100"/>
      <c r="AB123" s="100"/>
    </row>
    <row r="124" spans="1:28" x14ac:dyDescent="0.2">
      <c r="A124" s="453">
        <v>41306</v>
      </c>
      <c r="B124" s="459">
        <f>+'Purchased Power Model '!B124</f>
        <v>98702891.666666672</v>
      </c>
      <c r="C124" s="480">
        <f>+'Purchased Power Model '!C124</f>
        <v>611.5</v>
      </c>
      <c r="D124" s="480">
        <f>+'Purchased Power Model '!D124</f>
        <v>0</v>
      </c>
      <c r="E124" s="443">
        <f>+'Purchased Power Model '!E124</f>
        <v>8.8000000000000009E-2</v>
      </c>
      <c r="F124" s="17">
        <f>+'Purchased Power Model '!F124</f>
        <v>28</v>
      </c>
      <c r="G124" s="17">
        <f>+'Purchased Power Model '!G124</f>
        <v>0</v>
      </c>
      <c r="H124" s="481">
        <f t="shared" si="5"/>
        <v>100697109.35914977</v>
      </c>
      <c r="I124" s="106">
        <f t="shared" si="3"/>
        <v>1994217.6924830973</v>
      </c>
      <c r="J124" s="5">
        <f t="shared" si="4"/>
        <v>2.0204247908134715E-2</v>
      </c>
      <c r="K124"/>
      <c r="T124" s="100"/>
      <c r="U124" s="100"/>
      <c r="V124" s="100"/>
      <c r="W124" s="100"/>
      <c r="X124" s="100"/>
      <c r="Y124" s="100"/>
      <c r="Z124" s="100"/>
      <c r="AA124" s="100"/>
      <c r="AB124" s="100"/>
    </row>
    <row r="125" spans="1:28" x14ac:dyDescent="0.2">
      <c r="A125" s="453">
        <v>41334</v>
      </c>
      <c r="B125" s="459">
        <f>+'Purchased Power Model '!B125</f>
        <v>98851083.333333343</v>
      </c>
      <c r="C125" s="480">
        <f>+'Purchased Power Model '!C125</f>
        <v>545</v>
      </c>
      <c r="D125" s="480">
        <f>+'Purchased Power Model '!D125</f>
        <v>0</v>
      </c>
      <c r="E125" s="443">
        <f>+'Purchased Power Model '!E125</f>
        <v>8.8000000000000009E-2</v>
      </c>
      <c r="F125" s="17">
        <f>+'Purchased Power Model '!F125</f>
        <v>31</v>
      </c>
      <c r="G125" s="17">
        <f>+'Purchased Power Model '!G125</f>
        <v>1</v>
      </c>
      <c r="H125" s="481">
        <f t="shared" si="5"/>
        <v>99551090.048193455</v>
      </c>
      <c r="I125" s="106">
        <f t="shared" si="3"/>
        <v>700006.71486011147</v>
      </c>
      <c r="J125" s="5">
        <f t="shared" si="4"/>
        <v>7.0814268418246448E-3</v>
      </c>
      <c r="K125"/>
      <c r="T125" s="100"/>
      <c r="U125" s="100"/>
      <c r="V125" s="100"/>
      <c r="W125" s="100"/>
      <c r="X125" s="100"/>
      <c r="Y125" s="100"/>
      <c r="Z125" s="100"/>
      <c r="AA125" s="100"/>
      <c r="AB125" s="100"/>
    </row>
    <row r="126" spans="1:28" x14ac:dyDescent="0.2">
      <c r="A126" s="453">
        <v>41365</v>
      </c>
      <c r="B126" s="459">
        <f>+'Purchased Power Model '!B126</f>
        <v>87330008.333333343</v>
      </c>
      <c r="C126" s="480">
        <f>+'Purchased Power Model '!C126</f>
        <v>366.49999999999994</v>
      </c>
      <c r="D126" s="480">
        <f>+'Purchased Power Model '!D126</f>
        <v>0</v>
      </c>
      <c r="E126" s="443">
        <f>+'Purchased Power Model '!E126</f>
        <v>7.400000000000001E-2</v>
      </c>
      <c r="F126" s="17">
        <f>+'Purchased Power Model '!F126</f>
        <v>30</v>
      </c>
      <c r="G126" s="17">
        <f>+'Purchased Power Model '!G126</f>
        <v>1</v>
      </c>
      <c r="H126" s="481">
        <f t="shared" si="5"/>
        <v>91057619.030233324</v>
      </c>
      <c r="I126" s="106">
        <f t="shared" si="3"/>
        <v>3727610.6968999803</v>
      </c>
      <c r="J126" s="5">
        <f t="shared" si="4"/>
        <v>4.2684190326329939E-2</v>
      </c>
      <c r="K126"/>
      <c r="T126" s="100"/>
      <c r="U126" s="100"/>
      <c r="V126" s="100"/>
      <c r="W126" s="100"/>
      <c r="X126" s="100"/>
      <c r="Y126" s="100"/>
      <c r="Z126" s="100"/>
      <c r="AA126" s="100"/>
      <c r="AB126" s="100"/>
    </row>
    <row r="127" spans="1:28" x14ac:dyDescent="0.2">
      <c r="A127" s="453">
        <v>41395</v>
      </c>
      <c r="B127" s="459">
        <f>+'Purchased Power Model '!B127</f>
        <v>81913958.333333343</v>
      </c>
      <c r="C127" s="480">
        <f>+'Purchased Power Model '!C127</f>
        <v>133.4</v>
      </c>
      <c r="D127" s="480">
        <f>+'Purchased Power Model '!D127</f>
        <v>3</v>
      </c>
      <c r="E127" s="443">
        <f>+'Purchased Power Model '!E127</f>
        <v>7.400000000000001E-2</v>
      </c>
      <c r="F127" s="17">
        <f>+'Purchased Power Model '!F127</f>
        <v>31</v>
      </c>
      <c r="G127" s="17">
        <f>+'Purchased Power Model '!G127</f>
        <v>1</v>
      </c>
      <c r="H127" s="481">
        <f t="shared" si="5"/>
        <v>85282418.034397855</v>
      </c>
      <c r="I127" s="106">
        <f t="shared" si="3"/>
        <v>3368459.7010645121</v>
      </c>
      <c r="J127" s="5">
        <f t="shared" si="4"/>
        <v>4.1121925610739053E-2</v>
      </c>
      <c r="K127"/>
      <c r="T127" s="100"/>
      <c r="U127" s="100"/>
      <c r="V127" s="100"/>
      <c r="W127" s="100"/>
      <c r="X127" s="100"/>
      <c r="Y127" s="100"/>
      <c r="Z127" s="100"/>
      <c r="AA127" s="100"/>
      <c r="AB127" s="100"/>
    </row>
    <row r="128" spans="1:28" x14ac:dyDescent="0.2">
      <c r="A128" s="453">
        <v>41426</v>
      </c>
      <c r="B128" s="459">
        <f>+'Purchased Power Model '!B128</f>
        <v>86391933.333333343</v>
      </c>
      <c r="C128" s="480">
        <f>+'Purchased Power Model '!C128</f>
        <v>42.900000000000006</v>
      </c>
      <c r="D128" s="480">
        <f>+'Purchased Power Model '!D128</f>
        <v>32.200000000000003</v>
      </c>
      <c r="E128" s="443">
        <f>+'Purchased Power Model '!E128</f>
        <v>7.400000000000001E-2</v>
      </c>
      <c r="F128" s="17">
        <f>+'Purchased Power Model '!F128</f>
        <v>30</v>
      </c>
      <c r="G128" s="17">
        <f>+'Purchased Power Model '!G128</f>
        <v>0</v>
      </c>
      <c r="H128" s="481">
        <f t="shared" si="5"/>
        <v>90310986.585164011</v>
      </c>
      <c r="I128" s="106">
        <f t="shared" si="3"/>
        <v>3919053.2518306673</v>
      </c>
      <c r="J128" s="5">
        <f t="shared" si="4"/>
        <v>4.536364797751951E-2</v>
      </c>
      <c r="K128"/>
      <c r="T128" s="100"/>
      <c r="U128" s="108"/>
      <c r="V128" s="108"/>
      <c r="W128" s="100"/>
      <c r="X128" s="100"/>
      <c r="Y128" s="100"/>
      <c r="Z128" s="100"/>
      <c r="AA128" s="100"/>
      <c r="AB128" s="100"/>
    </row>
    <row r="129" spans="1:28" x14ac:dyDescent="0.2">
      <c r="A129" s="453">
        <v>41456</v>
      </c>
      <c r="B129" s="459">
        <f>+'Purchased Power Model '!B129</f>
        <v>104037066.66666667</v>
      </c>
      <c r="C129" s="480">
        <f>+'Purchased Power Model '!C129</f>
        <v>4.4000000000000004</v>
      </c>
      <c r="D129" s="480">
        <f>+'Purchased Power Model '!D129</f>
        <v>109.99999999999999</v>
      </c>
      <c r="E129" s="443">
        <f>+'Purchased Power Model '!E129</f>
        <v>6.2E-2</v>
      </c>
      <c r="F129" s="17">
        <f>+'Purchased Power Model '!F129</f>
        <v>31</v>
      </c>
      <c r="G129" s="17">
        <f>+'Purchased Power Model '!G129</f>
        <v>0</v>
      </c>
      <c r="H129" s="481">
        <f t="shared" si="5"/>
        <v>104403543.73203087</v>
      </c>
      <c r="I129" s="106">
        <f t="shared" si="3"/>
        <v>366477.0653641969</v>
      </c>
      <c r="J129" s="5">
        <f t="shared" si="4"/>
        <v>3.5225624588050368E-3</v>
      </c>
      <c r="K129"/>
      <c r="T129" s="100"/>
      <c r="U129" s="100"/>
      <c r="V129" s="100"/>
      <c r="W129" s="100"/>
      <c r="X129" s="100"/>
      <c r="Y129" s="100"/>
      <c r="Z129" s="100"/>
      <c r="AA129" s="100"/>
      <c r="AB129" s="100"/>
    </row>
    <row r="130" spans="1:28" x14ac:dyDescent="0.2">
      <c r="A130" s="453">
        <v>41487</v>
      </c>
      <c r="B130" s="459">
        <f>+'Purchased Power Model '!B130</f>
        <v>95663441.666666672</v>
      </c>
      <c r="C130" s="480">
        <f>+'Purchased Power Model '!C130</f>
        <v>11</v>
      </c>
      <c r="D130" s="480">
        <f>+'Purchased Power Model '!D130</f>
        <v>57.899999999999991</v>
      </c>
      <c r="E130" s="443">
        <f>+'Purchased Power Model '!E130</f>
        <v>6.2E-2</v>
      </c>
      <c r="F130" s="17">
        <f>+'Purchased Power Model '!F130</f>
        <v>31</v>
      </c>
      <c r="G130" s="17">
        <f>+'Purchased Power Model '!G130</f>
        <v>0</v>
      </c>
      <c r="H130" s="481">
        <f t="shared" si="5"/>
        <v>96670558.392871693</v>
      </c>
      <c r="I130" s="106">
        <f t="shared" si="3"/>
        <v>1007116.7262050211</v>
      </c>
      <c r="J130" s="5">
        <f t="shared" si="4"/>
        <v>1.0527707436182955E-2</v>
      </c>
      <c r="K130"/>
      <c r="T130" s="100"/>
      <c r="U130" s="100"/>
      <c r="V130" s="100"/>
      <c r="W130" s="100"/>
      <c r="X130" s="100"/>
      <c r="Y130" s="100"/>
      <c r="Z130" s="100"/>
      <c r="AA130" s="100"/>
      <c r="AB130" s="100"/>
    </row>
    <row r="131" spans="1:28" x14ac:dyDescent="0.2">
      <c r="A131" s="453">
        <v>41518</v>
      </c>
      <c r="B131" s="459">
        <f>+'Purchased Power Model '!B131</f>
        <v>83012108.333333343</v>
      </c>
      <c r="C131" s="480">
        <f>+'Purchased Power Model '!C131</f>
        <v>96.600000000000009</v>
      </c>
      <c r="D131" s="480">
        <f>+'Purchased Power Model '!D131</f>
        <v>15.700000000000001</v>
      </c>
      <c r="E131" s="443">
        <f>+'Purchased Power Model '!E131</f>
        <v>6.2E-2</v>
      </c>
      <c r="F131" s="17">
        <f>+'Purchased Power Model '!F131</f>
        <v>30</v>
      </c>
      <c r="G131" s="17">
        <f>+'Purchased Power Model '!G131</f>
        <v>1</v>
      </c>
      <c r="H131" s="481">
        <f t="shared" si="5"/>
        <v>84024075.324613675</v>
      </c>
      <c r="I131" s="106">
        <f t="shared" ref="I131:I133" si="6">H131-B131</f>
        <v>1011966.9912803322</v>
      </c>
      <c r="J131" s="5">
        <f t="shared" ref="J131:J133" si="7">I131/B131</f>
        <v>1.2190594981840485E-2</v>
      </c>
      <c r="K131"/>
      <c r="T131" s="100"/>
      <c r="U131" s="100"/>
      <c r="V131" s="100"/>
      <c r="W131" s="100"/>
      <c r="X131" s="100"/>
      <c r="Y131" s="100"/>
      <c r="Z131" s="100"/>
      <c r="AA131" s="100"/>
      <c r="AB131" s="100"/>
    </row>
    <row r="132" spans="1:28" x14ac:dyDescent="0.2">
      <c r="A132" s="453">
        <v>41548</v>
      </c>
      <c r="B132" s="459">
        <f>+'Purchased Power Model '!B132</f>
        <v>84463400.000000015</v>
      </c>
      <c r="C132" s="480">
        <f>+'Purchased Power Model '!C132</f>
        <v>221</v>
      </c>
      <c r="D132" s="480">
        <f>+'Purchased Power Model '!D132</f>
        <v>3</v>
      </c>
      <c r="E132" s="443">
        <f>+'Purchased Power Model '!E132</f>
        <v>7.5999999999999998E-2</v>
      </c>
      <c r="F132" s="17">
        <f>+'Purchased Power Model '!F132</f>
        <v>31</v>
      </c>
      <c r="G132" s="17">
        <f>+'Purchased Power Model '!G132</f>
        <v>1</v>
      </c>
      <c r="H132" s="481">
        <f t="shared" ref="H132:H195" si="8">$M$18+C132*$M$19+D132*$M$20+E132*$M$21+F132*$M$22+G132*$M$23</f>
        <v>88492723.976857156</v>
      </c>
      <c r="I132" s="106">
        <f t="shared" si="6"/>
        <v>4029323.9768571407</v>
      </c>
      <c r="J132" s="5">
        <f t="shared" si="7"/>
        <v>4.7704970162900616E-2</v>
      </c>
      <c r="K132"/>
      <c r="T132" s="100"/>
      <c r="U132" s="100"/>
      <c r="V132" s="100"/>
      <c r="W132" s="100"/>
      <c r="X132" s="100"/>
      <c r="Y132" s="100"/>
      <c r="Z132" s="100"/>
      <c r="AA132" s="100"/>
      <c r="AB132" s="100"/>
    </row>
    <row r="133" spans="1:28" x14ac:dyDescent="0.2">
      <c r="A133" s="453">
        <v>41579</v>
      </c>
      <c r="B133" s="459">
        <f>+'Purchased Power Model '!B133</f>
        <v>94249183.333333343</v>
      </c>
      <c r="C133" s="480">
        <f>+'Purchased Power Model '!C133</f>
        <v>458.6</v>
      </c>
      <c r="D133" s="480">
        <f>+'Purchased Power Model '!D133</f>
        <v>0</v>
      </c>
      <c r="E133" s="443">
        <f>+'Purchased Power Model '!E133</f>
        <v>7.5999999999999998E-2</v>
      </c>
      <c r="F133" s="17">
        <f>+'Purchased Power Model '!F133</f>
        <v>30</v>
      </c>
      <c r="G133" s="17">
        <f>+'Purchased Power Model '!G133</f>
        <v>1</v>
      </c>
      <c r="H133" s="481">
        <f t="shared" si="8"/>
        <v>94440773.066017643</v>
      </c>
      <c r="I133" s="106">
        <f t="shared" si="6"/>
        <v>191589.73268429935</v>
      </c>
      <c r="J133" s="5">
        <f t="shared" si="7"/>
        <v>2.0327999236523816E-3</v>
      </c>
      <c r="K133"/>
      <c r="T133" s="100"/>
      <c r="U133" s="100"/>
      <c r="V133" s="100"/>
      <c r="W133" s="100"/>
      <c r="X133" s="100"/>
      <c r="Y133" s="100"/>
      <c r="Z133" s="100"/>
      <c r="AA133" s="100"/>
      <c r="AB133" s="100"/>
    </row>
    <row r="134" spans="1:28" x14ac:dyDescent="0.2">
      <c r="A134" s="453">
        <v>41609</v>
      </c>
      <c r="B134" s="459">
        <f>+'Purchased Power Model '!B134</f>
        <v>108415583.33333334</v>
      </c>
      <c r="C134" s="480">
        <f>+'Purchased Power Model '!C134</f>
        <v>472.8</v>
      </c>
      <c r="D134" s="480">
        <f ca="1">+'Purchased Power Model '!D134</f>
        <v>0</v>
      </c>
      <c r="E134" s="443">
        <f>+'Purchased Power Model '!E134</f>
        <v>7.5999999999999998E-2</v>
      </c>
      <c r="F134" s="17">
        <f>+'Purchased Power Model '!F134</f>
        <v>31</v>
      </c>
      <c r="G134" s="17">
        <f>+'Purchased Power Model '!G134</f>
        <v>0</v>
      </c>
      <c r="H134" s="481">
        <f t="shared" ca="1" si="8"/>
        <v>104451734.36942889</v>
      </c>
      <c r="I134" s="106">
        <f t="shared" ref="I134" ca="1" si="9">H134-B134</f>
        <v>-3963848.9639044553</v>
      </c>
      <c r="J134" s="5">
        <f t="shared" ref="J134" ca="1" si="10">I134/B134</f>
        <v>-3.6561616347322037E-2</v>
      </c>
      <c r="T134" s="100"/>
      <c r="U134" s="100"/>
      <c r="V134" s="100"/>
      <c r="W134" s="100"/>
      <c r="X134" s="100"/>
      <c r="Y134" s="100"/>
      <c r="Z134" s="100"/>
      <c r="AA134" s="100"/>
      <c r="AB134" s="100"/>
    </row>
    <row r="135" spans="1:28" x14ac:dyDescent="0.2">
      <c r="A135" s="453">
        <v>41640</v>
      </c>
      <c r="B135" s="459">
        <f>+'Purchased Power Model '!B135</f>
        <v>117702582.33333334</v>
      </c>
      <c r="C135" s="480">
        <f>+'Purchased Power Model '!C135</f>
        <v>771.3</v>
      </c>
      <c r="D135" s="480">
        <f>+'Purchased Power Model '!D135</f>
        <v>0</v>
      </c>
      <c r="E135" s="443">
        <f>+'Purchased Power Model '!E135</f>
        <v>7.6999999999999999E-2</v>
      </c>
      <c r="F135" s="17">
        <f>+'Purchased Power Model '!F135</f>
        <v>31</v>
      </c>
      <c r="G135" s="17">
        <f>+'Purchased Power Model '!G135</f>
        <v>0</v>
      </c>
      <c r="H135" s="481">
        <f t="shared" ref="H135:H146" si="11">$M$18+C135*$M$19+D135*$M$20+E135*$M$21+F135*$M$22+G135*$M$23</f>
        <v>115840089.42285436</v>
      </c>
      <c r="I135" s="106">
        <f t="shared" ref="I135:I146" si="12">H135-B135</f>
        <v>-1862492.9104789793</v>
      </c>
      <c r="J135" s="5">
        <f t="shared" ref="J135:J146" si="13">I135/B135</f>
        <v>-1.5823721736235193E-2</v>
      </c>
      <c r="T135" s="100"/>
      <c r="U135" s="100"/>
      <c r="V135" s="100"/>
      <c r="W135" s="100"/>
      <c r="X135" s="100"/>
      <c r="Y135" s="100"/>
      <c r="Z135" s="100"/>
      <c r="AA135" s="100"/>
      <c r="AB135" s="100"/>
    </row>
    <row r="136" spans="1:28" x14ac:dyDescent="0.2">
      <c r="A136" s="453">
        <v>41671</v>
      </c>
      <c r="B136" s="459">
        <f>+'Purchased Power Model '!B136</f>
        <v>101945538.33333334</v>
      </c>
      <c r="C136" s="480">
        <f>+'Purchased Power Model '!C136</f>
        <v>690.84999999999991</v>
      </c>
      <c r="D136" s="480">
        <f>+'Purchased Power Model '!D136</f>
        <v>0</v>
      </c>
      <c r="E136" s="443">
        <f>+'Purchased Power Model '!E136</f>
        <v>7.6999999999999999E-2</v>
      </c>
      <c r="F136" s="17">
        <f>+'Purchased Power Model '!F136</f>
        <v>28</v>
      </c>
      <c r="G136" s="17">
        <f>+'Purchased Power Model '!G136</f>
        <v>0</v>
      </c>
      <c r="H136" s="481">
        <f t="shared" si="11"/>
        <v>104594583.91325292</v>
      </c>
      <c r="I136" s="106">
        <f t="shared" si="12"/>
        <v>2649045.5799195766</v>
      </c>
      <c r="J136" s="5">
        <f t="shared" si="13"/>
        <v>2.5984909425441845E-2</v>
      </c>
      <c r="T136" s="100"/>
      <c r="U136" s="100"/>
      <c r="V136" s="100"/>
      <c r="W136" s="100"/>
      <c r="X136" s="100"/>
      <c r="Y136" s="100"/>
      <c r="Z136" s="100"/>
      <c r="AA136" s="100"/>
      <c r="AB136" s="100"/>
    </row>
    <row r="137" spans="1:28" x14ac:dyDescent="0.2">
      <c r="A137" s="453">
        <v>41699</v>
      </c>
      <c r="B137" s="459">
        <f>+'Purchased Power Model '!B137</f>
        <v>106417935.35000001</v>
      </c>
      <c r="C137" s="480">
        <f>+'Purchased Power Model '!C137</f>
        <v>677.95</v>
      </c>
      <c r="D137" s="480">
        <f>+'Purchased Power Model '!D137</f>
        <v>0</v>
      </c>
      <c r="E137" s="443">
        <f>+'Purchased Power Model '!E137</f>
        <v>7.6999999999999999E-2</v>
      </c>
      <c r="F137" s="17">
        <f>+'Purchased Power Model '!F137</f>
        <v>31</v>
      </c>
      <c r="G137" s="17">
        <f>+'Purchased Power Model '!G137</f>
        <v>1</v>
      </c>
      <c r="H137" s="481">
        <f t="shared" si="11"/>
        <v>105507377.44723457</v>
      </c>
      <c r="I137" s="106">
        <f t="shared" si="12"/>
        <v>-910557.90276543796</v>
      </c>
      <c r="J137" s="5">
        <f t="shared" si="13"/>
        <v>-8.556432708177306E-3</v>
      </c>
      <c r="T137" s="100"/>
      <c r="U137" s="100"/>
      <c r="V137" s="100"/>
      <c r="W137" s="100"/>
      <c r="X137" s="100"/>
      <c r="Y137" s="100"/>
      <c r="Z137" s="100"/>
      <c r="AA137" s="100"/>
      <c r="AB137" s="100"/>
    </row>
    <row r="138" spans="1:28" x14ac:dyDescent="0.2">
      <c r="A138" s="453">
        <v>41730</v>
      </c>
      <c r="B138" s="459">
        <f>+'Purchased Power Model '!B138</f>
        <v>86925100.333333343</v>
      </c>
      <c r="C138" s="480">
        <f>+'Purchased Power Model '!C138</f>
        <v>371.2999999999999</v>
      </c>
      <c r="D138" s="480">
        <f>+'Purchased Power Model '!D138</f>
        <v>0</v>
      </c>
      <c r="E138" s="443">
        <f>+'Purchased Power Model '!E138</f>
        <v>6.7000000000000004E-2</v>
      </c>
      <c r="F138" s="17">
        <f>+'Purchased Power Model '!F138</f>
        <v>30</v>
      </c>
      <c r="G138" s="17">
        <f>+'Purchased Power Model '!G138</f>
        <v>1</v>
      </c>
      <c r="H138" s="481">
        <f t="shared" si="11"/>
        <v>91782636.289716765</v>
      </c>
      <c r="I138" s="106">
        <f t="shared" si="12"/>
        <v>4857535.956383422</v>
      </c>
      <c r="J138" s="5">
        <f t="shared" si="13"/>
        <v>5.588185619293088E-2</v>
      </c>
      <c r="T138" s="100"/>
      <c r="U138" s="100"/>
      <c r="V138" s="100"/>
      <c r="W138" s="100"/>
      <c r="X138" s="100"/>
      <c r="Y138" s="100"/>
      <c r="Z138" s="100"/>
      <c r="AA138" s="100"/>
      <c r="AB138" s="100"/>
    </row>
    <row r="139" spans="1:28" x14ac:dyDescent="0.2">
      <c r="A139" s="453">
        <v>41760</v>
      </c>
      <c r="B139" s="459">
        <f>+'Purchased Power Model '!B139</f>
        <v>81755065.176384613</v>
      </c>
      <c r="C139" s="480">
        <f>+'Purchased Power Model '!C139</f>
        <v>160.49999999999994</v>
      </c>
      <c r="D139" s="480">
        <f>+'Purchased Power Model '!D139</f>
        <v>1.3</v>
      </c>
      <c r="E139" s="443">
        <f>+'Purchased Power Model '!E139</f>
        <v>6.7000000000000004E-2</v>
      </c>
      <c r="F139" s="17">
        <f>+'Purchased Power Model '!F139</f>
        <v>31</v>
      </c>
      <c r="G139" s="17">
        <f>+'Purchased Power Model '!G139</f>
        <v>1</v>
      </c>
      <c r="H139" s="481">
        <f t="shared" si="11"/>
        <v>86603397.788298562</v>
      </c>
      <c r="I139" s="106">
        <f t="shared" si="12"/>
        <v>4848332.6119139493</v>
      </c>
      <c r="J139" s="5">
        <f t="shared" si="13"/>
        <v>5.9303146556776473E-2</v>
      </c>
      <c r="T139" s="100"/>
      <c r="U139" s="100"/>
      <c r="V139" s="100"/>
      <c r="W139" s="100"/>
      <c r="X139" s="100"/>
      <c r="Y139" s="100"/>
      <c r="Z139" s="100"/>
      <c r="AA139" s="100"/>
      <c r="AB139" s="100"/>
    </row>
    <row r="140" spans="1:28" x14ac:dyDescent="0.2">
      <c r="A140" s="453">
        <v>41791</v>
      </c>
      <c r="B140" s="459">
        <f>+'Purchased Power Model '!B140</f>
        <v>88119245.461538464</v>
      </c>
      <c r="C140" s="480">
        <f>+'Purchased Power Model '!C140</f>
        <v>26.9</v>
      </c>
      <c r="D140" s="480">
        <f>+'Purchased Power Model '!D140</f>
        <v>40.1</v>
      </c>
      <c r="E140" s="443">
        <f>+'Purchased Power Model '!E140</f>
        <v>6.7000000000000004E-2</v>
      </c>
      <c r="F140" s="17">
        <f>+'Purchased Power Model '!F140</f>
        <v>30</v>
      </c>
      <c r="G140" s="17">
        <f>+'Purchased Power Model '!G140</f>
        <v>0</v>
      </c>
      <c r="H140" s="481">
        <f t="shared" si="11"/>
        <v>91448065.719753549</v>
      </c>
      <c r="I140" s="106">
        <f t="shared" si="12"/>
        <v>3328820.2582150847</v>
      </c>
      <c r="J140" s="5">
        <f t="shared" si="13"/>
        <v>3.7776313684710565E-2</v>
      </c>
      <c r="T140" s="100"/>
      <c r="U140" s="100"/>
      <c r="V140" s="100"/>
      <c r="W140" s="100"/>
      <c r="X140" s="100"/>
      <c r="Y140" s="100"/>
      <c r="Z140" s="100"/>
      <c r="AA140" s="100"/>
      <c r="AB140" s="100"/>
    </row>
    <row r="141" spans="1:28" x14ac:dyDescent="0.2">
      <c r="A141" s="453">
        <v>41821</v>
      </c>
      <c r="B141" s="459">
        <f>+'Purchased Power Model '!B141</f>
        <v>93045474.15384616</v>
      </c>
      <c r="C141" s="480">
        <f>+'Purchased Power Model '!C141</f>
        <v>9.5999999999999979</v>
      </c>
      <c r="D141" s="480">
        <f>+'Purchased Power Model '!D141</f>
        <v>54.599999999999994</v>
      </c>
      <c r="E141" s="443">
        <f>+'Purchased Power Model '!E141</f>
        <v>7.5999999999999998E-2</v>
      </c>
      <c r="F141" s="17">
        <f>+'Purchased Power Model '!F141</f>
        <v>31</v>
      </c>
      <c r="G141" s="17">
        <f>+'Purchased Power Model '!G141</f>
        <v>0</v>
      </c>
      <c r="H141" s="481">
        <f t="shared" si="11"/>
        <v>95029629.00792563</v>
      </c>
      <c r="I141" s="106">
        <f t="shared" si="12"/>
        <v>1984154.85407947</v>
      </c>
      <c r="J141" s="5">
        <f t="shared" si="13"/>
        <v>2.1324571368176025E-2</v>
      </c>
      <c r="T141" s="100"/>
      <c r="U141" s="100"/>
      <c r="V141" s="100"/>
      <c r="W141" s="100"/>
      <c r="X141" s="100"/>
      <c r="Y141" s="100"/>
      <c r="Z141" s="100"/>
      <c r="AA141" s="100"/>
      <c r="AB141" s="100"/>
    </row>
    <row r="142" spans="1:28" x14ac:dyDescent="0.2">
      <c r="A142" s="453">
        <v>41852</v>
      </c>
      <c r="B142" s="459">
        <f>+'Purchased Power Model '!B142</f>
        <v>92680248.923076928</v>
      </c>
      <c r="C142" s="480">
        <f>+'Purchased Power Model '!C142</f>
        <v>12.7</v>
      </c>
      <c r="D142" s="480">
        <f>+'Purchased Power Model '!D142</f>
        <v>58</v>
      </c>
      <c r="E142" s="443">
        <f>+'Purchased Power Model '!E142</f>
        <v>7.5999999999999998E-2</v>
      </c>
      <c r="F142" s="17">
        <f>+'Purchased Power Model '!F142</f>
        <v>31</v>
      </c>
      <c r="G142" s="17">
        <f>+'Purchased Power Model '!G142</f>
        <v>0</v>
      </c>
      <c r="H142" s="481">
        <f t="shared" si="11"/>
        <v>95669893.808336258</v>
      </c>
      <c r="I142" s="106">
        <f t="shared" si="12"/>
        <v>2989644.8852593303</v>
      </c>
      <c r="J142" s="5">
        <f t="shared" si="13"/>
        <v>3.2257626840651733E-2</v>
      </c>
      <c r="T142" s="100"/>
      <c r="U142" s="100"/>
      <c r="V142" s="100"/>
      <c r="W142" s="100"/>
      <c r="X142" s="100"/>
      <c r="Y142" s="100"/>
      <c r="Z142" s="100"/>
      <c r="AA142" s="100"/>
      <c r="AB142" s="100"/>
    </row>
    <row r="143" spans="1:28" x14ac:dyDescent="0.2">
      <c r="A143" s="453">
        <v>41883</v>
      </c>
      <c r="B143" s="459">
        <f>+'Purchased Power Model '!B143</f>
        <v>84852396.923076928</v>
      </c>
      <c r="C143" s="480">
        <f>+'Purchased Power Model '!C143</f>
        <v>77.400000000000006</v>
      </c>
      <c r="D143" s="480">
        <f>+'Purchased Power Model '!D143</f>
        <v>22.5</v>
      </c>
      <c r="E143" s="443">
        <f>+'Purchased Power Model '!E143</f>
        <v>7.5999999999999998E-2</v>
      </c>
      <c r="F143" s="17">
        <f>+'Purchased Power Model '!F143</f>
        <v>30</v>
      </c>
      <c r="G143" s="17">
        <f>+'Purchased Power Model '!G143</f>
        <v>1</v>
      </c>
      <c r="H143" s="481">
        <f t="shared" si="11"/>
        <v>83247681.545460209</v>
      </c>
      <c r="I143" s="106">
        <f t="shared" si="12"/>
        <v>-1604715.3776167184</v>
      </c>
      <c r="J143" s="5">
        <f t="shared" si="13"/>
        <v>-1.8911844989735242E-2</v>
      </c>
      <c r="T143" s="100"/>
      <c r="U143" s="100"/>
      <c r="V143" s="100"/>
      <c r="W143" s="100"/>
      <c r="X143" s="100"/>
      <c r="Y143" s="100"/>
      <c r="Z143" s="100"/>
      <c r="AA143" s="100"/>
      <c r="AB143" s="100"/>
    </row>
    <row r="144" spans="1:28" x14ac:dyDescent="0.2">
      <c r="A144" s="453">
        <v>41913</v>
      </c>
      <c r="B144" s="459">
        <f>+'Purchased Power Model '!B144</f>
        <v>84720129.461538464</v>
      </c>
      <c r="C144" s="480">
        <f>+'Purchased Power Model '!C144</f>
        <v>216.29999999999998</v>
      </c>
      <c r="D144" s="480">
        <f>+'Purchased Power Model '!D144</f>
        <v>0.5</v>
      </c>
      <c r="E144" s="443">
        <f>+'Purchased Power Model '!E144</f>
        <v>7.400000000000001E-2</v>
      </c>
      <c r="F144" s="17">
        <f>+'Purchased Power Model '!F144</f>
        <v>31</v>
      </c>
      <c r="G144" s="17">
        <f>+'Purchased Power Model '!G144</f>
        <v>1</v>
      </c>
      <c r="H144" s="481">
        <f t="shared" si="11"/>
        <v>88083434.851602942</v>
      </c>
      <c r="I144" s="106">
        <f t="shared" si="12"/>
        <v>3363305.3900644779</v>
      </c>
      <c r="J144" s="5">
        <f t="shared" si="13"/>
        <v>3.9699011456201361E-2</v>
      </c>
      <c r="T144" s="100"/>
      <c r="U144" s="100"/>
      <c r="V144" s="100"/>
      <c r="W144" s="100"/>
      <c r="X144" s="100"/>
      <c r="Y144" s="100"/>
      <c r="Z144" s="100"/>
      <c r="AA144" s="100"/>
      <c r="AB144" s="100"/>
    </row>
    <row r="145" spans="1:28" x14ac:dyDescent="0.2">
      <c r="A145" s="453">
        <v>41944</v>
      </c>
      <c r="B145" s="459">
        <f>+'Purchased Power Model '!B145</f>
        <v>94073964.750000015</v>
      </c>
      <c r="C145" s="480">
        <f>+'Purchased Power Model '!C145</f>
        <v>407.30000000000013</v>
      </c>
      <c r="D145" s="480">
        <f>+'Purchased Power Model '!D145</f>
        <v>0</v>
      </c>
      <c r="E145" s="443">
        <f>+'Purchased Power Model '!E145</f>
        <v>6.8000000000000005E-2</v>
      </c>
      <c r="F145" s="17">
        <f>+'Purchased Power Model '!F145</f>
        <v>30</v>
      </c>
      <c r="G145" s="17">
        <f>+'Purchased Power Model '!G145</f>
        <v>1</v>
      </c>
      <c r="H145" s="481">
        <f t="shared" si="11"/>
        <v>93088185.899183065</v>
      </c>
      <c r="I145" s="106">
        <f t="shared" si="12"/>
        <v>-985778.8508169502</v>
      </c>
      <c r="J145" s="5">
        <f t="shared" si="13"/>
        <v>-1.0478763741239577E-2</v>
      </c>
      <c r="T145" s="100"/>
      <c r="U145" s="100"/>
      <c r="V145" s="100"/>
      <c r="W145" s="100"/>
      <c r="X145" s="100"/>
      <c r="Y145" s="100"/>
      <c r="Z145" s="100"/>
      <c r="AA145" s="100"/>
      <c r="AB145" s="100"/>
    </row>
    <row r="146" spans="1:28" x14ac:dyDescent="0.2">
      <c r="A146" s="453">
        <v>41974</v>
      </c>
      <c r="B146" s="459">
        <f>+'Purchased Power Model '!B146</f>
        <v>102732461.57384616</v>
      </c>
      <c r="C146" s="480">
        <f>+'Purchased Power Model '!C146</f>
        <v>551.79999999999995</v>
      </c>
      <c r="D146" s="480">
        <f>+'Purchased Power Model '!D146</f>
        <v>0</v>
      </c>
      <c r="E146" s="443">
        <f>+'Purchased Power Model '!E146</f>
        <v>6.6000000000000003E-2</v>
      </c>
      <c r="F146" s="17">
        <f>+'Purchased Power Model '!F146</f>
        <v>31</v>
      </c>
      <c r="G146" s="17">
        <f>+'Purchased Power Model '!G146</f>
        <v>0</v>
      </c>
      <c r="H146" s="481">
        <f t="shared" si="11"/>
        <v>108258530.04580626</v>
      </c>
      <c r="I146" s="106">
        <f t="shared" si="12"/>
        <v>5526068.4719600976</v>
      </c>
      <c r="J146" s="5">
        <f t="shared" si="13"/>
        <v>5.3790869870161226E-2</v>
      </c>
      <c r="T146" s="100"/>
      <c r="U146" s="100"/>
      <c r="V146" s="100"/>
      <c r="W146" s="100"/>
      <c r="X146" s="100"/>
      <c r="Y146" s="100"/>
      <c r="Z146" s="100"/>
      <c r="AA146" s="100"/>
      <c r="AB146" s="100"/>
    </row>
    <row r="147" spans="1:28" x14ac:dyDescent="0.2">
      <c r="A147" s="453">
        <v>42005</v>
      </c>
      <c r="B147" s="459">
        <f>+'Purchased Power Model '!B147</f>
        <v>113173667.85769232</v>
      </c>
      <c r="C147" s="480">
        <f>+'Purchased Power Model '!C147</f>
        <v>775.6</v>
      </c>
      <c r="D147" s="480">
        <f>+'Purchased Power Model '!D147</f>
        <v>0</v>
      </c>
      <c r="E147" s="443">
        <f>+'Purchased Power Model '!E147</f>
        <v>6.7000000000000004E-2</v>
      </c>
      <c r="F147" s="17">
        <f>+'Purchased Power Model '!F147</f>
        <v>31</v>
      </c>
      <c r="G147" s="17">
        <f>+'Purchased Power Model '!G147</f>
        <v>0</v>
      </c>
      <c r="H147" s="481">
        <f t="shared" ref="H147:H173" si="14">$M$18+C147*$M$19+D147*$M$20+E147*$M$21+F147*$M$22+G147*$M$23</f>
        <v>116777606.75003651</v>
      </c>
      <c r="I147" s="106">
        <f t="shared" ref="I147:I206" si="15">H147-B147</f>
        <v>3603938.8923441917</v>
      </c>
      <c r="J147" s="107"/>
      <c r="T147" s="100"/>
      <c r="U147" s="100"/>
      <c r="V147" s="100"/>
      <c r="W147" s="100"/>
      <c r="X147" s="100"/>
      <c r="Y147" s="100"/>
      <c r="Z147" s="100"/>
      <c r="AA147" s="100"/>
      <c r="AB147" s="100"/>
    </row>
    <row r="148" spans="1:28" x14ac:dyDescent="0.2">
      <c r="A148" s="453">
        <v>42036</v>
      </c>
      <c r="B148" s="459">
        <f>+'Purchased Power Model '!B148</f>
        <v>107355854.70923078</v>
      </c>
      <c r="C148" s="480">
        <f>+'Purchased Power Model '!C148</f>
        <v>809.4</v>
      </c>
      <c r="D148" s="480">
        <f>+'Purchased Power Model '!D148</f>
        <v>0</v>
      </c>
      <c r="E148" s="443">
        <f>+'Purchased Power Model '!E148</f>
        <v>6.8000000000000005E-2</v>
      </c>
      <c r="F148" s="17">
        <f>+'Purchased Power Model '!F148</f>
        <v>28</v>
      </c>
      <c r="G148" s="17">
        <f>+'Purchased Power Model '!G148</f>
        <v>0</v>
      </c>
      <c r="H148" s="481">
        <f t="shared" si="14"/>
        <v>109843287.13938633</v>
      </c>
      <c r="I148" s="106">
        <f t="shared" si="15"/>
        <v>2487432.4301555455</v>
      </c>
      <c r="J148" s="107"/>
      <c r="T148" s="100"/>
      <c r="U148" s="100"/>
      <c r="V148" s="100"/>
      <c r="W148" s="100"/>
      <c r="X148" s="100"/>
      <c r="Y148" s="100"/>
      <c r="Z148" s="100"/>
      <c r="AA148" s="100"/>
      <c r="AB148" s="100"/>
    </row>
    <row r="149" spans="1:28" x14ac:dyDescent="0.2">
      <c r="A149" s="453">
        <v>42064</v>
      </c>
      <c r="B149" s="459">
        <f>+'Purchased Power Model '!B149</f>
        <v>101615899.94538462</v>
      </c>
      <c r="C149" s="480">
        <f>+'Purchased Power Model '!C149</f>
        <v>611.6</v>
      </c>
      <c r="D149" s="480">
        <f>+'Purchased Power Model '!D149</f>
        <v>0</v>
      </c>
      <c r="E149" s="443">
        <f>+'Purchased Power Model '!E149</f>
        <v>7.2000000000000008E-2</v>
      </c>
      <c r="F149" s="17">
        <f>+'Purchased Power Model '!F149</f>
        <v>31</v>
      </c>
      <c r="G149" s="17">
        <f>+'Purchased Power Model '!G149</f>
        <v>1</v>
      </c>
      <c r="H149" s="481">
        <f t="shared" si="14"/>
        <v>103345004.02354485</v>
      </c>
      <c r="I149" s="106">
        <f t="shared" si="15"/>
        <v>1729104.0781602263</v>
      </c>
      <c r="J149" s="107"/>
      <c r="T149" s="100"/>
      <c r="U149" s="100"/>
      <c r="V149" s="100"/>
      <c r="W149" s="100"/>
      <c r="X149" s="100"/>
      <c r="Y149" s="100"/>
      <c r="Z149" s="100"/>
      <c r="AA149" s="100"/>
      <c r="AB149" s="100"/>
    </row>
    <row r="150" spans="1:28" x14ac:dyDescent="0.2">
      <c r="A150" s="453">
        <v>42095</v>
      </c>
      <c r="B150" s="459">
        <f>+'Purchased Power Model '!B150</f>
        <v>84454597.615384623</v>
      </c>
      <c r="C150" s="480">
        <f>+'Purchased Power Model '!C150</f>
        <v>335.6</v>
      </c>
      <c r="D150" s="480">
        <f>+'Purchased Power Model '!D150</f>
        <v>0</v>
      </c>
      <c r="E150" s="443">
        <f>+'Purchased Power Model '!E150</f>
        <v>7.5999999999999998E-2</v>
      </c>
      <c r="F150" s="17">
        <f>+'Purchased Power Model '!F150</f>
        <v>30</v>
      </c>
      <c r="G150" s="17">
        <f>+'Purchased Power Model '!G150</f>
        <v>1</v>
      </c>
      <c r="H150" s="481">
        <f t="shared" si="14"/>
        <v>89716258.515133917</v>
      </c>
      <c r="I150" s="106">
        <f t="shared" si="15"/>
        <v>5261660.8997492939</v>
      </c>
      <c r="J150" s="107"/>
      <c r="T150" s="100"/>
      <c r="U150" s="100"/>
      <c r="V150" s="100"/>
      <c r="W150" s="100"/>
      <c r="X150" s="100"/>
      <c r="Y150" s="100"/>
      <c r="Z150" s="100"/>
      <c r="AA150" s="100"/>
      <c r="AB150" s="100"/>
    </row>
    <row r="151" spans="1:28" x14ac:dyDescent="0.2">
      <c r="A151" s="453">
        <v>42125</v>
      </c>
      <c r="B151" s="459">
        <f>+'Purchased Power Model '!B151</f>
        <v>81506281.84615384</v>
      </c>
      <c r="C151" s="480">
        <f>+'Purchased Power Model '!C151</f>
        <v>120.5</v>
      </c>
      <c r="D151" s="480">
        <f>+'Purchased Power Model '!D151</f>
        <v>1.8</v>
      </c>
      <c r="E151" s="443">
        <f>+'Purchased Power Model '!E151</f>
        <v>7.8E-2</v>
      </c>
      <c r="F151" s="17">
        <f>+'Purchased Power Model '!F151</f>
        <v>31</v>
      </c>
      <c r="G151" s="17">
        <f>+'Purchased Power Model '!G151</f>
        <v>1</v>
      </c>
      <c r="H151" s="481">
        <f t="shared" si="14"/>
        <v>84294029.6173473</v>
      </c>
      <c r="I151" s="106">
        <f t="shared" si="15"/>
        <v>2787747.7711934596</v>
      </c>
      <c r="J151" s="107"/>
      <c r="T151" s="100"/>
    </row>
    <row r="152" spans="1:28" x14ac:dyDescent="0.2">
      <c r="A152" s="453">
        <v>42156</v>
      </c>
      <c r="B152" s="459">
        <f>+'Purchased Power Model '!B152</f>
        <v>83276943.692307696</v>
      </c>
      <c r="C152" s="480">
        <f>+'Purchased Power Model '!C152</f>
        <v>50.2</v>
      </c>
      <c r="D152" s="480">
        <f>+'Purchased Power Model '!D152</f>
        <v>13.1</v>
      </c>
      <c r="E152" s="443">
        <f>+'Purchased Power Model '!E152</f>
        <v>7.8E-2</v>
      </c>
      <c r="F152" s="17">
        <f>+'Purchased Power Model '!F152</f>
        <v>30</v>
      </c>
      <c r="G152" s="17">
        <f>+'Purchased Power Model '!G152</f>
        <v>0</v>
      </c>
      <c r="H152" s="481">
        <f t="shared" si="14"/>
        <v>87354573.205701098</v>
      </c>
      <c r="I152" s="106">
        <f t="shared" si="15"/>
        <v>4077629.5133934021</v>
      </c>
      <c r="J152" s="107"/>
      <c r="T152" s="100"/>
    </row>
    <row r="153" spans="1:28" x14ac:dyDescent="0.2">
      <c r="A153" s="453">
        <v>42186</v>
      </c>
      <c r="B153" s="459">
        <f>+'Purchased Power Model '!B153</f>
        <v>99414180.230769232</v>
      </c>
      <c r="C153" s="480">
        <f>+'Purchased Power Model '!C153</f>
        <v>6.8</v>
      </c>
      <c r="D153" s="480">
        <f>+'Purchased Power Model '!D153</f>
        <v>71.5</v>
      </c>
      <c r="E153" s="443">
        <f>+'Purchased Power Model '!E153</f>
        <v>7.8E-2</v>
      </c>
      <c r="F153" s="17">
        <f>+'Purchased Power Model '!F153</f>
        <v>31</v>
      </c>
      <c r="G153" s="17">
        <f>+'Purchased Power Model '!G153</f>
        <v>0</v>
      </c>
      <c r="H153" s="481">
        <f t="shared" si="14"/>
        <v>97358237.989440769</v>
      </c>
      <c r="I153" s="106">
        <f t="shared" si="15"/>
        <v>-2055942.241328463</v>
      </c>
      <c r="J153" s="107"/>
      <c r="T153" s="100"/>
    </row>
    <row r="154" spans="1:28" x14ac:dyDescent="0.2">
      <c r="A154" s="453">
        <v>42217</v>
      </c>
      <c r="B154" s="459">
        <f>+'Purchased Power Model '!B154</f>
        <v>95068872.238461539</v>
      </c>
      <c r="C154" s="480">
        <f>+'Purchased Power Model '!C154</f>
        <v>4.9000000000000004</v>
      </c>
      <c r="D154" s="480">
        <f>+'Purchased Power Model '!D154</f>
        <v>62</v>
      </c>
      <c r="E154" s="443">
        <f>+'Purchased Power Model '!E154</f>
        <v>0.08</v>
      </c>
      <c r="F154" s="17">
        <f>+'Purchased Power Model '!F154</f>
        <v>31</v>
      </c>
      <c r="G154" s="17">
        <f>+'Purchased Power Model '!G154</f>
        <v>0</v>
      </c>
      <c r="H154" s="481">
        <f t="shared" si="14"/>
        <v>95674516.567982763</v>
      </c>
      <c r="I154" s="106">
        <f t="shared" si="15"/>
        <v>605644.3295212239</v>
      </c>
      <c r="J154" s="107"/>
      <c r="T154" s="100"/>
    </row>
    <row r="155" spans="1:28" x14ac:dyDescent="0.2">
      <c r="A155" s="453">
        <v>42248</v>
      </c>
      <c r="B155" s="459">
        <f>+'Purchased Power Model '!B155</f>
        <v>91662129.461538464</v>
      </c>
      <c r="C155" s="480">
        <f>+'Purchased Power Model '!C155</f>
        <v>37</v>
      </c>
      <c r="D155" s="480">
        <f>+'Purchased Power Model '!D155</f>
        <v>48.6</v>
      </c>
      <c r="E155" s="443">
        <f>+'Purchased Power Model '!E155</f>
        <v>8.3000000000000004E-2</v>
      </c>
      <c r="F155" s="17">
        <f>+'Purchased Power Model '!F155</f>
        <v>30</v>
      </c>
      <c r="G155" s="17">
        <f>+'Purchased Power Model '!G155</f>
        <v>1</v>
      </c>
      <c r="H155" s="481">
        <f t="shared" si="14"/>
        <v>85156156.335731119</v>
      </c>
      <c r="I155" s="106">
        <f t="shared" si="15"/>
        <v>-6505973.1258073449</v>
      </c>
      <c r="J155" s="107"/>
      <c r="T155" s="100"/>
    </row>
    <row r="156" spans="1:28" x14ac:dyDescent="0.2">
      <c r="A156" s="453">
        <v>42278</v>
      </c>
      <c r="B156" s="459">
        <f>+'Purchased Power Model '!B156</f>
        <v>83968946.230769232</v>
      </c>
      <c r="C156" s="480">
        <f>+'Purchased Power Model '!C156</f>
        <v>248.1</v>
      </c>
      <c r="D156" s="480">
        <f>+'Purchased Power Model '!D156</f>
        <v>0</v>
      </c>
      <c r="E156" s="443">
        <f>+'Purchased Power Model '!E156</f>
        <v>8.1000000000000003E-2</v>
      </c>
      <c r="F156" s="17">
        <f>+'Purchased Power Model '!F156</f>
        <v>31</v>
      </c>
      <c r="G156" s="17">
        <f>+'Purchased Power Model '!G156</f>
        <v>1</v>
      </c>
      <c r="H156" s="481">
        <f t="shared" si="14"/>
        <v>88687602.917419806</v>
      </c>
      <c r="I156" s="106">
        <f t="shared" si="15"/>
        <v>4718656.6866505742</v>
      </c>
      <c r="J156" s="107"/>
      <c r="T156" s="100"/>
    </row>
    <row r="157" spans="1:28" x14ac:dyDescent="0.2">
      <c r="A157" s="453">
        <v>42309</v>
      </c>
      <c r="B157" s="459">
        <f>+'Purchased Power Model '!B157</f>
        <v>87046492.692307696</v>
      </c>
      <c r="C157" s="480">
        <f>+'Purchased Power Model '!C157</f>
        <v>345.6</v>
      </c>
      <c r="D157" s="480">
        <f>+'Purchased Power Model '!D157</f>
        <v>0</v>
      </c>
      <c r="E157" s="443">
        <f>+'Purchased Power Model '!E157</f>
        <v>7.8E-2</v>
      </c>
      <c r="F157" s="17">
        <f>+'Purchased Power Model '!F157</f>
        <v>30</v>
      </c>
      <c r="G157" s="17">
        <f>+'Purchased Power Model '!G157</f>
        <v>1</v>
      </c>
      <c r="H157" s="481">
        <f t="shared" si="14"/>
        <v>89945895.114921853</v>
      </c>
      <c r="I157" s="106">
        <f t="shared" si="15"/>
        <v>2899402.4226141572</v>
      </c>
      <c r="J157" s="107"/>
      <c r="T157" s="100"/>
    </row>
    <row r="158" spans="1:28" x14ac:dyDescent="0.2">
      <c r="A158" s="453">
        <v>42339</v>
      </c>
      <c r="B158" s="459">
        <f>+'Purchased Power Model '!B158</f>
        <v>94797164.692307696</v>
      </c>
      <c r="C158" s="480">
        <f>+'Purchased Power Model '!C158</f>
        <v>415</v>
      </c>
      <c r="D158" s="480">
        <f>+'Purchased Power Model '!D158</f>
        <v>0</v>
      </c>
      <c r="E158" s="443">
        <f>+'Purchased Power Model '!E158</f>
        <v>7.0000000000000007E-2</v>
      </c>
      <c r="F158" s="17">
        <f>+'Purchased Power Model '!F158</f>
        <v>31</v>
      </c>
      <c r="G158" s="17">
        <f>+'Purchased Power Model '!G158</f>
        <v>0</v>
      </c>
      <c r="H158" s="481">
        <f t="shared" si="14"/>
        <v>102695007.46019053</v>
      </c>
      <c r="I158" s="106">
        <f t="shared" si="15"/>
        <v>7897842.7678828388</v>
      </c>
      <c r="J158" s="107"/>
      <c r="T158" s="100"/>
    </row>
    <row r="159" spans="1:28" x14ac:dyDescent="0.2">
      <c r="A159" s="453">
        <v>42370</v>
      </c>
      <c r="B159" s="459">
        <f>+'Purchased Power Model '!B159</f>
        <v>105036543.53846155</v>
      </c>
      <c r="C159" s="480">
        <f>+'Purchased Power Model '!C159</f>
        <v>689.4</v>
      </c>
      <c r="D159" s="480">
        <f>+'Purchased Power Model '!D159</f>
        <v>0</v>
      </c>
      <c r="E159" s="443">
        <f>+'Purchased Power Model '!E159</f>
        <v>6.4000000000000001E-2</v>
      </c>
      <c r="F159" s="17">
        <f>+'Purchased Power Model '!F159</f>
        <v>31</v>
      </c>
      <c r="G159" s="17">
        <f>+'Purchased Power Model '!G159</f>
        <v>0</v>
      </c>
      <c r="H159" s="481">
        <f t="shared" si="14"/>
        <v>113698310.9070788</v>
      </c>
      <c r="I159" s="106">
        <f t="shared" si="15"/>
        <v>8661767.3686172515</v>
      </c>
      <c r="J159" s="107"/>
      <c r="T159" s="100"/>
    </row>
    <row r="160" spans="1:28" x14ac:dyDescent="0.2">
      <c r="A160" s="453">
        <v>42401</v>
      </c>
      <c r="B160" s="459">
        <f>+'Purchased Power Model '!B160</f>
        <v>96391484.384615391</v>
      </c>
      <c r="C160" s="480">
        <f>+'Purchased Power Model '!C160</f>
        <v>623.20000000000005</v>
      </c>
      <c r="D160" s="480">
        <f>+'Purchased Power Model '!D160</f>
        <v>0</v>
      </c>
      <c r="E160" s="443">
        <f>+'Purchased Power Model '!E160</f>
        <v>6.0999999999999999E-2</v>
      </c>
      <c r="F160" s="17">
        <f>+'Purchased Power Model '!F160</f>
        <v>29</v>
      </c>
      <c r="G160" s="17">
        <f>+'Purchased Power Model '!G160</f>
        <v>0</v>
      </c>
      <c r="H160" s="481">
        <f t="shared" si="14"/>
        <v>105950318.34034945</v>
      </c>
      <c r="I160" s="106">
        <f t="shared" si="15"/>
        <v>9558833.9557340592</v>
      </c>
      <c r="J160" s="107"/>
      <c r="T160" s="100"/>
    </row>
    <row r="161" spans="1:20" x14ac:dyDescent="0.2">
      <c r="A161" s="453">
        <v>42430</v>
      </c>
      <c r="B161" s="459">
        <f>+'Purchased Power Model '!B161</f>
        <v>93754132.461538464</v>
      </c>
      <c r="C161" s="480">
        <f>+'Purchased Power Model '!C161</f>
        <v>531.20000000000005</v>
      </c>
      <c r="D161" s="480">
        <f>+'Purchased Power Model '!D161</f>
        <v>0</v>
      </c>
      <c r="E161" s="443">
        <f>+'Purchased Power Model '!E161</f>
        <v>6.0999999999999999E-2</v>
      </c>
      <c r="F161" s="17">
        <f>+'Purchased Power Model '!F161</f>
        <v>31</v>
      </c>
      <c r="G161" s="17">
        <f>+'Purchased Power Model '!G161</f>
        <v>1</v>
      </c>
      <c r="H161" s="481">
        <f t="shared" si="14"/>
        <v>101106371.26460999</v>
      </c>
      <c r="I161" s="106">
        <f t="shared" si="15"/>
        <v>7352238.8030715287</v>
      </c>
      <c r="J161" s="107"/>
      <c r="T161" s="100"/>
    </row>
    <row r="162" spans="1:20" x14ac:dyDescent="0.2">
      <c r="A162" s="453">
        <v>42461</v>
      </c>
      <c r="B162" s="459">
        <f>+'Purchased Power Model '!B162</f>
        <v>84646746.000000015</v>
      </c>
      <c r="C162" s="480">
        <f>+'Purchased Power Model '!C162</f>
        <v>421.9</v>
      </c>
      <c r="D162" s="480">
        <f>+'Purchased Power Model '!D162</f>
        <v>0</v>
      </c>
      <c r="E162" s="443">
        <f>+'Purchased Power Model '!E162</f>
        <v>6.0999999999999999E-2</v>
      </c>
      <c r="F162" s="17">
        <f>+'Purchased Power Model '!F162</f>
        <v>30</v>
      </c>
      <c r="G162" s="17">
        <f>+'Purchased Power Model '!G162</f>
        <v>1</v>
      </c>
      <c r="H162" s="481">
        <f t="shared" si="14"/>
        <v>94189627.895240992</v>
      </c>
      <c r="I162" s="106">
        <f t="shared" si="15"/>
        <v>9542881.8952409774</v>
      </c>
      <c r="J162" s="107"/>
      <c r="T162" s="100"/>
    </row>
    <row r="163" spans="1:20" x14ac:dyDescent="0.2">
      <c r="A163" s="453">
        <v>42491</v>
      </c>
      <c r="B163" s="459">
        <f>+'Purchased Power Model '!B163</f>
        <v>82523654.769230768</v>
      </c>
      <c r="C163" s="480">
        <f>+'Purchased Power Model '!C163</f>
        <v>164.3</v>
      </c>
      <c r="D163" s="480">
        <f>+'Purchased Power Model '!D163</f>
        <v>19.399999999999999</v>
      </c>
      <c r="E163" s="443">
        <f>+'Purchased Power Model '!E163</f>
        <v>5.7999999999999996E-2</v>
      </c>
      <c r="F163" s="17">
        <f>+'Purchased Power Model '!F163</f>
        <v>31</v>
      </c>
      <c r="G163" s="17">
        <f>+'Purchased Power Model '!G163</f>
        <v>1</v>
      </c>
      <c r="H163" s="481">
        <f t="shared" si="14"/>
        <v>90219053.816146001</v>
      </c>
      <c r="I163" s="106">
        <f t="shared" si="15"/>
        <v>7695399.0469152331</v>
      </c>
      <c r="J163" s="107"/>
      <c r="T163" s="100"/>
    </row>
    <row r="164" spans="1:20" x14ac:dyDescent="0.2">
      <c r="A164" s="453">
        <v>42522</v>
      </c>
      <c r="B164" s="459">
        <f>+'Purchased Power Model '!B164</f>
        <v>88597407.692307696</v>
      </c>
      <c r="C164" s="480">
        <f>+'Purchased Power Model '!C164</f>
        <v>39.1</v>
      </c>
      <c r="D164" s="480">
        <f>+'Purchased Power Model '!D164</f>
        <v>43.8</v>
      </c>
      <c r="E164" s="443">
        <f>+'Purchased Power Model '!E164</f>
        <v>6.5000000000000002E-2</v>
      </c>
      <c r="F164" s="17">
        <f>+'Purchased Power Model '!F164</f>
        <v>30</v>
      </c>
      <c r="G164" s="17">
        <f>+'Purchased Power Model '!G164</f>
        <v>0</v>
      </c>
      <c r="H164" s="481">
        <f t="shared" si="14"/>
        <v>92638325.550068289</v>
      </c>
      <c r="I164" s="106">
        <f t="shared" si="15"/>
        <v>4040917.8577605933</v>
      </c>
      <c r="J164" s="107"/>
      <c r="T164" s="100"/>
    </row>
    <row r="165" spans="1:20" x14ac:dyDescent="0.2">
      <c r="A165" s="453">
        <v>42552</v>
      </c>
      <c r="B165" s="459">
        <f>+'Purchased Power Model '!B165</f>
        <v>105096208.07692309</v>
      </c>
      <c r="C165" s="480">
        <f>+'Purchased Power Model '!C165</f>
        <v>2.4</v>
      </c>
      <c r="D165" s="480">
        <f>+'Purchased Power Model '!D165</f>
        <v>120.7</v>
      </c>
      <c r="E165" s="443">
        <f>+'Purchased Power Model '!E165</f>
        <v>6.5000000000000002E-2</v>
      </c>
      <c r="F165" s="17">
        <f>+'Purchased Power Model '!F165</f>
        <v>31</v>
      </c>
      <c r="G165" s="17">
        <f>+'Purchased Power Model '!G165</f>
        <v>0</v>
      </c>
      <c r="H165" s="481">
        <f t="shared" si="14"/>
        <v>105735237.78792161</v>
      </c>
      <c r="I165" s="106">
        <f t="shared" si="15"/>
        <v>639029.71099852026</v>
      </c>
      <c r="J165" s="107"/>
      <c r="T165" s="100"/>
    </row>
    <row r="166" spans="1:20" x14ac:dyDescent="0.2">
      <c r="A166" s="453">
        <v>42583</v>
      </c>
      <c r="B166" s="459">
        <f>+'Purchased Power Model '!B166</f>
        <v>110653600</v>
      </c>
      <c r="C166" s="480">
        <f>+'Purchased Power Model '!C166</f>
        <v>1.4</v>
      </c>
      <c r="D166" s="480">
        <f>+'Purchased Power Model '!D166</f>
        <v>135.6</v>
      </c>
      <c r="E166" s="443">
        <f>+'Purchased Power Model '!E166</f>
        <v>6.9000000000000006E-2</v>
      </c>
      <c r="F166" s="17">
        <f>+'Purchased Power Model '!F166</f>
        <v>31</v>
      </c>
      <c r="G166" s="17">
        <f>+'Purchased Power Model '!G166</f>
        <v>0</v>
      </c>
      <c r="H166" s="481">
        <f t="shared" si="14"/>
        <v>107671932.39752652</v>
      </c>
      <c r="I166" s="106">
        <f t="shared" si="15"/>
        <v>-2981667.6024734825</v>
      </c>
      <c r="J166" s="107"/>
      <c r="T166" s="100"/>
    </row>
    <row r="167" spans="1:20" x14ac:dyDescent="0.2">
      <c r="A167" s="453">
        <v>42614</v>
      </c>
      <c r="B167" s="459">
        <f>+'Purchased Power Model '!B167</f>
        <v>88623306</v>
      </c>
      <c r="C167" s="480">
        <f>+'Purchased Power Model '!C167</f>
        <v>50.8</v>
      </c>
      <c r="D167" s="480">
        <f>+'Purchased Power Model '!D167</f>
        <v>35.299999999999997</v>
      </c>
      <c r="E167" s="443">
        <f>+'Purchased Power Model '!E167</f>
        <v>6.4000000000000001E-2</v>
      </c>
      <c r="F167" s="17">
        <f>+'Purchased Power Model '!F167</f>
        <v>30</v>
      </c>
      <c r="G167" s="17">
        <f>+'Purchased Power Model '!G167</f>
        <v>1</v>
      </c>
      <c r="H167" s="481">
        <f t="shared" si="14"/>
        <v>85114912.24990277</v>
      </c>
      <c r="I167" s="106">
        <f t="shared" si="15"/>
        <v>-3508393.7500972301</v>
      </c>
      <c r="J167" s="107"/>
      <c r="T167" s="100"/>
    </row>
    <row r="168" spans="1:20" x14ac:dyDescent="0.2">
      <c r="A168" s="453">
        <v>42644</v>
      </c>
      <c r="B168" s="459">
        <f>+'Purchased Power Model '!B168</f>
        <v>81876959.846153855</v>
      </c>
      <c r="C168" s="480">
        <f>+'Purchased Power Model '!C168</f>
        <v>204</v>
      </c>
      <c r="D168" s="480">
        <f>+'Purchased Power Model '!D168</f>
        <v>0.3</v>
      </c>
      <c r="E168" s="443">
        <f>+'Purchased Power Model '!E168</f>
        <v>0.06</v>
      </c>
      <c r="F168" s="17">
        <f>+'Purchased Power Model '!F168</f>
        <v>31</v>
      </c>
      <c r="G168" s="17">
        <f>+'Purchased Power Model '!G168</f>
        <v>1</v>
      </c>
      <c r="H168" s="481">
        <f t="shared" si="14"/>
        <v>88661616.982890844</v>
      </c>
      <c r="I168" s="106">
        <f t="shared" si="15"/>
        <v>6784657.136736989</v>
      </c>
      <c r="J168" s="107"/>
      <c r="T168" s="100"/>
    </row>
    <row r="169" spans="1:20" x14ac:dyDescent="0.2">
      <c r="A169" s="453">
        <v>42675</v>
      </c>
      <c r="B169" s="459">
        <f>+'Purchased Power Model '!B169</f>
        <v>84765722.742307693</v>
      </c>
      <c r="C169" s="480">
        <f>+'Purchased Power Model '!C169</f>
        <v>298.5</v>
      </c>
      <c r="D169" s="480">
        <f>+'Purchased Power Model '!D169</f>
        <v>0</v>
      </c>
      <c r="E169" s="443">
        <f>+'Purchased Power Model '!E169</f>
        <v>5.4000000000000006E-2</v>
      </c>
      <c r="F169" s="17">
        <f>+'Purchased Power Model '!F169</f>
        <v>30</v>
      </c>
      <c r="G169" s="17">
        <f>+'Purchased Power Model '!G169</f>
        <v>1</v>
      </c>
      <c r="H169" s="481">
        <f t="shared" si="14"/>
        <v>89990395.029331803</v>
      </c>
      <c r="I169" s="106">
        <f t="shared" si="15"/>
        <v>5224672.2870241106</v>
      </c>
      <c r="J169" s="107"/>
      <c r="T169" s="100"/>
    </row>
    <row r="170" spans="1:20" x14ac:dyDescent="0.2">
      <c r="A170" s="453">
        <v>42705</v>
      </c>
      <c r="B170" s="459">
        <f>+'Purchased Power Model '!B170</f>
        <v>100061668.77</v>
      </c>
      <c r="C170" s="480">
        <f>+'Purchased Power Model '!C170</f>
        <v>483.4</v>
      </c>
      <c r="D170" s="480">
        <f>+'Purchased Power Model '!D170</f>
        <v>0</v>
      </c>
      <c r="E170" s="443">
        <f>+'Purchased Power Model '!E170</f>
        <v>5.2000000000000005E-2</v>
      </c>
      <c r="F170" s="17">
        <f>+'Purchased Power Model '!F170</f>
        <v>31</v>
      </c>
      <c r="G170" s="17">
        <f>+'Purchased Power Model '!G170</f>
        <v>0</v>
      </c>
      <c r="H170" s="481">
        <f t="shared" si="14"/>
        <v>106712530.94713958</v>
      </c>
      <c r="I170" s="106">
        <f t="shared" si="15"/>
        <v>6650862.1771395802</v>
      </c>
      <c r="J170" s="107"/>
      <c r="T170" s="100"/>
    </row>
    <row r="171" spans="1:20" x14ac:dyDescent="0.2">
      <c r="A171" s="453">
        <v>42736</v>
      </c>
      <c r="B171" s="459">
        <f>+'Purchased Power Model '!B171</f>
        <v>100646849</v>
      </c>
      <c r="C171" s="480">
        <f>+'Purchased Power Model '!C171</f>
        <v>584</v>
      </c>
      <c r="D171" s="480">
        <f ca="1">+'Purchased Power Model '!D171</f>
        <v>0</v>
      </c>
      <c r="E171" s="443">
        <f>+'Purchased Power Model '!E171</f>
        <v>5.2999999999999999E-2</v>
      </c>
      <c r="F171" s="17">
        <f>+'Purchased Power Model '!F171</f>
        <v>31</v>
      </c>
      <c r="G171" s="17">
        <f>+'Purchased Power Model '!G171</f>
        <v>0</v>
      </c>
      <c r="H171" s="481">
        <f t="shared" ca="1" si="14"/>
        <v>110499410.96300498</v>
      </c>
      <c r="I171" s="106">
        <f t="shared" ca="1" si="15"/>
        <v>9852561.9630049765</v>
      </c>
      <c r="J171" s="107"/>
      <c r="T171" s="100"/>
    </row>
    <row r="172" spans="1:20" x14ac:dyDescent="0.2">
      <c r="A172" s="453">
        <v>42767</v>
      </c>
      <c r="B172" s="459">
        <f>+'Purchased Power Model '!B172</f>
        <v>87854689</v>
      </c>
      <c r="C172" s="480">
        <f>+'Purchased Power Model '!C172</f>
        <v>506</v>
      </c>
      <c r="D172" s="480">
        <f ca="1">+'Purchased Power Model '!D172</f>
        <v>0</v>
      </c>
      <c r="E172" s="443">
        <f>+'Purchased Power Model '!E172</f>
        <v>5.9000000000000004E-2</v>
      </c>
      <c r="F172" s="17">
        <f>+'Purchased Power Model '!F172</f>
        <v>28</v>
      </c>
      <c r="G172" s="17">
        <f>+'Purchased Power Model '!G172</f>
        <v>0</v>
      </c>
      <c r="H172" s="481">
        <f t="shared" ca="1" si="14"/>
        <v>98884600.814744189</v>
      </c>
      <c r="I172" s="106">
        <f t="shared" ca="1" si="15"/>
        <v>11029911.814744189</v>
      </c>
      <c r="J172" s="107"/>
      <c r="T172" s="100"/>
    </row>
    <row r="173" spans="1:20" x14ac:dyDescent="0.2">
      <c r="A173" s="453">
        <v>42795</v>
      </c>
      <c r="B173" s="459">
        <f>+'Purchased Power Model '!B173</f>
        <v>87926013</v>
      </c>
      <c r="C173" s="480">
        <f>+'Purchased Power Model '!C173</f>
        <v>561</v>
      </c>
      <c r="D173" s="480">
        <f ca="1">+'Purchased Power Model '!D173</f>
        <v>0</v>
      </c>
      <c r="E173" s="443">
        <f>+'Purchased Power Model '!E173</f>
        <v>6.2E-2</v>
      </c>
      <c r="F173" s="17">
        <f>+'Purchased Power Model '!F173</f>
        <v>31</v>
      </c>
      <c r="G173" s="17">
        <f>+'Purchased Power Model '!G173</f>
        <v>1</v>
      </c>
      <c r="H173" s="481">
        <f t="shared" ca="1" si="14"/>
        <v>102173774.61216182</v>
      </c>
      <c r="I173" s="106">
        <f t="shared" ca="1" si="15"/>
        <v>14247761.612161815</v>
      </c>
      <c r="J173" s="107"/>
      <c r="T173" s="100"/>
    </row>
    <row r="174" spans="1:20" x14ac:dyDescent="0.2">
      <c r="A174" s="460">
        <v>42826</v>
      </c>
      <c r="B174" s="470">
        <f>+H174</f>
        <v>93469183.978211343</v>
      </c>
      <c r="C174" s="436">
        <f>(+C162/SUM(C$159:C$170))*Trends!B$24</f>
        <v>415.83665852908723</v>
      </c>
      <c r="D174" s="436">
        <f>(+D162/SUM(D$159:D$170))*Trends!C$24</f>
        <v>0</v>
      </c>
      <c r="E174" s="437">
        <f>+'Purchased Power Model '!E174</f>
        <v>6.7312499999999997E-2</v>
      </c>
      <c r="F174" s="439">
        <f>+'Purchased Power Model '!F174</f>
        <v>30</v>
      </c>
      <c r="G174" s="439">
        <f>+'Purchased Power Model '!G174</f>
        <v>1</v>
      </c>
      <c r="H174" s="471">
        <f t="shared" si="8"/>
        <v>93469183.978211343</v>
      </c>
      <c r="I174" s="106">
        <f t="shared" si="15"/>
        <v>0</v>
      </c>
      <c r="J174" s="107"/>
      <c r="T174" s="100"/>
    </row>
    <row r="175" spans="1:20" x14ac:dyDescent="0.2">
      <c r="A175" s="460">
        <v>42856</v>
      </c>
      <c r="B175" s="470">
        <f t="shared" ref="B175:B206" si="16">+H175</f>
        <v>88635325.942233145</v>
      </c>
      <c r="C175" s="436">
        <f>(+C163/SUM(C$159:C$170))*Trends!B$24</f>
        <v>161.93876036105485</v>
      </c>
      <c r="D175" s="436">
        <f>(+D163/SUM(D$159:D$170))*Trends!C$24</f>
        <v>14.352244734618845</v>
      </c>
      <c r="E175" s="437">
        <f>+'Purchased Power Model '!E175</f>
        <v>6.7312499999999997E-2</v>
      </c>
      <c r="F175" s="439">
        <f>+'Purchased Power Model '!F175</f>
        <v>31</v>
      </c>
      <c r="G175" s="439">
        <f>+'Purchased Power Model '!G175</f>
        <v>1</v>
      </c>
      <c r="H175" s="471">
        <f t="shared" si="8"/>
        <v>88635325.942233145</v>
      </c>
      <c r="I175" s="106">
        <f t="shared" si="15"/>
        <v>0</v>
      </c>
      <c r="J175" s="107"/>
      <c r="T175" s="100"/>
    </row>
    <row r="176" spans="1:20" x14ac:dyDescent="0.2">
      <c r="A176" s="460">
        <v>42887</v>
      </c>
      <c r="B176" s="470">
        <f t="shared" si="16"/>
        <v>90691150.150199816</v>
      </c>
      <c r="C176" s="436">
        <f>(+C164/SUM(C$159:C$170))*Trends!B$24</f>
        <v>38.538073829076353</v>
      </c>
      <c r="D176" s="436">
        <f>(+D164/SUM(D$159:D$170))*Trends!C$24</f>
        <v>32.403521617335329</v>
      </c>
      <c r="E176" s="437">
        <f>+'Purchased Power Model '!E176</f>
        <v>6.7312499999999997E-2</v>
      </c>
      <c r="F176" s="439">
        <f>+'Purchased Power Model '!F176</f>
        <v>30</v>
      </c>
      <c r="G176" s="439">
        <f>+'Purchased Power Model '!G176</f>
        <v>0</v>
      </c>
      <c r="H176" s="471">
        <f t="shared" si="8"/>
        <v>90691150.150199816</v>
      </c>
      <c r="I176" s="106">
        <f t="shared" si="15"/>
        <v>0</v>
      </c>
      <c r="J176" s="107"/>
      <c r="T176" s="100"/>
    </row>
    <row r="177" spans="1:20" x14ac:dyDescent="0.2">
      <c r="A177" s="460">
        <v>42917</v>
      </c>
      <c r="B177" s="470">
        <f t="shared" si="16"/>
        <v>100799040.07410304</v>
      </c>
      <c r="C177" s="436">
        <f>(+C165/SUM(C$159:C$170))*Trends!B$24</f>
        <v>2.3655083680251465</v>
      </c>
      <c r="D177" s="436">
        <f>(+D165/SUM(D$159:D$170))*Trends!C$24</f>
        <v>89.294636055077049</v>
      </c>
      <c r="E177" s="437">
        <f>+'Purchased Power Model '!E177</f>
        <v>6.6562659999999996E-2</v>
      </c>
      <c r="F177" s="439">
        <f>+'Purchased Power Model '!F177</f>
        <v>31</v>
      </c>
      <c r="G177" s="439">
        <f>+'Purchased Power Model '!G177</f>
        <v>0</v>
      </c>
      <c r="H177" s="471">
        <f t="shared" si="8"/>
        <v>100799040.07410304</v>
      </c>
      <c r="I177" s="106">
        <f t="shared" si="15"/>
        <v>0</v>
      </c>
      <c r="J177" s="107"/>
      <c r="T177" s="100"/>
    </row>
    <row r="178" spans="1:20" x14ac:dyDescent="0.2">
      <c r="A178" s="460">
        <v>42948</v>
      </c>
      <c r="B178" s="470">
        <f t="shared" si="16"/>
        <v>102450933.2084838</v>
      </c>
      <c r="C178" s="436">
        <f>(+C166/SUM(C$159:C$170))*Trends!B$24</f>
        <v>1.3798798813480022</v>
      </c>
      <c r="D178" s="436">
        <f>(+D166/SUM(D$159:D$170))*Trends!C$24</f>
        <v>100.31775185640802</v>
      </c>
      <c r="E178" s="437">
        <f>+'Purchased Power Model '!E178</f>
        <v>6.6562659999999996E-2</v>
      </c>
      <c r="F178" s="439">
        <f>+'Purchased Power Model '!F178</f>
        <v>31</v>
      </c>
      <c r="G178" s="439">
        <f>+'Purchased Power Model '!G178</f>
        <v>0</v>
      </c>
      <c r="H178" s="471">
        <f t="shared" si="8"/>
        <v>102450933.2084838</v>
      </c>
      <c r="I178" s="106">
        <f t="shared" si="15"/>
        <v>0</v>
      </c>
      <c r="J178" s="107"/>
      <c r="T178" s="100"/>
    </row>
    <row r="179" spans="1:20" x14ac:dyDescent="0.2">
      <c r="A179" s="460">
        <v>42979</v>
      </c>
      <c r="B179" s="470">
        <f t="shared" si="16"/>
        <v>83480983.880890265</v>
      </c>
      <c r="C179" s="436">
        <f>(+C167/SUM(C$159:C$170))*Trends!B$24</f>
        <v>50.069927123198937</v>
      </c>
      <c r="D179" s="436">
        <f>(+D167/SUM(D$159:D$170))*Trends!C$24</f>
        <v>26.115166965569344</v>
      </c>
      <c r="E179" s="437">
        <f>+'Purchased Power Model '!E179</f>
        <v>6.6562659999999996E-2</v>
      </c>
      <c r="F179" s="439">
        <f>+'Purchased Power Model '!F179</f>
        <v>30</v>
      </c>
      <c r="G179" s="439">
        <f>+'Purchased Power Model '!G179</f>
        <v>1</v>
      </c>
      <c r="H179" s="471">
        <f t="shared" si="8"/>
        <v>83480983.880890265</v>
      </c>
      <c r="I179" s="106">
        <f t="shared" si="15"/>
        <v>0</v>
      </c>
      <c r="J179" s="107"/>
      <c r="T179" s="100"/>
    </row>
    <row r="180" spans="1:20" x14ac:dyDescent="0.2">
      <c r="A180" s="460">
        <v>43009</v>
      </c>
      <c r="B180" s="470">
        <f t="shared" si="16"/>
        <v>88078443.326674014</v>
      </c>
      <c r="C180" s="436">
        <f>(+C168/SUM(C$159:C$170))*Trends!B$24</f>
        <v>201.06821128213747</v>
      </c>
      <c r="D180" s="436">
        <f>(+D168/SUM(D$159:D$170))*Trends!C$24</f>
        <v>0.22194192888585845</v>
      </c>
      <c r="E180" s="437">
        <f>+'Purchased Power Model '!E180</f>
        <v>6.5937659999999995E-2</v>
      </c>
      <c r="F180" s="439">
        <f>+'Purchased Power Model '!F180</f>
        <v>31</v>
      </c>
      <c r="G180" s="439">
        <f>+'Purchased Power Model '!G180</f>
        <v>1</v>
      </c>
      <c r="H180" s="471">
        <f t="shared" si="8"/>
        <v>88078443.326674014</v>
      </c>
      <c r="I180" s="106">
        <f t="shared" si="15"/>
        <v>0</v>
      </c>
      <c r="J180" s="107"/>
      <c r="T180" s="100"/>
    </row>
    <row r="181" spans="1:20" x14ac:dyDescent="0.2">
      <c r="A181" s="460">
        <v>43040</v>
      </c>
      <c r="B181" s="470">
        <f t="shared" si="16"/>
        <v>88903610.339996815</v>
      </c>
      <c r="C181" s="436">
        <f>(+C169/SUM(C$159:C$170))*Trends!B$24</f>
        <v>294.21010327312763</v>
      </c>
      <c r="D181" s="436">
        <f>(+D169/SUM(D$159:D$170))*Trends!C$24</f>
        <v>0</v>
      </c>
      <c r="E181" s="437">
        <f>+'Purchased Power Model '!E181</f>
        <v>6.5937659999999995E-2</v>
      </c>
      <c r="F181" s="439">
        <f>+'Purchased Power Model '!F181</f>
        <v>30</v>
      </c>
      <c r="G181" s="439">
        <f>+'Purchased Power Model '!G181</f>
        <v>1</v>
      </c>
      <c r="H181" s="471">
        <f t="shared" si="8"/>
        <v>88903610.339996815</v>
      </c>
      <c r="I181" s="106">
        <f t="shared" si="15"/>
        <v>0</v>
      </c>
      <c r="J181" s="107"/>
      <c r="T181" s="100"/>
    </row>
    <row r="182" spans="1:20" x14ac:dyDescent="0.2">
      <c r="A182" s="460">
        <v>43070</v>
      </c>
      <c r="B182" s="470">
        <f t="shared" si="16"/>
        <v>105369207.53993654</v>
      </c>
      <c r="C182" s="436">
        <f>(+C170/SUM(C$159:C$170))*Trends!B$24</f>
        <v>476.45281045973167</v>
      </c>
      <c r="D182" s="436">
        <f>(+D170/SUM(D$159:D$170))*Trends!C$24</f>
        <v>0</v>
      </c>
      <c r="E182" s="437">
        <f>+'Purchased Power Model '!E182</f>
        <v>6.5937659999999995E-2</v>
      </c>
      <c r="F182" s="439">
        <f>+'Purchased Power Model '!F182</f>
        <v>31</v>
      </c>
      <c r="G182" s="439">
        <f>+'Purchased Power Model '!G182</f>
        <v>0</v>
      </c>
      <c r="H182" s="471">
        <f t="shared" si="8"/>
        <v>105369207.53993654</v>
      </c>
      <c r="I182" s="106">
        <f t="shared" si="15"/>
        <v>0</v>
      </c>
      <c r="J182" s="107"/>
      <c r="T182" s="100"/>
    </row>
    <row r="183" spans="1:20" x14ac:dyDescent="0.2">
      <c r="A183" s="460">
        <v>43101</v>
      </c>
      <c r="B183" s="470">
        <f t="shared" ca="1" si="16"/>
        <v>110611330.44969776</v>
      </c>
      <c r="C183" s="436">
        <f>(+C171/SUM(C$171:C$182))*Trends!B$24</f>
        <v>613.49419512350607</v>
      </c>
      <c r="D183" s="436">
        <f ca="1">(+D171/SUM(D$171:D$182))*Trends!C$24</f>
        <v>0</v>
      </c>
      <c r="E183" s="437">
        <f>+'Purchased Power Model '!E183</f>
        <v>6.6219020000000003E-2</v>
      </c>
      <c r="F183" s="439">
        <f>+'Purchased Power Model '!F183</f>
        <v>31</v>
      </c>
      <c r="G183" s="439">
        <f>+'Purchased Power Model '!G183</f>
        <v>0</v>
      </c>
      <c r="H183" s="471">
        <f t="shared" ca="1" si="8"/>
        <v>110611330.44969776</v>
      </c>
      <c r="I183" s="106">
        <f t="shared" ca="1" si="15"/>
        <v>0</v>
      </c>
      <c r="J183" s="107"/>
      <c r="T183" s="100"/>
    </row>
    <row r="184" spans="1:20" x14ac:dyDescent="0.2">
      <c r="A184" s="460">
        <v>43132</v>
      </c>
      <c r="B184" s="470">
        <f t="shared" ca="1" si="16"/>
        <v>99308620.165138781</v>
      </c>
      <c r="C184" s="436">
        <f>(+C172/SUM(C$171:C$182))*Trends!B$24</f>
        <v>531.55490193920218</v>
      </c>
      <c r="D184" s="436">
        <f ca="1">(+D172/SUM(D$171:D$182))*Trends!C$24</f>
        <v>0</v>
      </c>
      <c r="E184" s="437">
        <f>+'Purchased Power Model '!E184</f>
        <v>6.6219020000000003E-2</v>
      </c>
      <c r="F184" s="439">
        <f>+'Purchased Power Model '!F184</f>
        <v>28</v>
      </c>
      <c r="G184" s="439">
        <f>+'Purchased Power Model '!G184</f>
        <v>0</v>
      </c>
      <c r="H184" s="471">
        <f t="shared" ca="1" si="8"/>
        <v>99308620.165138781</v>
      </c>
      <c r="I184" s="106">
        <f t="shared" ca="1" si="15"/>
        <v>0</v>
      </c>
      <c r="J184" s="107"/>
      <c r="T184" s="100"/>
    </row>
    <row r="185" spans="1:20" x14ac:dyDescent="0.2">
      <c r="A185" s="460">
        <v>43160</v>
      </c>
      <c r="B185" s="470">
        <f t="shared" ca="1" si="16"/>
        <v>102936192.99896508</v>
      </c>
      <c r="C185" s="436">
        <f>(+C173/SUM(C$171:C$182))*Trends!B$24</f>
        <v>589.33260867172407</v>
      </c>
      <c r="D185" s="436">
        <f ca="1">(+D173/SUM(D$171:D$182))*Trends!C$24</f>
        <v>0</v>
      </c>
      <c r="E185" s="437">
        <f>+'Purchased Power Model '!E185</f>
        <v>6.6219020000000003E-2</v>
      </c>
      <c r="F185" s="439">
        <f>+'Purchased Power Model '!F185</f>
        <v>31</v>
      </c>
      <c r="G185" s="439">
        <f>+'Purchased Power Model '!G185</f>
        <v>1</v>
      </c>
      <c r="H185" s="471">
        <f t="shared" ca="1" si="8"/>
        <v>102936192.99896508</v>
      </c>
      <c r="I185" s="106">
        <f t="shared" ca="1" si="15"/>
        <v>0</v>
      </c>
      <c r="J185" s="107"/>
      <c r="T185" s="100"/>
    </row>
    <row r="186" spans="1:20" x14ac:dyDescent="0.2">
      <c r="A186" s="460">
        <v>43191</v>
      </c>
      <c r="B186" s="470">
        <f t="shared" ca="1" si="16"/>
        <v>94413450.2039617</v>
      </c>
      <c r="C186" s="436">
        <f>(+C174/SUM(C$171:C$182))*Trends!B$24</f>
        <v>436.83797282046339</v>
      </c>
      <c r="D186" s="436">
        <f ca="1">(+D174/SUM(D$171:D$182))*Trends!C$24</f>
        <v>0</v>
      </c>
      <c r="E186" s="437">
        <f>+'Purchased Power Model '!E186</f>
        <v>6.5531039999999999E-2</v>
      </c>
      <c r="F186" s="439">
        <f>+'Purchased Power Model '!F186</f>
        <v>30</v>
      </c>
      <c r="G186" s="439">
        <f>+'Purchased Power Model '!G186</f>
        <v>1</v>
      </c>
      <c r="H186" s="471">
        <f t="shared" ca="1" si="8"/>
        <v>94413450.2039617</v>
      </c>
      <c r="I186" s="106">
        <f t="shared" ca="1" si="15"/>
        <v>0</v>
      </c>
      <c r="J186" s="107"/>
      <c r="T186" s="100"/>
    </row>
    <row r="187" spans="1:20" x14ac:dyDescent="0.2">
      <c r="A187" s="460">
        <v>43221</v>
      </c>
      <c r="B187" s="470">
        <f t="shared" ca="1" si="16"/>
        <v>89087059.674578756</v>
      </c>
      <c r="C187" s="436">
        <f>(+C175/SUM(C$171:C$182))*Trends!B$24</f>
        <v>170.11727645034873</v>
      </c>
      <c r="D187" s="436">
        <f ca="1">(+D175/SUM(D$171:D$182))*Trends!C$24</f>
        <v>14.352244734618845</v>
      </c>
      <c r="E187" s="437">
        <f>+'Purchased Power Model '!E187</f>
        <v>6.5531039999999999E-2</v>
      </c>
      <c r="F187" s="439">
        <f>+'Purchased Power Model '!F187</f>
        <v>31</v>
      </c>
      <c r="G187" s="439">
        <f>+'Purchased Power Model '!G187</f>
        <v>1</v>
      </c>
      <c r="H187" s="471">
        <f t="shared" ca="1" si="8"/>
        <v>89087059.674578756</v>
      </c>
      <c r="I187" s="106">
        <f t="shared" ca="1" si="15"/>
        <v>0</v>
      </c>
      <c r="J187" s="107"/>
      <c r="T187" s="100"/>
    </row>
    <row r="188" spans="1:20" x14ac:dyDescent="0.2">
      <c r="A188" s="460">
        <v>43252</v>
      </c>
      <c r="B188" s="470">
        <f t="shared" ca="1" si="16"/>
        <v>90903500.853918612</v>
      </c>
      <c r="C188" s="436">
        <f>(+C176/SUM(C$171:C$182))*Trends!B$24</f>
        <v>40.484391413320978</v>
      </c>
      <c r="D188" s="436">
        <f ca="1">(+D176/SUM(D$171:D$182))*Trends!C$24</f>
        <v>32.403521617335329</v>
      </c>
      <c r="E188" s="437">
        <f>+'Purchased Power Model '!E188</f>
        <v>6.5531039999999999E-2</v>
      </c>
      <c r="F188" s="439">
        <f>+'Purchased Power Model '!F188</f>
        <v>30</v>
      </c>
      <c r="G188" s="439">
        <f>+'Purchased Power Model '!G188</f>
        <v>0</v>
      </c>
      <c r="H188" s="471">
        <f t="shared" ca="1" si="8"/>
        <v>90903500.853918612</v>
      </c>
      <c r="I188" s="106">
        <f t="shared" ca="1" si="15"/>
        <v>0</v>
      </c>
      <c r="J188" s="107"/>
      <c r="T188" s="100"/>
    </row>
    <row r="189" spans="1:20" x14ac:dyDescent="0.2">
      <c r="A189" s="460">
        <v>43282</v>
      </c>
      <c r="B189" s="470">
        <f t="shared" ca="1" si="16"/>
        <v>100950867.6345312</v>
      </c>
      <c r="C189" s="436">
        <f>(+C177/SUM(C$171:C$182))*Trends!B$24</f>
        <v>2.4849754320197013</v>
      </c>
      <c r="D189" s="436">
        <f ca="1">(+D177/SUM(D$171:D$182))*Trends!C$24</f>
        <v>89.294636055077049</v>
      </c>
      <c r="E189" s="437">
        <f>+'Purchased Power Model '!E189</f>
        <v>6.4656290000000005E-2</v>
      </c>
      <c r="F189" s="439">
        <f>+'Purchased Power Model '!F189</f>
        <v>31</v>
      </c>
      <c r="G189" s="439">
        <f>+'Purchased Power Model '!G189</f>
        <v>0</v>
      </c>
      <c r="H189" s="471">
        <f t="shared" ca="1" si="8"/>
        <v>100950867.6345312</v>
      </c>
      <c r="I189" s="106">
        <f t="shared" ca="1" si="15"/>
        <v>0</v>
      </c>
      <c r="J189" s="107"/>
      <c r="T189" s="100"/>
    </row>
    <row r="190" spans="1:20" x14ac:dyDescent="0.2">
      <c r="A190" s="460">
        <v>43313</v>
      </c>
      <c r="B190" s="470">
        <f t="shared" ca="1" si="16"/>
        <v>102600848.76389098</v>
      </c>
      <c r="C190" s="436">
        <f>(+C178/SUM(C$171:C$182))*Trends!B$24</f>
        <v>1.4495690020114926</v>
      </c>
      <c r="D190" s="436">
        <f ca="1">(+D178/SUM(D$171:D$182))*Trends!C$24</f>
        <v>100.31775185640802</v>
      </c>
      <c r="E190" s="437">
        <f>+'Purchased Power Model '!E190</f>
        <v>6.4656290000000005E-2</v>
      </c>
      <c r="F190" s="439">
        <f>+'Purchased Power Model '!F190</f>
        <v>31</v>
      </c>
      <c r="G190" s="439">
        <f>+'Purchased Power Model '!G190</f>
        <v>0</v>
      </c>
      <c r="H190" s="471">
        <f t="shared" ca="1" si="8"/>
        <v>102600848.76389098</v>
      </c>
      <c r="I190" s="106">
        <f t="shared" ca="1" si="15"/>
        <v>0</v>
      </c>
      <c r="J190" s="107"/>
      <c r="T190" s="100"/>
    </row>
    <row r="191" spans="1:20" x14ac:dyDescent="0.2">
      <c r="A191" s="460">
        <v>43344</v>
      </c>
      <c r="B191" s="470">
        <f t="shared" ca="1" si="16"/>
        <v>83725352.484333917</v>
      </c>
      <c r="C191" s="436">
        <f>(+C179/SUM(C$171:C$182))*Trends!B$24</f>
        <v>52.598646644417009</v>
      </c>
      <c r="D191" s="436">
        <f ca="1">(+D179/SUM(D$171:D$182))*Trends!C$24</f>
        <v>26.115166965569344</v>
      </c>
      <c r="E191" s="437">
        <f>+'Purchased Power Model '!E191</f>
        <v>6.4656290000000005E-2</v>
      </c>
      <c r="F191" s="439">
        <f>+'Purchased Power Model '!F191</f>
        <v>30</v>
      </c>
      <c r="G191" s="439">
        <f>+'Purchased Power Model '!G191</f>
        <v>1</v>
      </c>
      <c r="H191" s="471">
        <f t="shared" ca="1" si="8"/>
        <v>83725352.484333917</v>
      </c>
      <c r="I191" s="106">
        <f t="shared" ca="1" si="15"/>
        <v>0</v>
      </c>
      <c r="J191" s="107"/>
      <c r="T191" s="100"/>
    </row>
    <row r="192" spans="1:20" x14ac:dyDescent="0.2">
      <c r="A192" s="460">
        <v>43374</v>
      </c>
      <c r="B192" s="470">
        <f t="shared" ca="1" si="16"/>
        <v>88649540.008260936</v>
      </c>
      <c r="C192" s="436">
        <f>(+C180/SUM(C$171:C$182))*Trends!B$24</f>
        <v>211.22291172167462</v>
      </c>
      <c r="D192" s="436">
        <f ca="1">(+D180/SUM(D$171:D$182))*Trends!C$24</f>
        <v>0.22194192888585845</v>
      </c>
      <c r="E192" s="437">
        <f>+'Purchased Power Model '!E192</f>
        <v>6.3593549999999999E-2</v>
      </c>
      <c r="F192" s="439">
        <f>+'Purchased Power Model '!F192</f>
        <v>31</v>
      </c>
      <c r="G192" s="439">
        <f>+'Purchased Power Model '!G192</f>
        <v>1</v>
      </c>
      <c r="H192" s="471">
        <f t="shared" ca="1" si="8"/>
        <v>88649540.008260936</v>
      </c>
      <c r="I192" s="106">
        <f t="shared" ca="1" si="15"/>
        <v>0</v>
      </c>
      <c r="J192" s="107"/>
      <c r="T192" s="100"/>
    </row>
    <row r="193" spans="1:20" x14ac:dyDescent="0.2">
      <c r="A193" s="460">
        <v>43405</v>
      </c>
      <c r="B193" s="470">
        <f t="shared" ca="1" si="16"/>
        <v>89655391.496066451</v>
      </c>
      <c r="C193" s="436">
        <f>(+C181/SUM(C$171:C$182))*Trends!B$24</f>
        <v>309.06881935745037</v>
      </c>
      <c r="D193" s="436">
        <f ca="1">(+D181/SUM(D$171:D$182))*Trends!C$24</f>
        <v>0</v>
      </c>
      <c r="E193" s="437">
        <f>+'Purchased Power Model '!E193</f>
        <v>6.3593549999999999E-2</v>
      </c>
      <c r="F193" s="439">
        <f>+'Purchased Power Model '!F193</f>
        <v>30</v>
      </c>
      <c r="G193" s="439">
        <f>+'Purchased Power Model '!G193</f>
        <v>1</v>
      </c>
      <c r="H193" s="471">
        <f t="shared" ca="1" si="8"/>
        <v>89655391.496066451</v>
      </c>
      <c r="I193" s="106">
        <f t="shared" ca="1" si="15"/>
        <v>0</v>
      </c>
      <c r="J193" s="107"/>
      <c r="T193" s="100"/>
    </row>
    <row r="194" spans="1:20" x14ac:dyDescent="0.2">
      <c r="A194" s="460">
        <v>43435</v>
      </c>
      <c r="B194" s="470">
        <f t="shared" ca="1" si="16"/>
        <v>106474518.42438561</v>
      </c>
      <c r="C194" s="436">
        <f>(+C182/SUM(C$171:C$182))*Trends!B$24</f>
        <v>500.5154682659682</v>
      </c>
      <c r="D194" s="436">
        <f ca="1">(+D182/SUM(D$171:D$182))*Trends!C$24</f>
        <v>0</v>
      </c>
      <c r="E194" s="437">
        <f>+'Purchased Power Model '!E194</f>
        <v>6.3593549999999999E-2</v>
      </c>
      <c r="F194" s="439">
        <f>+'Purchased Power Model '!F194</f>
        <v>31</v>
      </c>
      <c r="G194" s="439">
        <f>+'Purchased Power Model '!G194</f>
        <v>0</v>
      </c>
      <c r="H194" s="471">
        <f t="shared" ca="1" si="8"/>
        <v>106474518.42438561</v>
      </c>
      <c r="I194" s="106">
        <f t="shared" ca="1" si="15"/>
        <v>0</v>
      </c>
      <c r="J194" s="107"/>
      <c r="T194" s="100"/>
    </row>
    <row r="195" spans="1:20" x14ac:dyDescent="0.2">
      <c r="A195" s="460">
        <v>43466</v>
      </c>
      <c r="B195" s="470">
        <f t="shared" ca="1" si="16"/>
        <v>110910631.28076738</v>
      </c>
      <c r="C195" s="436">
        <f>(+C183/SUM(C$183:C$194))*Trends!B$24</f>
        <v>613.49419512350596</v>
      </c>
      <c r="D195" s="436">
        <f ca="1">(+D183/SUM(D$183:D$194))*Trends!C$24</f>
        <v>0</v>
      </c>
      <c r="E195" s="437">
        <f>+'Purchased Power Model '!E195</f>
        <v>6.2343830000000003E-2</v>
      </c>
      <c r="F195" s="439">
        <f>+'Purchased Power Model '!F195</f>
        <v>31</v>
      </c>
      <c r="G195" s="439">
        <f>+'Purchased Power Model '!G195</f>
        <v>0</v>
      </c>
      <c r="H195" s="471">
        <f t="shared" ca="1" si="8"/>
        <v>110910631.28076738</v>
      </c>
      <c r="I195" s="106">
        <f t="shared" ca="1" si="15"/>
        <v>0</v>
      </c>
      <c r="J195" s="107"/>
      <c r="T195" s="100"/>
    </row>
    <row r="196" spans="1:20" x14ac:dyDescent="0.2">
      <c r="A196" s="460">
        <v>43497</v>
      </c>
      <c r="B196" s="470">
        <f t="shared" ca="1" si="16"/>
        <v>99607920.9962084</v>
      </c>
      <c r="C196" s="436">
        <f>(+C184/SUM(C$183:C$194))*Trends!B$24</f>
        <v>531.55490193920218</v>
      </c>
      <c r="D196" s="436">
        <f ca="1">(+D184/SUM(D$183:D$194))*Trends!C$24</f>
        <v>0</v>
      </c>
      <c r="E196" s="437">
        <f>+'Purchased Power Model '!E196</f>
        <v>6.2343830000000003E-2</v>
      </c>
      <c r="F196" s="439">
        <f>+'Purchased Power Model '!F196</f>
        <v>28</v>
      </c>
      <c r="G196" s="439">
        <f>+'Purchased Power Model '!G196</f>
        <v>0</v>
      </c>
      <c r="H196" s="471">
        <f t="shared" ref="H196:H206" ca="1" si="17">$M$18+C196*$M$19+D196*$M$20+E196*$M$21+F196*$M$22+G196*$M$23</f>
        <v>99607920.9962084</v>
      </c>
      <c r="I196" s="106">
        <f t="shared" ca="1" si="15"/>
        <v>0</v>
      </c>
      <c r="J196" s="107"/>
      <c r="T196" s="100"/>
    </row>
    <row r="197" spans="1:20" x14ac:dyDescent="0.2">
      <c r="A197" s="460">
        <v>43525</v>
      </c>
      <c r="B197" s="470">
        <f t="shared" ca="1" si="16"/>
        <v>103235493.8300347</v>
      </c>
      <c r="C197" s="436">
        <f>(+C185/SUM(C$183:C$194))*Trends!B$24</f>
        <v>589.33260867172407</v>
      </c>
      <c r="D197" s="436">
        <f ca="1">(+D185/SUM(D$183:D$194))*Trends!C$24</f>
        <v>0</v>
      </c>
      <c r="E197" s="437">
        <f>+'Purchased Power Model '!E197</f>
        <v>6.2343830000000003E-2</v>
      </c>
      <c r="F197" s="439">
        <f>+'Purchased Power Model '!F197</f>
        <v>31</v>
      </c>
      <c r="G197" s="439">
        <f>+'Purchased Power Model '!G197</f>
        <v>1</v>
      </c>
      <c r="H197" s="471">
        <f t="shared" ca="1" si="17"/>
        <v>103235493.8300347</v>
      </c>
      <c r="I197" s="106">
        <f t="shared" ca="1" si="15"/>
        <v>0</v>
      </c>
      <c r="J197" s="107"/>
      <c r="T197" s="100"/>
    </row>
    <row r="198" spans="1:20" x14ac:dyDescent="0.2">
      <c r="A198" s="460">
        <v>43556</v>
      </c>
      <c r="B198" s="470">
        <f t="shared" ca="1" si="16"/>
        <v>94770638.770313129</v>
      </c>
      <c r="C198" s="436">
        <f>(+C186/SUM(C$183:C$194))*Trends!B$24</f>
        <v>436.83797282046339</v>
      </c>
      <c r="D198" s="436">
        <f ca="1">(+D186/SUM(D$183:D$194))*Trends!C$24</f>
        <v>0</v>
      </c>
      <c r="E198" s="437">
        <f>+'Purchased Power Model '!E198</f>
        <v>6.0906349999999998E-2</v>
      </c>
      <c r="F198" s="439">
        <f>+'Purchased Power Model '!F198</f>
        <v>30</v>
      </c>
      <c r="G198" s="439">
        <f>+'Purchased Power Model '!G198</f>
        <v>1</v>
      </c>
      <c r="H198" s="471">
        <f t="shared" ca="1" si="17"/>
        <v>94770638.770313129</v>
      </c>
      <c r="I198" s="106">
        <f t="shared" ca="1" si="15"/>
        <v>0</v>
      </c>
      <c r="J198" s="107"/>
      <c r="T198" s="100"/>
    </row>
    <row r="199" spans="1:20" x14ac:dyDescent="0.2">
      <c r="A199" s="460">
        <v>43586</v>
      </c>
      <c r="B199" s="470">
        <f t="shared" ca="1" si="16"/>
        <v>89444248.240930185</v>
      </c>
      <c r="C199" s="436">
        <f>(+C187/SUM(C$183:C$194))*Trends!B$24</f>
        <v>170.1172764503487</v>
      </c>
      <c r="D199" s="436">
        <f ca="1">(+D187/SUM(D$183:D$194))*Trends!C$24</f>
        <v>14.352244734618845</v>
      </c>
      <c r="E199" s="437">
        <f>+'Purchased Power Model '!E199</f>
        <v>6.0906349999999998E-2</v>
      </c>
      <c r="F199" s="439">
        <f>+'Purchased Power Model '!F199</f>
        <v>31</v>
      </c>
      <c r="G199" s="439">
        <f>+'Purchased Power Model '!G199</f>
        <v>1</v>
      </c>
      <c r="H199" s="471">
        <f t="shared" ca="1" si="17"/>
        <v>89444248.240930185</v>
      </c>
      <c r="I199" s="106">
        <f t="shared" ca="1" si="15"/>
        <v>0</v>
      </c>
      <c r="J199" s="107"/>
      <c r="T199" s="100"/>
    </row>
    <row r="200" spans="1:20" x14ac:dyDescent="0.2">
      <c r="A200" s="460">
        <v>43617</v>
      </c>
      <c r="B200" s="470">
        <f t="shared" ca="1" si="16"/>
        <v>91260689.420270026</v>
      </c>
      <c r="C200" s="436">
        <f>(+C188/SUM(C$183:C$194))*Trends!B$24</f>
        <v>40.484391413320971</v>
      </c>
      <c r="D200" s="436">
        <f ca="1">(+D188/SUM(D$183:D$194))*Trends!C$24</f>
        <v>32.403521617335329</v>
      </c>
      <c r="E200" s="437">
        <f>+'Purchased Power Model '!E200</f>
        <v>6.0906349999999998E-2</v>
      </c>
      <c r="F200" s="439">
        <f>+'Purchased Power Model '!F200</f>
        <v>30</v>
      </c>
      <c r="G200" s="439">
        <f>+'Purchased Power Model '!G200</f>
        <v>0</v>
      </c>
      <c r="H200" s="471">
        <f t="shared" ca="1" si="17"/>
        <v>91260689.420270026</v>
      </c>
      <c r="I200" s="106">
        <f t="shared" ca="1" si="15"/>
        <v>0</v>
      </c>
      <c r="J200" s="107"/>
      <c r="T200" s="100"/>
    </row>
    <row r="201" spans="1:20" x14ac:dyDescent="0.2">
      <c r="A201" s="460">
        <v>43647</v>
      </c>
      <c r="B201" s="470">
        <f t="shared" ca="1" si="16"/>
        <v>101366006.49662551</v>
      </c>
      <c r="C201" s="436">
        <f>(+C189/SUM(C$183:C$194))*Trends!B$24</f>
        <v>2.4849754320197008</v>
      </c>
      <c r="D201" s="436">
        <f ca="1">(+D189/SUM(D$183:D$194))*Trends!C$24</f>
        <v>89.294636055077049</v>
      </c>
      <c r="E201" s="437">
        <f>+'Purchased Power Model '!E201</f>
        <v>5.928129E-2</v>
      </c>
      <c r="F201" s="439">
        <f>+'Purchased Power Model '!F201</f>
        <v>31</v>
      </c>
      <c r="G201" s="439">
        <f>+'Purchased Power Model '!G201</f>
        <v>0</v>
      </c>
      <c r="H201" s="471">
        <f t="shared" ca="1" si="17"/>
        <v>101366006.49662551</v>
      </c>
      <c r="I201" s="106">
        <f t="shared" ca="1" si="15"/>
        <v>0</v>
      </c>
      <c r="J201" s="107"/>
      <c r="T201" s="100"/>
    </row>
    <row r="202" spans="1:20" x14ac:dyDescent="0.2">
      <c r="A202" s="460">
        <v>43678</v>
      </c>
      <c r="B202" s="470">
        <f t="shared" ca="1" si="16"/>
        <v>103015987.62598528</v>
      </c>
      <c r="C202" s="436">
        <f>(+C190/SUM(C$183:C$194))*Trends!B$24</f>
        <v>1.4495690020114924</v>
      </c>
      <c r="D202" s="436">
        <f ca="1">(+D190/SUM(D$183:D$194))*Trends!C$24</f>
        <v>100.31775185640802</v>
      </c>
      <c r="E202" s="437">
        <f>+'Purchased Power Model '!E202</f>
        <v>5.928129E-2</v>
      </c>
      <c r="F202" s="439">
        <f>+'Purchased Power Model '!F202</f>
        <v>31</v>
      </c>
      <c r="G202" s="439">
        <f>+'Purchased Power Model '!G202</f>
        <v>0</v>
      </c>
      <c r="H202" s="471">
        <f t="shared" ca="1" si="17"/>
        <v>103015987.62598528</v>
      </c>
      <c r="I202" s="106">
        <f t="shared" ca="1" si="15"/>
        <v>0</v>
      </c>
      <c r="J202" s="107"/>
      <c r="T202" s="100"/>
    </row>
    <row r="203" spans="1:20" x14ac:dyDescent="0.2">
      <c r="A203" s="460">
        <v>43709</v>
      </c>
      <c r="B203" s="470">
        <f t="shared" ca="1" si="16"/>
        <v>84140491.346428216</v>
      </c>
      <c r="C203" s="436">
        <f>(+C191/SUM(C$183:C$194))*Trends!B$24</f>
        <v>52.598646644417002</v>
      </c>
      <c r="D203" s="436">
        <f ca="1">(+D191/SUM(D$183:D$194))*Trends!C$24</f>
        <v>26.115166965569344</v>
      </c>
      <c r="E203" s="437">
        <f>+'Purchased Power Model '!E203</f>
        <v>5.928129E-2</v>
      </c>
      <c r="F203" s="439">
        <f>+'Purchased Power Model '!F203</f>
        <v>30</v>
      </c>
      <c r="G203" s="439">
        <f>+'Purchased Power Model '!G203</f>
        <v>1</v>
      </c>
      <c r="H203" s="471">
        <f t="shared" ca="1" si="17"/>
        <v>84140491.346428216</v>
      </c>
      <c r="I203" s="106">
        <f t="shared" ca="1" si="15"/>
        <v>0</v>
      </c>
      <c r="J203" s="107"/>
      <c r="T203" s="100"/>
    </row>
    <row r="204" spans="1:20" x14ac:dyDescent="0.2">
      <c r="A204" s="460">
        <v>43739</v>
      </c>
      <c r="B204" s="470">
        <f t="shared" ca="1" si="16"/>
        <v>89122602.906151488</v>
      </c>
      <c r="C204" s="436">
        <f>(+C192/SUM(C$183:C$194))*Trends!B$24</f>
        <v>211.22291172167459</v>
      </c>
      <c r="D204" s="436">
        <f ca="1">(+D192/SUM(D$183:D$194))*Trends!C$24</f>
        <v>0.22194192888585845</v>
      </c>
      <c r="E204" s="437">
        <f>+'Purchased Power Model '!E204</f>
        <v>5.7468579999999998E-2</v>
      </c>
      <c r="F204" s="439">
        <f>+'Purchased Power Model '!F204</f>
        <v>31</v>
      </c>
      <c r="G204" s="439">
        <f>+'Purchased Power Model '!G204</f>
        <v>1</v>
      </c>
      <c r="H204" s="471">
        <f t="shared" ca="1" si="17"/>
        <v>89122602.906151488</v>
      </c>
      <c r="I204" s="106">
        <f t="shared" ca="1" si="15"/>
        <v>0</v>
      </c>
      <c r="J204" s="107"/>
      <c r="T204" s="100"/>
    </row>
    <row r="205" spans="1:20" x14ac:dyDescent="0.2">
      <c r="A205" s="460">
        <v>43770</v>
      </c>
      <c r="B205" s="470">
        <f t="shared" ca="1" si="16"/>
        <v>90128454.393957004</v>
      </c>
      <c r="C205" s="436">
        <f>(+C193/SUM(C$183:C$194))*Trends!B$24</f>
        <v>309.06881935745031</v>
      </c>
      <c r="D205" s="436">
        <f ca="1">(+D193/SUM(D$183:D$194))*Trends!C$24</f>
        <v>0</v>
      </c>
      <c r="E205" s="437">
        <f>+'Purchased Power Model '!E205</f>
        <v>5.7468579999999998E-2</v>
      </c>
      <c r="F205" s="439">
        <f>+'Purchased Power Model '!F205</f>
        <v>30</v>
      </c>
      <c r="G205" s="439">
        <f>+'Purchased Power Model '!G205</f>
        <v>1</v>
      </c>
      <c r="H205" s="471">
        <f t="shared" ca="1" si="17"/>
        <v>90128454.393957004</v>
      </c>
      <c r="I205" s="106">
        <f t="shared" ca="1" si="15"/>
        <v>0</v>
      </c>
      <c r="J205" s="107"/>
      <c r="T205" s="100"/>
    </row>
    <row r="206" spans="1:20" x14ac:dyDescent="0.2">
      <c r="A206" s="460">
        <v>43800</v>
      </c>
      <c r="B206" s="470">
        <f t="shared" ca="1" si="16"/>
        <v>106947581.32227615</v>
      </c>
      <c r="C206" s="436">
        <f>(+C194/SUM(C$183:C$194))*Trends!B$24</f>
        <v>500.51546826596808</v>
      </c>
      <c r="D206" s="436">
        <f ca="1">(+D194/SUM(D$183:D$194))*Trends!C$24</f>
        <v>0</v>
      </c>
      <c r="E206" s="437">
        <f>+'Purchased Power Model '!E206</f>
        <v>5.7468579999999998E-2</v>
      </c>
      <c r="F206" s="439">
        <f>+'Purchased Power Model '!F206</f>
        <v>31</v>
      </c>
      <c r="G206" s="439">
        <f>+'Purchased Power Model '!G206</f>
        <v>0</v>
      </c>
      <c r="H206" s="471">
        <f t="shared" ca="1" si="17"/>
        <v>106947581.32227615</v>
      </c>
      <c r="I206" s="106">
        <f t="shared" ca="1" si="15"/>
        <v>0</v>
      </c>
      <c r="J206" s="107"/>
      <c r="T206" s="100"/>
    </row>
    <row r="207" spans="1:20" x14ac:dyDescent="0.2">
      <c r="A207" s="105"/>
      <c r="B207" s="100"/>
      <c r="C207" s="101"/>
      <c r="D207" s="101"/>
      <c r="E207" s="102"/>
      <c r="F207" s="101"/>
      <c r="G207" s="101"/>
      <c r="H207" s="101"/>
      <c r="I207" s="106"/>
      <c r="J207" s="107"/>
      <c r="T207" s="108"/>
    </row>
    <row r="208" spans="1:20" x14ac:dyDescent="0.2">
      <c r="A208" s="3"/>
      <c r="B208" s="6"/>
      <c r="C208" s="18"/>
      <c r="D208" s="164" t="s">
        <v>60</v>
      </c>
      <c r="E208" s="34"/>
      <c r="F208" s="164"/>
      <c r="G208" s="164"/>
      <c r="H208" s="43">
        <f ca="1">SUM(H3:H206)</f>
        <v>19601105621.553974</v>
      </c>
      <c r="I208" s="36"/>
      <c r="J208" s="5"/>
      <c r="L208"/>
      <c r="M208"/>
      <c r="N208"/>
      <c r="O208"/>
      <c r="T208" s="100"/>
    </row>
    <row r="209" spans="1:20" ht="38.25" x14ac:dyDescent="0.2">
      <c r="A209" s="3"/>
      <c r="B209" s="6"/>
      <c r="C209" s="23"/>
      <c r="D209" s="23"/>
      <c r="E209" s="34"/>
      <c r="F209"/>
      <c r="G209"/>
      <c r="H209" s="164"/>
      <c r="I209" s="36"/>
      <c r="J209" s="5" t="s">
        <v>196</v>
      </c>
      <c r="L209" s="354" t="s">
        <v>281</v>
      </c>
      <c r="M209" s="351" t="s">
        <v>279</v>
      </c>
      <c r="N209" s="354" t="s">
        <v>283</v>
      </c>
      <c r="O209" s="352" t="s">
        <v>280</v>
      </c>
      <c r="P209" s="354" t="s">
        <v>347</v>
      </c>
      <c r="Q209" s="352" t="s">
        <v>282</v>
      </c>
      <c r="R209" s="354" t="s">
        <v>351</v>
      </c>
      <c r="S209" s="352" t="s">
        <v>282</v>
      </c>
      <c r="T209" s="100"/>
    </row>
    <row r="210" spans="1:20" x14ac:dyDescent="0.2">
      <c r="A210" s="16">
        <v>2003</v>
      </c>
      <c r="B210" s="6">
        <f>SUM(B3:B14)</f>
        <v>1232724170</v>
      </c>
      <c r="C210" s="96"/>
      <c r="D210" s="23" t="s">
        <v>195</v>
      </c>
      <c r="E210" s="97" t="s">
        <v>107</v>
      </c>
      <c r="F210"/>
      <c r="G210"/>
      <c r="H210" s="6">
        <f>SUM(H3:H14)</f>
        <v>1183815892.46276</v>
      </c>
      <c r="I210" s="36">
        <f t="shared" ref="I210:I224" si="18">H210-B210</f>
        <v>-48908277.537240028</v>
      </c>
      <c r="J210" s="5">
        <f t="shared" ref="J210:J226" si="19">I210/B210</f>
        <v>-3.9674956269608985E-2</v>
      </c>
      <c r="L210" s="167"/>
      <c r="M210" s="353">
        <f>+H210-L210</f>
        <v>1183815892.46276</v>
      </c>
      <c r="N210" s="167"/>
      <c r="O210" s="353">
        <f>+M210-N210</f>
        <v>1183815892.46276</v>
      </c>
      <c r="P210" s="167"/>
      <c r="Q210" s="353">
        <f>+O210+P210</f>
        <v>1183815892.46276</v>
      </c>
      <c r="R210" s="167"/>
      <c r="S210" s="392">
        <f>+Q210+R210</f>
        <v>1183815892.46276</v>
      </c>
      <c r="T210" s="100"/>
    </row>
    <row r="211" spans="1:20" x14ac:dyDescent="0.2">
      <c r="A211">
        <v>2004</v>
      </c>
      <c r="B211" s="6">
        <f>SUM(B15:B26)</f>
        <v>1178441190</v>
      </c>
      <c r="C211" s="96">
        <f>+B211-B210</f>
        <v>-54282980</v>
      </c>
      <c r="D211" s="98">
        <f>+C211/B210</f>
        <v>-4.4034976616058402E-2</v>
      </c>
      <c r="E211" s="98">
        <f>RATE(1,0,-B$210,B211)</f>
        <v>-4.4034976616058499E-2</v>
      </c>
      <c r="F211"/>
      <c r="G211"/>
      <c r="H211" s="6">
        <f>SUM(H15:H26)</f>
        <v>1172093429.9426394</v>
      </c>
      <c r="I211" s="36">
        <f t="shared" si="18"/>
        <v>-6347760.0573606491</v>
      </c>
      <c r="J211" s="5">
        <f t="shared" si="19"/>
        <v>-5.3865734762382576E-3</v>
      </c>
      <c r="L211" s="167"/>
      <c r="M211" s="353">
        <f t="shared" ref="M211:M226" si="20">+H211-L211</f>
        <v>1172093429.9426394</v>
      </c>
      <c r="N211" s="167"/>
      <c r="O211" s="353">
        <f t="shared" ref="O211:O226" si="21">+M211-N211</f>
        <v>1172093429.9426394</v>
      </c>
      <c r="P211" s="167"/>
      <c r="Q211" s="353">
        <f t="shared" ref="Q211:Q226" si="22">+O211+P211</f>
        <v>1172093429.9426394</v>
      </c>
      <c r="R211" s="167"/>
      <c r="S211" s="392">
        <f t="shared" ref="S211:S226" si="23">+Q211+R211</f>
        <v>1172093429.9426394</v>
      </c>
      <c r="T211" s="100"/>
    </row>
    <row r="212" spans="1:20" x14ac:dyDescent="0.2">
      <c r="A212" s="16">
        <v>2005</v>
      </c>
      <c r="B212" s="6">
        <f>SUM(B27:B38)</f>
        <v>1174501350</v>
      </c>
      <c r="C212" s="96">
        <f t="shared" ref="C212:C226" si="24">+B212-B211</f>
        <v>-3939840</v>
      </c>
      <c r="D212" s="98">
        <f t="shared" ref="D212:D226" si="25">+C212/B211</f>
        <v>-3.3432639943619079E-3</v>
      </c>
      <c r="E212" s="98">
        <f>RATE(2,0,-B$210,B212)</f>
        <v>-2.3901142331683341E-2</v>
      </c>
      <c r="F212"/>
      <c r="G212"/>
      <c r="H212" s="6">
        <f>SUM(H27:H38)</f>
        <v>1190184872.5411994</v>
      </c>
      <c r="I212" s="36">
        <f t="shared" si="18"/>
        <v>15683522.541199446</v>
      </c>
      <c r="J212" s="5">
        <f t="shared" si="19"/>
        <v>1.335334569108792E-2</v>
      </c>
      <c r="L212" s="167"/>
      <c r="M212" s="353">
        <f t="shared" si="20"/>
        <v>1190184872.5411994</v>
      </c>
      <c r="N212" s="167"/>
      <c r="O212" s="353">
        <f t="shared" si="21"/>
        <v>1190184872.5411994</v>
      </c>
      <c r="P212" s="167"/>
      <c r="Q212" s="353">
        <f t="shared" si="22"/>
        <v>1190184872.5411994</v>
      </c>
      <c r="R212" s="167"/>
      <c r="S212" s="392">
        <f t="shared" si="23"/>
        <v>1190184872.5411994</v>
      </c>
      <c r="T212" s="108"/>
    </row>
    <row r="213" spans="1:20" x14ac:dyDescent="0.2">
      <c r="A213">
        <v>2006</v>
      </c>
      <c r="B213" s="6">
        <f>SUM(B39:B50)</f>
        <v>1151360440</v>
      </c>
      <c r="C213" s="96">
        <f t="shared" si="24"/>
        <v>-23140910</v>
      </c>
      <c r="D213" s="98">
        <f t="shared" si="25"/>
        <v>-1.9702753002369899E-2</v>
      </c>
      <c r="E213" s="98">
        <f>RATE(3,0,-B$210,B213)</f>
        <v>-2.2503680894619967E-2</v>
      </c>
      <c r="F213"/>
      <c r="G213"/>
      <c r="H213" s="6">
        <f>SUM(H39:H50)</f>
        <v>1153842860.4705679</v>
      </c>
      <c r="I213" s="36">
        <f t="shared" si="18"/>
        <v>2482420.4705679417</v>
      </c>
      <c r="J213" s="5">
        <f t="shared" si="19"/>
        <v>2.1560758771318753E-3</v>
      </c>
      <c r="L213" s="167"/>
      <c r="M213" s="353">
        <f t="shared" si="20"/>
        <v>1153842860.4705679</v>
      </c>
      <c r="N213" s="167"/>
      <c r="O213" s="353">
        <f t="shared" si="21"/>
        <v>1153842860.4705679</v>
      </c>
      <c r="P213" s="167"/>
      <c r="Q213" s="353">
        <f t="shared" si="22"/>
        <v>1153842860.4705679</v>
      </c>
      <c r="R213" s="167"/>
      <c r="S213" s="392">
        <f t="shared" si="23"/>
        <v>1153842860.4705679</v>
      </c>
      <c r="T213" s="100"/>
    </row>
    <row r="214" spans="1:20" x14ac:dyDescent="0.2">
      <c r="A214" s="16">
        <v>2007</v>
      </c>
      <c r="B214" s="6">
        <f>SUM(B51:B62)</f>
        <v>1191153590</v>
      </c>
      <c r="C214" s="96">
        <f t="shared" si="24"/>
        <v>39793150</v>
      </c>
      <c r="D214" s="98">
        <f t="shared" si="25"/>
        <v>3.4561852759158546E-2</v>
      </c>
      <c r="E214" s="98">
        <f>RATE(4,0,-B$210,B214)</f>
        <v>-8.5393934317338754E-3</v>
      </c>
      <c r="F214"/>
      <c r="G214"/>
      <c r="H214" s="6">
        <f>SUM(H51:H62)</f>
        <v>1127871153.89165</v>
      </c>
      <c r="I214" s="36">
        <f t="shared" si="18"/>
        <v>-63282436.108350039</v>
      </c>
      <c r="J214" s="5">
        <f t="shared" si="19"/>
        <v>-5.3127016229997708E-2</v>
      </c>
      <c r="L214" s="167"/>
      <c r="M214" s="353">
        <f t="shared" si="20"/>
        <v>1127871153.89165</v>
      </c>
      <c r="N214" s="167"/>
      <c r="O214" s="353">
        <f t="shared" si="21"/>
        <v>1127871153.89165</v>
      </c>
      <c r="P214" s="167"/>
      <c r="Q214" s="353">
        <f t="shared" si="22"/>
        <v>1127871153.89165</v>
      </c>
      <c r="R214" s="167"/>
      <c r="S214" s="392">
        <f t="shared" si="23"/>
        <v>1127871153.89165</v>
      </c>
      <c r="T214" s="100"/>
    </row>
    <row r="215" spans="1:20" x14ac:dyDescent="0.2">
      <c r="A215">
        <v>2008</v>
      </c>
      <c r="B215" s="6">
        <f>SUM(B63:B74)</f>
        <v>1158881926</v>
      </c>
      <c r="C215" s="96">
        <f t="shared" si="24"/>
        <v>-32271664</v>
      </c>
      <c r="D215" s="98">
        <f t="shared" si="25"/>
        <v>-2.70927815446537E-2</v>
      </c>
      <c r="E215" s="98">
        <f>RATE(5,0,-B$210,B215)</f>
        <v>-1.2278162500929547E-2</v>
      </c>
      <c r="F215"/>
      <c r="G215"/>
      <c r="H215" s="6">
        <f>SUM(H63:H74)</f>
        <v>1094855785.2248654</v>
      </c>
      <c r="I215" s="36">
        <f t="shared" si="18"/>
        <v>-64026140.775134563</v>
      </c>
      <c r="J215" s="5">
        <f t="shared" si="19"/>
        <v>-5.5248200302965601E-2</v>
      </c>
      <c r="L215" s="167"/>
      <c r="M215" s="353">
        <f t="shared" si="20"/>
        <v>1094855785.2248654</v>
      </c>
      <c r="N215" s="167"/>
      <c r="O215" s="353">
        <f t="shared" si="21"/>
        <v>1094855785.2248654</v>
      </c>
      <c r="P215" s="167"/>
      <c r="Q215" s="353">
        <f t="shared" si="22"/>
        <v>1094855785.2248654</v>
      </c>
      <c r="R215" s="167"/>
      <c r="S215" s="392">
        <f t="shared" si="23"/>
        <v>1094855785.2248654</v>
      </c>
      <c r="T215" s="100"/>
    </row>
    <row r="216" spans="1:20" x14ac:dyDescent="0.2">
      <c r="A216" s="16">
        <v>2009</v>
      </c>
      <c r="B216" s="6">
        <f>SUM(B75:B86)</f>
        <v>1128390784.5107694</v>
      </c>
      <c r="C216" s="96">
        <f t="shared" si="24"/>
        <v>-30491141.489230633</v>
      </c>
      <c r="D216" s="98">
        <f t="shared" si="25"/>
        <v>-2.6310826672803447E-2</v>
      </c>
      <c r="E216" s="98">
        <f>RATE(6,0,-B$210,B216)</f>
        <v>-1.4630905973235077E-2</v>
      </c>
      <c r="F216"/>
      <c r="G216"/>
      <c r="H216" s="6">
        <f>SUM(H75:H86)</f>
        <v>1121629083.8762841</v>
      </c>
      <c r="I216" s="36">
        <f t="shared" si="18"/>
        <v>-6761700.6344852448</v>
      </c>
      <c r="J216" s="5">
        <f t="shared" si="19"/>
        <v>-5.9923394690048629E-3</v>
      </c>
      <c r="L216" s="167"/>
      <c r="M216" s="353">
        <f t="shared" si="20"/>
        <v>1121629083.8762841</v>
      </c>
      <c r="N216" s="167"/>
      <c r="O216" s="353">
        <f t="shared" si="21"/>
        <v>1121629083.8762841</v>
      </c>
      <c r="P216" s="167"/>
      <c r="Q216" s="353">
        <f t="shared" si="22"/>
        <v>1121629083.8762841</v>
      </c>
      <c r="R216" s="167"/>
      <c r="S216" s="392">
        <f t="shared" si="23"/>
        <v>1121629083.8762841</v>
      </c>
      <c r="T216" s="100"/>
    </row>
    <row r="217" spans="1:20" x14ac:dyDescent="0.2">
      <c r="A217">
        <v>2010</v>
      </c>
      <c r="B217" s="6">
        <f>SUM(B87:B98)</f>
        <v>1148489331.8146157</v>
      </c>
      <c r="C217" s="96">
        <f t="shared" si="24"/>
        <v>20098547.303846359</v>
      </c>
      <c r="D217" s="98">
        <f t="shared" si="25"/>
        <v>1.781169039993568E-2</v>
      </c>
      <c r="E217" s="98">
        <f>RATE(7,0,-B$210,B217)</f>
        <v>-1.0060343960087228E-2</v>
      </c>
      <c r="F217"/>
      <c r="G217"/>
      <c r="H217" s="6">
        <f>SUM(H87:H98)</f>
        <v>1134092280.5446804</v>
      </c>
      <c r="I217" s="36">
        <f t="shared" si="18"/>
        <v>-14397051.269935369</v>
      </c>
      <c r="J217" s="5">
        <f t="shared" si="19"/>
        <v>-1.2535642144092011E-2</v>
      </c>
      <c r="L217" s="167"/>
      <c r="M217" s="353">
        <f t="shared" si="20"/>
        <v>1134092280.5446804</v>
      </c>
      <c r="N217" s="167"/>
      <c r="O217" s="353">
        <f t="shared" si="21"/>
        <v>1134092280.5446804</v>
      </c>
      <c r="P217" s="167"/>
      <c r="Q217" s="353">
        <f t="shared" si="22"/>
        <v>1134092280.5446804</v>
      </c>
      <c r="R217" s="167"/>
      <c r="S217" s="392">
        <f t="shared" si="23"/>
        <v>1134092280.5446804</v>
      </c>
      <c r="T217" s="100"/>
    </row>
    <row r="218" spans="1:20" x14ac:dyDescent="0.2">
      <c r="A218">
        <v>2011</v>
      </c>
      <c r="B218" s="6">
        <f>SUM(B99:B110)</f>
        <v>1148632387.3953846</v>
      </c>
      <c r="C218" s="96">
        <f t="shared" si="24"/>
        <v>143055.58076882362</v>
      </c>
      <c r="D218" s="98">
        <f t="shared" si="25"/>
        <v>1.2455978197272019E-4</v>
      </c>
      <c r="E218" s="98">
        <f>RATE(8,0,-B$210,B218)</f>
        <v>-8.7929249231188996E-3</v>
      </c>
      <c r="F218"/>
      <c r="G218"/>
      <c r="H218" s="6">
        <f>SUM(H99:H110)</f>
        <v>1156423557.8162477</v>
      </c>
      <c r="I218" s="36">
        <f t="shared" si="18"/>
        <v>7791170.4208631516</v>
      </c>
      <c r="J218" s="5">
        <f t="shared" si="19"/>
        <v>6.7829973334900045E-3</v>
      </c>
      <c r="L218" s="167"/>
      <c r="M218" s="353">
        <f t="shared" si="20"/>
        <v>1156423557.8162477</v>
      </c>
      <c r="N218" s="167"/>
      <c r="O218" s="353">
        <f t="shared" si="21"/>
        <v>1156423557.8162477</v>
      </c>
      <c r="P218" s="167"/>
      <c r="Q218" s="353">
        <f t="shared" si="22"/>
        <v>1156423557.8162477</v>
      </c>
      <c r="R218" s="167"/>
      <c r="S218" s="392">
        <f t="shared" si="23"/>
        <v>1156423557.8162477</v>
      </c>
      <c r="T218" s="100"/>
    </row>
    <row r="219" spans="1:20" x14ac:dyDescent="0.2">
      <c r="A219">
        <v>2012</v>
      </c>
      <c r="B219" s="6">
        <f>SUM(B111:B122)</f>
        <v>1136211952.670979</v>
      </c>
      <c r="C219" s="96">
        <f t="shared" si="24"/>
        <v>-12420434.724405527</v>
      </c>
      <c r="D219" s="98">
        <f t="shared" si="25"/>
        <v>-1.0813237429748827E-2</v>
      </c>
      <c r="E219" s="98">
        <f>RATE(9,0,-B$210,B219)</f>
        <v>-9.0176077035169049E-3</v>
      </c>
      <c r="F219"/>
      <c r="G219"/>
      <c r="H219" s="6">
        <f>SUM(H111:H122)</f>
        <v>1149518396.9534879</v>
      </c>
      <c r="I219" s="36">
        <f t="shared" si="18"/>
        <v>13306444.28250885</v>
      </c>
      <c r="J219" s="5">
        <f t="shared" si="19"/>
        <v>1.1711234203467398E-2</v>
      </c>
      <c r="L219" s="167"/>
      <c r="M219" s="353">
        <f t="shared" si="20"/>
        <v>1149518396.9534879</v>
      </c>
      <c r="N219" s="167"/>
      <c r="O219" s="353">
        <f t="shared" si="21"/>
        <v>1149518396.9534879</v>
      </c>
      <c r="P219" s="167"/>
      <c r="Q219" s="353">
        <f t="shared" si="22"/>
        <v>1149518396.9534879</v>
      </c>
      <c r="R219" s="167"/>
      <c r="S219" s="392">
        <f t="shared" si="23"/>
        <v>1149518396.9534879</v>
      </c>
      <c r="T219" s="100"/>
    </row>
    <row r="220" spans="1:20" x14ac:dyDescent="0.2">
      <c r="A220">
        <v>2013</v>
      </c>
      <c r="B220" s="6">
        <f>SUM(B123:B134)</f>
        <v>1130407041.6666667</v>
      </c>
      <c r="C220" s="96">
        <f t="shared" si="24"/>
        <v>-5804911.0043122768</v>
      </c>
      <c r="D220" s="98">
        <f t="shared" si="25"/>
        <v>-5.1090036420284399E-3</v>
      </c>
      <c r="E220" s="98">
        <f>RATE(10,0,-B$210,B220)</f>
        <v>-8.6274392985243292E-3</v>
      </c>
      <c r="F220"/>
      <c r="G220"/>
      <c r="H220" s="6">
        <f ca="1">SUM(H123:H134)</f>
        <v>1148384908.6668141</v>
      </c>
      <c r="I220" s="36">
        <f t="shared" ca="1" si="18"/>
        <v>17977867.000147343</v>
      </c>
      <c r="J220" s="5">
        <f t="shared" ca="1" si="19"/>
        <v>1.5903888013330897E-2</v>
      </c>
      <c r="L220" s="167"/>
      <c r="M220" s="353">
        <f t="shared" ca="1" si="20"/>
        <v>1148384908.6668141</v>
      </c>
      <c r="N220" s="167"/>
      <c r="O220" s="353">
        <f t="shared" ca="1" si="21"/>
        <v>1148384908.6668141</v>
      </c>
      <c r="P220" s="167"/>
      <c r="Q220" s="353">
        <f t="shared" ca="1" si="22"/>
        <v>1148384908.6668141</v>
      </c>
      <c r="R220" s="167"/>
      <c r="S220" s="392">
        <f t="shared" ca="1" si="23"/>
        <v>1148384908.6668141</v>
      </c>
      <c r="T220" s="100"/>
    </row>
    <row r="221" spans="1:20" x14ac:dyDescent="0.2">
      <c r="A221">
        <v>2014</v>
      </c>
      <c r="B221" s="6">
        <f>SUM(B135:B146)</f>
        <v>1134970142.7733078</v>
      </c>
      <c r="C221" s="96">
        <f t="shared" ref="C221" si="26">+B221-B220</f>
        <v>4563101.1066410542</v>
      </c>
      <c r="D221" s="98">
        <f>+C221/B220</f>
        <v>4.0366885010847415E-3</v>
      </c>
      <c r="E221" s="98">
        <f>RATE(10,0,-B$210,B221)</f>
        <v>-8.2279781660642495E-3</v>
      </c>
      <c r="F221"/>
      <c r="G221"/>
      <c r="H221" s="6">
        <f>SUM(H135:H146)</f>
        <v>1159153505.7394249</v>
      </c>
      <c r="I221" s="36">
        <f t="shared" si="18"/>
        <v>24183362.966117144</v>
      </c>
      <c r="J221" s="5">
        <f t="shared" si="19"/>
        <v>2.1307488236672834E-2</v>
      </c>
      <c r="L221" s="6"/>
      <c r="M221" s="353">
        <f t="shared" si="20"/>
        <v>1159153505.7394249</v>
      </c>
      <c r="N221" s="6"/>
      <c r="O221" s="353">
        <f t="shared" si="21"/>
        <v>1159153505.7394249</v>
      </c>
      <c r="P221" s="6"/>
      <c r="Q221" s="353">
        <f t="shared" si="22"/>
        <v>1159153505.7394249</v>
      </c>
      <c r="R221" s="6"/>
      <c r="S221" s="392">
        <f t="shared" si="23"/>
        <v>1159153505.7394249</v>
      </c>
      <c r="T221" s="100"/>
    </row>
    <row r="222" spans="1:20" x14ac:dyDescent="0.2">
      <c r="A222">
        <v>2015</v>
      </c>
      <c r="B222" s="6">
        <f>SUM(B147:B158)</f>
        <v>1123341031.2123077</v>
      </c>
      <c r="C222" s="96">
        <f t="shared" si="24"/>
        <v>-11629111.561000109</v>
      </c>
      <c r="D222" s="98">
        <f t="shared" si="25"/>
        <v>-1.0246182804936428E-2</v>
      </c>
      <c r="E222" s="98">
        <f>RATE(12,0,-B$210,B222)</f>
        <v>-7.7133635136097944E-3</v>
      </c>
      <c r="F222"/>
      <c r="G222"/>
      <c r="H222" s="6">
        <f>SUM(H147:H158)</f>
        <v>1150848175.636837</v>
      </c>
      <c r="I222" s="36">
        <f t="shared" si="18"/>
        <v>27507144.424529314</v>
      </c>
      <c r="J222" s="5">
        <f t="shared" si="19"/>
        <v>2.448690438632305E-2</v>
      </c>
      <c r="L222" s="364">
        <f>+'Purchased Power Model '!L222</f>
        <v>0</v>
      </c>
      <c r="M222" s="353">
        <f t="shared" si="20"/>
        <v>1150848175.636837</v>
      </c>
      <c r="N222" s="364">
        <f>+'Purchased Power Model '!N222</f>
        <v>0</v>
      </c>
      <c r="O222" s="353">
        <f t="shared" si="21"/>
        <v>1150848175.636837</v>
      </c>
      <c r="P222" s="364">
        <f>+'Purchased Power Model '!P222</f>
        <v>0</v>
      </c>
      <c r="Q222" s="353">
        <f t="shared" si="22"/>
        <v>1150848175.636837</v>
      </c>
      <c r="R222" s="364">
        <f>+'Purchased Power Model '!R222</f>
        <v>0</v>
      </c>
      <c r="S222" s="392">
        <f t="shared" si="23"/>
        <v>1150848175.636837</v>
      </c>
      <c r="T222" s="100"/>
    </row>
    <row r="223" spans="1:20" x14ac:dyDescent="0.2">
      <c r="A223">
        <v>2016</v>
      </c>
      <c r="B223" s="6">
        <f>SUM(B159:B170)</f>
        <v>1122027434.2815385</v>
      </c>
      <c r="C223" s="96">
        <f t="shared" si="24"/>
        <v>-1313596.9307692051</v>
      </c>
      <c r="D223" s="98">
        <f t="shared" si="25"/>
        <v>-1.1693661090181791E-3</v>
      </c>
      <c r="E223" s="98">
        <f>RATE(13,0,-B$210,B223)</f>
        <v>-7.2115048451986642E-3</v>
      </c>
      <c r="F223"/>
      <c r="G223"/>
      <c r="H223" s="6">
        <f>SUM(H159:H170)</f>
        <v>1181688633.1682065</v>
      </c>
      <c r="I223" s="36">
        <f t="shared" si="18"/>
        <v>59661198.886667967</v>
      </c>
      <c r="J223" s="5">
        <f t="shared" si="19"/>
        <v>5.3172673914939066E-2</v>
      </c>
      <c r="L223" s="364">
        <f>+'Purchased Power Model '!L223</f>
        <v>0</v>
      </c>
      <c r="M223" s="353">
        <f t="shared" si="20"/>
        <v>1181688633.1682065</v>
      </c>
      <c r="N223" s="364">
        <f>+'Purchased Power Model '!N223</f>
        <v>0</v>
      </c>
      <c r="O223" s="353">
        <f t="shared" si="21"/>
        <v>1181688633.1682065</v>
      </c>
      <c r="P223" s="364">
        <f>+'Purchased Power Model '!P223</f>
        <v>0</v>
      </c>
      <c r="Q223" s="353">
        <f t="shared" si="22"/>
        <v>1181688633.1682065</v>
      </c>
      <c r="R223" s="364">
        <f>+'Purchased Power Model '!R223</f>
        <v>0</v>
      </c>
      <c r="S223" s="392">
        <f t="shared" si="23"/>
        <v>1181688633.1682065</v>
      </c>
      <c r="T223" s="100"/>
    </row>
    <row r="224" spans="1:20" x14ac:dyDescent="0.2">
      <c r="A224">
        <v>2017</v>
      </c>
      <c r="B224" s="6">
        <f>SUM(B171:B182)</f>
        <v>1118305429.4407287</v>
      </c>
      <c r="C224" s="96">
        <f t="shared" si="24"/>
        <v>-3722004.8408098221</v>
      </c>
      <c r="D224" s="98">
        <f t="shared" si="25"/>
        <v>-3.3172137570710225E-3</v>
      </c>
      <c r="E224" s="98">
        <f>RATE(14,0,-B$210,B224)</f>
        <v>-6.9338465131400248E-3</v>
      </c>
      <c r="F224"/>
      <c r="G224"/>
      <c r="H224" s="6">
        <f ca="1">SUM(H171:H182)</f>
        <v>1153435664.8306398</v>
      </c>
      <c r="I224" s="36">
        <f t="shared" ca="1" si="18"/>
        <v>35130235.389911175</v>
      </c>
      <c r="J224" s="5">
        <f t="shared" ca="1" si="19"/>
        <v>3.141381099033027E-2</v>
      </c>
      <c r="L224" s="364">
        <f>+'Purchased Power Model '!L224</f>
        <v>4941368.3109572101</v>
      </c>
      <c r="M224" s="353">
        <f t="shared" ca="1" si="20"/>
        <v>1148494296.5196826</v>
      </c>
      <c r="N224" s="364">
        <f>+'Purchased Power Model '!N224</f>
        <v>2576978.491482255</v>
      </c>
      <c r="O224" s="353">
        <f t="shared" ca="1" si="21"/>
        <v>1145917318.0282004</v>
      </c>
      <c r="P224" s="364">
        <f>+'Purchased Power Model '!P224</f>
        <v>0</v>
      </c>
      <c r="Q224" s="353">
        <f t="shared" ca="1" si="22"/>
        <v>1145917318.0282004</v>
      </c>
      <c r="R224" s="364">
        <f>+'Purchased Power Model '!R224</f>
        <v>0</v>
      </c>
      <c r="S224" s="392">
        <f t="shared" ca="1" si="23"/>
        <v>1145917318.0282004</v>
      </c>
      <c r="T224" s="100"/>
    </row>
    <row r="225" spans="1:20" x14ac:dyDescent="0.2">
      <c r="A225">
        <v>2018</v>
      </c>
      <c r="B225" s="6">
        <f ca="1">SUM(B183:B194)</f>
        <v>1159316673.1577299</v>
      </c>
      <c r="C225" s="96">
        <f t="shared" ca="1" si="24"/>
        <v>41011243.7170012</v>
      </c>
      <c r="D225" s="98">
        <f t="shared" ca="1" si="25"/>
        <v>3.6672667982584305E-2</v>
      </c>
      <c r="E225" s="98">
        <f ca="1">RATE(15,0,-B$210,B225)</f>
        <v>-4.0846839626472791E-3</v>
      </c>
      <c r="F225"/>
      <c r="G225"/>
      <c r="H225" s="6">
        <f ca="1">SUM(H183:H194)</f>
        <v>1159316673.1577299</v>
      </c>
      <c r="I225" s="36">
        <f ca="1">H225-B225</f>
        <v>0</v>
      </c>
      <c r="J225" s="5">
        <f t="shared" ca="1" si="19"/>
        <v>0</v>
      </c>
      <c r="L225" s="364">
        <f>+'Purchased Power Model '!L225</f>
        <v>17000279.164718885</v>
      </c>
      <c r="M225" s="353">
        <f t="shared" ca="1" si="20"/>
        <v>1142316393.993011</v>
      </c>
      <c r="N225" s="364">
        <f>+'Purchased Power Model '!N225</f>
        <v>5153956.9829645101</v>
      </c>
      <c r="O225" s="353">
        <f t="shared" ca="1" si="21"/>
        <v>1137162437.0100465</v>
      </c>
      <c r="P225" s="364">
        <f>+'Purchased Power Model '!P225</f>
        <v>0</v>
      </c>
      <c r="Q225" s="353">
        <f t="shared" ca="1" si="22"/>
        <v>1137162437.0100465</v>
      </c>
      <c r="R225" s="364">
        <f>+'Purchased Power Model '!R225</f>
        <v>10441497.430416999</v>
      </c>
      <c r="S225" s="392">
        <f t="shared" ca="1" si="23"/>
        <v>1147603934.4404635</v>
      </c>
      <c r="T225" s="100"/>
    </row>
    <row r="226" spans="1:20" x14ac:dyDescent="0.2">
      <c r="A226">
        <v>2019</v>
      </c>
      <c r="B226" s="6">
        <f ca="1">SUM(B195:B206)</f>
        <v>1163950746.6299477</v>
      </c>
      <c r="C226" s="96">
        <f t="shared" ca="1" si="24"/>
        <v>4634073.4722177982</v>
      </c>
      <c r="D226" s="98">
        <f t="shared" ca="1" si="25"/>
        <v>3.9972456012347139E-3</v>
      </c>
      <c r="E226" s="98">
        <f ca="1">RATE(16,0,-B$210,B226)</f>
        <v>-3.5814748038960893E-3</v>
      </c>
      <c r="F226"/>
      <c r="G226"/>
      <c r="H226" s="6">
        <f ca="1">SUM(H195:H206)</f>
        <v>1163950746.6299477</v>
      </c>
      <c r="I226" s="36">
        <f ca="1">H226-B226</f>
        <v>0</v>
      </c>
      <c r="J226" s="5">
        <f t="shared" ca="1" si="19"/>
        <v>0</v>
      </c>
      <c r="L226" s="364">
        <f>+'Purchased Power Model '!L226</f>
        <v>29149803.002804432</v>
      </c>
      <c r="M226" s="353">
        <f t="shared" ca="1" si="20"/>
        <v>1134800943.6271431</v>
      </c>
      <c r="N226" s="364">
        <f>+'Purchased Power Model '!N226</f>
        <v>5153956.9829645101</v>
      </c>
      <c r="O226" s="353">
        <f t="shared" ca="1" si="21"/>
        <v>1129646986.6441786</v>
      </c>
      <c r="P226" s="364">
        <f>+'Purchased Power Model '!P226</f>
        <v>0</v>
      </c>
      <c r="Q226" s="353">
        <f t="shared" ca="1" si="22"/>
        <v>1129646986.6441786</v>
      </c>
      <c r="R226" s="364">
        <f>+'Purchased Power Model '!R226</f>
        <v>25363260.283881385</v>
      </c>
      <c r="S226" s="392">
        <f t="shared" ca="1" si="23"/>
        <v>1155010246.9280601</v>
      </c>
      <c r="T226" s="100"/>
    </row>
    <row r="227" spans="1:20" x14ac:dyDescent="0.2">
      <c r="A227"/>
      <c r="B227" s="6"/>
      <c r="C227" s="90"/>
      <c r="D227" s="164"/>
      <c r="E227" s="34"/>
      <c r="F227"/>
      <c r="G227"/>
      <c r="H227" s="6"/>
      <c r="I227" s="164"/>
      <c r="J227" s="164"/>
      <c r="L227"/>
      <c r="M227"/>
      <c r="N227"/>
      <c r="O227"/>
      <c r="T227" s="100"/>
    </row>
    <row r="228" spans="1:20" x14ac:dyDescent="0.2">
      <c r="A228" t="s">
        <v>9</v>
      </c>
      <c r="B228" s="6">
        <f ca="1">SUM(B210:B226)</f>
        <v>19601105621.55397</v>
      </c>
      <c r="C228" s="90"/>
      <c r="D228" s="164"/>
      <c r="E228" s="34"/>
      <c r="F228" s="164"/>
      <c r="G228" s="164"/>
      <c r="H228" s="6">
        <f ca="1">SUM(H210:H226)</f>
        <v>19601105621.553982</v>
      </c>
      <c r="I228" s="168">
        <f ca="1">H228-B228</f>
        <v>0</v>
      </c>
      <c r="J228" s="164"/>
      <c r="L228"/>
      <c r="M228"/>
      <c r="N228"/>
      <c r="O228"/>
      <c r="T228" s="100"/>
    </row>
    <row r="229" spans="1:20" x14ac:dyDescent="0.2">
      <c r="A229"/>
      <c r="B229" s="6"/>
      <c r="C229" s="164"/>
      <c r="D229" s="164"/>
      <c r="E229" s="34"/>
      <c r="F229" s="164"/>
      <c r="G229" s="164"/>
      <c r="H229" s="164"/>
      <c r="I229" s="54"/>
      <c r="J229" s="164"/>
      <c r="L229"/>
      <c r="M229"/>
      <c r="N229"/>
      <c r="O229"/>
      <c r="T229" s="100"/>
    </row>
    <row r="230" spans="1:20" x14ac:dyDescent="0.2">
      <c r="A230"/>
      <c r="B230" s="6"/>
      <c r="C230" s="164"/>
      <c r="D230" s="164"/>
      <c r="E230" s="34"/>
      <c r="F230" s="164"/>
      <c r="G230" s="164"/>
      <c r="H230" s="6">
        <f ca="1">SUM(H210:H226)</f>
        <v>19601105621.553982</v>
      </c>
      <c r="I230" s="168">
        <f ca="1">H208-H230</f>
        <v>0</v>
      </c>
      <c r="J230" s="164"/>
      <c r="L230"/>
      <c r="M230"/>
      <c r="N230"/>
      <c r="O230"/>
      <c r="T230" s="100"/>
    </row>
    <row r="231" spans="1:20" x14ac:dyDescent="0.2">
      <c r="A231"/>
      <c r="B231" s="6"/>
      <c r="C231" s="164"/>
      <c r="D231" s="164"/>
      <c r="E231" s="34"/>
      <c r="F231" s="164"/>
      <c r="G231" s="164"/>
      <c r="H231" s="23"/>
      <c r="I231" s="169" t="s">
        <v>69</v>
      </c>
      <c r="J231" s="18"/>
      <c r="T231" s="100"/>
    </row>
    <row r="232" spans="1:20" x14ac:dyDescent="0.2">
      <c r="B232" s="100"/>
      <c r="C232" s="101"/>
      <c r="D232" s="101"/>
      <c r="E232" s="102"/>
      <c r="F232" s="101"/>
      <c r="G232" s="101"/>
      <c r="H232" s="101"/>
      <c r="I232" s="101"/>
      <c r="J232" s="101"/>
      <c r="T232" s="100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5"/>
  <sheetViews>
    <sheetView workbookViewId="0">
      <pane ySplit="2" topLeftCell="A173" activePane="bottomLeft" state="frozen"/>
      <selection pane="bottomLeft" activeCell="I183" sqref="I183:I194"/>
    </sheetView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.28515625" style="6" customWidth="1"/>
    <col min="11" max="11" width="11.5703125" style="6" customWidth="1"/>
    <col min="12" max="12" width="3.28515625" style="6" customWidth="1"/>
    <col min="13" max="13" width="27.28515625" style="6" bestFit="1" customWidth="1"/>
    <col min="14" max="14" width="14.5703125" style="6" bestFit="1" customWidth="1"/>
    <col min="15" max="15" width="24.42578125" style="6" bestFit="1" customWidth="1"/>
    <col min="16" max="16" width="22.85546875" style="6" bestFit="1" customWidth="1"/>
    <col min="17" max="17" width="9.7109375" style="6" bestFit="1" customWidth="1"/>
    <col min="18" max="18" width="15.5703125" bestFit="1" customWidth="1"/>
    <col min="19" max="19" width="14.28515625" bestFit="1" customWidth="1"/>
    <col min="20" max="20" width="15.5703125" bestFit="1" customWidth="1"/>
    <col min="21" max="21" width="14.2851562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64"/>
      <c r="M2" t="s">
        <v>18</v>
      </c>
      <c r="N2"/>
      <c r="O2"/>
      <c r="P2"/>
      <c r="Q2"/>
    </row>
    <row r="3" spans="1:18" ht="13.5" thickBot="1" x14ac:dyDescent="0.25">
      <c r="A3" s="453">
        <v>37622</v>
      </c>
      <c r="B3" s="454">
        <v>40677788.588893443</v>
      </c>
      <c r="C3" s="455">
        <f>+'Purchased Power Model '!C3</f>
        <v>786</v>
      </c>
      <c r="D3" s="455">
        <f>+'Purchased Power Model '!D3</f>
        <v>0</v>
      </c>
      <c r="E3" s="443">
        <f>+'Purchased Power Model '!E3</f>
        <v>5.2000000000000005E-2</v>
      </c>
      <c r="F3" s="53">
        <f>+'Purchased Power Model '!F3</f>
        <v>31</v>
      </c>
      <c r="G3" s="53">
        <f>+'Purchased Power Model '!G3</f>
        <v>0</v>
      </c>
      <c r="H3" s="17">
        <v>43019.916666666664</v>
      </c>
      <c r="I3" s="456">
        <f>$N$18+C3*$N$19+D3*$N$20+E3*$N$21+F3*$N$22+G3*$N$23</f>
        <v>43650167.539602593</v>
      </c>
      <c r="J3" s="457">
        <f>I3-B3</f>
        <v>2972378.9507091492</v>
      </c>
      <c r="K3" s="5">
        <f>J3/B3</f>
        <v>7.307130141093067E-2</v>
      </c>
      <c r="M3"/>
      <c r="N3"/>
      <c r="O3"/>
      <c r="P3"/>
      <c r="Q3"/>
    </row>
    <row r="4" spans="1:18" x14ac:dyDescent="0.2">
      <c r="A4" s="453">
        <v>37653</v>
      </c>
      <c r="B4" s="454">
        <v>41686150.137058273</v>
      </c>
      <c r="C4" s="455">
        <f>+'Purchased Power Model '!C4</f>
        <v>686.5</v>
      </c>
      <c r="D4" s="455">
        <f>+'Purchased Power Model '!D4</f>
        <v>0</v>
      </c>
      <c r="E4" s="443">
        <f>+'Purchased Power Model '!E4</f>
        <v>5.2000000000000005E-2</v>
      </c>
      <c r="F4" s="53">
        <f>+'Purchased Power Model '!F4</f>
        <v>28</v>
      </c>
      <c r="G4" s="53">
        <f>+'Purchased Power Model '!G4</f>
        <v>0</v>
      </c>
      <c r="H4" s="17">
        <v>43079.833333333328</v>
      </c>
      <c r="I4" s="456">
        <f t="shared" ref="I4:I67" si="0">$N$18+C4*$N$19+D4*$N$20+E4*$N$21+F4*$N$22+G4*$N$23</f>
        <v>45141632.289103143</v>
      </c>
      <c r="J4" s="457">
        <f t="shared" ref="J4:J67" si="1">I4-B4</f>
        <v>3455482.15204487</v>
      </c>
      <c r="K4" s="5">
        <f t="shared" ref="K4:K67" si="2">J4/B4</f>
        <v>8.2892810698126942E-2</v>
      </c>
      <c r="M4" s="49" t="s">
        <v>19</v>
      </c>
      <c r="N4" s="49"/>
      <c r="O4"/>
      <c r="P4"/>
      <c r="Q4"/>
    </row>
    <row r="5" spans="1:18" x14ac:dyDescent="0.2">
      <c r="A5" s="453">
        <v>37681</v>
      </c>
      <c r="B5" s="454">
        <v>45965845.274048276</v>
      </c>
      <c r="C5" s="455">
        <f>+'Purchased Power Model '!C5</f>
        <v>572.5</v>
      </c>
      <c r="D5" s="455">
        <f>+'Purchased Power Model '!D5</f>
        <v>0</v>
      </c>
      <c r="E5" s="443">
        <f>+'Purchased Power Model '!E5</f>
        <v>5.2000000000000005E-2</v>
      </c>
      <c r="F5" s="53">
        <f>+'Purchased Power Model '!F5</f>
        <v>31</v>
      </c>
      <c r="G5" s="53">
        <f>+'Purchased Power Model '!G5</f>
        <v>1</v>
      </c>
      <c r="H5" s="17">
        <v>43139.749999999993</v>
      </c>
      <c r="I5" s="456">
        <f t="shared" si="0"/>
        <v>42094593.722510397</v>
      </c>
      <c r="J5" s="457">
        <f t="shared" si="1"/>
        <v>-3871251.5515378788</v>
      </c>
      <c r="K5" s="5">
        <f t="shared" si="2"/>
        <v>-8.4220175403225697E-2</v>
      </c>
      <c r="M5" s="35" t="s">
        <v>20</v>
      </c>
      <c r="N5" s="466">
        <v>0.45361198585451351</v>
      </c>
      <c r="O5"/>
      <c r="P5"/>
      <c r="Q5"/>
    </row>
    <row r="6" spans="1:18" x14ac:dyDescent="0.2">
      <c r="A6" s="453">
        <v>37712</v>
      </c>
      <c r="B6" s="454">
        <v>33502187</v>
      </c>
      <c r="C6" s="455">
        <f>+'Purchased Power Model '!C6</f>
        <v>403.9</v>
      </c>
      <c r="D6" s="455">
        <f>+'Purchased Power Model '!D6</f>
        <v>0</v>
      </c>
      <c r="E6" s="443">
        <f>+'Purchased Power Model '!E6</f>
        <v>5.5999999999999994E-2</v>
      </c>
      <c r="F6" s="53">
        <f>+'Purchased Power Model '!F6</f>
        <v>30</v>
      </c>
      <c r="G6" s="53">
        <f>+'Purchased Power Model '!G6</f>
        <v>1</v>
      </c>
      <c r="H6" s="17">
        <v>43199.666666666657</v>
      </c>
      <c r="I6" s="456">
        <f t="shared" si="0"/>
        <v>40649978.100794494</v>
      </c>
      <c r="J6" s="457">
        <f t="shared" si="1"/>
        <v>7147791.1007944942</v>
      </c>
      <c r="K6" s="5">
        <f t="shared" si="2"/>
        <v>0.21335297008504234</v>
      </c>
      <c r="M6" s="35" t="s">
        <v>21</v>
      </c>
      <c r="N6" s="466">
        <v>0.20576383371087537</v>
      </c>
      <c r="O6"/>
      <c r="P6"/>
      <c r="Q6"/>
    </row>
    <row r="7" spans="1:18" x14ac:dyDescent="0.2">
      <c r="A7" s="453">
        <v>37742</v>
      </c>
      <c r="B7" s="454">
        <v>49108723</v>
      </c>
      <c r="C7" s="455">
        <f>+'Purchased Power Model '!C7</f>
        <v>192</v>
      </c>
      <c r="D7" s="455">
        <f>+'Purchased Power Model '!D7</f>
        <v>0</v>
      </c>
      <c r="E7" s="443">
        <f>+'Purchased Power Model '!E7</f>
        <v>5.5999999999999994E-2</v>
      </c>
      <c r="F7" s="53">
        <f>+'Purchased Power Model '!F7</f>
        <v>31</v>
      </c>
      <c r="G7" s="53">
        <f>+'Purchased Power Model '!G7</f>
        <v>1</v>
      </c>
      <c r="H7" s="17">
        <v>43259.583333333321</v>
      </c>
      <c r="I7" s="456">
        <f t="shared" si="0"/>
        <v>36497125.854702257</v>
      </c>
      <c r="J7" s="457">
        <f t="shared" si="1"/>
        <v>-12611597.145297743</v>
      </c>
      <c r="K7" s="5">
        <f t="shared" si="2"/>
        <v>-0.25680971474859454</v>
      </c>
      <c r="M7" s="35" t="s">
        <v>22</v>
      </c>
      <c r="N7" s="466">
        <v>0.18169607109605343</v>
      </c>
      <c r="O7"/>
      <c r="P7"/>
      <c r="Q7"/>
    </row>
    <row r="8" spans="1:18" x14ac:dyDescent="0.2">
      <c r="A8" s="453">
        <v>37773</v>
      </c>
      <c r="B8" s="454">
        <v>30718233</v>
      </c>
      <c r="C8" s="455">
        <f>+'Purchased Power Model '!C8</f>
        <v>55.1</v>
      </c>
      <c r="D8" s="455">
        <f>+'Purchased Power Model '!D8</f>
        <v>31</v>
      </c>
      <c r="E8" s="443">
        <f>+'Purchased Power Model '!E8</f>
        <v>5.5999999999999994E-2</v>
      </c>
      <c r="F8" s="53">
        <f>+'Purchased Power Model '!F8</f>
        <v>30</v>
      </c>
      <c r="G8" s="53">
        <f>+'Purchased Power Model '!G8</f>
        <v>0</v>
      </c>
      <c r="H8" s="17">
        <v>43319.499999999985</v>
      </c>
      <c r="I8" s="456">
        <f t="shared" si="0"/>
        <v>35942154.459252104</v>
      </c>
      <c r="J8" s="457">
        <f t="shared" si="1"/>
        <v>5223921.4592521042</v>
      </c>
      <c r="K8" s="5">
        <f t="shared" si="2"/>
        <v>0.17005930840006664</v>
      </c>
      <c r="M8" s="35" t="s">
        <v>23</v>
      </c>
      <c r="N8" s="59">
        <v>5519461.9066011934</v>
      </c>
      <c r="O8"/>
      <c r="P8"/>
      <c r="Q8"/>
    </row>
    <row r="9" spans="1:18" ht="13.5" thickBot="1" x14ac:dyDescent="0.25">
      <c r="A9" s="453">
        <v>37803</v>
      </c>
      <c r="B9" s="454">
        <v>38600544</v>
      </c>
      <c r="C9" s="455">
        <f>+'Purchased Power Model '!C9</f>
        <v>5.7</v>
      </c>
      <c r="D9" s="455">
        <f>+'Purchased Power Model '!D9</f>
        <v>59.1</v>
      </c>
      <c r="E9" s="443">
        <f>+'Purchased Power Model '!E9</f>
        <v>5.0999999999999997E-2</v>
      </c>
      <c r="F9" s="53">
        <f>+'Purchased Power Model '!F9</f>
        <v>31</v>
      </c>
      <c r="G9" s="53">
        <f>+'Purchased Power Model '!G9</f>
        <v>0</v>
      </c>
      <c r="H9" s="17">
        <v>43379.41666666665</v>
      </c>
      <c r="I9" s="456">
        <f t="shared" si="0"/>
        <v>36040976.281327605</v>
      </c>
      <c r="J9" s="457">
        <f t="shared" si="1"/>
        <v>-2559567.7186723948</v>
      </c>
      <c r="K9" s="5">
        <f t="shared" si="2"/>
        <v>-6.6309110013382064E-2</v>
      </c>
      <c r="M9" s="47" t="s">
        <v>24</v>
      </c>
      <c r="N9" s="60">
        <v>171</v>
      </c>
      <c r="O9"/>
      <c r="P9"/>
      <c r="Q9"/>
    </row>
    <row r="10" spans="1:18" x14ac:dyDescent="0.2">
      <c r="A10" s="453">
        <v>37834</v>
      </c>
      <c r="B10" s="454">
        <v>32614074</v>
      </c>
      <c r="C10" s="455">
        <f>+'Purchased Power Model '!C10</f>
        <v>10.4</v>
      </c>
      <c r="D10" s="455">
        <f>+'Purchased Power Model '!D10</f>
        <v>106.5</v>
      </c>
      <c r="E10" s="443">
        <f>+'Purchased Power Model '!E10</f>
        <v>5.0999999999999997E-2</v>
      </c>
      <c r="F10" s="53">
        <f>+'Purchased Power Model '!F10</f>
        <v>31</v>
      </c>
      <c r="G10" s="53">
        <f>+'Purchased Power Model '!G10</f>
        <v>0</v>
      </c>
      <c r="H10" s="17">
        <v>43439.333333333314</v>
      </c>
      <c r="I10" s="456">
        <f t="shared" si="0"/>
        <v>39359544.252833128</v>
      </c>
      <c r="J10" s="457">
        <f t="shared" si="1"/>
        <v>6745470.252833128</v>
      </c>
      <c r="K10" s="5">
        <f t="shared" si="2"/>
        <v>0.20682697453967658</v>
      </c>
      <c r="M10"/>
      <c r="N10"/>
      <c r="O10"/>
      <c r="P10"/>
      <c r="Q10"/>
    </row>
    <row r="11" spans="1:18" ht="13.5" thickBot="1" x14ac:dyDescent="0.25">
      <c r="A11" s="453">
        <v>37865</v>
      </c>
      <c r="B11" s="454">
        <v>37763990</v>
      </c>
      <c r="C11" s="455">
        <f>+'Purchased Power Model '!C11</f>
        <v>55.2</v>
      </c>
      <c r="D11" s="455">
        <f>+'Purchased Power Model '!D11</f>
        <v>12.1</v>
      </c>
      <c r="E11" s="443">
        <f>+'Purchased Power Model '!E11</f>
        <v>5.0999999999999997E-2</v>
      </c>
      <c r="F11" s="53">
        <f>+'Purchased Power Model '!F11</f>
        <v>30</v>
      </c>
      <c r="G11" s="53">
        <f>+'Purchased Power Model '!G11</f>
        <v>1</v>
      </c>
      <c r="H11" s="17">
        <v>43499.249999999978</v>
      </c>
      <c r="I11" s="456">
        <f t="shared" si="0"/>
        <v>36179477.102105543</v>
      </c>
      <c r="J11" s="457">
        <f t="shared" si="1"/>
        <v>-1584512.897894457</v>
      </c>
      <c r="K11" s="5">
        <f t="shared" si="2"/>
        <v>-4.1958302019846343E-2</v>
      </c>
      <c r="M11" t="s">
        <v>25</v>
      </c>
      <c r="N11"/>
      <c r="O11"/>
      <c r="P11"/>
      <c r="Q11"/>
    </row>
    <row r="12" spans="1:18" x14ac:dyDescent="0.2">
      <c r="A12" s="453">
        <v>37895</v>
      </c>
      <c r="B12" s="454">
        <v>40526308</v>
      </c>
      <c r="C12" s="455">
        <f>+'Purchased Power Model '!C12</f>
        <v>289.7</v>
      </c>
      <c r="D12" s="455">
        <f>+'Purchased Power Model '!D12</f>
        <v>0</v>
      </c>
      <c r="E12" s="443">
        <f>+'Purchased Power Model '!E12</f>
        <v>4.8000000000000001E-2</v>
      </c>
      <c r="F12" s="53">
        <f>+'Purchased Power Model '!F12</f>
        <v>31</v>
      </c>
      <c r="G12" s="53">
        <f>+'Purchased Power Model '!G12</f>
        <v>1</v>
      </c>
      <c r="H12" s="17">
        <v>43559.166666666642</v>
      </c>
      <c r="I12" s="456">
        <f t="shared" si="0"/>
        <v>37797513.010129221</v>
      </c>
      <c r="J12" s="457">
        <f t="shared" si="1"/>
        <v>-2728794.9898707792</v>
      </c>
      <c r="K12" s="5">
        <f t="shared" si="2"/>
        <v>-6.7333915289563978E-2</v>
      </c>
      <c r="M12" s="48"/>
      <c r="N12" s="48" t="s">
        <v>29</v>
      </c>
      <c r="O12" s="48" t="s">
        <v>30</v>
      </c>
      <c r="P12" s="48" t="s">
        <v>31</v>
      </c>
      <c r="Q12" s="48" t="s">
        <v>32</v>
      </c>
      <c r="R12" s="48" t="s">
        <v>33</v>
      </c>
    </row>
    <row r="13" spans="1:18" x14ac:dyDescent="0.2">
      <c r="A13" s="453">
        <v>37926</v>
      </c>
      <c r="B13" s="454">
        <v>27741371</v>
      </c>
      <c r="C13" s="455">
        <f>+'Purchased Power Model '!C13</f>
        <v>387.6</v>
      </c>
      <c r="D13" s="455">
        <f>+'Purchased Power Model '!D13</f>
        <v>0</v>
      </c>
      <c r="E13" s="443">
        <f>+'Purchased Power Model '!E13</f>
        <v>4.8000000000000001E-2</v>
      </c>
      <c r="F13" s="53">
        <f>+'Purchased Power Model '!F13</f>
        <v>30</v>
      </c>
      <c r="G13" s="53">
        <f>+'Purchased Power Model '!G13</f>
        <v>1</v>
      </c>
      <c r="H13" s="17">
        <v>43619.083333333307</v>
      </c>
      <c r="I13" s="456">
        <f t="shared" si="0"/>
        <v>40249809.64316313</v>
      </c>
      <c r="J13" s="457">
        <f t="shared" si="1"/>
        <v>12508438.64316313</v>
      </c>
      <c r="K13" s="5">
        <f t="shared" si="2"/>
        <v>0.45089475365738518</v>
      </c>
      <c r="M13" s="35" t="s">
        <v>26</v>
      </c>
      <c r="N13" s="59">
        <v>5</v>
      </c>
      <c r="O13" s="59">
        <v>1302257324045538</v>
      </c>
      <c r="P13" s="59">
        <v>260451464809107.59</v>
      </c>
      <c r="Q13" s="59">
        <v>8.549354462394323</v>
      </c>
      <c r="R13" s="59">
        <v>3.2098272049535564E-7</v>
      </c>
    </row>
    <row r="14" spans="1:18" x14ac:dyDescent="0.2">
      <c r="A14" s="453">
        <v>37956</v>
      </c>
      <c r="B14" s="454">
        <v>38757231</v>
      </c>
      <c r="C14" s="455">
        <f>+'Purchased Power Model '!C14</f>
        <v>548.20000000000005</v>
      </c>
      <c r="D14" s="455">
        <f>+'Purchased Power Model '!D14</f>
        <v>0</v>
      </c>
      <c r="E14" s="443">
        <f>+'Purchased Power Model '!E14</f>
        <v>4.8000000000000001E-2</v>
      </c>
      <c r="F14" s="53">
        <f>+'Purchased Power Model '!F14</f>
        <v>31</v>
      </c>
      <c r="G14" s="53">
        <f>+'Purchased Power Model '!G14</f>
        <v>0</v>
      </c>
      <c r="H14" s="17">
        <v>43679</v>
      </c>
      <c r="I14" s="456">
        <f t="shared" si="0"/>
        <v>40024358.779744431</v>
      </c>
      <c r="J14" s="457">
        <f t="shared" si="1"/>
        <v>1267127.7797444314</v>
      </c>
      <c r="K14" s="5">
        <f t="shared" si="2"/>
        <v>3.2693970829454543E-2</v>
      </c>
      <c r="M14" s="35" t="s">
        <v>27</v>
      </c>
      <c r="N14" s="59">
        <v>165</v>
      </c>
      <c r="O14" s="59">
        <v>5026635856839578</v>
      </c>
      <c r="P14" s="59">
        <v>30464459738421.684</v>
      </c>
      <c r="Q14" s="59"/>
      <c r="R14" s="59"/>
    </row>
    <row r="15" spans="1:18" ht="13.5" thickBot="1" x14ac:dyDescent="0.25">
      <c r="A15" s="453">
        <v>37987</v>
      </c>
      <c r="B15" s="454">
        <v>37554420</v>
      </c>
      <c r="C15" s="455">
        <f>+'Purchased Power Model '!C15</f>
        <v>828.8</v>
      </c>
      <c r="D15" s="455">
        <f>+'Purchased Power Model '!D15</f>
        <v>0</v>
      </c>
      <c r="E15" s="443">
        <f>+'Purchased Power Model '!E15</f>
        <v>5.0999999999999997E-2</v>
      </c>
      <c r="F15" s="53">
        <f>+'Purchased Power Model '!F15</f>
        <v>31</v>
      </c>
      <c r="G15" s="53">
        <f>+'Purchased Power Model '!G15</f>
        <v>0</v>
      </c>
      <c r="H15" s="17">
        <v>43701</v>
      </c>
      <c r="I15" s="456">
        <f t="shared" si="0"/>
        <v>44268994.397315353</v>
      </c>
      <c r="J15" s="457">
        <f t="shared" si="1"/>
        <v>6714574.3973153532</v>
      </c>
      <c r="K15" s="5">
        <f t="shared" si="2"/>
        <v>0.17879584872607149</v>
      </c>
      <c r="M15" s="47" t="s">
        <v>9</v>
      </c>
      <c r="N15" s="60">
        <v>170</v>
      </c>
      <c r="O15" s="60">
        <v>6328893180885116</v>
      </c>
      <c r="P15" s="60"/>
      <c r="Q15" s="60"/>
      <c r="R15" s="60"/>
    </row>
    <row r="16" spans="1:18" ht="13.5" thickBot="1" x14ac:dyDescent="0.25">
      <c r="A16" s="453">
        <v>38018</v>
      </c>
      <c r="B16" s="454">
        <v>41985280</v>
      </c>
      <c r="C16" s="455">
        <f>+'Purchased Power Model '!C16</f>
        <v>615.6</v>
      </c>
      <c r="D16" s="455">
        <f>+'Purchased Power Model '!D16</f>
        <v>0</v>
      </c>
      <c r="E16" s="443">
        <f>+'Purchased Power Model '!E16</f>
        <v>5.0999999999999997E-2</v>
      </c>
      <c r="F16" s="53">
        <f>+'Purchased Power Model '!F16</f>
        <v>29</v>
      </c>
      <c r="G16" s="53">
        <f>+'Purchased Power Model '!G16</f>
        <v>0</v>
      </c>
      <c r="H16" s="17">
        <v>43651</v>
      </c>
      <c r="I16" s="456">
        <f t="shared" si="0"/>
        <v>43072471.472673938</v>
      </c>
      <c r="J16" s="457">
        <f t="shared" si="1"/>
        <v>1087191.4726739377</v>
      </c>
      <c r="K16" s="5">
        <f t="shared" si="2"/>
        <v>2.5894586690238523E-2</v>
      </c>
      <c r="M16"/>
      <c r="N16"/>
      <c r="O16"/>
      <c r="P16"/>
      <c r="Q16"/>
    </row>
    <row r="17" spans="1:21" x14ac:dyDescent="0.2">
      <c r="A17" s="453">
        <v>38047</v>
      </c>
      <c r="B17" s="454">
        <v>55939840</v>
      </c>
      <c r="C17" s="455">
        <f>+'Purchased Power Model '!C17</f>
        <v>487.1</v>
      </c>
      <c r="D17" s="455">
        <f>+'Purchased Power Model '!D17</f>
        <v>0</v>
      </c>
      <c r="E17" s="443">
        <f>+'Purchased Power Model '!E17</f>
        <v>5.0999999999999997E-2</v>
      </c>
      <c r="F17" s="53">
        <f>+'Purchased Power Model '!F17</f>
        <v>31</v>
      </c>
      <c r="G17" s="53">
        <f>+'Purchased Power Model '!G17</f>
        <v>1</v>
      </c>
      <c r="H17" s="17">
        <v>43792</v>
      </c>
      <c r="I17" s="456">
        <f t="shared" si="0"/>
        <v>40801041.373257592</v>
      </c>
      <c r="J17" s="457">
        <f t="shared" si="1"/>
        <v>-15138798.626742408</v>
      </c>
      <c r="K17" s="5">
        <f t="shared" si="2"/>
        <v>-0.27062641986002117</v>
      </c>
      <c r="M17" s="48"/>
      <c r="N17" s="48" t="s">
        <v>34</v>
      </c>
      <c r="O17" s="48" t="s">
        <v>23</v>
      </c>
      <c r="P17" s="48" t="s">
        <v>35</v>
      </c>
      <c r="Q17" s="48" t="s">
        <v>36</v>
      </c>
      <c r="R17" s="48" t="s">
        <v>37</v>
      </c>
      <c r="S17" s="48" t="s">
        <v>38</v>
      </c>
      <c r="T17" s="48" t="s">
        <v>39</v>
      </c>
      <c r="U17" s="48" t="s">
        <v>40</v>
      </c>
    </row>
    <row r="18" spans="1:21" x14ac:dyDescent="0.2">
      <c r="A18" s="453">
        <v>38078</v>
      </c>
      <c r="B18" s="454">
        <v>43979734</v>
      </c>
      <c r="C18" s="455">
        <f>+'Purchased Power Model '!C18</f>
        <v>345</v>
      </c>
      <c r="D18" s="455">
        <f>+'Purchased Power Model '!D18</f>
        <v>0</v>
      </c>
      <c r="E18" s="443">
        <f>+'Purchased Power Model '!E18</f>
        <v>5.2999999999999999E-2</v>
      </c>
      <c r="F18" s="53">
        <f>+'Purchased Power Model '!F18</f>
        <v>30</v>
      </c>
      <c r="G18" s="53">
        <f>+'Purchased Power Model '!G18</f>
        <v>1</v>
      </c>
      <c r="H18" s="17">
        <v>43854</v>
      </c>
      <c r="I18" s="456">
        <f t="shared" si="0"/>
        <v>39712475.635986969</v>
      </c>
      <c r="J18" s="457">
        <f t="shared" si="1"/>
        <v>-4267258.3640130311</v>
      </c>
      <c r="K18" s="5">
        <f t="shared" si="2"/>
        <v>-9.7027834775286065E-2</v>
      </c>
      <c r="M18" s="35" t="s">
        <v>28</v>
      </c>
      <c r="N18" s="59">
        <v>61653785.077374235</v>
      </c>
      <c r="O18" s="59">
        <v>16392362.687559346</v>
      </c>
      <c r="P18" s="59">
        <v>3.761128658052761</v>
      </c>
      <c r="Q18" s="59">
        <v>2.3459509450699653E-4</v>
      </c>
      <c r="R18" s="59">
        <v>29287956.20203327</v>
      </c>
      <c r="S18" s="59">
        <v>94019613.952715203</v>
      </c>
      <c r="T18" s="59">
        <v>29287956.20203327</v>
      </c>
      <c r="U18" s="59">
        <v>94019613.952715203</v>
      </c>
    </row>
    <row r="19" spans="1:21" x14ac:dyDescent="0.2">
      <c r="A19" s="453">
        <v>38108</v>
      </c>
      <c r="B19" s="454">
        <v>34023750</v>
      </c>
      <c r="C19" s="455">
        <f>+'Purchased Power Model '!C19</f>
        <v>177.5</v>
      </c>
      <c r="D19" s="455">
        <f>+'Purchased Power Model '!D19</f>
        <v>0</v>
      </c>
      <c r="E19" s="443">
        <f>+'Purchased Power Model '!E19</f>
        <v>5.2999999999999999E-2</v>
      </c>
      <c r="F19" s="53">
        <f>+'Purchased Power Model '!F19</f>
        <v>31</v>
      </c>
      <c r="G19" s="53">
        <f>+'Purchased Power Model '!G19</f>
        <v>1</v>
      </c>
      <c r="H19" s="17">
        <v>43892</v>
      </c>
      <c r="I19" s="456">
        <f t="shared" si="0"/>
        <v>36221945.049717464</v>
      </c>
      <c r="J19" s="457">
        <f t="shared" si="1"/>
        <v>2198195.0497174636</v>
      </c>
      <c r="K19" s="5">
        <f t="shared" si="2"/>
        <v>6.4607665225539915E-2</v>
      </c>
      <c r="M19" s="35" t="s">
        <v>3</v>
      </c>
      <c r="N19" s="59">
        <v>14917.154500511571</v>
      </c>
      <c r="O19" s="59">
        <v>2548.479889363156</v>
      </c>
      <c r="P19" s="59">
        <v>5.8533538219284296</v>
      </c>
      <c r="Q19" s="59">
        <v>2.5296467641485758E-8</v>
      </c>
      <c r="R19" s="59">
        <v>9885.3195195801709</v>
      </c>
      <c r="S19" s="59">
        <v>19948.989481442972</v>
      </c>
      <c r="T19" s="59">
        <v>9885.3195195801709</v>
      </c>
      <c r="U19" s="59">
        <v>19948.989481442972</v>
      </c>
    </row>
    <row r="20" spans="1:21" x14ac:dyDescent="0.2">
      <c r="A20" s="453">
        <v>38139</v>
      </c>
      <c r="B20" s="454">
        <v>36677978</v>
      </c>
      <c r="C20" s="455">
        <f>+'Purchased Power Model '!C20</f>
        <v>73.2</v>
      </c>
      <c r="D20" s="455">
        <f>+'Purchased Power Model '!D20</f>
        <v>15.6</v>
      </c>
      <c r="E20" s="443">
        <f>+'Purchased Power Model '!E20</f>
        <v>5.2999999999999999E-2</v>
      </c>
      <c r="F20" s="53">
        <f>+'Purchased Power Model '!F20</f>
        <v>30</v>
      </c>
      <c r="G20" s="53">
        <f>+'Purchased Power Model '!G20</f>
        <v>0</v>
      </c>
      <c r="H20" s="17">
        <v>43974</v>
      </c>
      <c r="I20" s="456">
        <f t="shared" si="0"/>
        <v>35097866.918021157</v>
      </c>
      <c r="J20" s="457">
        <f t="shared" si="1"/>
        <v>-1580111.0819788426</v>
      </c>
      <c r="K20" s="5">
        <f t="shared" si="2"/>
        <v>-4.3080648610968754E-2</v>
      </c>
      <c r="M20" s="35" t="s">
        <v>4</v>
      </c>
      <c r="N20" s="59">
        <v>68532.855387196614</v>
      </c>
      <c r="O20" s="59">
        <v>19625.928924539709</v>
      </c>
      <c r="P20" s="59">
        <v>3.491954732471545</v>
      </c>
      <c r="Q20" s="59">
        <v>6.1539165356592335E-4</v>
      </c>
      <c r="R20" s="59">
        <v>29782.525785635502</v>
      </c>
      <c r="S20" s="59">
        <v>107283.18498875773</v>
      </c>
      <c r="T20" s="59">
        <v>29782.525785635502</v>
      </c>
      <c r="U20" s="59">
        <v>107283.18498875773</v>
      </c>
    </row>
    <row r="21" spans="1:21" x14ac:dyDescent="0.2">
      <c r="A21" s="453">
        <v>38169</v>
      </c>
      <c r="B21" s="454">
        <v>38845733</v>
      </c>
      <c r="C21" s="455">
        <f>+'Purchased Power Model '!C21</f>
        <v>2</v>
      </c>
      <c r="D21" s="455">
        <f>+'Purchased Power Model '!D21</f>
        <v>69.3</v>
      </c>
      <c r="E21" s="443">
        <f>+'Purchased Power Model '!E21</f>
        <v>5.2999999999999999E-2</v>
      </c>
      <c r="F21" s="53">
        <f>+'Purchased Power Model '!F21</f>
        <v>31</v>
      </c>
      <c r="G21" s="53">
        <f>+'Purchased Power Model '!G21</f>
        <v>0</v>
      </c>
      <c r="H21" s="17">
        <v>44060</v>
      </c>
      <c r="I21" s="456">
        <f t="shared" si="0"/>
        <v>36724072.644443378</v>
      </c>
      <c r="J21" s="457">
        <f t="shared" si="1"/>
        <v>-2121660.3555566221</v>
      </c>
      <c r="K21" s="5">
        <f t="shared" si="2"/>
        <v>-5.4617590960546997E-2</v>
      </c>
      <c r="M21" s="35" t="s">
        <v>217</v>
      </c>
      <c r="N21" s="59">
        <v>19627354.909127492</v>
      </c>
      <c r="O21" s="59">
        <v>29537662.284056161</v>
      </c>
      <c r="P21" s="59">
        <v>0.66448572403517348</v>
      </c>
      <c r="Q21" s="59">
        <v>0.50730705387034147</v>
      </c>
      <c r="R21" s="59">
        <v>-38693153.310771763</v>
      </c>
      <c r="S21" s="59">
        <v>77947863.129026741</v>
      </c>
      <c r="T21" s="59">
        <v>-38693153.310771763</v>
      </c>
      <c r="U21" s="59">
        <v>77947863.129026741</v>
      </c>
    </row>
    <row r="22" spans="1:21" x14ac:dyDescent="0.2">
      <c r="A22" s="453">
        <v>38200</v>
      </c>
      <c r="B22" s="454">
        <v>46901464</v>
      </c>
      <c r="C22" s="455">
        <f>+'Purchased Power Model '!C22</f>
        <v>19.600000000000001</v>
      </c>
      <c r="D22" s="455">
        <f>+'Purchased Power Model '!D22</f>
        <v>53.6</v>
      </c>
      <c r="E22" s="443">
        <f>+'Purchased Power Model '!E22</f>
        <v>5.2999999999999999E-2</v>
      </c>
      <c r="F22" s="53">
        <f>+'Purchased Power Model '!F22</f>
        <v>31</v>
      </c>
      <c r="G22" s="53">
        <f>+'Purchased Power Model '!G22</f>
        <v>0</v>
      </c>
      <c r="H22" s="17">
        <v>44140</v>
      </c>
      <c r="I22" s="456">
        <f t="shared" si="0"/>
        <v>35910648.734073386</v>
      </c>
      <c r="J22" s="457">
        <f t="shared" si="1"/>
        <v>-10990815.265926614</v>
      </c>
      <c r="K22" s="5">
        <f t="shared" si="2"/>
        <v>-0.2343384263213322</v>
      </c>
      <c r="M22" s="35" t="s">
        <v>5</v>
      </c>
      <c r="N22" s="59">
        <v>-991907.20743381837</v>
      </c>
      <c r="O22" s="59">
        <v>535644.69373867067</v>
      </c>
      <c r="P22" s="59">
        <v>-1.8518006787494625</v>
      </c>
      <c r="Q22" s="59">
        <v>6.5841432920054885E-2</v>
      </c>
      <c r="R22" s="59">
        <v>-2049508.532268309</v>
      </c>
      <c r="S22" s="59">
        <v>65694.117400672287</v>
      </c>
      <c r="T22" s="59">
        <v>-2049508.532268309</v>
      </c>
      <c r="U22" s="59">
        <v>65694.117400672287</v>
      </c>
    </row>
    <row r="23" spans="1:21" ht="13.5" thickBot="1" x14ac:dyDescent="0.25">
      <c r="A23" s="453">
        <v>38231</v>
      </c>
      <c r="B23" s="454">
        <v>33994099</v>
      </c>
      <c r="C23" s="455">
        <f>+'Purchased Power Model '!C23</f>
        <v>41.7</v>
      </c>
      <c r="D23" s="455">
        <f>+'Purchased Power Model '!D23</f>
        <v>26.7</v>
      </c>
      <c r="E23" s="443">
        <f>+'Purchased Power Model '!E23</f>
        <v>5.2999999999999999E-2</v>
      </c>
      <c r="F23" s="53">
        <f>+'Purchased Power Model '!F23</f>
        <v>30</v>
      </c>
      <c r="G23" s="53">
        <f>+'Purchased Power Model '!G23</f>
        <v>1</v>
      </c>
      <c r="H23" s="17">
        <v>44155</v>
      </c>
      <c r="I23" s="456">
        <f t="shared" si="0"/>
        <v>37017929.914819956</v>
      </c>
      <c r="J23" s="457">
        <f t="shared" si="1"/>
        <v>3023830.9148199558</v>
      </c>
      <c r="K23" s="5">
        <f t="shared" si="2"/>
        <v>8.8951641719345345E-2</v>
      </c>
      <c r="M23" s="47" t="s">
        <v>17</v>
      </c>
      <c r="N23" s="60">
        <v>1629238.668767038</v>
      </c>
      <c r="O23" s="60">
        <v>1077154.7598788058</v>
      </c>
      <c r="P23" s="60">
        <v>1.5125390792965989</v>
      </c>
      <c r="Q23" s="60">
        <v>0.13230976556673352</v>
      </c>
      <c r="R23" s="60">
        <v>-497544.83980887919</v>
      </c>
      <c r="S23" s="60">
        <v>3756022.177342955</v>
      </c>
      <c r="T23" s="60">
        <v>-497544.83980887919</v>
      </c>
      <c r="U23" s="60">
        <v>3756022.177342955</v>
      </c>
    </row>
    <row r="24" spans="1:21" x14ac:dyDescent="0.2">
      <c r="A24" s="453">
        <v>38261</v>
      </c>
      <c r="B24" s="454">
        <v>6476689</v>
      </c>
      <c r="C24" s="455">
        <f>+'Purchased Power Model '!C24</f>
        <v>235</v>
      </c>
      <c r="D24" s="455">
        <f>+'Purchased Power Model '!D24</f>
        <v>0</v>
      </c>
      <c r="E24" s="443">
        <f>+'Purchased Power Model '!E24</f>
        <v>5.7999999999999996E-2</v>
      </c>
      <c r="F24" s="53">
        <f>+'Purchased Power Model '!F24</f>
        <v>31</v>
      </c>
      <c r="G24" s="53">
        <f>+'Purchased Power Model '!G24</f>
        <v>1</v>
      </c>
      <c r="H24" s="17">
        <v>44155</v>
      </c>
      <c r="I24" s="456">
        <f t="shared" si="0"/>
        <v>37177818.208042517</v>
      </c>
      <c r="J24" s="457">
        <f t="shared" si="1"/>
        <v>30701129.208042517</v>
      </c>
      <c r="K24" s="5">
        <f t="shared" si="2"/>
        <v>4.7402506447418604</v>
      </c>
      <c r="M24"/>
      <c r="N24"/>
      <c r="O24"/>
      <c r="P24"/>
      <c r="Q24"/>
    </row>
    <row r="25" spans="1:21" x14ac:dyDescent="0.2">
      <c r="A25" s="453">
        <v>38292</v>
      </c>
      <c r="B25" s="454">
        <v>37578865</v>
      </c>
      <c r="C25" s="455">
        <f>+'Purchased Power Model '!C25</f>
        <v>385.7</v>
      </c>
      <c r="D25" s="455">
        <f>+'Purchased Power Model '!D25</f>
        <v>0</v>
      </c>
      <c r="E25" s="443">
        <f>+'Purchased Power Model '!E25</f>
        <v>5.7999999999999996E-2</v>
      </c>
      <c r="F25" s="53">
        <f>+'Purchased Power Model '!F25</f>
        <v>30</v>
      </c>
      <c r="G25" s="53">
        <f>+'Purchased Power Model '!G25</f>
        <v>1</v>
      </c>
      <c r="H25" s="17">
        <v>44247</v>
      </c>
      <c r="I25" s="456">
        <f t="shared" si="0"/>
        <v>40417740.598703429</v>
      </c>
      <c r="J25" s="457">
        <f t="shared" si="1"/>
        <v>2838875.5987034291</v>
      </c>
      <c r="K25" s="5">
        <f t="shared" si="2"/>
        <v>7.5544474233147516E-2</v>
      </c>
      <c r="M25"/>
      <c r="N25"/>
      <c r="O25"/>
      <c r="P25"/>
      <c r="Q25"/>
    </row>
    <row r="26" spans="1:21" x14ac:dyDescent="0.2">
      <c r="A26" s="453">
        <v>38322</v>
      </c>
      <c r="B26" s="454">
        <v>34208828</v>
      </c>
      <c r="C26" s="455">
        <f>+'Purchased Power Model '!C26</f>
        <v>627.5</v>
      </c>
      <c r="D26" s="455">
        <f>+'Purchased Power Model '!D26</f>
        <v>0</v>
      </c>
      <c r="E26" s="443">
        <f>+'Purchased Power Model '!E26</f>
        <v>5.7999999999999996E-2</v>
      </c>
      <c r="F26" s="53">
        <f>+'Purchased Power Model '!F26</f>
        <v>31</v>
      </c>
      <c r="G26" s="53">
        <f>+'Purchased Power Model '!G26</f>
        <v>0</v>
      </c>
      <c r="H26" s="17">
        <v>44280</v>
      </c>
      <c r="I26" s="456">
        <f t="shared" si="0"/>
        <v>41403562.68072626</v>
      </c>
      <c r="J26" s="457">
        <f t="shared" si="1"/>
        <v>7194734.6807262599</v>
      </c>
      <c r="K26" s="5">
        <f t="shared" si="2"/>
        <v>0.21031806996504704</v>
      </c>
      <c r="M26"/>
      <c r="N26"/>
      <c r="O26"/>
      <c r="P26"/>
      <c r="Q26"/>
    </row>
    <row r="27" spans="1:21" x14ac:dyDescent="0.2">
      <c r="A27" s="453">
        <v>38353</v>
      </c>
      <c r="B27" s="454">
        <v>44668867</v>
      </c>
      <c r="C27" s="455">
        <f>+'Purchased Power Model '!C27</f>
        <v>745.5</v>
      </c>
      <c r="D27" s="455">
        <f>+'Purchased Power Model '!D27</f>
        <v>0</v>
      </c>
      <c r="E27" s="443">
        <f>+'Purchased Power Model '!E27</f>
        <v>7.2000000000000008E-2</v>
      </c>
      <c r="F27" s="53">
        <f>+'Purchased Power Model '!F27</f>
        <v>31</v>
      </c>
      <c r="G27" s="53">
        <f>+'Purchased Power Model '!G27</f>
        <v>0</v>
      </c>
      <c r="H27" s="17">
        <v>44293</v>
      </c>
      <c r="I27" s="456">
        <f t="shared" si="0"/>
        <v>43438569.880514428</v>
      </c>
      <c r="J27" s="457">
        <f t="shared" si="1"/>
        <v>-1230297.119485572</v>
      </c>
      <c r="K27" s="5">
        <f t="shared" si="2"/>
        <v>-2.7542608579831943E-2</v>
      </c>
      <c r="M27"/>
      <c r="N27"/>
      <c r="O27"/>
      <c r="P27"/>
      <c r="Q27"/>
    </row>
    <row r="28" spans="1:21" x14ac:dyDescent="0.2">
      <c r="A28" s="453">
        <v>38384</v>
      </c>
      <c r="B28" s="454">
        <v>44845667</v>
      </c>
      <c r="C28" s="455">
        <f>+'Purchased Power Model '!C28</f>
        <v>589.5</v>
      </c>
      <c r="D28" s="455">
        <f>+'Purchased Power Model '!D28</f>
        <v>0</v>
      </c>
      <c r="E28" s="443">
        <f>+'Purchased Power Model '!E28</f>
        <v>7.2000000000000008E-2</v>
      </c>
      <c r="F28" s="53">
        <f>+'Purchased Power Model '!F28</f>
        <v>28</v>
      </c>
      <c r="G28" s="53">
        <f>+'Purchased Power Model '!G28</f>
        <v>0</v>
      </c>
      <c r="H28" s="17">
        <v>44305</v>
      </c>
      <c r="I28" s="456">
        <f t="shared" si="0"/>
        <v>44087215.400736071</v>
      </c>
      <c r="J28" s="457">
        <f t="shared" si="1"/>
        <v>-758451.59926392883</v>
      </c>
      <c r="K28" s="5">
        <f t="shared" si="2"/>
        <v>-1.6912483412587637E-2</v>
      </c>
    </row>
    <row r="29" spans="1:21" x14ac:dyDescent="0.2">
      <c r="A29" s="453">
        <v>38412</v>
      </c>
      <c r="B29" s="454">
        <v>46098988</v>
      </c>
      <c r="C29" s="455">
        <f>+'Purchased Power Model '!C29</f>
        <v>578.29999999999995</v>
      </c>
      <c r="D29" s="455">
        <f>+'Purchased Power Model '!D29</f>
        <v>0</v>
      </c>
      <c r="E29" s="443">
        <f>+'Purchased Power Model '!E29</f>
        <v>7.2000000000000008E-2</v>
      </c>
      <c r="F29" s="53">
        <f>+'Purchased Power Model '!F29</f>
        <v>31</v>
      </c>
      <c r="G29" s="53">
        <f>+'Purchased Power Model '!G29</f>
        <v>1</v>
      </c>
      <c r="H29" s="17">
        <v>44318</v>
      </c>
      <c r="I29" s="456">
        <f t="shared" si="0"/>
        <v>42573660.31679593</v>
      </c>
      <c r="J29" s="457">
        <f t="shared" si="1"/>
        <v>-3525327.6832040697</v>
      </c>
      <c r="K29" s="5">
        <f t="shared" si="2"/>
        <v>-7.6472995094904683E-2</v>
      </c>
    </row>
    <row r="30" spans="1:21" x14ac:dyDescent="0.2">
      <c r="A30" s="453">
        <v>38443</v>
      </c>
      <c r="B30" s="454">
        <v>43439251</v>
      </c>
      <c r="C30" s="455">
        <f>+'Purchased Power Model '!C30</f>
        <v>325.3</v>
      </c>
      <c r="D30" s="455">
        <f>+'Purchased Power Model '!D30</f>
        <v>0</v>
      </c>
      <c r="E30" s="443">
        <f>+'Purchased Power Model '!E30</f>
        <v>6.3E-2</v>
      </c>
      <c r="F30" s="53">
        <f>+'Purchased Power Model '!F30</f>
        <v>30</v>
      </c>
      <c r="G30" s="53">
        <f>+'Purchased Power Model '!G30</f>
        <v>1</v>
      </c>
      <c r="H30" s="17">
        <v>44330</v>
      </c>
      <c r="I30" s="456">
        <f t="shared" si="0"/>
        <v>39614881.241418168</v>
      </c>
      <c r="J30" s="457">
        <f t="shared" si="1"/>
        <v>-3824369.7585818321</v>
      </c>
      <c r="K30" s="5">
        <f t="shared" si="2"/>
        <v>-8.8039495860134237E-2</v>
      </c>
    </row>
    <row r="31" spans="1:21" x14ac:dyDescent="0.2">
      <c r="A31" s="453">
        <v>38473</v>
      </c>
      <c r="B31" s="454">
        <v>39709742</v>
      </c>
      <c r="C31" s="455">
        <f>+'Purchased Power Model '!C31</f>
        <v>216.1</v>
      </c>
      <c r="D31" s="455">
        <f>+'Purchased Power Model '!D31</f>
        <v>0.3</v>
      </c>
      <c r="E31" s="443">
        <f>+'Purchased Power Model '!E31</f>
        <v>6.3E-2</v>
      </c>
      <c r="F31" s="53">
        <f>+'Purchased Power Model '!F31</f>
        <v>31</v>
      </c>
      <c r="G31" s="53">
        <f>+'Purchased Power Model '!G31</f>
        <v>1</v>
      </c>
      <c r="H31" s="17">
        <v>44362</v>
      </c>
      <c r="I31" s="456">
        <f t="shared" si="0"/>
        <v>37014580.619144648</v>
      </c>
      <c r="J31" s="457">
        <f t="shared" si="1"/>
        <v>-2695161.3808553517</v>
      </c>
      <c r="K31" s="5">
        <f t="shared" si="2"/>
        <v>-6.7871540964817942E-2</v>
      </c>
    </row>
    <row r="32" spans="1:21" x14ac:dyDescent="0.2">
      <c r="A32" s="453">
        <v>38504</v>
      </c>
      <c r="B32" s="454">
        <v>33899267</v>
      </c>
      <c r="C32" s="455">
        <f>+'Purchased Power Model '!C32</f>
        <v>13.7</v>
      </c>
      <c r="D32" s="455">
        <f>+'Purchased Power Model '!D32</f>
        <v>89.9</v>
      </c>
      <c r="E32" s="443">
        <f>+'Purchased Power Model '!E32</f>
        <v>6.3E-2</v>
      </c>
      <c r="F32" s="53">
        <f>+'Purchased Power Model '!F32</f>
        <v>30</v>
      </c>
      <c r="G32" s="53">
        <f>+'Purchased Power Model '!G32</f>
        <v>0</v>
      </c>
      <c r="H32" s="17">
        <v>44418</v>
      </c>
      <c r="I32" s="456">
        <f t="shared" si="0"/>
        <v>39498560.929600701</v>
      </c>
      <c r="J32" s="457">
        <f t="shared" si="1"/>
        <v>5599293.9296007007</v>
      </c>
      <c r="K32" s="5">
        <f t="shared" si="2"/>
        <v>0.16517448384947972</v>
      </c>
    </row>
    <row r="33" spans="1:11" x14ac:dyDescent="0.2">
      <c r="A33" s="453">
        <v>38534</v>
      </c>
      <c r="B33" s="454">
        <v>33586076</v>
      </c>
      <c r="C33" s="455">
        <f>+'Purchased Power Model '!C33</f>
        <v>2.2000000000000002</v>
      </c>
      <c r="D33" s="455">
        <f>+'Purchased Power Model '!D33</f>
        <v>153</v>
      </c>
      <c r="E33" s="443">
        <f>+'Purchased Power Model '!E33</f>
        <v>5.7000000000000002E-2</v>
      </c>
      <c r="F33" s="53">
        <f>+'Purchased Power Model '!F33</f>
        <v>31</v>
      </c>
      <c r="G33" s="53">
        <f>+'Purchased Power Model '!G33</f>
        <v>0</v>
      </c>
      <c r="H33" s="17">
        <v>44588</v>
      </c>
      <c r="I33" s="456">
        <f t="shared" si="0"/>
        <v>42541765.490888342</v>
      </c>
      <c r="J33" s="457">
        <f t="shared" si="1"/>
        <v>8955689.4908883423</v>
      </c>
      <c r="K33" s="5">
        <f t="shared" si="2"/>
        <v>0.26664887826992179</v>
      </c>
    </row>
    <row r="34" spans="1:11" x14ac:dyDescent="0.2">
      <c r="A34" s="453">
        <v>38565</v>
      </c>
      <c r="B34" s="454">
        <v>53042348</v>
      </c>
      <c r="C34" s="455">
        <f>+'Purchased Power Model '!C34</f>
        <v>0</v>
      </c>
      <c r="D34" s="455">
        <f>+'Purchased Power Model '!D34</f>
        <v>108</v>
      </c>
      <c r="E34" s="443">
        <f>+'Purchased Power Model '!E34</f>
        <v>5.7000000000000002E-2</v>
      </c>
      <c r="F34" s="53">
        <f>+'Purchased Power Model '!F34</f>
        <v>31</v>
      </c>
      <c r="G34" s="53">
        <f>+'Purchased Power Model '!G34</f>
        <v>0</v>
      </c>
      <c r="H34" s="17">
        <v>44656</v>
      </c>
      <c r="I34" s="456">
        <f t="shared" si="0"/>
        <v>39424969.25856337</v>
      </c>
      <c r="J34" s="457">
        <f t="shared" si="1"/>
        <v>-13617378.74143663</v>
      </c>
      <c r="K34" s="5">
        <f t="shared" si="2"/>
        <v>-0.25672654501336611</v>
      </c>
    </row>
    <row r="35" spans="1:11" x14ac:dyDescent="0.2">
      <c r="A35" s="453">
        <v>38596</v>
      </c>
      <c r="B35" s="454">
        <v>36544285</v>
      </c>
      <c r="C35" s="455">
        <f>+'Purchased Power Model '!C35</f>
        <v>36.700000000000003</v>
      </c>
      <c r="D35" s="455">
        <f>+'Purchased Power Model '!D35</f>
        <v>32.799999999999997</v>
      </c>
      <c r="E35" s="443">
        <f>+'Purchased Power Model '!E35</f>
        <v>5.7000000000000002E-2</v>
      </c>
      <c r="F35" s="53">
        <f>+'Purchased Power Model '!F35</f>
        <v>30</v>
      </c>
      <c r="G35" s="53">
        <f>+'Purchased Power Model '!G35</f>
        <v>1</v>
      </c>
      <c r="H35" s="17">
        <v>44711</v>
      </c>
      <c r="I35" s="456">
        <f t="shared" si="0"/>
        <v>37439903.979815811</v>
      </c>
      <c r="J35" s="457">
        <f t="shared" si="1"/>
        <v>895618.97981581092</v>
      </c>
      <c r="K35" s="5">
        <f t="shared" si="2"/>
        <v>2.4507771319532204E-2</v>
      </c>
    </row>
    <row r="36" spans="1:11" x14ac:dyDescent="0.2">
      <c r="A36" s="453">
        <v>38626</v>
      </c>
      <c r="B36" s="454">
        <v>38295938</v>
      </c>
      <c r="C36" s="455">
        <f>+'Purchased Power Model '!C36</f>
        <v>223.8</v>
      </c>
      <c r="D36" s="455">
        <f>+'Purchased Power Model '!D36</f>
        <v>0.5</v>
      </c>
      <c r="E36" s="443">
        <f>+'Purchased Power Model '!E36</f>
        <v>6.7000000000000004E-2</v>
      </c>
      <c r="F36" s="53">
        <f>+'Purchased Power Model '!F36</f>
        <v>31</v>
      </c>
      <c r="G36" s="53">
        <f>+'Purchased Power Model '!G36</f>
        <v>1</v>
      </c>
      <c r="H36" s="17">
        <v>44814</v>
      </c>
      <c r="I36" s="456">
        <f t="shared" si="0"/>
        <v>37221658.699512526</v>
      </c>
      <c r="J36" s="457">
        <f t="shared" si="1"/>
        <v>-1074279.3004874736</v>
      </c>
      <c r="K36" s="5">
        <f t="shared" si="2"/>
        <v>-2.8052043025750501E-2</v>
      </c>
    </row>
    <row r="37" spans="1:11" x14ac:dyDescent="0.2">
      <c r="A37" s="453">
        <v>38657</v>
      </c>
      <c r="B37" s="454">
        <v>33107637</v>
      </c>
      <c r="C37" s="455">
        <f>+'Purchased Power Model '!C37</f>
        <v>398.5</v>
      </c>
      <c r="D37" s="455">
        <f>+'Purchased Power Model '!D37</f>
        <v>0</v>
      </c>
      <c r="E37" s="443">
        <f>+'Purchased Power Model '!E37</f>
        <v>6.7000000000000004E-2</v>
      </c>
      <c r="F37" s="53">
        <f>+'Purchased Power Model '!F37</f>
        <v>30</v>
      </c>
      <c r="G37" s="53">
        <f>+'Purchased Power Model '!G37</f>
        <v>1</v>
      </c>
      <c r="H37" s="17">
        <v>44877</v>
      </c>
      <c r="I37" s="456">
        <f t="shared" si="0"/>
        <v>40785326.370492131</v>
      </c>
      <c r="J37" s="457">
        <f t="shared" si="1"/>
        <v>7677689.3704921305</v>
      </c>
      <c r="K37" s="5">
        <f t="shared" si="2"/>
        <v>0.23190085630370208</v>
      </c>
    </row>
    <row r="38" spans="1:11" x14ac:dyDescent="0.2">
      <c r="A38" s="453">
        <v>38687</v>
      </c>
      <c r="B38" s="454">
        <v>38766635</v>
      </c>
      <c r="C38" s="455">
        <f>+'Purchased Power Model '!C38</f>
        <v>641.1</v>
      </c>
      <c r="D38" s="455">
        <f>+'Purchased Power Model '!D38</f>
        <v>0</v>
      </c>
      <c r="E38" s="443">
        <f>+'Purchased Power Model '!E38</f>
        <v>6.7000000000000004E-2</v>
      </c>
      <c r="F38" s="53">
        <f>+'Purchased Power Model '!F38</f>
        <v>31</v>
      </c>
      <c r="G38" s="53">
        <f>+'Purchased Power Model '!G38</f>
        <v>0</v>
      </c>
      <c r="H38" s="17">
        <v>44917</v>
      </c>
      <c r="I38" s="456">
        <f t="shared" si="0"/>
        <v>41783082.176115379</v>
      </c>
      <c r="J38" s="457">
        <f t="shared" si="1"/>
        <v>3016447.1761153787</v>
      </c>
      <c r="K38" s="5">
        <f t="shared" si="2"/>
        <v>7.7810394843797481E-2</v>
      </c>
    </row>
    <row r="39" spans="1:11" x14ac:dyDescent="0.2">
      <c r="A39" s="453">
        <v>38718</v>
      </c>
      <c r="B39" s="96">
        <v>46143445</v>
      </c>
      <c r="C39" s="455">
        <f>+'Purchased Power Model '!C39</f>
        <v>558.20000000000005</v>
      </c>
      <c r="D39" s="455">
        <f>+'Purchased Power Model '!D39</f>
        <v>0</v>
      </c>
      <c r="E39" s="443">
        <f>+'Purchased Power Model '!E39</f>
        <v>6.7000000000000004E-2</v>
      </c>
      <c r="F39" s="53">
        <f>+'Purchased Power Model '!F39</f>
        <v>31</v>
      </c>
      <c r="G39" s="53">
        <f>+'Purchased Power Model '!G39</f>
        <v>0</v>
      </c>
      <c r="H39" s="17">
        <v>44963</v>
      </c>
      <c r="I39" s="456">
        <f t="shared" si="0"/>
        <v>40546450.068022966</v>
      </c>
      <c r="J39" s="457">
        <f t="shared" si="1"/>
        <v>-5596994.9319770336</v>
      </c>
      <c r="K39" s="5">
        <f t="shared" si="2"/>
        <v>-0.12129555849107135</v>
      </c>
    </row>
    <row r="40" spans="1:11" x14ac:dyDescent="0.2">
      <c r="A40" s="453">
        <v>38749</v>
      </c>
      <c r="B40" s="96">
        <v>44745054</v>
      </c>
      <c r="C40" s="455">
        <f>+'Purchased Power Model '!C40</f>
        <v>608.79999999999995</v>
      </c>
      <c r="D40" s="455">
        <f>+'Purchased Power Model '!D40</f>
        <v>0</v>
      </c>
      <c r="E40" s="443">
        <f>+'Purchased Power Model '!E40</f>
        <v>6.7000000000000004E-2</v>
      </c>
      <c r="F40" s="53">
        <f>+'Purchased Power Model '!F40</f>
        <v>28</v>
      </c>
      <c r="G40" s="53">
        <f>+'Purchased Power Model '!G40</f>
        <v>0</v>
      </c>
      <c r="H40" s="17">
        <v>45036</v>
      </c>
      <c r="I40" s="456">
        <f t="shared" si="0"/>
        <v>44276979.708050303</v>
      </c>
      <c r="J40" s="457">
        <f t="shared" si="1"/>
        <v>-468074.29194969684</v>
      </c>
      <c r="K40" s="5">
        <f t="shared" si="2"/>
        <v>-1.0460916908262013E-2</v>
      </c>
    </row>
    <row r="41" spans="1:11" x14ac:dyDescent="0.2">
      <c r="A41" s="453">
        <v>38777</v>
      </c>
      <c r="B41" s="96">
        <v>43110864</v>
      </c>
      <c r="C41" s="455">
        <f>+'Purchased Power Model '!C41</f>
        <v>534</v>
      </c>
      <c r="D41" s="455">
        <f>+'Purchased Power Model '!D41</f>
        <v>0</v>
      </c>
      <c r="E41" s="443">
        <f>+'Purchased Power Model '!E41</f>
        <v>6.7000000000000004E-2</v>
      </c>
      <c r="F41" s="53">
        <f>+'Purchased Power Model '!F41</f>
        <v>31</v>
      </c>
      <c r="G41" s="53">
        <f>+'Purchased Power Model '!G41</f>
        <v>1</v>
      </c>
      <c r="H41" s="17">
        <v>45104</v>
      </c>
      <c r="I41" s="456">
        <f t="shared" si="0"/>
        <v>41814693.597877622</v>
      </c>
      <c r="J41" s="457">
        <f t="shared" si="1"/>
        <v>-1296170.4021223783</v>
      </c>
      <c r="K41" s="5">
        <f t="shared" si="2"/>
        <v>-3.0065980633614264E-2</v>
      </c>
    </row>
    <row r="42" spans="1:11" x14ac:dyDescent="0.2">
      <c r="A42" s="453">
        <v>38808</v>
      </c>
      <c r="B42" s="96">
        <v>39740331</v>
      </c>
      <c r="C42" s="455">
        <f>+'Purchased Power Model '!C42</f>
        <v>323.60000000000002</v>
      </c>
      <c r="D42" s="455">
        <f>+'Purchased Power Model '!D42</f>
        <v>0</v>
      </c>
      <c r="E42" s="443">
        <f>+'Purchased Power Model '!E42</f>
        <v>6.3E-2</v>
      </c>
      <c r="F42" s="53">
        <f>+'Purchased Power Model '!F42</f>
        <v>30</v>
      </c>
      <c r="G42" s="53">
        <f>+'Purchased Power Model '!G42</f>
        <v>1</v>
      </c>
      <c r="H42" s="17">
        <v>45206</v>
      </c>
      <c r="I42" s="456">
        <f t="shared" si="0"/>
        <v>39589522.0787673</v>
      </c>
      <c r="J42" s="457">
        <f t="shared" si="1"/>
        <v>-150808.92123270035</v>
      </c>
      <c r="K42" s="5">
        <f t="shared" si="2"/>
        <v>-3.7948582067094598E-3</v>
      </c>
    </row>
    <row r="43" spans="1:11" x14ac:dyDescent="0.2">
      <c r="A43" s="453">
        <v>38838</v>
      </c>
      <c r="B43" s="96">
        <v>36190353</v>
      </c>
      <c r="C43" s="455">
        <f>+'Purchased Power Model '!C43</f>
        <v>172.6</v>
      </c>
      <c r="D43" s="455">
        <f>+'Purchased Power Model '!D43</f>
        <v>12.8</v>
      </c>
      <c r="E43" s="443">
        <f>+'Purchased Power Model '!E43</f>
        <v>6.3E-2</v>
      </c>
      <c r="F43" s="53">
        <f>+'Purchased Power Model '!F43</f>
        <v>31</v>
      </c>
      <c r="G43" s="53">
        <f>+'Purchased Power Model '!G43</f>
        <v>1</v>
      </c>
      <c r="H43" s="17">
        <v>45279</v>
      </c>
      <c r="I43" s="456">
        <f t="shared" si="0"/>
        <v>37222345.090712354</v>
      </c>
      <c r="J43" s="457">
        <f t="shared" si="1"/>
        <v>1031992.0907123536</v>
      </c>
      <c r="K43" s="5">
        <f t="shared" si="2"/>
        <v>2.8515667993411216E-2</v>
      </c>
    </row>
    <row r="44" spans="1:11" x14ac:dyDescent="0.2">
      <c r="A44" s="453">
        <v>38869</v>
      </c>
      <c r="B44" s="96">
        <v>32680208</v>
      </c>
      <c r="C44" s="455">
        <f>+'Purchased Power Model '!C44</f>
        <v>22.6</v>
      </c>
      <c r="D44" s="455">
        <f>+'Purchased Power Model '!D44</f>
        <v>36.200000000000003</v>
      </c>
      <c r="E44" s="443">
        <f>+'Purchased Power Model '!E44</f>
        <v>6.3E-2</v>
      </c>
      <c r="F44" s="53">
        <f>+'Purchased Power Model '!F44</f>
        <v>30</v>
      </c>
      <c r="G44" s="53">
        <f>+'Purchased Power Model '!G44</f>
        <v>0</v>
      </c>
      <c r="H44" s="17">
        <v>45458</v>
      </c>
      <c r="I44" s="456">
        <f t="shared" si="0"/>
        <v>35951109.270362794</v>
      </c>
      <c r="J44" s="457">
        <f t="shared" si="1"/>
        <v>3270901.2703627944</v>
      </c>
      <c r="K44" s="5">
        <f t="shared" si="2"/>
        <v>0.10008814112697184</v>
      </c>
    </row>
    <row r="45" spans="1:11" x14ac:dyDescent="0.2">
      <c r="A45" s="453">
        <v>38899</v>
      </c>
      <c r="B45" s="96">
        <v>39020463</v>
      </c>
      <c r="C45" s="455">
        <f>+'Purchased Power Model '!C45</f>
        <v>1.7</v>
      </c>
      <c r="D45" s="455">
        <f>+'Purchased Power Model '!D45</f>
        <v>107.6</v>
      </c>
      <c r="E45" s="443">
        <f>+'Purchased Power Model '!E45</f>
        <v>6.6000000000000003E-2</v>
      </c>
      <c r="F45" s="53">
        <f>+'Purchased Power Model '!F45</f>
        <v>31</v>
      </c>
      <c r="G45" s="53">
        <f>+'Purchased Power Model '!G45</f>
        <v>0</v>
      </c>
      <c r="H45" s="17">
        <v>45537</v>
      </c>
      <c r="I45" s="456">
        <f t="shared" si="0"/>
        <v>39599561.473241493</v>
      </c>
      <c r="J45" s="457">
        <f t="shared" si="1"/>
        <v>579098.47324149311</v>
      </c>
      <c r="K45" s="5">
        <f t="shared" si="2"/>
        <v>1.4840891899245099E-2</v>
      </c>
    </row>
    <row r="46" spans="1:11" x14ac:dyDescent="0.2">
      <c r="A46" s="453">
        <v>38930</v>
      </c>
      <c r="B46" s="96">
        <v>41507196</v>
      </c>
      <c r="C46" s="455">
        <f>+'Purchased Power Model '!C46</f>
        <v>4.4000000000000004</v>
      </c>
      <c r="D46" s="455">
        <f>+'Purchased Power Model '!D46</f>
        <v>82.1</v>
      </c>
      <c r="E46" s="443">
        <f>+'Purchased Power Model '!E46</f>
        <v>6.6000000000000003E-2</v>
      </c>
      <c r="F46" s="53">
        <f>+'Purchased Power Model '!F46</f>
        <v>31</v>
      </c>
      <c r="G46" s="53">
        <f>+'Purchased Power Model '!G46</f>
        <v>0</v>
      </c>
      <c r="H46" s="17">
        <v>45623</v>
      </c>
      <c r="I46" s="456">
        <f t="shared" si="0"/>
        <v>37892249.978019372</v>
      </c>
      <c r="J46" s="457">
        <f t="shared" si="1"/>
        <v>-3614946.0219806284</v>
      </c>
      <c r="K46" s="5">
        <f t="shared" si="2"/>
        <v>-8.7092031511370419E-2</v>
      </c>
    </row>
    <row r="47" spans="1:11" x14ac:dyDescent="0.2">
      <c r="A47" s="453">
        <v>38961</v>
      </c>
      <c r="B47" s="96">
        <v>38710266</v>
      </c>
      <c r="C47" s="455">
        <f>+'Purchased Power Model '!C47</f>
        <v>70.7</v>
      </c>
      <c r="D47" s="455">
        <f>+'Purchased Power Model '!D47</f>
        <v>5.0999999999999996</v>
      </c>
      <c r="E47" s="443">
        <f>+'Purchased Power Model '!E47</f>
        <v>6.6000000000000003E-2</v>
      </c>
      <c r="F47" s="53">
        <f>+'Purchased Power Model '!F47</f>
        <v>30</v>
      </c>
      <c r="G47" s="53">
        <f>+'Purchased Power Model '!G47</f>
        <v>1</v>
      </c>
      <c r="H47" s="17">
        <v>45658</v>
      </c>
      <c r="I47" s="456">
        <f t="shared" si="0"/>
        <v>36225373.332790002</v>
      </c>
      <c r="J47" s="457">
        <f t="shared" si="1"/>
        <v>-2484892.6672099978</v>
      </c>
      <c r="K47" s="5">
        <f t="shared" si="2"/>
        <v>-6.4192084528946342E-2</v>
      </c>
    </row>
    <row r="48" spans="1:11" x14ac:dyDescent="0.2">
      <c r="A48" s="453">
        <v>38991</v>
      </c>
      <c r="B48" s="96">
        <v>34268485</v>
      </c>
      <c r="C48" s="455">
        <f>+'Purchased Power Model '!C48</f>
        <v>274.60000000000002</v>
      </c>
      <c r="D48" s="455">
        <f>+'Purchased Power Model '!D48</f>
        <v>0</v>
      </c>
      <c r="E48" s="443">
        <f>+'Purchased Power Model '!E48</f>
        <v>6.7000000000000004E-2</v>
      </c>
      <c r="F48" s="53">
        <f>+'Purchased Power Model '!F48</f>
        <v>31</v>
      </c>
      <c r="G48" s="53">
        <f>+'Purchased Power Model '!G48</f>
        <v>1</v>
      </c>
      <c r="H48" s="17">
        <v>45740</v>
      </c>
      <c r="I48" s="456">
        <f t="shared" si="0"/>
        <v>37945183.720444918</v>
      </c>
      <c r="J48" s="457">
        <f t="shared" si="1"/>
        <v>3676698.7204449177</v>
      </c>
      <c r="K48" s="5">
        <f t="shared" si="2"/>
        <v>0.10729096195658833</v>
      </c>
    </row>
    <row r="49" spans="1:11" x14ac:dyDescent="0.2">
      <c r="A49" s="453">
        <v>39022</v>
      </c>
      <c r="B49" s="96">
        <v>33823896</v>
      </c>
      <c r="C49" s="455">
        <f>+'Purchased Power Model '!C49</f>
        <v>367.5</v>
      </c>
      <c r="D49" s="455">
        <f>+'Purchased Power Model '!D49</f>
        <v>0</v>
      </c>
      <c r="E49" s="443">
        <f>+'Purchased Power Model '!E49</f>
        <v>6.7000000000000004E-2</v>
      </c>
      <c r="F49" s="53">
        <f>+'Purchased Power Model '!F49</f>
        <v>30</v>
      </c>
      <c r="G49" s="53">
        <f>+'Purchased Power Model '!G49</f>
        <v>1</v>
      </c>
      <c r="H49" s="17">
        <v>45885</v>
      </c>
      <c r="I49" s="456">
        <f t="shared" si="0"/>
        <v>40322894.580976278</v>
      </c>
      <c r="J49" s="457">
        <f t="shared" si="1"/>
        <v>6498998.5809762776</v>
      </c>
      <c r="K49" s="5">
        <f t="shared" si="2"/>
        <v>0.19214222338480103</v>
      </c>
    </row>
    <row r="50" spans="1:11" x14ac:dyDescent="0.2">
      <c r="A50" s="453">
        <v>39052</v>
      </c>
      <c r="B50" s="96">
        <v>36503400</v>
      </c>
      <c r="C50" s="455">
        <f>+'Purchased Power Model '!C50</f>
        <v>471.5</v>
      </c>
      <c r="D50" s="455">
        <f>+'Purchased Power Model '!D50</f>
        <v>0</v>
      </c>
      <c r="E50" s="443">
        <f>+'Purchased Power Model '!E50</f>
        <v>6.7000000000000004E-2</v>
      </c>
      <c r="F50" s="53">
        <f>+'Purchased Power Model '!F50</f>
        <v>31</v>
      </c>
      <c r="G50" s="53">
        <f>+'Purchased Power Model '!G50</f>
        <v>0</v>
      </c>
      <c r="H50" s="17">
        <v>45961</v>
      </c>
      <c r="I50" s="456">
        <f t="shared" si="0"/>
        <v>39253132.772828624</v>
      </c>
      <c r="J50" s="457">
        <f t="shared" si="1"/>
        <v>2749732.7728286237</v>
      </c>
      <c r="K50" s="5">
        <f t="shared" si="2"/>
        <v>7.5328127594378153E-2</v>
      </c>
    </row>
    <row r="51" spans="1:11" x14ac:dyDescent="0.2">
      <c r="A51" s="453">
        <v>39083</v>
      </c>
      <c r="B51" s="96">
        <v>44041059</v>
      </c>
      <c r="C51" s="455">
        <f>+'Purchased Power Model '!C51</f>
        <v>573.1</v>
      </c>
      <c r="D51" s="455">
        <f>+'Purchased Power Model '!D51</f>
        <v>0</v>
      </c>
      <c r="E51" s="443">
        <f>+'Purchased Power Model '!E51</f>
        <v>6.2E-2</v>
      </c>
      <c r="F51" s="53">
        <f>+'Purchased Power Model '!F51</f>
        <v>31</v>
      </c>
      <c r="G51" s="53">
        <f>+'Purchased Power Model '!G51</f>
        <v>0</v>
      </c>
      <c r="H51" s="17">
        <v>45997</v>
      </c>
      <c r="I51" s="456">
        <f t="shared" si="0"/>
        <v>40670578.895534962</v>
      </c>
      <c r="J51" s="457">
        <f t="shared" si="1"/>
        <v>-3370480.1044650376</v>
      </c>
      <c r="K51" s="5">
        <f t="shared" si="2"/>
        <v>-7.6530405512388738E-2</v>
      </c>
    </row>
    <row r="52" spans="1:11" x14ac:dyDescent="0.2">
      <c r="A52" s="453">
        <v>39114</v>
      </c>
      <c r="B52" s="96">
        <v>46027730</v>
      </c>
      <c r="C52" s="455">
        <f>+'Purchased Power Model '!C52</f>
        <v>693.5</v>
      </c>
      <c r="D52" s="455">
        <f>+'Purchased Power Model '!D52</f>
        <v>0</v>
      </c>
      <c r="E52" s="443">
        <f>+'Purchased Power Model '!E52</f>
        <v>6.2E-2</v>
      </c>
      <c r="F52" s="53">
        <f>+'Purchased Power Model '!F52</f>
        <v>28</v>
      </c>
      <c r="G52" s="53">
        <f>+'Purchased Power Model '!G52</f>
        <v>0</v>
      </c>
      <c r="H52" s="17">
        <v>46052</v>
      </c>
      <c r="I52" s="456">
        <f t="shared" si="0"/>
        <v>45442325.919697993</v>
      </c>
      <c r="J52" s="457">
        <f t="shared" si="1"/>
        <v>-585404.0803020075</v>
      </c>
      <c r="K52" s="5">
        <f t="shared" si="2"/>
        <v>-1.2718508609962027E-2</v>
      </c>
    </row>
    <row r="53" spans="1:11" x14ac:dyDescent="0.2">
      <c r="A53" s="453">
        <v>39142</v>
      </c>
      <c r="B53" s="96">
        <v>44842876</v>
      </c>
      <c r="C53" s="455">
        <f>+'Purchased Power Model '!C53</f>
        <v>477.9</v>
      </c>
      <c r="D53" s="455">
        <f>+'Purchased Power Model '!D53</f>
        <v>0</v>
      </c>
      <c r="E53" s="443">
        <f>+'Purchased Power Model '!E53</f>
        <v>6.2E-2</v>
      </c>
      <c r="F53" s="53">
        <f>+'Purchased Power Model '!F53</f>
        <v>31</v>
      </c>
      <c r="G53" s="53">
        <f>+'Purchased Power Model '!G53</f>
        <v>1</v>
      </c>
      <c r="H53" s="17">
        <v>46091</v>
      </c>
      <c r="I53" s="456">
        <f t="shared" si="0"/>
        <v>40879704.455853283</v>
      </c>
      <c r="J53" s="457">
        <f t="shared" si="1"/>
        <v>-3963171.5441467166</v>
      </c>
      <c r="K53" s="5">
        <f t="shared" si="2"/>
        <v>-8.8379067037241688E-2</v>
      </c>
    </row>
    <row r="54" spans="1:11" x14ac:dyDescent="0.2">
      <c r="A54" s="453">
        <v>39173</v>
      </c>
      <c r="B54" s="96">
        <v>43266878</v>
      </c>
      <c r="C54" s="455">
        <f>+'Purchased Power Model '!C54</f>
        <v>280.39999999999998</v>
      </c>
      <c r="D54" s="455">
        <f>+'Purchased Power Model '!D54</f>
        <v>0</v>
      </c>
      <c r="E54" s="443">
        <f>+'Purchased Power Model '!E54</f>
        <v>5.9000000000000004E-2</v>
      </c>
      <c r="F54" s="53">
        <f>+'Purchased Power Model '!F54</f>
        <v>30</v>
      </c>
      <c r="G54" s="53">
        <f>+'Purchased Power Model '!G54</f>
        <v>1</v>
      </c>
      <c r="H54" s="17">
        <v>46144</v>
      </c>
      <c r="I54" s="456">
        <f t="shared" si="0"/>
        <v>38866591.584708691</v>
      </c>
      <c r="J54" s="457">
        <f t="shared" si="1"/>
        <v>-4400286.4152913094</v>
      </c>
      <c r="K54" s="5">
        <f t="shared" si="2"/>
        <v>-0.1017010382697663</v>
      </c>
    </row>
    <row r="55" spans="1:11" x14ac:dyDescent="0.2">
      <c r="A55" s="453">
        <v>39203</v>
      </c>
      <c r="B55" s="96">
        <v>36870366</v>
      </c>
      <c r="C55" s="455">
        <f>+'Purchased Power Model '!C55</f>
        <v>72.8</v>
      </c>
      <c r="D55" s="455">
        <f>+'Purchased Power Model '!D55</f>
        <v>4.5</v>
      </c>
      <c r="E55" s="443">
        <f>+'Purchased Power Model '!E55</f>
        <v>5.9000000000000004E-2</v>
      </c>
      <c r="F55" s="53">
        <f>+'Purchased Power Model '!F55</f>
        <v>31</v>
      </c>
      <c r="G55" s="53">
        <f>+'Purchased Power Model '!G55</f>
        <v>1</v>
      </c>
      <c r="H55" s="17">
        <v>46228</v>
      </c>
      <c r="I55" s="456">
        <f t="shared" si="0"/>
        <v>35086280.952211052</v>
      </c>
      <c r="J55" s="457">
        <f t="shared" si="1"/>
        <v>-1784085.0477889478</v>
      </c>
      <c r="K55" s="5">
        <f t="shared" si="2"/>
        <v>-4.8388048217068089E-2</v>
      </c>
    </row>
    <row r="56" spans="1:11" x14ac:dyDescent="0.2">
      <c r="A56" s="453">
        <v>39234</v>
      </c>
      <c r="B56" s="96">
        <v>34175270</v>
      </c>
      <c r="C56" s="455">
        <f>+'Purchased Power Model '!C56</f>
        <v>6.2</v>
      </c>
      <c r="D56" s="455">
        <f>+'Purchased Power Model '!D56</f>
        <v>32.799999999999997</v>
      </c>
      <c r="E56" s="443">
        <f>+'Purchased Power Model '!E56</f>
        <v>5.9000000000000004E-2</v>
      </c>
      <c r="F56" s="53">
        <f>+'Purchased Power Model '!F56</f>
        <v>30</v>
      </c>
      <c r="G56" s="53">
        <f>+'Purchased Power Model '!G56</f>
        <v>0</v>
      </c>
      <c r="H56" s="17">
        <v>46257</v>
      </c>
      <c r="I56" s="456">
        <f t="shared" si="0"/>
        <v>35394946.808601439</v>
      </c>
      <c r="J56" s="457">
        <f t="shared" si="1"/>
        <v>1219676.808601439</v>
      </c>
      <c r="K56" s="5">
        <f t="shared" si="2"/>
        <v>3.568887118086965E-2</v>
      </c>
    </row>
    <row r="57" spans="1:11" x14ac:dyDescent="0.2">
      <c r="A57" s="453">
        <v>39264</v>
      </c>
      <c r="B57" s="96">
        <v>37079714</v>
      </c>
      <c r="C57" s="455">
        <f>+'Purchased Power Model '!C57</f>
        <v>8.6999999999999993</v>
      </c>
      <c r="D57" s="455">
        <f>+'Purchased Power Model '!D57</f>
        <v>41.6</v>
      </c>
      <c r="E57" s="443">
        <f>+'Purchased Power Model '!E57</f>
        <v>6.4000000000000001E-2</v>
      </c>
      <c r="F57" s="53">
        <f>+'Purchased Power Model '!F57</f>
        <v>31</v>
      </c>
      <c r="G57" s="53">
        <f>+'Purchased Power Model '!G57</f>
        <v>0</v>
      </c>
      <c r="H57" s="17">
        <v>46325</v>
      </c>
      <c r="I57" s="456">
        <f t="shared" si="0"/>
        <v>35141558.389371857</v>
      </c>
      <c r="J57" s="457">
        <f t="shared" si="1"/>
        <v>-1938155.610628143</v>
      </c>
      <c r="K57" s="5">
        <f t="shared" si="2"/>
        <v>-5.2269971948223304E-2</v>
      </c>
    </row>
    <row r="58" spans="1:11" x14ac:dyDescent="0.2">
      <c r="A58" s="453">
        <v>39295</v>
      </c>
      <c r="B58" s="96">
        <v>40753312</v>
      </c>
      <c r="C58" s="455">
        <f>+'Purchased Power Model '!C58</f>
        <v>4</v>
      </c>
      <c r="D58" s="455">
        <f>+'Purchased Power Model '!D58</f>
        <v>87.8</v>
      </c>
      <c r="E58" s="443">
        <f>+'Purchased Power Model '!E58</f>
        <v>6.4000000000000001E-2</v>
      </c>
      <c r="F58" s="53">
        <f>+'Purchased Power Model '!F58</f>
        <v>31</v>
      </c>
      <c r="G58" s="53">
        <f>+'Purchased Power Model '!G58</f>
        <v>0</v>
      </c>
      <c r="H58" s="17">
        <v>46387</v>
      </c>
      <c r="I58" s="456">
        <f t="shared" si="0"/>
        <v>38237665.68210794</v>
      </c>
      <c r="J58" s="457">
        <f t="shared" si="1"/>
        <v>-2515646.3178920597</v>
      </c>
      <c r="K58" s="5">
        <f t="shared" si="2"/>
        <v>-6.1728634911735754E-2</v>
      </c>
    </row>
    <row r="59" spans="1:11" x14ac:dyDescent="0.2">
      <c r="A59" s="453">
        <v>39326</v>
      </c>
      <c r="B59" s="96">
        <v>37935547</v>
      </c>
      <c r="C59" s="455">
        <f>+'Purchased Power Model '!C59</f>
        <v>20.100000000000001</v>
      </c>
      <c r="D59" s="455">
        <f>+'Purchased Power Model '!D59</f>
        <v>12.3</v>
      </c>
      <c r="E59" s="443">
        <f>+'Purchased Power Model '!E59</f>
        <v>6.4000000000000001E-2</v>
      </c>
      <c r="F59" s="53">
        <f>+'Purchased Power Model '!F59</f>
        <v>30</v>
      </c>
      <c r="G59" s="53">
        <f>+'Purchased Power Model '!G59</f>
        <v>1</v>
      </c>
      <c r="H59" s="17">
        <v>46477</v>
      </c>
      <c r="I59" s="456">
        <f t="shared" si="0"/>
        <v>35924747.164033681</v>
      </c>
      <c r="J59" s="457">
        <f t="shared" si="1"/>
        <v>-2010799.8359663188</v>
      </c>
      <c r="K59" s="5">
        <f t="shared" si="2"/>
        <v>-5.3005689781310358E-2</v>
      </c>
    </row>
    <row r="60" spans="1:11" x14ac:dyDescent="0.2">
      <c r="A60" s="453">
        <v>39356</v>
      </c>
      <c r="B60" s="96">
        <v>37441028</v>
      </c>
      <c r="C60" s="455">
        <f>+'Purchased Power Model '!C60</f>
        <v>101.5</v>
      </c>
      <c r="D60" s="455">
        <f>+'Purchased Power Model '!D60</f>
        <v>0</v>
      </c>
      <c r="E60" s="443">
        <f>+'Purchased Power Model '!E60</f>
        <v>6.0999999999999999E-2</v>
      </c>
      <c r="F60" s="53">
        <f>+'Purchased Power Model '!F60</f>
        <v>31</v>
      </c>
      <c r="G60" s="53">
        <f>+'Purchased Power Model '!G60</f>
        <v>1</v>
      </c>
      <c r="H60" s="17">
        <v>46548</v>
      </c>
      <c r="I60" s="456">
        <f t="shared" si="0"/>
        <v>35245260.146951601</v>
      </c>
      <c r="J60" s="457">
        <f t="shared" si="1"/>
        <v>-2195767.8530483991</v>
      </c>
      <c r="K60" s="5">
        <f t="shared" si="2"/>
        <v>-5.864603538792789E-2</v>
      </c>
    </row>
    <row r="61" spans="1:11" x14ac:dyDescent="0.2">
      <c r="A61" s="453">
        <v>39387</v>
      </c>
      <c r="B61" s="96">
        <v>34986690</v>
      </c>
      <c r="C61" s="455">
        <f>+'Purchased Power Model '!C61</f>
        <v>314.10000000000002</v>
      </c>
      <c r="D61" s="455">
        <f>+'Purchased Power Model '!D61</f>
        <v>0</v>
      </c>
      <c r="E61" s="443">
        <f>+'Purchased Power Model '!E61</f>
        <v>6.0999999999999999E-2</v>
      </c>
      <c r="F61" s="53">
        <f>+'Purchased Power Model '!F61</f>
        <v>30</v>
      </c>
      <c r="G61" s="53">
        <f>+'Purchased Power Model '!G61</f>
        <v>1</v>
      </c>
      <c r="H61" s="17">
        <v>46661</v>
      </c>
      <c r="I61" s="456">
        <f t="shared" si="0"/>
        <v>39408554.401194185</v>
      </c>
      <c r="J61" s="457">
        <f t="shared" si="1"/>
        <v>4421864.401194185</v>
      </c>
      <c r="K61" s="5">
        <f t="shared" si="2"/>
        <v>0.12638704607935719</v>
      </c>
    </row>
    <row r="62" spans="1:11" x14ac:dyDescent="0.2">
      <c r="A62" s="453">
        <v>39417</v>
      </c>
      <c r="B62" s="96">
        <v>35644093</v>
      </c>
      <c r="C62" s="455">
        <f>+'Purchased Power Model '!C62</f>
        <v>337.8</v>
      </c>
      <c r="D62" s="455">
        <f>+'Purchased Power Model '!D62</f>
        <v>0</v>
      </c>
      <c r="E62" s="443">
        <f>+'Purchased Power Model '!E62</f>
        <v>6.0999999999999999E-2</v>
      </c>
      <c r="F62" s="53">
        <f>+'Purchased Power Model '!F62</f>
        <v>31</v>
      </c>
      <c r="G62" s="53">
        <f>+'Purchased Power Model '!G62</f>
        <v>0</v>
      </c>
      <c r="H62" s="17">
        <v>46679</v>
      </c>
      <c r="I62" s="456">
        <f t="shared" si="0"/>
        <v>37140945.086655453</v>
      </c>
      <c r="J62" s="457">
        <f t="shared" si="1"/>
        <v>1496852.0866554528</v>
      </c>
      <c r="K62" s="5">
        <f t="shared" si="2"/>
        <v>4.1994394040422149E-2</v>
      </c>
    </row>
    <row r="63" spans="1:11" x14ac:dyDescent="0.2">
      <c r="A63" s="453">
        <v>39448</v>
      </c>
      <c r="B63" s="171">
        <v>45406896</v>
      </c>
      <c r="C63" s="458">
        <f>+'Purchased Power Model '!C63</f>
        <v>432.8</v>
      </c>
      <c r="D63" s="458">
        <f>+'Purchased Power Model '!D63</f>
        <v>0</v>
      </c>
      <c r="E63" s="443">
        <f>+'Purchased Power Model '!E63</f>
        <v>6.6000000000000003E-2</v>
      </c>
      <c r="F63" s="53">
        <f>+'Purchased Power Model '!F63</f>
        <v>31</v>
      </c>
      <c r="G63" s="53">
        <f>+'Purchased Power Model '!G63</f>
        <v>0</v>
      </c>
      <c r="H63" s="17">
        <v>46811</v>
      </c>
      <c r="I63" s="456">
        <f t="shared" si="0"/>
        <v>38656211.53874968</v>
      </c>
      <c r="J63" s="457">
        <f t="shared" si="1"/>
        <v>-6750684.4612503201</v>
      </c>
      <c r="K63" s="5">
        <f t="shared" si="2"/>
        <v>-0.14867090807639263</v>
      </c>
    </row>
    <row r="64" spans="1:11" x14ac:dyDescent="0.2">
      <c r="A64" s="453">
        <v>39479</v>
      </c>
      <c r="B64" s="171">
        <v>50038729</v>
      </c>
      <c r="C64" s="458">
        <f>+'Purchased Power Model '!C64</f>
        <v>317.60000000000002</v>
      </c>
      <c r="D64" s="458">
        <f>+'Purchased Power Model '!D64</f>
        <v>0</v>
      </c>
      <c r="E64" s="443">
        <f>+'Purchased Power Model '!E64</f>
        <v>6.6000000000000003E-2</v>
      </c>
      <c r="F64" s="53">
        <f>+'Purchased Power Model '!F64</f>
        <v>29</v>
      </c>
      <c r="G64" s="53">
        <f>+'Purchased Power Model '!G64</f>
        <v>0</v>
      </c>
      <c r="H64" s="17">
        <v>46870</v>
      </c>
      <c r="I64" s="456">
        <f t="shared" si="0"/>
        <v>38921569.755158395</v>
      </c>
      <c r="J64" s="457">
        <f t="shared" si="1"/>
        <v>-11117159.244841605</v>
      </c>
      <c r="K64" s="5">
        <f t="shared" si="2"/>
        <v>-0.22217109560959483</v>
      </c>
    </row>
    <row r="65" spans="1:17" x14ac:dyDescent="0.2">
      <c r="A65" s="453">
        <v>39508</v>
      </c>
      <c r="B65" s="171">
        <v>46174352</v>
      </c>
      <c r="C65" s="458">
        <f>+'Purchased Power Model '!C65</f>
        <v>430</v>
      </c>
      <c r="D65" s="458">
        <f>+'Purchased Power Model '!D65</f>
        <v>0</v>
      </c>
      <c r="E65" s="443">
        <f>+'Purchased Power Model '!E65</f>
        <v>6.6000000000000003E-2</v>
      </c>
      <c r="F65" s="53">
        <f>+'Purchased Power Model '!F65</f>
        <v>31</v>
      </c>
      <c r="G65" s="53">
        <f>+'Purchased Power Model '!G65</f>
        <v>1</v>
      </c>
      <c r="H65" s="17">
        <v>46925</v>
      </c>
      <c r="I65" s="456">
        <f t="shared" si="0"/>
        <v>40243682.174915284</v>
      </c>
      <c r="J65" s="457">
        <f t="shared" si="1"/>
        <v>-5930669.8250847161</v>
      </c>
      <c r="K65" s="5">
        <f t="shared" si="2"/>
        <v>-0.12844078082751906</v>
      </c>
    </row>
    <row r="66" spans="1:17" x14ac:dyDescent="0.2">
      <c r="A66" s="453">
        <v>39539</v>
      </c>
      <c r="B66" s="171">
        <v>42871330</v>
      </c>
      <c r="C66" s="458">
        <f>+'Purchased Power Model '!C66</f>
        <v>144.6</v>
      </c>
      <c r="D66" s="458">
        <f>+'Purchased Power Model '!D66</f>
        <v>0</v>
      </c>
      <c r="E66" s="443">
        <f>+'Purchased Power Model '!E66</f>
        <v>7.400000000000001E-2</v>
      </c>
      <c r="F66" s="53">
        <f>+'Purchased Power Model '!F66</f>
        <v>30</v>
      </c>
      <c r="G66" s="53">
        <f>+'Purchased Power Model '!G66</f>
        <v>1</v>
      </c>
      <c r="H66" s="17">
        <v>46960</v>
      </c>
      <c r="I66" s="456">
        <f t="shared" si="0"/>
        <v>37135252.327176124</v>
      </c>
      <c r="J66" s="457">
        <f t="shared" si="1"/>
        <v>-5736077.6728238761</v>
      </c>
      <c r="K66" s="5">
        <f t="shared" si="2"/>
        <v>-0.1337975209265464</v>
      </c>
    </row>
    <row r="67" spans="1:17" x14ac:dyDescent="0.2">
      <c r="A67" s="453">
        <v>39569</v>
      </c>
      <c r="B67" s="171">
        <v>34610197</v>
      </c>
      <c r="C67" s="458">
        <f>+'Purchased Power Model '!C67</f>
        <v>151</v>
      </c>
      <c r="D67" s="458">
        <f>+'Purchased Power Model '!D67</f>
        <v>0</v>
      </c>
      <c r="E67" s="443">
        <f>+'Purchased Power Model '!E67</f>
        <v>7.400000000000001E-2</v>
      </c>
      <c r="F67" s="53">
        <f>+'Purchased Power Model '!F67</f>
        <v>31</v>
      </c>
      <c r="G67" s="53">
        <f>+'Purchased Power Model '!G67</f>
        <v>1</v>
      </c>
      <c r="H67" s="17">
        <v>47013</v>
      </c>
      <c r="I67" s="456">
        <f t="shared" si="0"/>
        <v>36238814.908545583</v>
      </c>
      <c r="J67" s="457">
        <f t="shared" si="1"/>
        <v>1628617.9085455835</v>
      </c>
      <c r="K67" s="5">
        <f t="shared" si="2"/>
        <v>4.7056013825797743E-2</v>
      </c>
    </row>
    <row r="68" spans="1:17" x14ac:dyDescent="0.2">
      <c r="A68" s="453">
        <v>39600</v>
      </c>
      <c r="B68" s="171">
        <v>32036344</v>
      </c>
      <c r="C68" s="458">
        <f>+'Purchased Power Model '!C68</f>
        <v>15.5</v>
      </c>
      <c r="D68" s="458">
        <f>+'Purchased Power Model '!D68</f>
        <v>23.6</v>
      </c>
      <c r="E68" s="443">
        <f>+'Purchased Power Model '!E68</f>
        <v>7.400000000000001E-2</v>
      </c>
      <c r="F68" s="53">
        <f>+'Purchased Power Model '!F68</f>
        <v>30</v>
      </c>
      <c r="G68" s="53">
        <f>+'Purchased Power Model '!G68</f>
        <v>0</v>
      </c>
      <c r="H68" s="17">
        <v>47130</v>
      </c>
      <c r="I68" s="456">
        <f t="shared" ref="I68:I131" si="3">$N$18+C68*$N$19+D68*$N$20+E68*$N$21+F68*$N$22+G68*$N$23</f>
        <v>35197584.399530888</v>
      </c>
      <c r="J68" s="457">
        <f t="shared" ref="J68:J131" si="4">I68-B68</f>
        <v>3161240.3995308876</v>
      </c>
      <c r="K68" s="5">
        <f t="shared" ref="K68:K131" si="5">J68/B68</f>
        <v>9.867669043417962E-2</v>
      </c>
    </row>
    <row r="69" spans="1:17" x14ac:dyDescent="0.2">
      <c r="A69" s="453">
        <v>39630</v>
      </c>
      <c r="B69" s="171">
        <v>36409972</v>
      </c>
      <c r="C69" s="458">
        <f>+'Purchased Power Model '!C69</f>
        <v>1</v>
      </c>
      <c r="D69" s="458">
        <f>+'Purchased Power Model '!D69</f>
        <v>61.4</v>
      </c>
      <c r="E69" s="443">
        <f>+'Purchased Power Model '!E69</f>
        <v>6.8000000000000005E-2</v>
      </c>
      <c r="F69" s="53">
        <f>+'Purchased Power Model '!F69</f>
        <v>31</v>
      </c>
      <c r="G69" s="53">
        <f>+'Purchased Power Model '!G69</f>
        <v>0</v>
      </c>
      <c r="H69" s="17">
        <v>47200</v>
      </c>
      <c r="I69" s="456">
        <f t="shared" si="3"/>
        <v>36462156.256020918</v>
      </c>
      <c r="J69" s="457">
        <f t="shared" si="4"/>
        <v>52184.256020918489</v>
      </c>
      <c r="K69" s="5">
        <f t="shared" si="5"/>
        <v>1.4332407621988417E-3</v>
      </c>
    </row>
    <row r="70" spans="1:17" x14ac:dyDescent="0.2">
      <c r="A70" s="453">
        <v>39661</v>
      </c>
      <c r="B70" s="171">
        <v>38939362</v>
      </c>
      <c r="C70" s="458">
        <f>+'Purchased Power Model '!C70</f>
        <v>13.8</v>
      </c>
      <c r="D70" s="458">
        <f>+'Purchased Power Model '!D70</f>
        <v>29.9</v>
      </c>
      <c r="E70" s="443">
        <f>+'Purchased Power Model '!E70</f>
        <v>6.8000000000000005E-2</v>
      </c>
      <c r="F70" s="53">
        <f>+'Purchased Power Model '!F70</f>
        <v>31</v>
      </c>
      <c r="G70" s="53">
        <f>+'Purchased Power Model '!G70</f>
        <v>0</v>
      </c>
      <c r="H70" s="17">
        <v>47242</v>
      </c>
      <c r="I70" s="456">
        <f t="shared" si="3"/>
        <v>34494310.888930768</v>
      </c>
      <c r="J70" s="457">
        <f t="shared" si="4"/>
        <v>-4445051.1110692322</v>
      </c>
      <c r="K70" s="5">
        <f t="shared" si="5"/>
        <v>-0.11415315718499014</v>
      </c>
    </row>
    <row r="71" spans="1:17" x14ac:dyDescent="0.2">
      <c r="A71" s="453">
        <v>39692</v>
      </c>
      <c r="B71" s="171">
        <v>38252149</v>
      </c>
      <c r="C71" s="458">
        <f>+'Purchased Power Model '!C71</f>
        <v>51.6</v>
      </c>
      <c r="D71" s="458">
        <f>+'Purchased Power Model '!D71</f>
        <v>15.1</v>
      </c>
      <c r="E71" s="443">
        <f>+'Purchased Power Model '!E71</f>
        <v>6.8000000000000005E-2</v>
      </c>
      <c r="F71" s="53">
        <f>+'Purchased Power Model '!F71</f>
        <v>30</v>
      </c>
      <c r="G71" s="53">
        <f>+'Purchased Power Model '!G71</f>
        <v>1</v>
      </c>
      <c r="H71" s="17">
        <v>47313</v>
      </c>
      <c r="I71" s="456">
        <f t="shared" si="3"/>
        <v>36665038.945520461</v>
      </c>
      <c r="J71" s="457">
        <f t="shared" si="4"/>
        <v>-1587110.0544795394</v>
      </c>
      <c r="K71" s="5">
        <f t="shared" si="5"/>
        <v>-4.1490742245083784E-2</v>
      </c>
    </row>
    <row r="72" spans="1:17" x14ac:dyDescent="0.2">
      <c r="A72" s="453">
        <v>39722</v>
      </c>
      <c r="B72" s="171">
        <v>34259628</v>
      </c>
      <c r="C72" s="458">
        <f>+'Purchased Power Model '!C72</f>
        <v>203.1</v>
      </c>
      <c r="D72" s="458">
        <f>+'Purchased Power Model '!D72</f>
        <v>0</v>
      </c>
      <c r="E72" s="443">
        <f>+'Purchased Power Model '!E72</f>
        <v>0.08</v>
      </c>
      <c r="F72" s="53">
        <f>+'Purchased Power Model '!F72</f>
        <v>31</v>
      </c>
      <c r="G72" s="53">
        <f>+'Purchased Power Model '!G72</f>
        <v>1</v>
      </c>
      <c r="H72" s="17">
        <v>47351</v>
      </c>
      <c r="I72" s="456">
        <f t="shared" si="3"/>
        <v>37133762.787477002</v>
      </c>
      <c r="J72" s="457">
        <f t="shared" si="4"/>
        <v>2874134.7874770015</v>
      </c>
      <c r="K72" s="5">
        <f t="shared" si="5"/>
        <v>8.3892761108702099E-2</v>
      </c>
    </row>
    <row r="73" spans="1:17" x14ac:dyDescent="0.2">
      <c r="A73" s="453">
        <v>39753</v>
      </c>
      <c r="B73" s="171">
        <v>34344368</v>
      </c>
      <c r="C73" s="458">
        <f>+'Purchased Power Model '!C73</f>
        <v>268.8</v>
      </c>
      <c r="D73" s="458">
        <f>+'Purchased Power Model '!D73</f>
        <v>0</v>
      </c>
      <c r="E73" s="443">
        <f>+'Purchased Power Model '!E73</f>
        <v>0.08</v>
      </c>
      <c r="F73" s="53">
        <f>+'Purchased Power Model '!F73</f>
        <v>30</v>
      </c>
      <c r="G73" s="53">
        <f>+'Purchased Power Model '!G73</f>
        <v>1</v>
      </c>
      <c r="H73" s="17">
        <v>47409</v>
      </c>
      <c r="I73" s="456">
        <f t="shared" si="3"/>
        <v>39105727.045594439</v>
      </c>
      <c r="J73" s="457">
        <f t="shared" si="4"/>
        <v>4761359.0455944389</v>
      </c>
      <c r="K73" s="5">
        <f t="shared" si="5"/>
        <v>0.13863580327331804</v>
      </c>
    </row>
    <row r="74" spans="1:17" x14ac:dyDescent="0.2">
      <c r="A74" s="453">
        <v>39783</v>
      </c>
      <c r="B74" s="171">
        <v>37414757</v>
      </c>
      <c r="C74" s="458">
        <f>+'Purchased Power Model '!C74</f>
        <v>378.9</v>
      </c>
      <c r="D74" s="458">
        <f>+'Purchased Power Model '!D74</f>
        <v>0</v>
      </c>
      <c r="E74" s="443">
        <f>+'Purchased Power Model '!E74</f>
        <v>0.08</v>
      </c>
      <c r="F74" s="53">
        <f>+'Purchased Power Model '!F74</f>
        <v>31</v>
      </c>
      <c r="G74" s="53">
        <f>+'Purchased Power Model '!G74</f>
        <v>0</v>
      </c>
      <c r="H74" s="17">
        <v>47436</v>
      </c>
      <c r="I74" s="456">
        <f t="shared" si="3"/>
        <v>38126959.879899904</v>
      </c>
      <c r="J74" s="457">
        <f t="shared" si="4"/>
        <v>712202.87989990413</v>
      </c>
      <c r="K74" s="5">
        <f t="shared" si="5"/>
        <v>1.9035346932759822E-2</v>
      </c>
    </row>
    <row r="75" spans="1:17" s="14" customFormat="1" x14ac:dyDescent="0.2">
      <c r="A75" s="453">
        <v>39814</v>
      </c>
      <c r="B75" s="171">
        <v>48145614</v>
      </c>
      <c r="C75" s="458">
        <f>+'Purchased Power Model '!C75</f>
        <v>684.3</v>
      </c>
      <c r="D75" s="458">
        <f>+'Purchased Power Model '!D75</f>
        <v>0</v>
      </c>
      <c r="E75" s="443">
        <f>+'Purchased Power Model '!E75</f>
        <v>8.3000000000000004E-2</v>
      </c>
      <c r="F75" s="53">
        <f>+'Purchased Power Model '!F75</f>
        <v>31</v>
      </c>
      <c r="G75" s="53">
        <f>+'Purchased Power Model '!G75</f>
        <v>0</v>
      </c>
      <c r="H75" s="17">
        <v>47452</v>
      </c>
      <c r="I75" s="456">
        <f t="shared" si="3"/>
        <v>42741540.929083526</v>
      </c>
      <c r="J75" s="457">
        <f t="shared" si="4"/>
        <v>-5404073.0709164739</v>
      </c>
      <c r="K75" s="5">
        <f t="shared" si="5"/>
        <v>-0.11224434838273065</v>
      </c>
      <c r="L75" s="11"/>
      <c r="M75" s="11"/>
      <c r="N75" s="11"/>
      <c r="O75" s="11"/>
      <c r="P75" s="11"/>
      <c r="Q75" s="11"/>
    </row>
    <row r="76" spans="1:17" x14ac:dyDescent="0.2">
      <c r="A76" s="453">
        <v>39845</v>
      </c>
      <c r="B76" s="171">
        <v>50342878</v>
      </c>
      <c r="C76" s="458">
        <f>+'Purchased Power Model '!C76</f>
        <v>595.29999999999995</v>
      </c>
      <c r="D76" s="458">
        <f>+'Purchased Power Model '!D76</f>
        <v>0</v>
      </c>
      <c r="E76" s="443">
        <f>+'Purchased Power Model '!E76</f>
        <v>8.3000000000000004E-2</v>
      </c>
      <c r="F76" s="53">
        <f>+'Purchased Power Model '!F76</f>
        <v>28</v>
      </c>
      <c r="G76" s="53">
        <f>+'Purchased Power Model '!G76</f>
        <v>0</v>
      </c>
      <c r="H76" s="17">
        <v>47472</v>
      </c>
      <c r="I76" s="456">
        <f t="shared" si="3"/>
        <v>44389635.800839446</v>
      </c>
      <c r="J76" s="457">
        <f t="shared" si="4"/>
        <v>-5953242.1991605535</v>
      </c>
      <c r="K76" s="5">
        <f t="shared" si="5"/>
        <v>-0.11825391069538284</v>
      </c>
    </row>
    <row r="77" spans="1:17" x14ac:dyDescent="0.2">
      <c r="A77" s="453">
        <v>39873</v>
      </c>
      <c r="B77" s="171">
        <v>42873962</v>
      </c>
      <c r="C77" s="458">
        <f>+'Purchased Power Model '!C77</f>
        <v>442.2</v>
      </c>
      <c r="D77" s="458">
        <f>+'Purchased Power Model '!D77</f>
        <v>0</v>
      </c>
      <c r="E77" s="443">
        <f>+'Purchased Power Model '!E77</f>
        <v>8.3000000000000004E-2</v>
      </c>
      <c r="F77" s="53">
        <f>+'Purchased Power Model '!F77</f>
        <v>31</v>
      </c>
      <c r="G77" s="53">
        <f>+'Purchased Power Model '!G77</f>
        <v>1</v>
      </c>
      <c r="H77" s="17">
        <v>47485</v>
      </c>
      <c r="I77" s="456">
        <f t="shared" si="3"/>
        <v>40759336.4932767</v>
      </c>
      <c r="J77" s="457">
        <f t="shared" si="4"/>
        <v>-2114625.5067232996</v>
      </c>
      <c r="K77" s="5">
        <f t="shared" si="5"/>
        <v>-4.9321905606094896E-2</v>
      </c>
    </row>
    <row r="78" spans="1:17" x14ac:dyDescent="0.2">
      <c r="A78" s="453">
        <v>39904</v>
      </c>
      <c r="B78" s="171">
        <v>39483063</v>
      </c>
      <c r="C78" s="458">
        <f>+'Purchased Power Model '!C78</f>
        <v>313.8</v>
      </c>
      <c r="D78" s="458">
        <f>+'Purchased Power Model '!D78</f>
        <v>0</v>
      </c>
      <c r="E78" s="443">
        <f>+'Purchased Power Model '!E78</f>
        <v>8.8000000000000009E-2</v>
      </c>
      <c r="F78" s="53">
        <f>+'Purchased Power Model '!F78</f>
        <v>30</v>
      </c>
      <c r="G78" s="53">
        <f>+'Purchased Power Model '!G78</f>
        <v>1</v>
      </c>
      <c r="H78" s="17">
        <v>47489</v>
      </c>
      <c r="I78" s="456">
        <f t="shared" si="3"/>
        <v>39934017.837390468</v>
      </c>
      <c r="J78" s="457">
        <f t="shared" si="4"/>
        <v>450954.83739046752</v>
      </c>
      <c r="K78" s="5">
        <f t="shared" si="5"/>
        <v>1.1421475516994907E-2</v>
      </c>
    </row>
    <row r="79" spans="1:17" x14ac:dyDescent="0.2">
      <c r="A79" s="453">
        <v>39934</v>
      </c>
      <c r="B79" s="171">
        <v>37344261</v>
      </c>
      <c r="C79" s="458">
        <f>+'Purchased Power Model '!C79</f>
        <v>170.1</v>
      </c>
      <c r="D79" s="458">
        <f>+'Purchased Power Model '!D79</f>
        <v>0</v>
      </c>
      <c r="E79" s="443">
        <f>+'Purchased Power Model '!E79</f>
        <v>8.8000000000000009E-2</v>
      </c>
      <c r="F79" s="53">
        <f>+'Purchased Power Model '!F79</f>
        <v>31</v>
      </c>
      <c r="G79" s="53">
        <f>+'Purchased Power Model '!G79</f>
        <v>1</v>
      </c>
      <c r="H79" s="17">
        <v>47515</v>
      </c>
      <c r="I79" s="456">
        <f t="shared" si="3"/>
        <v>36798515.528233141</v>
      </c>
      <c r="J79" s="457">
        <f t="shared" si="4"/>
        <v>-545745.47176685929</v>
      </c>
      <c r="K79" s="5">
        <f t="shared" si="5"/>
        <v>-1.4613904711271681E-2</v>
      </c>
    </row>
    <row r="80" spans="1:17" x14ac:dyDescent="0.2">
      <c r="A80" s="453">
        <v>39965</v>
      </c>
      <c r="B80" s="171">
        <v>33870381</v>
      </c>
      <c r="C80" s="458">
        <f>+'Purchased Power Model '!C80</f>
        <v>57.9</v>
      </c>
      <c r="D80" s="458">
        <f>+'Purchased Power Model '!D80</f>
        <v>26.3</v>
      </c>
      <c r="E80" s="443">
        <f>+'Purchased Power Model '!E80</f>
        <v>8.8000000000000009E-2</v>
      </c>
      <c r="F80" s="53">
        <f>+'Purchased Power Model '!F80</f>
        <v>30</v>
      </c>
      <c r="G80" s="53">
        <f>+'Purchased Power Model '!G80</f>
        <v>0</v>
      </c>
      <c r="H80" s="17">
        <v>47525</v>
      </c>
      <c r="I80" s="456">
        <f t="shared" si="3"/>
        <v>36289893.428625792</v>
      </c>
      <c r="J80" s="457">
        <f t="shared" si="4"/>
        <v>2419512.4286257923</v>
      </c>
      <c r="K80" s="5">
        <f t="shared" si="5"/>
        <v>7.1434461532209878E-2</v>
      </c>
    </row>
    <row r="81" spans="1:17" x14ac:dyDescent="0.2">
      <c r="A81" s="453">
        <v>39995</v>
      </c>
      <c r="B81" s="171">
        <v>34673490</v>
      </c>
      <c r="C81" s="458">
        <f>+'Purchased Power Model '!C81</f>
        <v>16.8</v>
      </c>
      <c r="D81" s="458">
        <f>+'Purchased Power Model '!D81</f>
        <v>25.6</v>
      </c>
      <c r="E81" s="443">
        <f>+'Purchased Power Model '!E81</f>
        <v>9.5000000000000001E-2</v>
      </c>
      <c r="F81" s="53">
        <f>+'Purchased Power Model '!F81</f>
        <v>31</v>
      </c>
      <c r="G81" s="53">
        <f>+'Purchased Power Model '!G81</f>
        <v>0</v>
      </c>
      <c r="H81" s="17">
        <v>47537</v>
      </c>
      <c r="I81" s="456">
        <f t="shared" si="3"/>
        <v>34774309.6568138</v>
      </c>
      <c r="J81" s="457">
        <f t="shared" si="4"/>
        <v>100819.65681380033</v>
      </c>
      <c r="K81" s="5">
        <f t="shared" si="5"/>
        <v>2.9076870200778846E-3</v>
      </c>
    </row>
    <row r="82" spans="1:17" x14ac:dyDescent="0.2">
      <c r="A82" s="453">
        <v>40026</v>
      </c>
      <c r="B82" s="171">
        <v>34583075</v>
      </c>
      <c r="C82" s="458">
        <f>+'Purchased Power Model '!C82</f>
        <v>13.1</v>
      </c>
      <c r="D82" s="458">
        <f>+'Purchased Power Model '!D82</f>
        <v>77.7</v>
      </c>
      <c r="E82" s="443">
        <f>+'Purchased Power Model '!E82</f>
        <v>9.5000000000000001E-2</v>
      </c>
      <c r="F82" s="53">
        <f>+'Purchased Power Model '!F82</f>
        <v>31</v>
      </c>
      <c r="G82" s="53">
        <f>+'Purchased Power Model '!G82</f>
        <v>0</v>
      </c>
      <c r="H82" s="17">
        <v>47595</v>
      </c>
      <c r="I82" s="456">
        <f t="shared" si="3"/>
        <v>38289677.950834855</v>
      </c>
      <c r="J82" s="457">
        <f t="shared" si="4"/>
        <v>3706602.9508348554</v>
      </c>
      <c r="K82" s="5">
        <f t="shared" si="5"/>
        <v>0.10717968112537291</v>
      </c>
    </row>
    <row r="83" spans="1:17" x14ac:dyDescent="0.2">
      <c r="A83" s="453">
        <v>40057</v>
      </c>
      <c r="B83" s="171">
        <v>36959314</v>
      </c>
      <c r="C83" s="458">
        <f>+'Purchased Power Model '!C83</f>
        <v>64.8</v>
      </c>
      <c r="D83" s="458">
        <f>+'Purchased Power Model '!D83</f>
        <v>9</v>
      </c>
      <c r="E83" s="443">
        <f>+'Purchased Power Model '!E83</f>
        <v>9.5000000000000001E-2</v>
      </c>
      <c r="F83" s="53">
        <f>+'Purchased Power Model '!F83</f>
        <v>30</v>
      </c>
      <c r="G83" s="53">
        <f>+'Purchased Power Model '!G83</f>
        <v>1</v>
      </c>
      <c r="H83" s="17">
        <v>47640</v>
      </c>
      <c r="I83" s="456">
        <f t="shared" si="3"/>
        <v>36973833.549611747</v>
      </c>
      <c r="J83" s="457">
        <f t="shared" si="4"/>
        <v>14519.549611747265</v>
      </c>
      <c r="K83" s="5">
        <f t="shared" si="5"/>
        <v>3.9285224860362034E-4</v>
      </c>
    </row>
    <row r="84" spans="1:17" x14ac:dyDescent="0.2">
      <c r="A84" s="453">
        <v>40087</v>
      </c>
      <c r="B84" s="171">
        <v>37604869</v>
      </c>
      <c r="C84" s="458">
        <f>+'Purchased Power Model '!C84</f>
        <v>287.89999999999998</v>
      </c>
      <c r="D84" s="458">
        <f>+'Purchased Power Model '!D84</f>
        <v>0</v>
      </c>
      <c r="E84" s="443">
        <f>+'Purchased Power Model '!E84</f>
        <v>0.1</v>
      </c>
      <c r="F84" s="53">
        <f>+'Purchased Power Model '!F84</f>
        <v>31</v>
      </c>
      <c r="G84" s="53">
        <f>+'Purchased Power Model '!G84</f>
        <v>1</v>
      </c>
      <c r="H84" s="17">
        <v>47669</v>
      </c>
      <c r="I84" s="456">
        <f t="shared" si="3"/>
        <v>38791284.587302923</v>
      </c>
      <c r="J84" s="457">
        <f t="shared" si="4"/>
        <v>1186415.5873029232</v>
      </c>
      <c r="K84" s="5">
        <f t="shared" si="5"/>
        <v>3.1549520550195859E-2</v>
      </c>
    </row>
    <row r="85" spans="1:17" x14ac:dyDescent="0.2">
      <c r="A85" s="453">
        <v>40118</v>
      </c>
      <c r="B85" s="171">
        <v>35777422</v>
      </c>
      <c r="C85" s="458">
        <f>+'Purchased Power Model '!C85</f>
        <v>347.4</v>
      </c>
      <c r="D85" s="458">
        <f>+'Purchased Power Model '!D85</f>
        <v>0</v>
      </c>
      <c r="E85" s="443">
        <f>+'Purchased Power Model '!E85</f>
        <v>0.1</v>
      </c>
      <c r="F85" s="53">
        <f>+'Purchased Power Model '!F85</f>
        <v>30</v>
      </c>
      <c r="G85" s="53">
        <f>+'Purchased Power Model '!G85</f>
        <v>1</v>
      </c>
      <c r="H85" s="17">
        <v>47715</v>
      </c>
      <c r="I85" s="456">
        <f t="shared" si="3"/>
        <v>40670762.487517193</v>
      </c>
      <c r="J85" s="457">
        <f t="shared" si="4"/>
        <v>4893340.487517193</v>
      </c>
      <c r="K85" s="5">
        <f t="shared" si="5"/>
        <v>0.13677174636890252</v>
      </c>
    </row>
    <row r="86" spans="1:17" s="31" customFormat="1" x14ac:dyDescent="0.2">
      <c r="A86" s="453">
        <v>40148</v>
      </c>
      <c r="B86" s="171">
        <v>36356282</v>
      </c>
      <c r="C86" s="458">
        <f>+'Purchased Power Model '!C86</f>
        <v>619.1</v>
      </c>
      <c r="D86" s="458">
        <f>+'Purchased Power Model '!D86</f>
        <v>0</v>
      </c>
      <c r="E86" s="443">
        <f>+'Purchased Power Model '!E86</f>
        <v>0.1</v>
      </c>
      <c r="F86" s="53">
        <f>+'Purchased Power Model '!F86</f>
        <v>31</v>
      </c>
      <c r="G86" s="53">
        <f>+'Purchased Power Model '!G86</f>
        <v>0</v>
      </c>
      <c r="H86" s="17">
        <v>47769</v>
      </c>
      <c r="I86" s="456">
        <f t="shared" si="3"/>
        <v>42102607.489105329</v>
      </c>
      <c r="J86" s="457">
        <f t="shared" si="4"/>
        <v>5746325.4891053289</v>
      </c>
      <c r="K86" s="5">
        <f t="shared" si="5"/>
        <v>0.158055916969324</v>
      </c>
      <c r="L86" s="27"/>
      <c r="M86" s="27"/>
      <c r="N86" s="27"/>
      <c r="O86" s="27"/>
      <c r="P86" s="27"/>
      <c r="Q86" s="27"/>
    </row>
    <row r="87" spans="1:17" x14ac:dyDescent="0.2">
      <c r="A87" s="453">
        <v>40179</v>
      </c>
      <c r="B87" s="454">
        <v>46964801</v>
      </c>
      <c r="C87" s="458">
        <f>+'Purchased Power Model '!C87</f>
        <v>699.9</v>
      </c>
      <c r="D87" s="458">
        <f>+'Purchased Power Model '!D87</f>
        <v>0</v>
      </c>
      <c r="E87" s="443">
        <f>+'Purchased Power Model '!E87</f>
        <v>0.10300000000000001</v>
      </c>
      <c r="F87" s="53">
        <f>+'Purchased Power Model '!F87</f>
        <v>31</v>
      </c>
      <c r="G87" s="53">
        <f>+'Purchased Power Model '!G87</f>
        <v>0</v>
      </c>
      <c r="H87" s="17">
        <v>47822</v>
      </c>
      <c r="I87" s="456">
        <f t="shared" si="3"/>
        <v>43366795.637474045</v>
      </c>
      <c r="J87" s="457">
        <f t="shared" si="4"/>
        <v>-3598005.3625259548</v>
      </c>
      <c r="K87" s="5">
        <f t="shared" si="5"/>
        <v>-7.6610680465269185E-2</v>
      </c>
    </row>
    <row r="88" spans="1:17" x14ac:dyDescent="0.2">
      <c r="A88" s="453">
        <v>40210</v>
      </c>
      <c r="B88" s="454">
        <v>48467266</v>
      </c>
      <c r="C88" s="458">
        <f>+'Purchased Power Model '!C88</f>
        <v>583.79999999999995</v>
      </c>
      <c r="D88" s="458">
        <f>+'Purchased Power Model '!D88</f>
        <v>0</v>
      </c>
      <c r="E88" s="443">
        <f>+'Purchased Power Model '!E88</f>
        <v>0.10300000000000001</v>
      </c>
      <c r="F88" s="53">
        <f>+'Purchased Power Model '!F88</f>
        <v>28</v>
      </c>
      <c r="G88" s="53">
        <f>+'Purchased Power Model '!G88</f>
        <v>0</v>
      </c>
      <c r="H88" s="17">
        <v>47929</v>
      </c>
      <c r="I88" s="456">
        <f t="shared" si="3"/>
        <v>44610635.622266106</v>
      </c>
      <c r="J88" s="457">
        <f t="shared" si="4"/>
        <v>-3856630.3777338937</v>
      </c>
      <c r="K88" s="5">
        <f t="shared" si="5"/>
        <v>-7.9571857379656899E-2</v>
      </c>
    </row>
    <row r="89" spans="1:17" x14ac:dyDescent="0.2">
      <c r="A89" s="453">
        <v>40238</v>
      </c>
      <c r="B89" s="454">
        <v>44474145</v>
      </c>
      <c r="C89" s="458">
        <f>+'Purchased Power Model '!C89</f>
        <v>411</v>
      </c>
      <c r="D89" s="458">
        <f>+'Purchased Power Model '!D89</f>
        <v>0</v>
      </c>
      <c r="E89" s="443">
        <f>+'Purchased Power Model '!E89</f>
        <v>0.10300000000000001</v>
      </c>
      <c r="F89" s="53">
        <f>+'Purchased Power Model '!F89</f>
        <v>31</v>
      </c>
      <c r="G89" s="53">
        <f>+'Purchased Power Model '!G89</f>
        <v>1</v>
      </c>
      <c r="H89" s="17">
        <v>47981</v>
      </c>
      <c r="I89" s="456">
        <f t="shared" si="3"/>
        <v>40686468.371043295</v>
      </c>
      <c r="J89" s="457">
        <f t="shared" si="4"/>
        <v>-3787676.6289567053</v>
      </c>
      <c r="K89" s="5">
        <f t="shared" si="5"/>
        <v>-8.5165811033729943E-2</v>
      </c>
    </row>
    <row r="90" spans="1:17" x14ac:dyDescent="0.2">
      <c r="A90" s="453">
        <v>40269</v>
      </c>
      <c r="B90" s="454">
        <v>38255952</v>
      </c>
      <c r="C90" s="458">
        <f>+'Purchased Power Model '!C90</f>
        <v>244</v>
      </c>
      <c r="D90" s="458">
        <f>+'Purchased Power Model '!D90</f>
        <v>0</v>
      </c>
      <c r="E90" s="443">
        <f>+'Purchased Power Model '!E90</f>
        <v>9.9000000000000005E-2</v>
      </c>
      <c r="F90" s="53">
        <f>+'Purchased Power Model '!F90</f>
        <v>30</v>
      </c>
      <c r="G90" s="53">
        <f>+'Purchased Power Model '!G90</f>
        <v>1</v>
      </c>
      <c r="H90" s="17">
        <v>48073</v>
      </c>
      <c r="I90" s="456">
        <f t="shared" si="3"/>
        <v>39108701.357255176</v>
      </c>
      <c r="J90" s="457">
        <f t="shared" si="4"/>
        <v>852749.35725517571</v>
      </c>
      <c r="K90" s="5">
        <f t="shared" si="5"/>
        <v>2.2290632246066592E-2</v>
      </c>
    </row>
    <row r="91" spans="1:17" x14ac:dyDescent="0.2">
      <c r="A91" s="453">
        <v>40299</v>
      </c>
      <c r="B91" s="454">
        <v>33452154</v>
      </c>
      <c r="C91" s="458">
        <f>+'Purchased Power Model '!C91</f>
        <v>121.7</v>
      </c>
      <c r="D91" s="458">
        <f>+'Purchased Power Model '!D91</f>
        <v>23.2</v>
      </c>
      <c r="E91" s="443">
        <f>+'Purchased Power Model '!E91</f>
        <v>9.9000000000000005E-2</v>
      </c>
      <c r="F91" s="53">
        <f>+'Purchased Power Model '!F91</f>
        <v>31</v>
      </c>
      <c r="G91" s="53">
        <f>+'Purchased Power Model '!G91</f>
        <v>1</v>
      </c>
      <c r="H91" s="17">
        <v>48165</v>
      </c>
      <c r="I91" s="456">
        <f t="shared" si="3"/>
        <v>37882388.399391741</v>
      </c>
      <c r="J91" s="457">
        <f t="shared" si="4"/>
        <v>4430234.3993917406</v>
      </c>
      <c r="K91" s="5">
        <f t="shared" si="5"/>
        <v>0.13243495170420835</v>
      </c>
    </row>
    <row r="92" spans="1:17" x14ac:dyDescent="0.2">
      <c r="A92" s="453">
        <v>40330</v>
      </c>
      <c r="B92" s="454">
        <v>31846018</v>
      </c>
      <c r="C92" s="458">
        <f>+'Purchased Power Model '!C92</f>
        <v>19.399999999999999</v>
      </c>
      <c r="D92" s="458">
        <f>+'Purchased Power Model '!D92</f>
        <v>46.6</v>
      </c>
      <c r="E92" s="443">
        <f>+'Purchased Power Model '!E92</f>
        <v>9.9000000000000005E-2</v>
      </c>
      <c r="F92" s="53">
        <f>+'Purchased Power Model '!F92</f>
        <v>30</v>
      </c>
      <c r="G92" s="53">
        <f>+'Purchased Power Model '!G92</f>
        <v>0</v>
      </c>
      <c r="H92" s="17">
        <v>48234</v>
      </c>
      <c r="I92" s="456">
        <f t="shared" si="3"/>
        <v>37322700.848716587</v>
      </c>
      <c r="J92" s="457">
        <f t="shared" si="4"/>
        <v>5476682.8487165868</v>
      </c>
      <c r="K92" s="5">
        <f t="shared" si="5"/>
        <v>0.17197386651971958</v>
      </c>
    </row>
    <row r="93" spans="1:17" x14ac:dyDescent="0.2">
      <c r="A93" s="453">
        <v>40360</v>
      </c>
      <c r="B93" s="454">
        <v>36254179</v>
      </c>
      <c r="C93" s="458">
        <f>+'Purchased Power Model '!C93</f>
        <v>3.5</v>
      </c>
      <c r="D93" s="458">
        <f>+'Purchased Power Model '!D93</f>
        <v>124</v>
      </c>
      <c r="E93" s="443">
        <f>+'Purchased Power Model '!E93</f>
        <v>0.10099999999999999</v>
      </c>
      <c r="F93" s="53">
        <f>+'Purchased Power Model '!F93</f>
        <v>31</v>
      </c>
      <c r="G93" s="53">
        <f>+'Purchased Power Model '!G93</f>
        <v>0</v>
      </c>
      <c r="H93" s="17">
        <v>48264</v>
      </c>
      <c r="I93" s="456">
        <f t="shared" si="3"/>
        <v>41437308.601511911</v>
      </c>
      <c r="J93" s="457">
        <f t="shared" si="4"/>
        <v>5183129.6015119106</v>
      </c>
      <c r="K93" s="5">
        <f t="shared" si="5"/>
        <v>0.14296640399750635</v>
      </c>
    </row>
    <row r="94" spans="1:17" x14ac:dyDescent="0.2">
      <c r="A94" s="453">
        <v>40391</v>
      </c>
      <c r="B94" s="454">
        <v>44827045</v>
      </c>
      <c r="C94" s="458">
        <f>+'Purchased Power Model '!C94</f>
        <v>3.2</v>
      </c>
      <c r="D94" s="458">
        <f>+'Purchased Power Model '!D94</f>
        <v>96.8</v>
      </c>
      <c r="E94" s="443">
        <f>+'Purchased Power Model '!E94</f>
        <v>0.10099999999999999</v>
      </c>
      <c r="F94" s="53">
        <f>+'Purchased Power Model '!F94</f>
        <v>31</v>
      </c>
      <c r="G94" s="53">
        <f>+'Purchased Power Model '!G94</f>
        <v>0</v>
      </c>
      <c r="H94" s="17">
        <v>48303</v>
      </c>
      <c r="I94" s="456">
        <f t="shared" si="3"/>
        <v>39568739.788630009</v>
      </c>
      <c r="J94" s="457">
        <f t="shared" si="4"/>
        <v>-5258305.2113699913</v>
      </c>
      <c r="K94" s="5">
        <f t="shared" si="5"/>
        <v>-0.11730207091210208</v>
      </c>
    </row>
    <row r="95" spans="1:17" x14ac:dyDescent="0.2">
      <c r="A95" s="453">
        <v>40422</v>
      </c>
      <c r="B95" s="454">
        <v>44782980</v>
      </c>
      <c r="C95" s="458">
        <f>+'Purchased Power Model '!C95</f>
        <v>85.5</v>
      </c>
      <c r="D95" s="458">
        <f>+'Purchased Power Model '!D95</f>
        <v>18.5</v>
      </c>
      <c r="E95" s="443">
        <f>+'Purchased Power Model '!E95</f>
        <v>0.10099999999999999</v>
      </c>
      <c r="F95" s="53">
        <f>+'Purchased Power Model '!F95</f>
        <v>30</v>
      </c>
      <c r="G95" s="53">
        <f>+'Purchased Power Model '!G95</f>
        <v>1</v>
      </c>
      <c r="H95" s="17">
        <v>48348</v>
      </c>
      <c r="I95" s="456">
        <f t="shared" si="3"/>
        <v>38051444.903405473</v>
      </c>
      <c r="J95" s="457">
        <f t="shared" si="4"/>
        <v>-6731535.0965945274</v>
      </c>
      <c r="K95" s="5">
        <f t="shared" si="5"/>
        <v>-0.15031458595641753</v>
      </c>
    </row>
    <row r="96" spans="1:17" x14ac:dyDescent="0.2">
      <c r="A96" s="453">
        <v>40452</v>
      </c>
      <c r="B96" s="454">
        <v>38118288</v>
      </c>
      <c r="C96" s="458">
        <f>+'Purchased Power Model '!C96</f>
        <v>247.8</v>
      </c>
      <c r="D96" s="458">
        <f>+'Purchased Power Model '!D96</f>
        <v>0</v>
      </c>
      <c r="E96" s="443">
        <f>+'Purchased Power Model '!E96</f>
        <v>9.3000000000000013E-2</v>
      </c>
      <c r="F96" s="53">
        <f>+'Purchased Power Model '!F96</f>
        <v>31</v>
      </c>
      <c r="G96" s="53">
        <f>+'Purchased Power Model '!G96</f>
        <v>1</v>
      </c>
      <c r="H96" s="17">
        <v>48388</v>
      </c>
      <c r="I96" s="456">
        <f t="shared" si="3"/>
        <v>38055715.207468525</v>
      </c>
      <c r="J96" s="457">
        <f t="shared" si="4"/>
        <v>-62572.792531475425</v>
      </c>
      <c r="K96" s="5">
        <f t="shared" si="5"/>
        <v>-1.641542572202493E-3</v>
      </c>
    </row>
    <row r="97" spans="1:11" x14ac:dyDescent="0.2">
      <c r="A97" s="453">
        <v>40483</v>
      </c>
      <c r="B97" s="454">
        <v>35289109</v>
      </c>
      <c r="C97" s="458">
        <f>+'Purchased Power Model '!C97</f>
        <v>389.2</v>
      </c>
      <c r="D97" s="458">
        <f>+'Purchased Power Model '!D97</f>
        <v>0</v>
      </c>
      <c r="E97" s="443">
        <f>+'Purchased Power Model '!E97</f>
        <v>9.3000000000000013E-2</v>
      </c>
      <c r="F97" s="53">
        <f>+'Purchased Power Model '!F97</f>
        <v>30</v>
      </c>
      <c r="G97" s="53">
        <f>+'Purchased Power Model '!G97</f>
        <v>1</v>
      </c>
      <c r="H97" s="17">
        <v>48425</v>
      </c>
      <c r="I97" s="456">
        <f t="shared" si="3"/>
        <v>41156908.061274678</v>
      </c>
      <c r="J97" s="457">
        <f t="shared" si="4"/>
        <v>5867799.0612746775</v>
      </c>
      <c r="K97" s="5">
        <f t="shared" si="5"/>
        <v>0.16627790351053287</v>
      </c>
    </row>
    <row r="98" spans="1:11" x14ac:dyDescent="0.2">
      <c r="A98" s="453">
        <v>40513</v>
      </c>
      <c r="B98" s="454">
        <v>34244910</v>
      </c>
      <c r="C98" s="458">
        <f>+'Purchased Power Model '!C98</f>
        <v>628.70000000000005</v>
      </c>
      <c r="D98" s="458">
        <f>+'Purchased Power Model '!D98</f>
        <v>0</v>
      </c>
      <c r="E98" s="443">
        <f>+'Purchased Power Model '!E98</f>
        <v>9.3000000000000013E-2</v>
      </c>
      <c r="F98" s="53">
        <f>+'Purchased Power Model '!F98</f>
        <v>31</v>
      </c>
      <c r="G98" s="53">
        <f>+'Purchased Power Model '!G98</f>
        <v>0</v>
      </c>
      <c r="H98" s="17">
        <v>48460</v>
      </c>
      <c r="I98" s="456">
        <f t="shared" si="3"/>
        <v>42108420.687946349</v>
      </c>
      <c r="J98" s="457">
        <f t="shared" si="4"/>
        <v>7863510.6879463494</v>
      </c>
      <c r="K98" s="5">
        <f t="shared" si="5"/>
        <v>0.22962567832551903</v>
      </c>
    </row>
    <row r="99" spans="1:11" x14ac:dyDescent="0.2">
      <c r="A99" s="453">
        <v>40544</v>
      </c>
      <c r="B99" s="459">
        <v>45548074</v>
      </c>
      <c r="C99" s="458">
        <f>+'Purchased Power Model '!C99</f>
        <v>760.9</v>
      </c>
      <c r="D99" s="458">
        <f>+'Purchased Power Model '!D99</f>
        <v>0</v>
      </c>
      <c r="E99" s="443">
        <f>+'Purchased Power Model '!E99</f>
        <v>8.8000000000000009E-2</v>
      </c>
      <c r="F99" s="53">
        <f>+'Purchased Power Model '!F99</f>
        <v>31</v>
      </c>
      <c r="G99" s="53">
        <f>+'Purchased Power Model '!G99</f>
        <v>0</v>
      </c>
      <c r="H99" s="170">
        <v>48492</v>
      </c>
      <c r="I99" s="456">
        <f t="shared" si="3"/>
        <v>43982331.738368347</v>
      </c>
      <c r="J99" s="457">
        <f t="shared" si="4"/>
        <v>-1565742.2616316527</v>
      </c>
      <c r="K99" s="5">
        <f t="shared" si="5"/>
        <v>-3.4375597563832287E-2</v>
      </c>
    </row>
    <row r="100" spans="1:11" x14ac:dyDescent="0.2">
      <c r="A100" s="453">
        <v>40575</v>
      </c>
      <c r="B100" s="27">
        <v>47320844</v>
      </c>
      <c r="C100" s="458">
        <f>+'Purchased Power Model '!C100</f>
        <v>634.19999999999993</v>
      </c>
      <c r="D100" s="458">
        <f>+'Purchased Power Model '!D100</f>
        <v>0</v>
      </c>
      <c r="E100" s="443">
        <f>+'Purchased Power Model '!E100</f>
        <v>8.8000000000000009E-2</v>
      </c>
      <c r="F100" s="53">
        <f>+'Purchased Power Model '!F100</f>
        <v>28</v>
      </c>
      <c r="G100" s="53">
        <f>+'Purchased Power Model '!G100</f>
        <v>0</v>
      </c>
      <c r="H100" s="170">
        <v>48513</v>
      </c>
      <c r="I100" s="456">
        <f t="shared" si="3"/>
        <v>45068049.88545496</v>
      </c>
      <c r="J100" s="457">
        <f t="shared" si="4"/>
        <v>-2252794.1145450398</v>
      </c>
      <c r="K100" s="5">
        <f t="shared" si="5"/>
        <v>-4.7606803347485516E-2</v>
      </c>
    </row>
    <row r="101" spans="1:11" x14ac:dyDescent="0.2">
      <c r="A101" s="453">
        <v>40603</v>
      </c>
      <c r="B101" s="27">
        <v>49556102</v>
      </c>
      <c r="C101" s="458">
        <f>+'Purchased Power Model '!C101</f>
        <v>559.80000000000007</v>
      </c>
      <c r="D101" s="458">
        <f>+'Purchased Power Model '!D101</f>
        <v>0</v>
      </c>
      <c r="E101" s="443">
        <f>+'Purchased Power Model '!E101</f>
        <v>8.8000000000000009E-2</v>
      </c>
      <c r="F101" s="53">
        <f>+'Purchased Power Model '!F101</f>
        <v>31</v>
      </c>
      <c r="G101" s="53">
        <f>+'Purchased Power Model '!G101</f>
        <v>1</v>
      </c>
      <c r="H101" s="170">
        <v>48584</v>
      </c>
      <c r="I101" s="456">
        <f t="shared" si="3"/>
        <v>42611730.637082502</v>
      </c>
      <c r="J101" s="457">
        <f t="shared" si="4"/>
        <v>-6944371.3629174978</v>
      </c>
      <c r="K101" s="5">
        <f t="shared" si="5"/>
        <v>-0.14013150919169345</v>
      </c>
    </row>
    <row r="102" spans="1:11" x14ac:dyDescent="0.2">
      <c r="A102" s="453">
        <v>40634</v>
      </c>
      <c r="B102" s="27">
        <v>43462201</v>
      </c>
      <c r="C102" s="458">
        <f>+'Purchased Power Model '!C102</f>
        <v>350.79999999999995</v>
      </c>
      <c r="D102" s="458">
        <f>+'Purchased Power Model '!D102</f>
        <v>0</v>
      </c>
      <c r="E102" s="443">
        <f>+'Purchased Power Model '!E102</f>
        <v>9.0999999999999998E-2</v>
      </c>
      <c r="F102" s="53">
        <f>+'Purchased Power Model '!F102</f>
        <v>30</v>
      </c>
      <c r="G102" s="53">
        <f>+'Purchased Power Model '!G102</f>
        <v>1</v>
      </c>
      <c r="H102" s="170">
        <v>48612</v>
      </c>
      <c r="I102" s="456">
        <f t="shared" si="3"/>
        <v>40544834.618636787</v>
      </c>
      <c r="J102" s="457">
        <f t="shared" si="4"/>
        <v>-2917366.3813632131</v>
      </c>
      <c r="K102" s="5">
        <f t="shared" si="5"/>
        <v>-6.7124220914702715E-2</v>
      </c>
    </row>
    <row r="103" spans="1:11" x14ac:dyDescent="0.2">
      <c r="A103" s="453">
        <v>40664</v>
      </c>
      <c r="B103" s="27">
        <v>34986173</v>
      </c>
      <c r="C103" s="458">
        <f>+'Purchased Power Model '!C103</f>
        <v>157.69999999999996</v>
      </c>
      <c r="D103" s="458">
        <f>+'Purchased Power Model '!D103</f>
        <v>2.8</v>
      </c>
      <c r="E103" s="443">
        <f>+'Purchased Power Model '!E103</f>
        <v>9.0999999999999998E-2</v>
      </c>
      <c r="F103" s="53">
        <f>+'Purchased Power Model '!F103</f>
        <v>31</v>
      </c>
      <c r="G103" s="53">
        <f>+'Purchased Power Model '!G103</f>
        <v>1</v>
      </c>
      <c r="H103" s="170">
        <v>48687</v>
      </c>
      <c r="I103" s="456">
        <f t="shared" si="3"/>
        <v>36864316.872238331</v>
      </c>
      <c r="J103" s="457">
        <f t="shared" si="4"/>
        <v>1878143.8722383305</v>
      </c>
      <c r="K103" s="5">
        <f t="shared" si="5"/>
        <v>5.3682461132240171E-2</v>
      </c>
    </row>
    <row r="104" spans="1:11" x14ac:dyDescent="0.2">
      <c r="A104" s="453">
        <v>40695</v>
      </c>
      <c r="B104" s="27">
        <v>32871092</v>
      </c>
      <c r="C104" s="458">
        <f>+'Purchased Power Model '!C104</f>
        <v>26.699999999999996</v>
      </c>
      <c r="D104" s="458">
        <f>+'Purchased Power Model '!D104</f>
        <v>36.900000000000006</v>
      </c>
      <c r="E104" s="443">
        <f>+'Purchased Power Model '!E104</f>
        <v>9.0999999999999998E-2</v>
      </c>
      <c r="F104" s="53">
        <f>+'Purchased Power Model '!F104</f>
        <v>30</v>
      </c>
      <c r="G104" s="53">
        <f>+'Purchased Power Model '!G104</f>
        <v>0</v>
      </c>
      <c r="H104" s="170">
        <v>48641</v>
      </c>
      <c r="I104" s="456">
        <f t="shared" si="3"/>
        <v>36609808.540041491</v>
      </c>
      <c r="J104" s="457">
        <f t="shared" si="4"/>
        <v>3738716.5400414914</v>
      </c>
      <c r="K104" s="5">
        <f t="shared" si="5"/>
        <v>0.1137387385865213</v>
      </c>
    </row>
    <row r="105" spans="1:11" x14ac:dyDescent="0.2">
      <c r="A105" s="453">
        <v>40725</v>
      </c>
      <c r="B105" s="27">
        <v>35752252</v>
      </c>
      <c r="C105" s="458">
        <f>+'Purchased Power Model '!C105</f>
        <v>0.2</v>
      </c>
      <c r="D105" s="458">
        <f>+'Purchased Power Model '!D105</f>
        <v>141.19999999999999</v>
      </c>
      <c r="E105" s="443">
        <f>+'Purchased Power Model '!E105</f>
        <v>7.2999999999999995E-2</v>
      </c>
      <c r="F105" s="53">
        <f>+'Purchased Power Model '!F105</f>
        <v>31</v>
      </c>
      <c r="G105" s="53">
        <f>+'Purchased Power Model '!G105</f>
        <v>0</v>
      </c>
      <c r="H105" s="170">
        <v>48672</v>
      </c>
      <c r="I105" s="456">
        <f t="shared" si="3"/>
        <v>42017281.16686444</v>
      </c>
      <c r="J105" s="457">
        <f t="shared" si="4"/>
        <v>6265029.1668644398</v>
      </c>
      <c r="K105" s="5">
        <f t="shared" si="5"/>
        <v>0.17523453255096882</v>
      </c>
    </row>
    <row r="106" spans="1:11" x14ac:dyDescent="0.2">
      <c r="A106" s="453">
        <v>40756</v>
      </c>
      <c r="B106" s="27">
        <v>47336699</v>
      </c>
      <c r="C106" s="458">
        <f>+'Purchased Power Model '!C106</f>
        <v>3.7</v>
      </c>
      <c r="D106" s="458">
        <f>+'Purchased Power Model '!D106</f>
        <v>80.499999999999957</v>
      </c>
      <c r="E106" s="443">
        <f>+'Purchased Power Model '!E106</f>
        <v>7.2999999999999995E-2</v>
      </c>
      <c r="F106" s="53">
        <f>+'Purchased Power Model '!F106</f>
        <v>31</v>
      </c>
      <c r="G106" s="53">
        <f>+'Purchased Power Model '!G106</f>
        <v>0</v>
      </c>
      <c r="H106" s="170">
        <v>48705</v>
      </c>
      <c r="I106" s="456">
        <f t="shared" si="3"/>
        <v>37909546.885613382</v>
      </c>
      <c r="J106" s="457">
        <f t="shared" si="4"/>
        <v>-9427152.1143866181</v>
      </c>
      <c r="K106" s="5">
        <f t="shared" si="5"/>
        <v>-0.19915102475537252</v>
      </c>
    </row>
    <row r="107" spans="1:11" x14ac:dyDescent="0.2">
      <c r="A107" s="453">
        <v>40787</v>
      </c>
      <c r="B107" s="27">
        <v>42985684</v>
      </c>
      <c r="C107" s="458">
        <f>+'Purchased Power Model '!C107</f>
        <v>48.900000000000006</v>
      </c>
      <c r="D107" s="458">
        <f>+'Purchased Power Model '!D107</f>
        <v>34.6</v>
      </c>
      <c r="E107" s="443">
        <f>+'Purchased Power Model '!E107</f>
        <v>7.2999999999999995E-2</v>
      </c>
      <c r="F107" s="53">
        <f>+'Purchased Power Model '!F107</f>
        <v>30</v>
      </c>
      <c r="G107" s="53">
        <f>+'Purchased Power Model '!G107</f>
        <v>1</v>
      </c>
      <c r="H107" s="170">
        <v>48746</v>
      </c>
      <c r="I107" s="456">
        <f t="shared" si="3"/>
        <v>38059290.082965046</v>
      </c>
      <c r="J107" s="457">
        <f t="shared" si="4"/>
        <v>-4926393.9170349538</v>
      </c>
      <c r="K107" s="5">
        <f t="shared" si="5"/>
        <v>-0.11460545601728599</v>
      </c>
    </row>
    <row r="108" spans="1:11" x14ac:dyDescent="0.2">
      <c r="A108" s="453">
        <v>40817</v>
      </c>
      <c r="B108" s="27">
        <v>35399883</v>
      </c>
      <c r="C108" s="458">
        <f>+'Purchased Power Model '!C108</f>
        <v>225.29999999999998</v>
      </c>
      <c r="D108" s="458">
        <f>+'Purchased Power Model '!D108</f>
        <v>0</v>
      </c>
      <c r="E108" s="443">
        <f>+'Purchased Power Model '!E108</f>
        <v>7.400000000000001E-2</v>
      </c>
      <c r="F108" s="53">
        <f>+'Purchased Power Model '!F108</f>
        <v>31</v>
      </c>
      <c r="G108" s="53">
        <f>+'Purchased Power Model '!G108</f>
        <v>1</v>
      </c>
      <c r="H108" s="170">
        <v>48780</v>
      </c>
      <c r="I108" s="456">
        <f t="shared" si="3"/>
        <v>37347159.487933598</v>
      </c>
      <c r="J108" s="457">
        <f t="shared" si="4"/>
        <v>1947276.4879335985</v>
      </c>
      <c r="K108" s="5">
        <f t="shared" si="5"/>
        <v>5.5007992199680389E-2</v>
      </c>
    </row>
    <row r="109" spans="1:11" x14ac:dyDescent="0.2">
      <c r="A109" s="453">
        <v>40848</v>
      </c>
      <c r="B109" s="27">
        <v>35056122</v>
      </c>
      <c r="C109" s="458">
        <f>+'Purchased Power Model '!C109</f>
        <v>349.69999999999993</v>
      </c>
      <c r="D109" s="458">
        <f>+'Purchased Power Model '!D109</f>
        <v>0</v>
      </c>
      <c r="E109" s="443">
        <f>+'Purchased Power Model '!E109</f>
        <v>7.400000000000001E-2</v>
      </c>
      <c r="F109" s="53">
        <f>+'Purchased Power Model '!F109</f>
        <v>30</v>
      </c>
      <c r="G109" s="53">
        <f>+'Purchased Power Model '!G109</f>
        <v>1</v>
      </c>
      <c r="H109" s="170">
        <v>48812</v>
      </c>
      <c r="I109" s="456">
        <f t="shared" si="3"/>
        <v>40194760.715231046</v>
      </c>
      <c r="J109" s="457">
        <f t="shared" si="4"/>
        <v>5138638.7152310461</v>
      </c>
      <c r="K109" s="5">
        <f t="shared" si="5"/>
        <v>0.14658320493153937</v>
      </c>
    </row>
    <row r="110" spans="1:11" x14ac:dyDescent="0.2">
      <c r="A110" s="453">
        <v>40878</v>
      </c>
      <c r="B110" s="27">
        <v>34342708</v>
      </c>
      <c r="C110" s="458">
        <f>+'Purchased Power Model '!C110</f>
        <v>531.20000000000005</v>
      </c>
      <c r="D110" s="458">
        <f>+'Purchased Power Model '!D110</f>
        <v>0</v>
      </c>
      <c r="E110" s="443">
        <f>+'Purchased Power Model '!E110</f>
        <v>7.400000000000001E-2</v>
      </c>
      <c r="F110" s="53">
        <f>+'Purchased Power Model '!F110</f>
        <v>31</v>
      </c>
      <c r="G110" s="53">
        <f>+'Purchased Power Model '!G110</f>
        <v>0</v>
      </c>
      <c r="H110" s="170">
        <v>48841</v>
      </c>
      <c r="I110" s="456">
        <f t="shared" si="3"/>
        <v>40281078.380873039</v>
      </c>
      <c r="J110" s="457">
        <f t="shared" si="4"/>
        <v>5938370.3808730394</v>
      </c>
      <c r="K110" s="5">
        <f t="shared" si="5"/>
        <v>0.17291502990600041</v>
      </c>
    </row>
    <row r="111" spans="1:11" x14ac:dyDescent="0.2">
      <c r="A111" s="453">
        <v>40909</v>
      </c>
      <c r="B111" s="27">
        <v>44507364</v>
      </c>
      <c r="C111" s="458">
        <f>+'Purchased Power Model '!C111</f>
        <v>611</v>
      </c>
      <c r="D111" s="458">
        <f>+'Purchased Power Model '!D111</f>
        <v>0</v>
      </c>
      <c r="E111" s="443">
        <f>+'Purchased Power Model '!E111</f>
        <v>7.9000000000000001E-2</v>
      </c>
      <c r="F111" s="53">
        <f>+'Purchased Power Model '!F111</f>
        <v>31</v>
      </c>
      <c r="G111" s="53">
        <f>+'Purchased Power Model '!G111</f>
        <v>0</v>
      </c>
      <c r="H111" s="170">
        <v>48868</v>
      </c>
      <c r="I111" s="456">
        <f t="shared" si="3"/>
        <v>41569604.0845595</v>
      </c>
      <c r="J111" s="457">
        <f t="shared" si="4"/>
        <v>-2937759.9154404998</v>
      </c>
      <c r="K111" s="5">
        <f t="shared" si="5"/>
        <v>-6.6006153845473745E-2</v>
      </c>
    </row>
    <row r="112" spans="1:11" x14ac:dyDescent="0.2">
      <c r="A112" s="453">
        <v>40940</v>
      </c>
      <c r="B112" s="27">
        <v>46211417</v>
      </c>
      <c r="C112" s="458">
        <f>+'Purchased Power Model '!C112</f>
        <v>536.20000000000005</v>
      </c>
      <c r="D112" s="458">
        <f>+'Purchased Power Model '!D112</f>
        <v>0</v>
      </c>
      <c r="E112" s="443">
        <f>+'Purchased Power Model '!E112</f>
        <v>7.9000000000000001E-2</v>
      </c>
      <c r="F112" s="53">
        <f>+'Purchased Power Model '!F112</f>
        <v>29</v>
      </c>
      <c r="G112" s="53">
        <f>+'Purchased Power Model '!G112</f>
        <v>0</v>
      </c>
      <c r="H112" s="170">
        <v>48878</v>
      </c>
      <c r="I112" s="456">
        <f t="shared" si="3"/>
        <v>42437615.342788875</v>
      </c>
      <c r="J112" s="457">
        <f t="shared" si="4"/>
        <v>-3773801.6572111249</v>
      </c>
      <c r="K112" s="5">
        <f t="shared" si="5"/>
        <v>-8.1663837687797475E-2</v>
      </c>
    </row>
    <row r="113" spans="1:11" x14ac:dyDescent="0.2">
      <c r="A113" s="453">
        <v>40969</v>
      </c>
      <c r="B113" s="27">
        <v>43295338</v>
      </c>
      <c r="C113" s="458">
        <f>+'Purchased Power Model '!C113</f>
        <v>399.39999999999992</v>
      </c>
      <c r="D113" s="458">
        <f>+'Purchased Power Model '!D113</f>
        <v>0</v>
      </c>
      <c r="E113" s="443">
        <f>+'Purchased Power Model '!E113</f>
        <v>7.9000000000000001E-2</v>
      </c>
      <c r="F113" s="53">
        <f>+'Purchased Power Model '!F113</f>
        <v>31</v>
      </c>
      <c r="G113" s="53">
        <f>+'Purchased Power Model '!G113</f>
        <v>1</v>
      </c>
      <c r="H113" s="170">
        <v>48886</v>
      </c>
      <c r="I113" s="456">
        <f t="shared" si="3"/>
        <v>40042372.861018285</v>
      </c>
      <c r="J113" s="457">
        <f t="shared" si="4"/>
        <v>-3252965.1389817148</v>
      </c>
      <c r="K113" s="5">
        <f t="shared" si="5"/>
        <v>-7.5134305198904211E-2</v>
      </c>
    </row>
    <row r="114" spans="1:11" x14ac:dyDescent="0.2">
      <c r="A114" s="453">
        <v>41000</v>
      </c>
      <c r="B114" s="27">
        <v>36181165</v>
      </c>
      <c r="C114" s="458">
        <f>+'Purchased Power Model '!C114</f>
        <v>336.89999999999992</v>
      </c>
      <c r="D114" s="458">
        <f>+'Purchased Power Model '!D114</f>
        <v>0</v>
      </c>
      <c r="E114" s="443">
        <f>+'Purchased Power Model '!E114</f>
        <v>8.4000000000000005E-2</v>
      </c>
      <c r="F114" s="53">
        <f>+'Purchased Power Model '!F114</f>
        <v>30</v>
      </c>
      <c r="G114" s="53">
        <f>+'Purchased Power Model '!G114</f>
        <v>1</v>
      </c>
      <c r="H114" s="170">
        <v>48890</v>
      </c>
      <c r="I114" s="456">
        <f t="shared" si="3"/>
        <v>40200094.686715782</v>
      </c>
      <c r="J114" s="457">
        <f t="shared" si="4"/>
        <v>4018929.6867157817</v>
      </c>
      <c r="K114" s="5">
        <f t="shared" si="5"/>
        <v>0.11107795137928206</v>
      </c>
    </row>
    <row r="115" spans="1:11" x14ac:dyDescent="0.2">
      <c r="A115" s="453">
        <v>41030</v>
      </c>
      <c r="B115" s="27">
        <v>31564371</v>
      </c>
      <c r="C115" s="458">
        <f>+'Purchased Power Model '!C115</f>
        <v>109.30000000000001</v>
      </c>
      <c r="D115" s="458">
        <f>+'Purchased Power Model '!D115</f>
        <v>21.8</v>
      </c>
      <c r="E115" s="443">
        <f>+'Purchased Power Model '!E115</f>
        <v>8.4000000000000005E-2</v>
      </c>
      <c r="F115" s="53">
        <f>+'Purchased Power Model '!F115</f>
        <v>31</v>
      </c>
      <c r="G115" s="53">
        <f>+'Purchased Power Model '!G115</f>
        <v>1</v>
      </c>
      <c r="H115" s="170">
        <v>48930</v>
      </c>
      <c r="I115" s="456">
        <f t="shared" si="3"/>
        <v>37307059.362406418</v>
      </c>
      <c r="J115" s="457">
        <f t="shared" si="4"/>
        <v>5742688.3624064177</v>
      </c>
      <c r="K115" s="5">
        <f t="shared" si="5"/>
        <v>0.1819357769684819</v>
      </c>
    </row>
    <row r="116" spans="1:11" x14ac:dyDescent="0.2">
      <c r="A116" s="453">
        <v>41061</v>
      </c>
      <c r="B116" s="27">
        <v>33547925</v>
      </c>
      <c r="C116" s="458">
        <f>+'Purchased Power Model '!C116</f>
        <v>28.2</v>
      </c>
      <c r="D116" s="458">
        <f>+'Purchased Power Model '!D116</f>
        <v>64.3</v>
      </c>
      <c r="E116" s="443">
        <f>+'Purchased Power Model '!E116</f>
        <v>8.4000000000000005E-2</v>
      </c>
      <c r="F116" s="53">
        <f>+'Purchased Power Model '!F116</f>
        <v>30</v>
      </c>
      <c r="G116" s="53">
        <f>+'Purchased Power Model '!G116</f>
        <v>0</v>
      </c>
      <c r="H116" s="170">
        <v>48970</v>
      </c>
      <c r="I116" s="456">
        <f t="shared" si="3"/>
        <v>38372593.025037572</v>
      </c>
      <c r="J116" s="457">
        <f t="shared" si="4"/>
        <v>4824668.0250375718</v>
      </c>
      <c r="K116" s="5">
        <f t="shared" si="5"/>
        <v>0.14381420087941568</v>
      </c>
    </row>
    <row r="117" spans="1:11" x14ac:dyDescent="0.2">
      <c r="A117" s="453">
        <v>41091</v>
      </c>
      <c r="B117" s="27">
        <v>38898477</v>
      </c>
      <c r="C117" s="458">
        <f>+'Purchased Power Model '!C117</f>
        <v>0</v>
      </c>
      <c r="D117" s="458">
        <f>+'Purchased Power Model '!D117</f>
        <v>155.30000000000001</v>
      </c>
      <c r="E117" s="443">
        <f>+'Purchased Power Model '!E117</f>
        <v>8.900000000000001E-2</v>
      </c>
      <c r="F117" s="53">
        <f>+'Purchased Power Model '!F117</f>
        <v>31</v>
      </c>
      <c r="G117" s="53">
        <f>+'Purchased Power Model '!G117</f>
        <v>0</v>
      </c>
      <c r="H117" s="170">
        <v>48983</v>
      </c>
      <c r="I117" s="456">
        <f t="shared" si="3"/>
        <v>43294648.675469846</v>
      </c>
      <c r="J117" s="457">
        <f t="shared" si="4"/>
        <v>4396171.6754698455</v>
      </c>
      <c r="K117" s="5">
        <f t="shared" si="5"/>
        <v>0.11301655012019739</v>
      </c>
    </row>
    <row r="118" spans="1:11" x14ac:dyDescent="0.2">
      <c r="A118" s="453">
        <v>41122</v>
      </c>
      <c r="B118" s="27">
        <v>48492174</v>
      </c>
      <c r="C118" s="458">
        <f>+'Purchased Power Model '!C118</f>
        <v>4.4000000000000004</v>
      </c>
      <c r="D118" s="458">
        <f>+'Purchased Power Model '!D118</f>
        <v>102.79999999999998</v>
      </c>
      <c r="E118" s="443">
        <f>+'Purchased Power Model '!E118</f>
        <v>8.900000000000001E-2</v>
      </c>
      <c r="F118" s="53">
        <f>+'Purchased Power Model '!F118</f>
        <v>31</v>
      </c>
      <c r="G118" s="53">
        <f>+'Purchased Power Model '!G118</f>
        <v>0</v>
      </c>
      <c r="H118" s="170">
        <v>49027</v>
      </c>
      <c r="I118" s="456">
        <f t="shared" si="3"/>
        <v>39762309.247444272</v>
      </c>
      <c r="J118" s="457">
        <f t="shared" si="4"/>
        <v>-8729864.752555728</v>
      </c>
      <c r="K118" s="5">
        <f t="shared" si="5"/>
        <v>-0.18002626057878388</v>
      </c>
    </row>
    <row r="119" spans="1:11" x14ac:dyDescent="0.2">
      <c r="A119" s="453">
        <v>41153</v>
      </c>
      <c r="B119" s="27">
        <v>45718998</v>
      </c>
      <c r="C119" s="458">
        <f>+'Purchased Power Model '!C119</f>
        <v>84</v>
      </c>
      <c r="D119" s="458">
        <f>+'Purchased Power Model '!D119</f>
        <v>24.400000000000002</v>
      </c>
      <c r="E119" s="443">
        <f>+'Purchased Power Model '!E119</f>
        <v>8.900000000000001E-2</v>
      </c>
      <c r="F119" s="53">
        <f>+'Purchased Power Model '!F119</f>
        <v>30</v>
      </c>
      <c r="G119" s="53">
        <f>+'Purchased Power Model '!G119</f>
        <v>1</v>
      </c>
      <c r="H119" s="170">
        <v>49040</v>
      </c>
      <c r="I119" s="456">
        <f t="shared" si="3"/>
        <v>38197884.759529635</v>
      </c>
      <c r="J119" s="457">
        <f t="shared" si="4"/>
        <v>-7521113.2404703647</v>
      </c>
      <c r="K119" s="5">
        <f t="shared" si="5"/>
        <v>-0.16450739450742916</v>
      </c>
    </row>
    <row r="120" spans="1:11" x14ac:dyDescent="0.2">
      <c r="A120" s="453">
        <v>41183</v>
      </c>
      <c r="B120" s="27">
        <v>36478878</v>
      </c>
      <c r="C120" s="458">
        <f>+'Purchased Power Model '!C120</f>
        <v>228.99999999999994</v>
      </c>
      <c r="D120" s="458">
        <f>+'Purchased Power Model '!D120</f>
        <v>0</v>
      </c>
      <c r="E120" s="443">
        <f>+'Purchased Power Model '!E120</f>
        <v>9.1999999999999998E-2</v>
      </c>
      <c r="F120" s="53">
        <f>+'Purchased Power Model '!F120</f>
        <v>31</v>
      </c>
      <c r="G120" s="53">
        <f>+'Purchased Power Model '!G120</f>
        <v>1</v>
      </c>
      <c r="H120" s="170">
        <v>49081</v>
      </c>
      <c r="I120" s="456">
        <f t="shared" si="3"/>
        <v>37755645.347949781</v>
      </c>
      <c r="J120" s="457">
        <f t="shared" si="4"/>
        <v>1276767.3479497805</v>
      </c>
      <c r="K120" s="5">
        <f t="shared" si="5"/>
        <v>3.5000181418676869E-2</v>
      </c>
    </row>
    <row r="121" spans="1:11" x14ac:dyDescent="0.2">
      <c r="A121" s="453">
        <v>41214</v>
      </c>
      <c r="B121" s="27">
        <v>32177448</v>
      </c>
      <c r="C121" s="458">
        <f>+'Purchased Power Model '!C121</f>
        <v>427.89999999999992</v>
      </c>
      <c r="D121" s="458">
        <f>+'Purchased Power Model '!D121</f>
        <v>0</v>
      </c>
      <c r="E121" s="443">
        <f>+'Purchased Power Model '!E121</f>
        <v>9.1999999999999998E-2</v>
      </c>
      <c r="F121" s="53">
        <f>+'Purchased Power Model '!F121</f>
        <v>30</v>
      </c>
      <c r="G121" s="53">
        <f>+'Purchased Power Model '!G121</f>
        <v>1</v>
      </c>
      <c r="H121" s="170">
        <v>49113</v>
      </c>
      <c r="I121" s="456">
        <f t="shared" si="3"/>
        <v>41714574.585535347</v>
      </c>
      <c r="J121" s="457">
        <f t="shared" si="4"/>
        <v>9537126.5855353475</v>
      </c>
      <c r="K121" s="5">
        <f t="shared" si="5"/>
        <v>0.2963916400559593</v>
      </c>
    </row>
    <row r="122" spans="1:11" x14ac:dyDescent="0.2">
      <c r="A122" s="453">
        <v>41244</v>
      </c>
      <c r="B122" s="27">
        <v>36250725</v>
      </c>
      <c r="C122" s="458">
        <f>+'Purchased Power Model '!C122</f>
        <v>451.09999999999997</v>
      </c>
      <c r="D122" s="458">
        <f>+'Purchased Power Model '!D122</f>
        <v>0</v>
      </c>
      <c r="E122" s="443">
        <f>+'Purchased Power Model '!E122</f>
        <v>9.1999999999999998E-2</v>
      </c>
      <c r="F122" s="53">
        <f>+'Purchased Power Model '!F122</f>
        <v>31</v>
      </c>
      <c r="G122" s="53">
        <f>+'Purchased Power Model '!G122</f>
        <v>0</v>
      </c>
      <c r="H122" s="170">
        <v>49201</v>
      </c>
      <c r="I122" s="456">
        <f t="shared" si="3"/>
        <v>39439506.693746373</v>
      </c>
      <c r="J122" s="457">
        <f t="shared" si="4"/>
        <v>3188781.6937463731</v>
      </c>
      <c r="K122" s="5">
        <f t="shared" si="5"/>
        <v>8.7964632258978909E-2</v>
      </c>
    </row>
    <row r="123" spans="1:11" x14ac:dyDescent="0.2">
      <c r="A123" s="453">
        <v>41275</v>
      </c>
      <c r="B123" s="27">
        <v>43239727</v>
      </c>
      <c r="C123" s="458">
        <f>+'Purchased Power Model '!C123</f>
        <v>615.40000000000009</v>
      </c>
      <c r="D123" s="458">
        <f>+'Purchased Power Model '!D123</f>
        <v>0</v>
      </c>
      <c r="E123" s="443">
        <f>+'Purchased Power Model '!E123</f>
        <v>8.8000000000000009E-2</v>
      </c>
      <c r="F123" s="53">
        <f>+'Purchased Power Model '!F123</f>
        <v>31</v>
      </c>
      <c r="G123" s="53">
        <f>+'Purchased Power Model '!G123</f>
        <v>0</v>
      </c>
      <c r="H123" s="170">
        <v>49228</v>
      </c>
      <c r="I123" s="456">
        <f t="shared" si="3"/>
        <v>41811885.758543894</v>
      </c>
      <c r="J123" s="457">
        <f t="shared" si="4"/>
        <v>-1427841.2414561063</v>
      </c>
      <c r="K123" s="5">
        <f t="shared" si="5"/>
        <v>-3.302151379115105E-2</v>
      </c>
    </row>
    <row r="124" spans="1:11" x14ac:dyDescent="0.2">
      <c r="A124" s="453">
        <v>41306</v>
      </c>
      <c r="B124" s="27">
        <v>45208585</v>
      </c>
      <c r="C124" s="458">
        <f>+'Purchased Power Model '!C124</f>
        <v>611.5</v>
      </c>
      <c r="D124" s="458">
        <f>+'Purchased Power Model '!D124</f>
        <v>0</v>
      </c>
      <c r="E124" s="443">
        <f>+'Purchased Power Model '!E124</f>
        <v>8.8000000000000009E-2</v>
      </c>
      <c r="F124" s="53">
        <f>+'Purchased Power Model '!F124</f>
        <v>28</v>
      </c>
      <c r="G124" s="53">
        <f>+'Purchased Power Model '!G124</f>
        <v>0</v>
      </c>
      <c r="H124" s="170">
        <v>49269</v>
      </c>
      <c r="I124" s="456">
        <f t="shared" si="3"/>
        <v>44729430.478293367</v>
      </c>
      <c r="J124" s="457">
        <f t="shared" si="4"/>
        <v>-479154.52170663327</v>
      </c>
      <c r="K124" s="5">
        <f t="shared" si="5"/>
        <v>-1.0598750695396312E-2</v>
      </c>
    </row>
    <row r="125" spans="1:11" x14ac:dyDescent="0.2">
      <c r="A125" s="453">
        <v>41334</v>
      </c>
      <c r="B125" s="27">
        <v>47225367</v>
      </c>
      <c r="C125" s="458">
        <f>+'Purchased Power Model '!C125</f>
        <v>545</v>
      </c>
      <c r="D125" s="458">
        <f>+'Purchased Power Model '!D125</f>
        <v>0</v>
      </c>
      <c r="E125" s="443">
        <f>+'Purchased Power Model '!E125</f>
        <v>8.8000000000000009E-2</v>
      </c>
      <c r="F125" s="53">
        <f>+'Purchased Power Model '!F125</f>
        <v>31</v>
      </c>
      <c r="G125" s="53">
        <f>+'Purchased Power Model '!G125</f>
        <v>1</v>
      </c>
      <c r="H125" s="170">
        <v>49337</v>
      </c>
      <c r="I125" s="456">
        <f t="shared" si="3"/>
        <v>42390956.750474915</v>
      </c>
      <c r="J125" s="457">
        <f t="shared" si="4"/>
        <v>-4834410.2495250851</v>
      </c>
      <c r="K125" s="5">
        <f t="shared" si="5"/>
        <v>-0.10236892917158452</v>
      </c>
    </row>
    <row r="126" spans="1:11" x14ac:dyDescent="0.2">
      <c r="A126" s="453">
        <v>41365</v>
      </c>
      <c r="B126" s="27">
        <v>41850195</v>
      </c>
      <c r="C126" s="458">
        <f>+'Purchased Power Model '!C126</f>
        <v>366.49999999999994</v>
      </c>
      <c r="D126" s="458">
        <f>+'Purchased Power Model '!D126</f>
        <v>0</v>
      </c>
      <c r="E126" s="443">
        <f>+'Purchased Power Model '!E126</f>
        <v>7.400000000000001E-2</v>
      </c>
      <c r="F126" s="53">
        <f>+'Purchased Power Model '!F126</f>
        <v>30</v>
      </c>
      <c r="G126" s="53">
        <f>+'Purchased Power Model '!G126</f>
        <v>1</v>
      </c>
      <c r="H126" s="170">
        <v>49429</v>
      </c>
      <c r="I126" s="456">
        <f t="shared" si="3"/>
        <v>40445368.910839647</v>
      </c>
      <c r="J126" s="457">
        <f t="shared" si="4"/>
        <v>-1404826.0891603529</v>
      </c>
      <c r="K126" s="5">
        <f t="shared" si="5"/>
        <v>-3.3567969973863993E-2</v>
      </c>
    </row>
    <row r="127" spans="1:11" x14ac:dyDescent="0.2">
      <c r="A127" s="453">
        <v>41395</v>
      </c>
      <c r="B127" s="27">
        <v>37731544</v>
      </c>
      <c r="C127" s="458">
        <f>+'Purchased Power Model '!C127</f>
        <v>133.4</v>
      </c>
      <c r="D127" s="458">
        <f>+'Purchased Power Model '!D127</f>
        <v>3</v>
      </c>
      <c r="E127" s="443">
        <f>+'Purchased Power Model '!E127</f>
        <v>7.400000000000001E-2</v>
      </c>
      <c r="F127" s="53">
        <f>+'Purchased Power Model '!F127</f>
        <v>31</v>
      </c>
      <c r="G127" s="53">
        <f>+'Purchased Power Model '!G127</f>
        <v>1</v>
      </c>
      <c r="H127" s="170">
        <v>49493</v>
      </c>
      <c r="I127" s="456">
        <f t="shared" si="3"/>
        <v>36181871.555498168</v>
      </c>
      <c r="J127" s="457">
        <f t="shared" si="4"/>
        <v>-1549672.4445018321</v>
      </c>
      <c r="K127" s="5">
        <f t="shared" si="5"/>
        <v>-4.1071005323869918E-2</v>
      </c>
    </row>
    <row r="128" spans="1:11" x14ac:dyDescent="0.2">
      <c r="A128" s="453">
        <v>41426</v>
      </c>
      <c r="B128" s="27">
        <v>32044592</v>
      </c>
      <c r="C128" s="458">
        <f>+'Purchased Power Model '!C128</f>
        <v>42.900000000000006</v>
      </c>
      <c r="D128" s="458">
        <f>+'Purchased Power Model '!D128</f>
        <v>32.200000000000003</v>
      </c>
      <c r="E128" s="443">
        <f>+'Purchased Power Model '!E128</f>
        <v>7.400000000000001E-2</v>
      </c>
      <c r="F128" s="53">
        <f>+'Purchased Power Model '!F128</f>
        <v>30</v>
      </c>
      <c r="G128" s="53">
        <f>+'Purchased Power Model '!G128</f>
        <v>0</v>
      </c>
      <c r="H128" s="170">
        <v>49529</v>
      </c>
      <c r="I128" s="456">
        <f t="shared" si="3"/>
        <v>36195696.989174798</v>
      </c>
      <c r="J128" s="457">
        <f t="shared" si="4"/>
        <v>4151104.9891747981</v>
      </c>
      <c r="K128" s="5">
        <f t="shared" si="5"/>
        <v>0.12954151481082357</v>
      </c>
    </row>
    <row r="129" spans="1:11" x14ac:dyDescent="0.2">
      <c r="A129" s="453">
        <v>41456</v>
      </c>
      <c r="B129" s="27">
        <v>35192077</v>
      </c>
      <c r="C129" s="458">
        <f>+'Purchased Power Model '!C129</f>
        <v>4.4000000000000004</v>
      </c>
      <c r="D129" s="458">
        <f>+'Purchased Power Model '!D129</f>
        <v>109.99999999999999</v>
      </c>
      <c r="E129" s="443">
        <f>+'Purchased Power Model '!E129</f>
        <v>6.2E-2</v>
      </c>
      <c r="F129" s="53">
        <f>+'Purchased Power Model '!F129</f>
        <v>31</v>
      </c>
      <c r="G129" s="53">
        <f>+'Purchased Power Model '!G129</f>
        <v>0</v>
      </c>
      <c r="H129" s="170">
        <v>49593</v>
      </c>
      <c r="I129" s="456">
        <f t="shared" si="3"/>
        <v>39725807.223685652</v>
      </c>
      <c r="J129" s="457">
        <f t="shared" si="4"/>
        <v>4533730.223685652</v>
      </c>
      <c r="K129" s="5">
        <f t="shared" si="5"/>
        <v>0.12882815139571477</v>
      </c>
    </row>
    <row r="130" spans="1:11" x14ac:dyDescent="0.2">
      <c r="A130" s="453">
        <v>41487</v>
      </c>
      <c r="B130" s="27">
        <v>45217149</v>
      </c>
      <c r="C130" s="458">
        <f>+'Purchased Power Model '!C130</f>
        <v>11</v>
      </c>
      <c r="D130" s="458">
        <f>+'Purchased Power Model '!D130</f>
        <v>57.899999999999991</v>
      </c>
      <c r="E130" s="443">
        <f>+'Purchased Power Model '!E130</f>
        <v>6.2E-2</v>
      </c>
      <c r="F130" s="53">
        <f>+'Purchased Power Model '!F130</f>
        <v>31</v>
      </c>
      <c r="G130" s="53">
        <f>+'Purchased Power Model '!G130</f>
        <v>0</v>
      </c>
      <c r="H130" s="170">
        <v>49640</v>
      </c>
      <c r="I130" s="456">
        <f t="shared" si="3"/>
        <v>36253698.677716084</v>
      </c>
      <c r="J130" s="457">
        <f t="shared" si="4"/>
        <v>-8963450.3222839162</v>
      </c>
      <c r="K130" s="5">
        <f t="shared" si="5"/>
        <v>-0.19823121361065724</v>
      </c>
    </row>
    <row r="131" spans="1:11" x14ac:dyDescent="0.2">
      <c r="A131" s="453">
        <v>41518</v>
      </c>
      <c r="B131" s="27">
        <v>40545830</v>
      </c>
      <c r="C131" s="458">
        <f>+'Purchased Power Model '!C131</f>
        <v>96.600000000000009</v>
      </c>
      <c r="D131" s="458">
        <f>+'Purchased Power Model '!D131</f>
        <v>15.700000000000001</v>
      </c>
      <c r="E131" s="443">
        <f>+'Purchased Power Model '!E131</f>
        <v>6.2E-2</v>
      </c>
      <c r="F131" s="53">
        <f>+'Purchased Power Model '!F131</f>
        <v>30</v>
      </c>
      <c r="G131" s="53">
        <f>+'Purchased Power Model '!G131</f>
        <v>1</v>
      </c>
      <c r="H131" s="170">
        <v>49706</v>
      </c>
      <c r="I131" s="456">
        <f t="shared" si="3"/>
        <v>37259666.48182103</v>
      </c>
      <c r="J131" s="457">
        <f t="shared" si="4"/>
        <v>-3286163.5181789696</v>
      </c>
      <c r="K131" s="5">
        <f t="shared" si="5"/>
        <v>-8.1048125495987375E-2</v>
      </c>
    </row>
    <row r="132" spans="1:11" x14ac:dyDescent="0.2">
      <c r="A132" s="453">
        <v>41548</v>
      </c>
      <c r="B132" s="27">
        <v>37147018</v>
      </c>
      <c r="C132" s="458">
        <f>+'Purchased Power Model '!C132</f>
        <v>221</v>
      </c>
      <c r="D132" s="458">
        <f>+'Purchased Power Model '!D132</f>
        <v>3</v>
      </c>
      <c r="E132" s="443">
        <f>+'Purchased Power Model '!E132</f>
        <v>7.5999999999999998E-2</v>
      </c>
      <c r="F132" s="53">
        <f>+'Purchased Power Model '!F132</f>
        <v>31</v>
      </c>
      <c r="G132" s="53">
        <f>+'Purchased Power Model '!G132</f>
        <v>1</v>
      </c>
      <c r="H132" s="170">
        <v>49770</v>
      </c>
      <c r="I132" s="456">
        <f t="shared" ref="I132:I195" si="6">$N$18+C132*$N$19+D132*$N$20+E132*$N$21+F132*$N$22+G132*$N$23</f>
        <v>37527868.999561235</v>
      </c>
      <c r="J132" s="457">
        <f t="shared" ref="J132:J133" si="7">I132-B132</f>
        <v>380850.99956123531</v>
      </c>
      <c r="K132" s="5">
        <f t="shared" ref="K132:K133" si="8">J132/B132</f>
        <v>1.0252532237210408E-2</v>
      </c>
    </row>
    <row r="133" spans="1:11" x14ac:dyDescent="0.2">
      <c r="A133" s="453">
        <v>41579</v>
      </c>
      <c r="B133" s="27">
        <v>30731580</v>
      </c>
      <c r="C133" s="458">
        <f>+'Purchased Power Model '!C133</f>
        <v>458.6</v>
      </c>
      <c r="D133" s="458">
        <f>+'Purchased Power Model '!D133</f>
        <v>0</v>
      </c>
      <c r="E133" s="443">
        <f>+'Purchased Power Model '!E133</f>
        <v>7.5999999999999998E-2</v>
      </c>
      <c r="F133" s="53">
        <f>+'Purchased Power Model '!F133</f>
        <v>30</v>
      </c>
      <c r="G133" s="53">
        <f>+'Purchased Power Model '!G133</f>
        <v>1</v>
      </c>
      <c r="H133" s="170">
        <v>49821</v>
      </c>
      <c r="I133" s="456">
        <f t="shared" si="6"/>
        <v>41858493.550155014</v>
      </c>
      <c r="J133" s="457">
        <f t="shared" si="7"/>
        <v>11126913.550155014</v>
      </c>
      <c r="K133" s="5">
        <f t="shared" si="8"/>
        <v>0.36206773456343649</v>
      </c>
    </row>
    <row r="134" spans="1:11" x14ac:dyDescent="0.2">
      <c r="A134" s="453">
        <v>41609</v>
      </c>
      <c r="B134" s="27">
        <v>39184597</v>
      </c>
      <c r="C134" s="458">
        <f>+'Purchased Power Model '!C134</f>
        <v>472.8</v>
      </c>
      <c r="D134" s="458">
        <f ca="1">+'Purchased Power Model '!D134</f>
        <v>0</v>
      </c>
      <c r="E134" s="443">
        <f>+'Purchased Power Model '!E134</f>
        <v>7.5999999999999998E-2</v>
      </c>
      <c r="F134" s="53">
        <f>+'Purchased Power Model '!F134</f>
        <v>31</v>
      </c>
      <c r="G134" s="53">
        <f>+'Purchased Power Model '!G134</f>
        <v>0</v>
      </c>
      <c r="H134" s="170">
        <v>49831</v>
      </c>
      <c r="I134" s="456">
        <f t="shared" ca="1" si="6"/>
        <v>39449171.267861426</v>
      </c>
      <c r="J134" s="457">
        <f t="shared" ref="J134" ca="1" si="9">I134-B134</f>
        <v>264574.26786142588</v>
      </c>
      <c r="K134" s="5">
        <f t="shared" ref="K134" ca="1" si="10">J134/B134</f>
        <v>6.7519966547423182E-3</v>
      </c>
    </row>
    <row r="135" spans="1:11" x14ac:dyDescent="0.2">
      <c r="A135" s="453">
        <v>41640</v>
      </c>
      <c r="B135" s="27">
        <v>48055145</v>
      </c>
      <c r="C135" s="458">
        <f>+'Purchased Power Model '!C135</f>
        <v>771.3</v>
      </c>
      <c r="D135" s="458">
        <f>+'Purchased Power Model '!D135</f>
        <v>0</v>
      </c>
      <c r="E135" s="443">
        <f>+'Purchased Power Model '!E135</f>
        <v>7.6999999999999999E-2</v>
      </c>
      <c r="F135" s="53">
        <f>+'Purchased Power Model '!F135</f>
        <v>31</v>
      </c>
      <c r="G135" s="53">
        <f>+'Purchased Power Model '!G135</f>
        <v>0</v>
      </c>
      <c r="H135" s="170">
        <v>49844</v>
      </c>
      <c r="I135" s="456">
        <f t="shared" si="6"/>
        <v>43921569.241173252</v>
      </c>
      <c r="J135" s="457"/>
      <c r="K135" s="5"/>
    </row>
    <row r="136" spans="1:11" x14ac:dyDescent="0.2">
      <c r="A136" s="453">
        <v>41671</v>
      </c>
      <c r="B136" s="27">
        <v>52458603</v>
      </c>
      <c r="C136" s="458">
        <f>+'Purchased Power Model '!C136</f>
        <v>690.84999999999991</v>
      </c>
      <c r="D136" s="458">
        <f>+'Purchased Power Model '!D136</f>
        <v>0</v>
      </c>
      <c r="E136" s="443">
        <f>+'Purchased Power Model '!E136</f>
        <v>7.6999999999999999E-2</v>
      </c>
      <c r="F136" s="53">
        <f>+'Purchased Power Model '!F136</f>
        <v>28</v>
      </c>
      <c r="G136" s="53">
        <f>+'Purchased Power Model '!G136</f>
        <v>0</v>
      </c>
      <c r="H136" s="170">
        <v>49876</v>
      </c>
      <c r="I136" s="456">
        <f t="shared" si="6"/>
        <v>45697205.783908553</v>
      </c>
      <c r="J136" s="457"/>
      <c r="K136" s="5"/>
    </row>
    <row r="137" spans="1:11" x14ac:dyDescent="0.2">
      <c r="A137" s="453">
        <v>41699</v>
      </c>
      <c r="B137" s="27">
        <v>49417345</v>
      </c>
      <c r="C137" s="458">
        <f>+'Purchased Power Model '!C137</f>
        <v>677.95</v>
      </c>
      <c r="D137" s="458">
        <f>+'Purchased Power Model '!D137</f>
        <v>0</v>
      </c>
      <c r="E137" s="443">
        <f>+'Purchased Power Model '!E137</f>
        <v>7.6999999999999999E-2</v>
      </c>
      <c r="F137" s="53">
        <f>+'Purchased Power Model '!F137</f>
        <v>31</v>
      </c>
      <c r="G137" s="53">
        <f>+'Purchased Power Model '!G137</f>
        <v>1</v>
      </c>
      <c r="H137" s="170">
        <v>49940</v>
      </c>
      <c r="I137" s="456">
        <f t="shared" si="6"/>
        <v>44158291.537317529</v>
      </c>
      <c r="J137" s="457"/>
      <c r="K137" s="5"/>
    </row>
    <row r="138" spans="1:11" x14ac:dyDescent="0.2">
      <c r="A138" s="453">
        <v>41730</v>
      </c>
      <c r="B138" s="27">
        <v>42883964</v>
      </c>
      <c r="C138" s="458">
        <f>+'Purchased Power Model '!C138</f>
        <v>371.2999999999999</v>
      </c>
      <c r="D138" s="458">
        <f>+'Purchased Power Model '!D138</f>
        <v>0</v>
      </c>
      <c r="E138" s="443">
        <f>+'Purchased Power Model '!E138</f>
        <v>6.7000000000000004E-2</v>
      </c>
      <c r="F138" s="53">
        <f>+'Purchased Power Model '!F138</f>
        <v>30</v>
      </c>
      <c r="G138" s="53">
        <f>+'Purchased Power Model '!G138</f>
        <v>1</v>
      </c>
      <c r="H138" s="170">
        <v>49961</v>
      </c>
      <c r="I138" s="456">
        <f t="shared" si="6"/>
        <v>40379579.768078208</v>
      </c>
      <c r="J138" s="457"/>
      <c r="K138" s="5"/>
    </row>
    <row r="139" spans="1:11" x14ac:dyDescent="0.2">
      <c r="A139" s="453">
        <v>41760</v>
      </c>
      <c r="B139" s="27">
        <v>38466864</v>
      </c>
      <c r="C139" s="458">
        <f>+'Purchased Power Model '!C139</f>
        <v>160.49999999999994</v>
      </c>
      <c r="D139" s="458">
        <f>+'Purchased Power Model '!D139</f>
        <v>1.3</v>
      </c>
      <c r="E139" s="443">
        <f>+'Purchased Power Model '!E139</f>
        <v>6.7000000000000004E-2</v>
      </c>
      <c r="F139" s="53">
        <f>+'Purchased Power Model '!F139</f>
        <v>31</v>
      </c>
      <c r="G139" s="53">
        <f>+'Purchased Power Model '!G139</f>
        <v>1</v>
      </c>
      <c r="H139" s="170">
        <v>50032</v>
      </c>
      <c r="I139" s="456">
        <f t="shared" si="6"/>
        <v>36332229.103939906</v>
      </c>
      <c r="J139" s="457"/>
      <c r="K139" s="5"/>
    </row>
    <row r="140" spans="1:11" x14ac:dyDescent="0.2">
      <c r="A140" s="453">
        <v>41791</v>
      </c>
      <c r="B140" s="27">
        <v>31891061</v>
      </c>
      <c r="C140" s="458">
        <f>+'Purchased Power Model '!C140</f>
        <v>26.9</v>
      </c>
      <c r="D140" s="458">
        <f>+'Purchased Power Model '!D140</f>
        <v>40.1</v>
      </c>
      <c r="E140" s="443">
        <f>+'Purchased Power Model '!E140</f>
        <v>6.7000000000000004E-2</v>
      </c>
      <c r="F140" s="53">
        <f>+'Purchased Power Model '!F140</f>
        <v>30</v>
      </c>
      <c r="G140" s="53">
        <f>+'Purchased Power Model '!G140</f>
        <v>0</v>
      </c>
      <c r="H140" s="170">
        <v>50102</v>
      </c>
      <c r="I140" s="456">
        <f t="shared" si="6"/>
        <v>36361040.59036158</v>
      </c>
      <c r="J140" s="457"/>
      <c r="K140" s="5"/>
    </row>
    <row r="141" spans="1:11" x14ac:dyDescent="0.2">
      <c r="A141" s="453">
        <v>41821</v>
      </c>
      <c r="B141" s="27">
        <v>35262229</v>
      </c>
      <c r="C141" s="458">
        <f>+'Purchased Power Model '!C141</f>
        <v>9.5999999999999979</v>
      </c>
      <c r="D141" s="458">
        <f>+'Purchased Power Model '!D141</f>
        <v>54.599999999999994</v>
      </c>
      <c r="E141" s="443">
        <f>+'Purchased Power Model '!E141</f>
        <v>7.5999999999999998E-2</v>
      </c>
      <c r="F141" s="53">
        <f>+'Purchased Power Model '!F141</f>
        <v>31</v>
      </c>
      <c r="G141" s="53">
        <f>+'Purchased Power Model '!G141</f>
        <v>0</v>
      </c>
      <c r="H141" s="170">
        <v>50183</v>
      </c>
      <c r="I141" s="456">
        <f t="shared" si="6"/>
        <v>36281439.207365401</v>
      </c>
      <c r="J141" s="457"/>
      <c r="K141" s="5"/>
    </row>
    <row r="142" spans="1:11" x14ac:dyDescent="0.2">
      <c r="A142" s="453">
        <v>41852</v>
      </c>
      <c r="B142" s="27">
        <v>39782614</v>
      </c>
      <c r="C142" s="458">
        <f>+'Purchased Power Model '!C142</f>
        <v>12.7</v>
      </c>
      <c r="D142" s="458">
        <f>+'Purchased Power Model '!D142</f>
        <v>58</v>
      </c>
      <c r="E142" s="443">
        <f>+'Purchased Power Model '!E142</f>
        <v>7.5999999999999998E-2</v>
      </c>
      <c r="F142" s="53">
        <f>+'Purchased Power Model '!F142</f>
        <v>31</v>
      </c>
      <c r="G142" s="53">
        <f>+'Purchased Power Model '!G142</f>
        <v>0</v>
      </c>
      <c r="H142" s="170">
        <v>50251</v>
      </c>
      <c r="I142" s="456">
        <f t="shared" si="6"/>
        <v>36560694.09463346</v>
      </c>
      <c r="J142" s="457"/>
      <c r="K142" s="5"/>
    </row>
    <row r="143" spans="1:11" x14ac:dyDescent="0.2">
      <c r="A143" s="453">
        <v>41883</v>
      </c>
      <c r="B143" s="27">
        <v>39248944</v>
      </c>
      <c r="C143" s="458">
        <f>+'Purchased Power Model '!C143</f>
        <v>77.400000000000006</v>
      </c>
      <c r="D143" s="458">
        <f>+'Purchased Power Model '!D143</f>
        <v>22.5</v>
      </c>
      <c r="E143" s="443">
        <f>+'Purchased Power Model '!E143</f>
        <v>7.5999999999999998E-2</v>
      </c>
      <c r="F143" s="53">
        <f>+'Purchased Power Model '!F143</f>
        <v>30</v>
      </c>
      <c r="G143" s="53">
        <f>+'Purchased Power Model '!G143</f>
        <v>1</v>
      </c>
      <c r="H143" s="170">
        <v>50320</v>
      </c>
      <c r="I143" s="456">
        <f t="shared" si="6"/>
        <v>37714063.500771925</v>
      </c>
      <c r="J143" s="457"/>
      <c r="K143" s="5"/>
    </row>
    <row r="144" spans="1:11" x14ac:dyDescent="0.2">
      <c r="A144" s="453">
        <v>41913</v>
      </c>
      <c r="B144" s="27">
        <v>36539755</v>
      </c>
      <c r="C144" s="458">
        <f>+'Purchased Power Model '!C144</f>
        <v>216.29999999999998</v>
      </c>
      <c r="D144" s="458">
        <f>+'Purchased Power Model '!D144</f>
        <v>0.5</v>
      </c>
      <c r="E144" s="443">
        <f>+'Purchased Power Model '!E144</f>
        <v>7.400000000000001E-2</v>
      </c>
      <c r="F144" s="53">
        <f>+'Purchased Power Model '!F144</f>
        <v>31</v>
      </c>
      <c r="G144" s="53">
        <f>+'Purchased Power Model '!G144</f>
        <v>1</v>
      </c>
      <c r="H144" s="170">
        <v>50423</v>
      </c>
      <c r="I144" s="456">
        <f t="shared" si="6"/>
        <v>37247171.52512259</v>
      </c>
      <c r="J144" s="457"/>
      <c r="K144" s="5"/>
    </row>
    <row r="145" spans="1:11" x14ac:dyDescent="0.2">
      <c r="A145" s="453">
        <v>41944</v>
      </c>
      <c r="B145" s="27">
        <v>32699721</v>
      </c>
      <c r="C145" s="458">
        <f>+'Purchased Power Model '!C145</f>
        <v>407.30000000000013</v>
      </c>
      <c r="D145" s="458">
        <f>+'Purchased Power Model '!D145</f>
        <v>0</v>
      </c>
      <c r="E145" s="443">
        <f>+'Purchased Power Model '!E145</f>
        <v>6.8000000000000005E-2</v>
      </c>
      <c r="F145" s="53">
        <f>+'Purchased Power Model '!F145</f>
        <v>30</v>
      </c>
      <c r="G145" s="53">
        <f>+'Purchased Power Model '!G145</f>
        <v>1</v>
      </c>
      <c r="H145" s="170">
        <v>50530</v>
      </c>
      <c r="I145" s="456">
        <f t="shared" si="6"/>
        <v>40936224.685005754</v>
      </c>
      <c r="J145" s="457"/>
      <c r="K145" s="5"/>
    </row>
    <row r="146" spans="1:11" x14ac:dyDescent="0.2">
      <c r="A146" s="453">
        <v>41974</v>
      </c>
      <c r="B146" s="27">
        <v>38833074</v>
      </c>
      <c r="C146" s="458">
        <f>+'Purchased Power Model '!C146</f>
        <v>551.79999999999995</v>
      </c>
      <c r="D146" s="458">
        <f>+'Purchased Power Model '!D146</f>
        <v>0</v>
      </c>
      <c r="E146" s="443">
        <f>+'Purchased Power Model '!E146</f>
        <v>6.6000000000000003E-2</v>
      </c>
      <c r="F146" s="53">
        <f>+'Purchased Power Model '!F146</f>
        <v>31</v>
      </c>
      <c r="G146" s="53">
        <f>+'Purchased Power Model '!G146</f>
        <v>0</v>
      </c>
      <c r="H146" s="170">
        <v>50574</v>
      </c>
      <c r="I146" s="456">
        <f t="shared" si="6"/>
        <v>40431352.924310565</v>
      </c>
      <c r="J146" s="457"/>
      <c r="K146" s="5"/>
    </row>
    <row r="147" spans="1:11" x14ac:dyDescent="0.2">
      <c r="A147" s="453">
        <v>42005</v>
      </c>
      <c r="B147" s="27">
        <v>43955266</v>
      </c>
      <c r="C147" s="458">
        <f>+'Purchased Power Model '!C147</f>
        <v>775.6</v>
      </c>
      <c r="D147" s="458">
        <f>+'Purchased Power Model '!D147</f>
        <v>0</v>
      </c>
      <c r="E147" s="443">
        <f>+'Purchased Power Model '!E147</f>
        <v>6.7000000000000004E-2</v>
      </c>
      <c r="F147" s="53">
        <f>+'Purchased Power Model '!F147</f>
        <v>31</v>
      </c>
      <c r="G147" s="53">
        <f>+'Purchased Power Model '!G147</f>
        <v>0</v>
      </c>
      <c r="H147" s="170"/>
      <c r="I147" s="456">
        <f t="shared" si="6"/>
        <v>43789439.45643419</v>
      </c>
      <c r="J147" s="457"/>
      <c r="K147" s="5"/>
    </row>
    <row r="148" spans="1:11" x14ac:dyDescent="0.2">
      <c r="A148" s="453">
        <v>42036</v>
      </c>
      <c r="B148" s="27">
        <v>48907261</v>
      </c>
      <c r="C148" s="458">
        <f>+'Purchased Power Model '!C148</f>
        <v>809.4</v>
      </c>
      <c r="D148" s="458">
        <f>+'Purchased Power Model '!D148</f>
        <v>0</v>
      </c>
      <c r="E148" s="443">
        <f>+'Purchased Power Model '!E148</f>
        <v>6.8000000000000005E-2</v>
      </c>
      <c r="F148" s="53">
        <f>+'Purchased Power Model '!F148</f>
        <v>28</v>
      </c>
      <c r="G148" s="53">
        <f>+'Purchased Power Model '!G148</f>
        <v>0</v>
      </c>
      <c r="H148" s="170"/>
      <c r="I148" s="456">
        <f t="shared" si="6"/>
        <v>47288988.255762048</v>
      </c>
      <c r="J148" s="457"/>
      <c r="K148" s="5"/>
    </row>
    <row r="149" spans="1:11" x14ac:dyDescent="0.2">
      <c r="A149" s="453">
        <v>42064</v>
      </c>
      <c r="B149" s="27">
        <v>49738338</v>
      </c>
      <c r="C149" s="458">
        <f>+'Purchased Power Model '!C149</f>
        <v>611.6</v>
      </c>
      <c r="D149" s="458">
        <f>+'Purchased Power Model '!D149</f>
        <v>0</v>
      </c>
      <c r="E149" s="443">
        <f>+'Purchased Power Model '!E149</f>
        <v>7.2000000000000008E-2</v>
      </c>
      <c r="F149" s="53">
        <f>+'Purchased Power Model '!F149</f>
        <v>31</v>
      </c>
      <c r="G149" s="53">
        <f>+'Purchased Power Model '!G149</f>
        <v>1</v>
      </c>
      <c r="H149" s="170"/>
      <c r="I149" s="456">
        <f t="shared" si="6"/>
        <v>43070401.561662972</v>
      </c>
      <c r="J149" s="457"/>
      <c r="K149" s="5"/>
    </row>
    <row r="150" spans="1:11" x14ac:dyDescent="0.2">
      <c r="A150" s="453">
        <v>42095</v>
      </c>
      <c r="B150" s="27">
        <v>41374105</v>
      </c>
      <c r="C150" s="458">
        <f>+'Purchased Power Model '!C150</f>
        <v>335.6</v>
      </c>
      <c r="D150" s="458">
        <f>+'Purchased Power Model '!D150</f>
        <v>0</v>
      </c>
      <c r="E150" s="443">
        <f>+'Purchased Power Model '!E150</f>
        <v>7.5999999999999998E-2</v>
      </c>
      <c r="F150" s="53">
        <f>+'Purchased Power Model '!F150</f>
        <v>30</v>
      </c>
      <c r="G150" s="53">
        <f>+'Purchased Power Model '!G150</f>
        <v>1</v>
      </c>
      <c r="H150" s="170"/>
      <c r="I150" s="456">
        <f t="shared" si="6"/>
        <v>40023683.546592101</v>
      </c>
      <c r="J150" s="457"/>
      <c r="K150" s="5"/>
    </row>
    <row r="151" spans="1:11" x14ac:dyDescent="0.2">
      <c r="A151" s="453">
        <v>42125</v>
      </c>
      <c r="B151" s="27">
        <v>36634919</v>
      </c>
      <c r="C151" s="458">
        <f>+'Purchased Power Model '!C151</f>
        <v>120.5</v>
      </c>
      <c r="D151" s="458">
        <f>+'Purchased Power Model '!D151</f>
        <v>1.8</v>
      </c>
      <c r="E151" s="443">
        <f>+'Purchased Power Model '!E151</f>
        <v>7.8E-2</v>
      </c>
      <c r="F151" s="53">
        <f>+'Purchased Power Model '!F151</f>
        <v>31</v>
      </c>
      <c r="G151" s="53">
        <f>+'Purchased Power Model '!G151</f>
        <v>1</v>
      </c>
      <c r="H151" s="170"/>
      <c r="I151" s="456">
        <f t="shared" si="6"/>
        <v>35985710.255613446</v>
      </c>
      <c r="J151" s="457"/>
      <c r="K151" s="5"/>
    </row>
    <row r="152" spans="1:11" x14ac:dyDescent="0.2">
      <c r="A152" s="453">
        <v>42156</v>
      </c>
      <c r="B152" s="27">
        <v>31345834</v>
      </c>
      <c r="C152" s="458">
        <f>+'Purchased Power Model '!C152</f>
        <v>50.2</v>
      </c>
      <c r="D152" s="458">
        <f>+'Purchased Power Model '!D152</f>
        <v>13.1</v>
      </c>
      <c r="E152" s="443">
        <f>+'Purchased Power Model '!E152</f>
        <v>7.8E-2</v>
      </c>
      <c r="F152" s="53">
        <f>+'Purchased Power Model '!F152</f>
        <v>30</v>
      </c>
      <c r="G152" s="53">
        <f>+'Purchased Power Model '!G152</f>
        <v>0</v>
      </c>
      <c r="H152" s="170"/>
      <c r="I152" s="456">
        <f t="shared" si="6"/>
        <v>35074124.09876959</v>
      </c>
      <c r="J152" s="457"/>
      <c r="K152" s="5"/>
    </row>
    <row r="153" spans="1:11" x14ac:dyDescent="0.2">
      <c r="A153" s="453">
        <v>42186</v>
      </c>
      <c r="B153" s="27">
        <v>34423034</v>
      </c>
      <c r="C153" s="458">
        <f>+'Purchased Power Model '!C153</f>
        <v>6.8</v>
      </c>
      <c r="D153" s="458">
        <f>+'Purchased Power Model '!D153</f>
        <v>71.5</v>
      </c>
      <c r="E153" s="443">
        <f>+'Purchased Power Model '!E153</f>
        <v>7.8E-2</v>
      </c>
      <c r="F153" s="53">
        <f>+'Purchased Power Model '!F153</f>
        <v>31</v>
      </c>
      <c r="G153" s="53">
        <f>+'Purchased Power Model '!G153</f>
        <v>0</v>
      </c>
      <c r="H153" s="170"/>
      <c r="I153" s="456">
        <f t="shared" si="6"/>
        <v>37437131.140625849</v>
      </c>
      <c r="J153" s="457"/>
      <c r="K153" s="5"/>
    </row>
    <row r="154" spans="1:11" x14ac:dyDescent="0.2">
      <c r="A154" s="453">
        <v>42217</v>
      </c>
      <c r="B154" s="27">
        <v>40310569</v>
      </c>
      <c r="C154" s="458">
        <f>+'Purchased Power Model '!C154</f>
        <v>4.9000000000000004</v>
      </c>
      <c r="D154" s="458">
        <f>+'Purchased Power Model '!D154</f>
        <v>62</v>
      </c>
      <c r="E154" s="443">
        <f>+'Purchased Power Model '!E154</f>
        <v>0.08</v>
      </c>
      <c r="F154" s="53">
        <f>+'Purchased Power Model '!F154</f>
        <v>31</v>
      </c>
      <c r="G154" s="53">
        <f>+'Purchased Power Model '!G154</f>
        <v>0</v>
      </c>
      <c r="H154" s="170"/>
      <c r="I154" s="456">
        <f t="shared" si="6"/>
        <v>36796981.130714774</v>
      </c>
      <c r="J154" s="457"/>
      <c r="K154" s="5"/>
    </row>
    <row r="155" spans="1:11" x14ac:dyDescent="0.2">
      <c r="A155" s="453">
        <v>42248</v>
      </c>
      <c r="B155" s="27">
        <v>44800586</v>
      </c>
      <c r="C155" s="458">
        <f>+'Purchased Power Model '!C155</f>
        <v>37</v>
      </c>
      <c r="D155" s="458">
        <f>+'Purchased Power Model '!D155</f>
        <v>48.6</v>
      </c>
      <c r="E155" s="443">
        <f>+'Purchased Power Model '!E155</f>
        <v>8.3000000000000004E-2</v>
      </c>
      <c r="F155" s="53">
        <f>+'Purchased Power Model '!F155</f>
        <v>30</v>
      </c>
      <c r="G155" s="53">
        <f>+'Purchased Power Model '!G155</f>
        <v>1</v>
      </c>
      <c r="H155" s="170"/>
      <c r="I155" s="456">
        <f t="shared" si="6"/>
        <v>39037509.468920991</v>
      </c>
      <c r="J155" s="457"/>
      <c r="K155" s="5"/>
    </row>
    <row r="156" spans="1:11" x14ac:dyDescent="0.2">
      <c r="A156" s="453">
        <v>42278</v>
      </c>
      <c r="B156" s="27">
        <v>40080856</v>
      </c>
      <c r="C156" s="458">
        <f>+'Purchased Power Model '!C156</f>
        <v>248.1</v>
      </c>
      <c r="D156" s="458">
        <f>+'Purchased Power Model '!D156</f>
        <v>0</v>
      </c>
      <c r="E156" s="443">
        <f>+'Purchased Power Model '!E156</f>
        <v>8.1000000000000003E-2</v>
      </c>
      <c r="F156" s="53">
        <f>+'Purchased Power Model '!F156</f>
        <v>31</v>
      </c>
      <c r="G156" s="53">
        <f>+'Purchased Power Model '!G156</f>
        <v>1</v>
      </c>
      <c r="H156" s="170"/>
      <c r="I156" s="456">
        <f t="shared" si="6"/>
        <v>37824662.094909154</v>
      </c>
      <c r="J156" s="457"/>
      <c r="K156" s="5"/>
    </row>
    <row r="157" spans="1:11" x14ac:dyDescent="0.2">
      <c r="A157" s="453">
        <v>42309</v>
      </c>
      <c r="B157" s="27">
        <v>32145042</v>
      </c>
      <c r="C157" s="458">
        <f>+'Purchased Power Model '!C157</f>
        <v>345.6</v>
      </c>
      <c r="D157" s="458">
        <f>+'Purchased Power Model '!D157</f>
        <v>0</v>
      </c>
      <c r="E157" s="443">
        <f>+'Purchased Power Model '!E157</f>
        <v>7.8E-2</v>
      </c>
      <c r="F157" s="53">
        <f>+'Purchased Power Model '!F157</f>
        <v>30</v>
      </c>
      <c r="G157" s="53">
        <f>+'Purchased Power Model '!G157</f>
        <v>1</v>
      </c>
      <c r="H157" s="170"/>
      <c r="I157" s="456">
        <f t="shared" si="6"/>
        <v>40212109.801415458</v>
      </c>
      <c r="J157" s="457"/>
      <c r="K157" s="5"/>
    </row>
    <row r="158" spans="1:11" x14ac:dyDescent="0.2">
      <c r="A158" s="453">
        <v>42339</v>
      </c>
      <c r="B158" s="27">
        <v>35497855</v>
      </c>
      <c r="C158" s="458">
        <f>+'Purchased Power Model '!C158</f>
        <v>415</v>
      </c>
      <c r="D158" s="458">
        <f>+'Purchased Power Model '!D158</f>
        <v>0</v>
      </c>
      <c r="E158" s="443">
        <f>+'Purchased Power Model '!E158</f>
        <v>7.0000000000000007E-2</v>
      </c>
      <c r="F158" s="53">
        <f>+'Purchased Power Model '!F158</f>
        <v>31</v>
      </c>
      <c r="G158" s="53">
        <f>+'Purchased Power Model '!G158</f>
        <v>0</v>
      </c>
      <c r="H158" s="170"/>
      <c r="I158" s="456">
        <f t="shared" si="6"/>
        <v>38469195.608277097</v>
      </c>
      <c r="J158" s="457"/>
      <c r="K158" s="5"/>
    </row>
    <row r="159" spans="1:11" x14ac:dyDescent="0.2">
      <c r="A159" s="453">
        <v>42370</v>
      </c>
      <c r="B159" s="27">
        <v>39526578</v>
      </c>
      <c r="C159" s="458">
        <f>+'Purchased Power Model '!C159</f>
        <v>689.4</v>
      </c>
      <c r="D159" s="458">
        <f>+'Purchased Power Model '!D159</f>
        <v>0</v>
      </c>
      <c r="E159" s="443">
        <f>+'Purchased Power Model '!E159</f>
        <v>6.4000000000000001E-2</v>
      </c>
      <c r="F159" s="53">
        <f>+'Purchased Power Model '!F159</f>
        <v>31</v>
      </c>
      <c r="G159" s="53">
        <f>+'Purchased Power Model '!G159</f>
        <v>0</v>
      </c>
      <c r="H159" s="170"/>
      <c r="I159" s="456">
        <f t="shared" si="6"/>
        <v>42444698.673762709</v>
      </c>
      <c r="J159" s="457"/>
      <c r="K159" s="5"/>
    </row>
    <row r="160" spans="1:11" x14ac:dyDescent="0.2">
      <c r="A160" s="453">
        <v>42401</v>
      </c>
      <c r="B160" s="27">
        <v>44588671</v>
      </c>
      <c r="C160" s="458">
        <f>+'Purchased Power Model '!C160</f>
        <v>623.20000000000005</v>
      </c>
      <c r="D160" s="458">
        <f>+'Purchased Power Model '!D160</f>
        <v>0</v>
      </c>
      <c r="E160" s="443">
        <f>+'Purchased Power Model '!E160</f>
        <v>6.0999999999999999E-2</v>
      </c>
      <c r="F160" s="53">
        <f>+'Purchased Power Model '!F160</f>
        <v>29</v>
      </c>
      <c r="G160" s="53">
        <f>+'Purchased Power Model '!G160</f>
        <v>0</v>
      </c>
      <c r="H160" s="170"/>
      <c r="I160" s="456">
        <f t="shared" si="6"/>
        <v>43382115.395969108</v>
      </c>
      <c r="J160" s="457"/>
      <c r="K160" s="5"/>
    </row>
    <row r="161" spans="1:11" x14ac:dyDescent="0.2">
      <c r="A161" s="453">
        <v>42430</v>
      </c>
      <c r="B161" s="27">
        <v>43933657</v>
      </c>
      <c r="C161" s="458">
        <f>+'Purchased Power Model '!C161</f>
        <v>531.20000000000005</v>
      </c>
      <c r="D161" s="458">
        <f>+'Purchased Power Model '!D161</f>
        <v>0</v>
      </c>
      <c r="E161" s="443">
        <f>+'Purchased Power Model '!E161</f>
        <v>6.0999999999999999E-2</v>
      </c>
      <c r="F161" s="53">
        <f>+'Purchased Power Model '!F161</f>
        <v>31</v>
      </c>
      <c r="G161" s="53">
        <f>+'Purchased Power Model '!G161</f>
        <v>1</v>
      </c>
      <c r="H161" s="170"/>
      <c r="I161" s="456">
        <f t="shared" si="6"/>
        <v>41655161.435821429</v>
      </c>
      <c r="J161" s="457"/>
      <c r="K161" s="5"/>
    </row>
    <row r="162" spans="1:11" x14ac:dyDescent="0.2">
      <c r="A162" s="453">
        <v>42461</v>
      </c>
      <c r="B162" s="27">
        <v>37970428</v>
      </c>
      <c r="C162" s="458">
        <f>+'Purchased Power Model '!C162</f>
        <v>421.9</v>
      </c>
      <c r="D162" s="458">
        <f>+'Purchased Power Model '!D162</f>
        <v>0</v>
      </c>
      <c r="E162" s="443">
        <f>+'Purchased Power Model '!E162</f>
        <v>6.0999999999999999E-2</v>
      </c>
      <c r="F162" s="53">
        <f>+'Purchased Power Model '!F162</f>
        <v>30</v>
      </c>
      <c r="G162" s="53">
        <f>+'Purchased Power Model '!G162</f>
        <v>1</v>
      </c>
      <c r="H162" s="170"/>
      <c r="I162" s="456">
        <f t="shared" si="6"/>
        <v>41016623.656349331</v>
      </c>
      <c r="J162" s="457"/>
      <c r="K162" s="5"/>
    </row>
    <row r="163" spans="1:11" x14ac:dyDescent="0.2">
      <c r="A163" s="453">
        <v>42491</v>
      </c>
      <c r="B163" s="27">
        <v>36112816</v>
      </c>
      <c r="C163" s="458">
        <f>+'Purchased Power Model '!C163</f>
        <v>164.3</v>
      </c>
      <c r="D163" s="458">
        <f>+'Purchased Power Model '!D163</f>
        <v>19.399999999999999</v>
      </c>
      <c r="E163" s="443">
        <f>+'Purchased Power Model '!E163</f>
        <v>5.7999999999999996E-2</v>
      </c>
      <c r="F163" s="53">
        <f>+'Purchased Power Model '!F163</f>
        <v>31</v>
      </c>
      <c r="G163" s="53">
        <f>+'Purchased Power Model '!G163</f>
        <v>1</v>
      </c>
      <c r="H163" s="170"/>
      <c r="I163" s="456">
        <f t="shared" si="6"/>
        <v>37452712.779367968</v>
      </c>
      <c r="J163" s="457"/>
      <c r="K163" s="5"/>
    </row>
    <row r="164" spans="1:11" x14ac:dyDescent="0.2">
      <c r="A164" s="453">
        <v>42522</v>
      </c>
      <c r="B164" s="27">
        <v>31480135</v>
      </c>
      <c r="C164" s="458">
        <f>+'Purchased Power Model '!C164</f>
        <v>39.1</v>
      </c>
      <c r="D164" s="458">
        <f>+'Purchased Power Model '!D164</f>
        <v>43.8</v>
      </c>
      <c r="E164" s="443">
        <f>+'Purchased Power Model '!E164</f>
        <v>6.5000000000000002E-2</v>
      </c>
      <c r="F164" s="53">
        <f>+'Purchased Power Model '!F164</f>
        <v>30</v>
      </c>
      <c r="G164" s="53">
        <f>+'Purchased Power Model '!G164</f>
        <v>0</v>
      </c>
      <c r="H164" s="170"/>
      <c r="I164" s="456">
        <f t="shared" si="6"/>
        <v>36757346.730382189</v>
      </c>
      <c r="J164" s="457"/>
      <c r="K164" s="5"/>
    </row>
    <row r="165" spans="1:11" x14ac:dyDescent="0.2">
      <c r="A165" s="453">
        <v>42552</v>
      </c>
      <c r="B165" s="27">
        <v>38293087</v>
      </c>
      <c r="C165" s="458">
        <f>+'Purchased Power Model '!C165</f>
        <v>2.4</v>
      </c>
      <c r="D165" s="458">
        <f>+'Purchased Power Model '!D165</f>
        <v>120.7</v>
      </c>
      <c r="E165" s="443">
        <f>+'Purchased Power Model '!E165</f>
        <v>6.5000000000000002E-2</v>
      </c>
      <c r="F165" s="53">
        <f>+'Purchased Power Model '!F165</f>
        <v>31</v>
      </c>
      <c r="G165" s="53">
        <f>+'Purchased Power Model '!G165</f>
        <v>0</v>
      </c>
      <c r="H165" s="170"/>
      <c r="I165" s="456">
        <f t="shared" si="6"/>
        <v>40488156.53205502</v>
      </c>
      <c r="J165" s="457"/>
      <c r="K165" s="5"/>
    </row>
    <row r="166" spans="1:11" x14ac:dyDescent="0.2">
      <c r="A166" s="453">
        <v>42583</v>
      </c>
      <c r="B166" s="27">
        <v>46732683</v>
      </c>
      <c r="C166" s="458">
        <f>+'Purchased Power Model '!C166</f>
        <v>1.4</v>
      </c>
      <c r="D166" s="458">
        <f>+'Purchased Power Model '!D166</f>
        <v>135.6</v>
      </c>
      <c r="E166" s="443">
        <f>+'Purchased Power Model '!E166</f>
        <v>6.9000000000000006E-2</v>
      </c>
      <c r="F166" s="53">
        <f>+'Purchased Power Model '!F166</f>
        <v>31</v>
      </c>
      <c r="G166" s="53">
        <f>+'Purchased Power Model '!G166</f>
        <v>0</v>
      </c>
      <c r="H166" s="170"/>
      <c r="I166" s="456">
        <f t="shared" si="6"/>
        <v>41572888.34246023</v>
      </c>
      <c r="J166" s="457"/>
      <c r="K166" s="5"/>
    </row>
    <row r="167" spans="1:11" x14ac:dyDescent="0.2">
      <c r="A167" s="453">
        <v>42614</v>
      </c>
      <c r="B167" s="27">
        <v>51691311</v>
      </c>
      <c r="C167" s="458">
        <f>+'Purchased Power Model '!C167</f>
        <v>50.8</v>
      </c>
      <c r="D167" s="458">
        <f>+'Purchased Power Model '!D167</f>
        <v>35.299999999999997</v>
      </c>
      <c r="E167" s="443">
        <f>+'Purchased Power Model '!E167</f>
        <v>6.4000000000000001E-2</v>
      </c>
      <c r="F167" s="53">
        <f>+'Purchased Power Model '!F167</f>
        <v>30</v>
      </c>
      <c r="G167" s="53">
        <f>+'Purchased Power Model '!G167</f>
        <v>1</v>
      </c>
      <c r="H167" s="170"/>
      <c r="I167" s="456">
        <f t="shared" si="6"/>
        <v>37958959.48110491</v>
      </c>
      <c r="J167" s="457"/>
      <c r="K167" s="5"/>
    </row>
    <row r="168" spans="1:11" x14ac:dyDescent="0.2">
      <c r="A168" s="453">
        <v>42644</v>
      </c>
      <c r="B168" s="27">
        <v>41511735</v>
      </c>
      <c r="C168" s="458">
        <f>+'Purchased Power Model '!C168</f>
        <v>204</v>
      </c>
      <c r="D168" s="458">
        <f>+'Purchased Power Model '!D168</f>
        <v>0.3</v>
      </c>
      <c r="E168" s="443">
        <f>+'Purchased Power Model '!E168</f>
        <v>0.06</v>
      </c>
      <c r="F168" s="53">
        <f>+'Purchased Power Model '!F168</f>
        <v>31</v>
      </c>
      <c r="G168" s="53">
        <f>+'Purchased Power Model '!G168</f>
        <v>1</v>
      </c>
      <c r="H168" s="170"/>
      <c r="I168" s="456">
        <f t="shared" si="6"/>
        <v>36775200.98496107</v>
      </c>
      <c r="J168" s="457"/>
      <c r="K168" s="5"/>
    </row>
    <row r="169" spans="1:11" x14ac:dyDescent="0.2">
      <c r="A169" s="453">
        <v>42675</v>
      </c>
      <c r="B169" s="27">
        <v>31220055</v>
      </c>
      <c r="C169" s="458">
        <f>+'Purchased Power Model '!C169</f>
        <v>298.5</v>
      </c>
      <c r="D169" s="458">
        <f>+'Purchased Power Model '!D169</f>
        <v>0</v>
      </c>
      <c r="E169" s="443">
        <f>+'Purchased Power Model '!E169</f>
        <v>5.4000000000000006E-2</v>
      </c>
      <c r="F169" s="53">
        <f>+'Purchased Power Model '!F169</f>
        <v>30</v>
      </c>
      <c r="G169" s="53">
        <f>+'Purchased Power Model '!G169</f>
        <v>1</v>
      </c>
      <c r="H169" s="170"/>
      <c r="I169" s="456">
        <f t="shared" si="6"/>
        <v>39038455.306622311</v>
      </c>
      <c r="J169" s="457"/>
      <c r="K169" s="5"/>
    </row>
    <row r="170" spans="1:11" x14ac:dyDescent="0.2">
      <c r="A170" s="453">
        <v>42705</v>
      </c>
      <c r="B170" s="27">
        <v>34429811</v>
      </c>
      <c r="C170" s="458">
        <f>+'Purchased Power Model '!C170</f>
        <v>483.4</v>
      </c>
      <c r="D170" s="458">
        <f>+'Purchased Power Model '!D170</f>
        <v>0</v>
      </c>
      <c r="E170" s="443">
        <f>+'Purchased Power Model '!E170</f>
        <v>5.2000000000000005E-2</v>
      </c>
      <c r="F170" s="53">
        <f>+'Purchased Power Model '!F170</f>
        <v>31</v>
      </c>
      <c r="G170" s="53">
        <f>+'Purchased Power Model '!G170</f>
        <v>0</v>
      </c>
      <c r="H170" s="170"/>
      <c r="I170" s="456">
        <f t="shared" si="6"/>
        <v>39136236.587747782</v>
      </c>
      <c r="J170" s="457"/>
      <c r="K170" s="5"/>
    </row>
    <row r="171" spans="1:11" x14ac:dyDescent="0.2">
      <c r="A171" s="453">
        <v>42736</v>
      </c>
      <c r="B171" s="27">
        <v>41739660</v>
      </c>
      <c r="C171" s="458">
        <f>+'Purchased Power Model '!C171</f>
        <v>584</v>
      </c>
      <c r="D171" s="458">
        <f ca="1">+'Purchased Power Model '!D171</f>
        <v>0</v>
      </c>
      <c r="E171" s="443">
        <f>+'Purchased Power Model '!E171</f>
        <v>5.2999999999999999E-2</v>
      </c>
      <c r="F171" s="53">
        <f>+'Purchased Power Model '!F171</f>
        <v>31</v>
      </c>
      <c r="G171" s="53">
        <f>+'Purchased Power Model '!G171</f>
        <v>0</v>
      </c>
      <c r="H171" s="170"/>
      <c r="I171" s="456">
        <f t="shared" ca="1" si="6"/>
        <v>40656529.685408384</v>
      </c>
      <c r="J171" s="457"/>
      <c r="K171" s="5"/>
    </row>
    <row r="172" spans="1:11" x14ac:dyDescent="0.2">
      <c r="A172" s="453">
        <v>42767</v>
      </c>
      <c r="B172" s="27">
        <v>44003677</v>
      </c>
      <c r="C172" s="458">
        <f>+'Purchased Power Model '!C172</f>
        <v>506</v>
      </c>
      <c r="D172" s="458">
        <f ca="1">+'Purchased Power Model '!D172</f>
        <v>0</v>
      </c>
      <c r="E172" s="443">
        <f>+'Purchased Power Model '!E172</f>
        <v>5.9000000000000004E-2</v>
      </c>
      <c r="F172" s="53">
        <f>+'Purchased Power Model '!F172</f>
        <v>28</v>
      </c>
      <c r="G172" s="53">
        <f>+'Purchased Power Model '!G172</f>
        <v>0</v>
      </c>
      <c r="H172" s="170"/>
      <c r="I172" s="456">
        <f t="shared" ca="1" si="6"/>
        <v>42586477.386124693</v>
      </c>
      <c r="J172" s="457"/>
      <c r="K172" s="5"/>
    </row>
    <row r="173" spans="1:11" x14ac:dyDescent="0.2">
      <c r="A173" s="453">
        <v>42795</v>
      </c>
      <c r="B173" s="27">
        <v>40355583</v>
      </c>
      <c r="C173" s="458">
        <f>+'Purchased Power Model '!C173</f>
        <v>561</v>
      </c>
      <c r="D173" s="458">
        <f ca="1">+'Purchased Power Model '!D173</f>
        <v>0</v>
      </c>
      <c r="E173" s="443">
        <f>+'Purchased Power Model '!E173</f>
        <v>6.2E-2</v>
      </c>
      <c r="F173" s="53">
        <f>+'Purchased Power Model '!F173</f>
        <v>31</v>
      </c>
      <c r="G173" s="53">
        <f>+'Purchased Power Model '!G173</f>
        <v>1</v>
      </c>
      <c r="H173" s="170"/>
      <c r="I173" s="456">
        <f t="shared" ca="1" si="6"/>
        <v>42119319.994845793</v>
      </c>
      <c r="J173" s="457"/>
      <c r="K173" s="5"/>
    </row>
    <row r="174" spans="1:11" x14ac:dyDescent="0.2">
      <c r="A174" s="460">
        <v>42826</v>
      </c>
      <c r="B174" s="435"/>
      <c r="C174" s="461">
        <f>+'Purchased Power Model '!C174</f>
        <v>410.06381244743028</v>
      </c>
      <c r="D174" s="461">
        <f ca="1">+'Purchased Power Model '!D174</f>
        <v>0</v>
      </c>
      <c r="E174" s="437">
        <f>+'Purchased Power Model '!E174</f>
        <v>6.7312499999999997E-2</v>
      </c>
      <c r="F174" s="462">
        <f>+'Purchased Power Model '!F174</f>
        <v>30</v>
      </c>
      <c r="G174" s="462">
        <f>+'Purchased Power Model '!G174</f>
        <v>1</v>
      </c>
      <c r="H174" s="463"/>
      <c r="I174" s="464">
        <f ca="1">$N$18+C174*$N$19+D174*$N$20+E174*$N$21+F174*$N$22+G174*$N$23</f>
        <v>40963959.095794484</v>
      </c>
      <c r="J174" s="36"/>
      <c r="K174" s="5"/>
    </row>
    <row r="175" spans="1:11" x14ac:dyDescent="0.2">
      <c r="A175" s="460">
        <v>42856</v>
      </c>
      <c r="B175" s="435"/>
      <c r="C175" s="461">
        <f>+'Purchased Power Model '!C175</f>
        <v>159.69064798557193</v>
      </c>
      <c r="D175" s="461">
        <f ca="1">+'Purchased Power Model '!D175</f>
        <v>14.000793761762511</v>
      </c>
      <c r="E175" s="437">
        <f>+'Purchased Power Model '!E175</f>
        <v>6.7312499999999997E-2</v>
      </c>
      <c r="F175" s="462">
        <f>+'Purchased Power Model '!F175</f>
        <v>31</v>
      </c>
      <c r="G175" s="462">
        <f>+'Purchased Power Model '!G175</f>
        <v>1</v>
      </c>
      <c r="H175" s="463"/>
      <c r="I175" s="464">
        <f t="shared" ca="1" si="6"/>
        <v>37196711.085481957</v>
      </c>
      <c r="J175" s="36"/>
      <c r="K175" s="5"/>
    </row>
    <row r="176" spans="1:11" x14ac:dyDescent="0.2">
      <c r="A176" s="460">
        <v>42887</v>
      </c>
      <c r="B176" s="435"/>
      <c r="C176" s="461">
        <f>+'Purchased Power Model '!C176</f>
        <v>38.003069605817792</v>
      </c>
      <c r="D176" s="461">
        <f ca="1">+'Purchased Power Model '!D176</f>
        <v>31.610039523979275</v>
      </c>
      <c r="E176" s="437">
        <f>+'Purchased Power Model '!E176</f>
        <v>6.7312499999999997E-2</v>
      </c>
      <c r="F176" s="462">
        <f>+'Purchased Power Model '!F176</f>
        <v>30</v>
      </c>
      <c r="G176" s="462">
        <f>+'Purchased Power Model '!G176</f>
        <v>0</v>
      </c>
      <c r="H176" s="463"/>
      <c r="I176" s="464">
        <f t="shared" ca="1" si="6"/>
        <v>35950959.109964445</v>
      </c>
      <c r="J176" s="36"/>
      <c r="K176" s="5"/>
    </row>
    <row r="177" spans="1:11" x14ac:dyDescent="0.2">
      <c r="A177" s="460">
        <v>42917</v>
      </c>
      <c r="B177" s="435"/>
      <c r="C177" s="461">
        <f>+'Purchased Power Model '!C177</f>
        <v>2.3326692341166928</v>
      </c>
      <c r="D177" s="461">
        <f ca="1">+'Purchased Power Model '!D177</f>
        <v>87.108031290965727</v>
      </c>
      <c r="E177" s="437">
        <f>+'Purchased Power Model '!E177</f>
        <v>6.6562659999999996E-2</v>
      </c>
      <c r="F177" s="462">
        <f>+'Purchased Power Model '!F177</f>
        <v>31</v>
      </c>
      <c r="G177" s="462">
        <f>+'Purchased Power Model '!G177</f>
        <v>0</v>
      </c>
      <c r="H177" s="463"/>
      <c r="I177" s="464">
        <f t="shared" ca="1" si="6"/>
        <v>38215669.497332513</v>
      </c>
      <c r="J177" s="36"/>
      <c r="K177" s="5"/>
    </row>
    <row r="178" spans="1:11" x14ac:dyDescent="0.2">
      <c r="A178" s="460">
        <v>42948</v>
      </c>
      <c r="B178" s="435"/>
      <c r="C178" s="461">
        <f>+'Purchased Power Model '!C178</f>
        <v>1.3607237199014042</v>
      </c>
      <c r="D178" s="461">
        <f ca="1">+'Purchased Power Model '!D178</f>
        <v>97.861218252319404</v>
      </c>
      <c r="E178" s="437">
        <f>+'Purchased Power Model '!E178</f>
        <v>6.6562659999999996E-2</v>
      </c>
      <c r="F178" s="462">
        <f>+'Purchased Power Model '!F178</f>
        <v>31</v>
      </c>
      <c r="G178" s="462">
        <f>+'Purchased Power Model '!G178</f>
        <v>0</v>
      </c>
      <c r="H178" s="463"/>
      <c r="I178" s="464">
        <f t="shared" ca="1" si="6"/>
        <v>38938117.442904815</v>
      </c>
      <c r="J178" s="36"/>
      <c r="K178" s="5"/>
    </row>
    <row r="179" spans="1:11" x14ac:dyDescent="0.2">
      <c r="A179" s="460">
        <v>42979</v>
      </c>
      <c r="B179" s="435"/>
      <c r="C179" s="461">
        <f>+'Purchased Power Model '!C179</f>
        <v>49.374832122136667</v>
      </c>
      <c r="D179" s="461">
        <f ca="1">+'Purchased Power Model '!D179</f>
        <v>25.475671123207043</v>
      </c>
      <c r="E179" s="437">
        <f>+'Purchased Power Model '!E179</f>
        <v>6.6562659999999996E-2</v>
      </c>
      <c r="F179" s="462">
        <f>+'Purchased Power Model '!F179</f>
        <v>30</v>
      </c>
      <c r="G179" s="462">
        <f>+'Purchased Power Model '!G179</f>
        <v>1</v>
      </c>
      <c r="H179" s="463"/>
      <c r="I179" s="464">
        <f t="shared" ca="1" si="6"/>
        <v>37314708.958823562</v>
      </c>
      <c r="J179" s="36"/>
      <c r="K179" s="5"/>
    </row>
    <row r="180" spans="1:11" x14ac:dyDescent="0.2">
      <c r="A180" s="460">
        <v>43009</v>
      </c>
      <c r="B180" s="435"/>
      <c r="C180" s="461">
        <f>+'Purchased Power Model '!C180</f>
        <v>198.27688489991891</v>
      </c>
      <c r="D180" s="461">
        <f ca="1">+'Purchased Power Model '!D180</f>
        <v>0.21650712002725533</v>
      </c>
      <c r="E180" s="437">
        <f>+'Purchased Power Model '!E180</f>
        <v>6.5937659999999995E-2</v>
      </c>
      <c r="F180" s="462">
        <f>+'Purchased Power Model '!F180</f>
        <v>31</v>
      </c>
      <c r="G180" s="462">
        <f>+'Purchased Power Model '!G180</f>
        <v>1</v>
      </c>
      <c r="H180" s="463"/>
      <c r="I180" s="464">
        <f t="shared" ca="1" si="6"/>
        <v>36800646.947469644</v>
      </c>
      <c r="J180" s="36"/>
      <c r="K180" s="5"/>
    </row>
    <row r="181" spans="1:11" x14ac:dyDescent="0.2">
      <c r="A181" s="460">
        <v>43040</v>
      </c>
      <c r="B181" s="435"/>
      <c r="C181" s="461">
        <f>+'Purchased Power Model '!C181</f>
        <v>290.12573599326367</v>
      </c>
      <c r="D181" s="461">
        <f ca="1">+'Purchased Power Model '!D181</f>
        <v>0</v>
      </c>
      <c r="E181" s="437">
        <f>+'Purchased Power Model '!E181</f>
        <v>6.5937659999999995E-2</v>
      </c>
      <c r="F181" s="462">
        <f>+'Purchased Power Model '!F181</f>
        <v>30</v>
      </c>
      <c r="G181" s="462">
        <f>+'Purchased Power Model '!G181</f>
        <v>1</v>
      </c>
      <c r="H181" s="463"/>
      <c r="I181" s="464">
        <f t="shared" ca="1" si="6"/>
        <v>39147839.80621025</v>
      </c>
      <c r="J181" s="36"/>
      <c r="K181" s="5"/>
    </row>
    <row r="182" spans="1:11" x14ac:dyDescent="0.2">
      <c r="A182" s="460">
        <v>43070</v>
      </c>
      <c r="B182" s="435"/>
      <c r="C182" s="461">
        <f>+'Purchased Power Model '!C182</f>
        <v>469.83846157167056</v>
      </c>
      <c r="D182" s="461">
        <f ca="1">+'Purchased Power Model '!D182</f>
        <v>0</v>
      </c>
      <c r="E182" s="437">
        <f>+'Purchased Power Model '!E182</f>
        <v>6.5937659999999995E-2</v>
      </c>
      <c r="F182" s="462">
        <f>+'Purchased Power Model '!F182</f>
        <v>31</v>
      </c>
      <c r="G182" s="462">
        <f>+'Purchased Power Model '!G182</f>
        <v>0</v>
      </c>
      <c r="H182" s="463"/>
      <c r="I182" s="464">
        <f t="shared" ca="1" si="6"/>
        <v>39207496.423170522</v>
      </c>
      <c r="J182" s="36"/>
      <c r="K182" s="5"/>
    </row>
    <row r="183" spans="1:11" x14ac:dyDescent="0.2">
      <c r="A183" s="460">
        <v>43101</v>
      </c>
      <c r="B183" s="435"/>
      <c r="C183" s="461">
        <f>+'Purchased Power Model '!C183</f>
        <v>607.71046849740094</v>
      </c>
      <c r="D183" s="461">
        <f ca="1">+'Purchased Power Model '!D183</f>
        <v>0</v>
      </c>
      <c r="E183" s="437">
        <f>+'Purchased Power Model '!E183</f>
        <v>6.6219020000000003E-2</v>
      </c>
      <c r="F183" s="462">
        <f>+'Purchased Power Model '!F183</f>
        <v>31</v>
      </c>
      <c r="G183" s="462">
        <f>+'Purchased Power Model '!G183</f>
        <v>0</v>
      </c>
      <c r="H183" s="463"/>
      <c r="I183" s="464">
        <f t="shared" ca="1" si="6"/>
        <v>41269676.804354474</v>
      </c>
      <c r="J183" s="36"/>
      <c r="K183" s="5"/>
    </row>
    <row r="184" spans="1:11" x14ac:dyDescent="0.2">
      <c r="A184" s="460">
        <v>43132</v>
      </c>
      <c r="B184" s="435"/>
      <c r="C184" s="461">
        <f>+'Purchased Power Model '!C184</f>
        <v>526.54365934877546</v>
      </c>
      <c r="D184" s="461">
        <f ca="1">+'Purchased Power Model '!D184</f>
        <v>0</v>
      </c>
      <c r="E184" s="437">
        <f>+'Purchased Power Model '!E184</f>
        <v>6.6219020000000003E-2</v>
      </c>
      <c r="F184" s="462">
        <f>+'Purchased Power Model '!F184</f>
        <v>28</v>
      </c>
      <c r="G184" s="462">
        <f>+'Purchased Power Model '!G184</f>
        <v>0</v>
      </c>
      <c r="H184" s="463"/>
      <c r="I184" s="464">
        <f t="shared" ca="1" si="6"/>
        <v>43034620.594272353</v>
      </c>
      <c r="J184" s="36"/>
      <c r="K184" s="5"/>
    </row>
    <row r="185" spans="1:11" x14ac:dyDescent="0.2">
      <c r="A185" s="460">
        <v>43160</v>
      </c>
      <c r="B185" s="435"/>
      <c r="C185" s="461">
        <f>+'Purchased Power Model '!C185</f>
        <v>583.77666579972936</v>
      </c>
      <c r="D185" s="461">
        <f ca="1">+'Purchased Power Model '!D185</f>
        <v>0</v>
      </c>
      <c r="E185" s="437">
        <f>+'Purchased Power Model '!E185</f>
        <v>6.6219020000000003E-2</v>
      </c>
      <c r="F185" s="462">
        <f>+'Purchased Power Model '!F185</f>
        <v>31</v>
      </c>
      <c r="G185" s="462">
        <f>+'Purchased Power Model '!G185</f>
        <v>1</v>
      </c>
      <c r="H185" s="463"/>
      <c r="I185" s="464">
        <f t="shared" ca="1" si="6"/>
        <v>42541891.240495592</v>
      </c>
      <c r="J185" s="36"/>
      <c r="K185" s="5"/>
    </row>
    <row r="186" spans="1:11" x14ac:dyDescent="0.2">
      <c r="A186" s="460">
        <v>43191</v>
      </c>
      <c r="B186" s="435"/>
      <c r="C186" s="461">
        <f>+'Purchased Power Model '!C186</f>
        <v>426.71245132920933</v>
      </c>
      <c r="D186" s="461">
        <f ca="1">+'Purchased Power Model '!D186</f>
        <v>0</v>
      </c>
      <c r="E186" s="437">
        <f>+'Purchased Power Model '!E186</f>
        <v>6.5531039999999999E-2</v>
      </c>
      <c r="F186" s="462">
        <f>+'Purchased Power Model '!F186</f>
        <v>30</v>
      </c>
      <c r="G186" s="462">
        <f>+'Purchased Power Model '!G186</f>
        <v>1</v>
      </c>
      <c r="H186" s="463"/>
      <c r="I186" s="464">
        <f t="shared" ca="1" si="6"/>
        <v>41177344.066540778</v>
      </c>
      <c r="J186" s="36"/>
      <c r="K186" s="5"/>
    </row>
    <row r="187" spans="1:11" x14ac:dyDescent="0.2">
      <c r="A187" s="460">
        <v>43221</v>
      </c>
      <c r="B187" s="435"/>
      <c r="C187" s="461">
        <f>+'Purchased Power Model '!C187</f>
        <v>166.17410702391345</v>
      </c>
      <c r="D187" s="461">
        <f ca="1">+'Purchased Power Model '!D187</f>
        <v>14.136286176978922</v>
      </c>
      <c r="E187" s="437">
        <f>+'Purchased Power Model '!E187</f>
        <v>6.5531039999999999E-2</v>
      </c>
      <c r="F187" s="462">
        <f>+'Purchased Power Model '!F187</f>
        <v>31</v>
      </c>
      <c r="G187" s="462">
        <f>+'Purchased Power Model '!G187</f>
        <v>1</v>
      </c>
      <c r="H187" s="463"/>
      <c r="I187" s="464">
        <f t="shared" ca="1" si="6"/>
        <v>37267746.180076316</v>
      </c>
      <c r="J187" s="36"/>
      <c r="K187" s="5"/>
    </row>
    <row r="188" spans="1:11" x14ac:dyDescent="0.2">
      <c r="A188" s="460">
        <v>43252</v>
      </c>
      <c r="B188" s="435"/>
      <c r="C188" s="461">
        <f>+'Purchased Power Model '!C188</f>
        <v>39.545998689196693</v>
      </c>
      <c r="D188" s="461">
        <f ca="1">+'Purchased Power Model '!D188</f>
        <v>31.915945079983338</v>
      </c>
      <c r="E188" s="437">
        <f>+'Purchased Power Model '!E188</f>
        <v>6.5531039999999999E-2</v>
      </c>
      <c r="F188" s="462">
        <f>+'Purchased Power Model '!F188</f>
        <v>30</v>
      </c>
      <c r="G188" s="462">
        <f>+'Purchased Power Model '!G188</f>
        <v>0</v>
      </c>
      <c r="H188" s="463"/>
      <c r="I188" s="464">
        <f t="shared" ca="1" si="6"/>
        <v>35959974.455039889</v>
      </c>
      <c r="J188" s="36"/>
      <c r="K188" s="5"/>
    </row>
    <row r="189" spans="1:11" x14ac:dyDescent="0.2">
      <c r="A189" s="460">
        <v>43282</v>
      </c>
      <c r="B189" s="435"/>
      <c r="C189" s="461">
        <f>+'Purchased Power Model '!C189</f>
        <v>2.4273758786207686</v>
      </c>
      <c r="D189" s="461">
        <f ca="1">+'Purchased Power Model '!D189</f>
        <v>87.951017606255462</v>
      </c>
      <c r="E189" s="437">
        <f>+'Purchased Power Model '!E189</f>
        <v>6.4656290000000005E-2</v>
      </c>
      <c r="F189" s="462">
        <f>+'Purchased Power Model '!F189</f>
        <v>31</v>
      </c>
      <c r="G189" s="462">
        <f>+'Purchased Power Model '!G189</f>
        <v>0</v>
      </c>
      <c r="H189" s="463"/>
      <c r="I189" s="464">
        <f t="shared" ca="1" si="6"/>
        <v>38237437.509641811</v>
      </c>
      <c r="J189" s="36"/>
      <c r="K189" s="5"/>
    </row>
    <row r="190" spans="1:11" x14ac:dyDescent="0.2">
      <c r="A190" s="460">
        <v>43313</v>
      </c>
      <c r="B190" s="435"/>
      <c r="C190" s="461">
        <f>+'Purchased Power Model '!C190</f>
        <v>1.4159692625287819</v>
      </c>
      <c r="D190" s="461">
        <f ca="1">+'Purchased Power Model '!D190</f>
        <v>98.80826832981144</v>
      </c>
      <c r="E190" s="437">
        <f>+'Purchased Power Model '!E190</f>
        <v>6.4656290000000005E-2</v>
      </c>
      <c r="F190" s="462">
        <f>+'Purchased Power Model '!F190</f>
        <v>31</v>
      </c>
      <c r="G190" s="462">
        <f>+'Purchased Power Model '!G190</f>
        <v>0</v>
      </c>
      <c r="H190" s="463"/>
      <c r="I190" s="464">
        <f t="shared" ca="1" si="6"/>
        <v>38966428.59462674</v>
      </c>
      <c r="J190" s="36"/>
      <c r="K190" s="5"/>
    </row>
    <row r="191" spans="1:11" x14ac:dyDescent="0.2">
      <c r="A191" s="460">
        <v>43344</v>
      </c>
      <c r="B191" s="435"/>
      <c r="C191" s="461">
        <f>+'Purchased Power Model '!C191</f>
        <v>51.379456097472939</v>
      </c>
      <c r="D191" s="461">
        <f ca="1">+'Purchased Power Model '!D191</f>
        <v>25.722211445739998</v>
      </c>
      <c r="E191" s="437">
        <f>+'Purchased Power Model '!E191</f>
        <v>6.4656290000000005E-2</v>
      </c>
      <c r="F191" s="462">
        <f>+'Purchased Power Model '!F191</f>
        <v>30</v>
      </c>
      <c r="G191" s="462">
        <f>+'Purchased Power Model '!G191</f>
        <v>1</v>
      </c>
      <c r="H191" s="463"/>
      <c r="I191" s="464">
        <f t="shared" ca="1" si="6"/>
        <v>37324091.356072232</v>
      </c>
      <c r="J191" s="36"/>
      <c r="K191" s="5"/>
    </row>
    <row r="192" spans="1:11" x14ac:dyDescent="0.2">
      <c r="A192" s="460">
        <v>43374</v>
      </c>
      <c r="B192" s="435"/>
      <c r="C192" s="461">
        <f>+'Purchased Power Model '!C192</f>
        <v>206.32694968276536</v>
      </c>
      <c r="D192" s="461">
        <f ca="1">+'Purchased Power Model '!D192</f>
        <v>0.21860236356152973</v>
      </c>
      <c r="E192" s="437">
        <f>+'Purchased Power Model '!E192</f>
        <v>6.3593549999999999E-2</v>
      </c>
      <c r="F192" s="462">
        <f>+'Purchased Power Model '!F192</f>
        <v>31</v>
      </c>
      <c r="G192" s="462">
        <f>+'Purchased Power Model '!G192</f>
        <v>1</v>
      </c>
      <c r="H192" s="463"/>
      <c r="I192" s="464">
        <f t="shared" ca="1" si="6"/>
        <v>36874865.921680599</v>
      </c>
      <c r="J192" s="36"/>
      <c r="K192" s="5"/>
    </row>
    <row r="193" spans="1:11" x14ac:dyDescent="0.2">
      <c r="A193" s="460">
        <v>43405</v>
      </c>
      <c r="B193" s="435"/>
      <c r="C193" s="461">
        <f>+'Purchased Power Model '!C193</f>
        <v>301.90487490345811</v>
      </c>
      <c r="D193" s="461">
        <f ca="1">+'Purchased Power Model '!D193</f>
        <v>0</v>
      </c>
      <c r="E193" s="437">
        <f>+'Purchased Power Model '!E193</f>
        <v>6.3593549999999999E-2</v>
      </c>
      <c r="F193" s="462">
        <f>+'Purchased Power Model '!F193</f>
        <v>30</v>
      </c>
      <c r="G193" s="462">
        <f>+'Purchased Power Model '!G193</f>
        <v>1</v>
      </c>
      <c r="H193" s="463"/>
      <c r="I193" s="464">
        <f t="shared" ca="1" si="6"/>
        <v>39277542.36230056</v>
      </c>
      <c r="J193" s="36"/>
      <c r="K193" s="5"/>
    </row>
    <row r="194" spans="1:11" x14ac:dyDescent="0.2">
      <c r="A194" s="460">
        <v>43435</v>
      </c>
      <c r="B194" s="435"/>
      <c r="C194" s="461">
        <f>+'Purchased Power Model '!C194</f>
        <v>488.91395821886647</v>
      </c>
      <c r="D194" s="461">
        <f ca="1">+'Purchased Power Model '!D194</f>
        <v>0</v>
      </c>
      <c r="E194" s="437">
        <f>+'Purchased Power Model '!E194</f>
        <v>6.3593549999999999E-2</v>
      </c>
      <c r="F194" s="462">
        <f>+'Purchased Power Model '!F194</f>
        <v>31</v>
      </c>
      <c r="G194" s="462">
        <f>+'Purchased Power Model '!G194</f>
        <v>0</v>
      </c>
      <c r="H194" s="463"/>
      <c r="I194" s="464">
        <f t="shared" ca="1" si="6"/>
        <v>39446039.874914691</v>
      </c>
      <c r="J194" s="36"/>
      <c r="K194" s="5"/>
    </row>
    <row r="195" spans="1:11" x14ac:dyDescent="0.2">
      <c r="A195" s="460">
        <v>43466</v>
      </c>
      <c r="B195" s="435"/>
      <c r="C195" s="461">
        <f>+'Purchased Power Model '!C195</f>
        <v>606.22673842566678</v>
      </c>
      <c r="D195" s="461">
        <f ca="1">+'Purchased Power Model '!D195</f>
        <v>0</v>
      </c>
      <c r="E195" s="437">
        <f>+'Purchased Power Model '!E195</f>
        <v>6.2343830000000003E-2</v>
      </c>
      <c r="F195" s="462">
        <f>+'Purchased Power Model '!F195</f>
        <v>31</v>
      </c>
      <c r="G195" s="462">
        <f>+'Purchased Power Model '!G195</f>
        <v>0</v>
      </c>
      <c r="H195" s="463"/>
      <c r="I195" s="464">
        <f t="shared" ca="1" si="6"/>
        <v>41171484.044167057</v>
      </c>
      <c r="J195" s="36"/>
      <c r="K195" s="5"/>
    </row>
    <row r="196" spans="1:11" x14ac:dyDescent="0.2">
      <c r="A196" s="460">
        <v>43497</v>
      </c>
      <c r="B196" s="435"/>
      <c r="C196" s="461">
        <f>+'Purchased Power Model '!C196</f>
        <v>525.25809870443049</v>
      </c>
      <c r="D196" s="461">
        <f ca="1">+'Purchased Power Model '!D196</f>
        <v>0</v>
      </c>
      <c r="E196" s="437">
        <f>+'Purchased Power Model '!E196</f>
        <v>6.2343830000000003E-2</v>
      </c>
      <c r="F196" s="462">
        <f>+'Purchased Power Model '!F196</f>
        <v>28</v>
      </c>
      <c r="G196" s="462">
        <f>+'Purchased Power Model '!G196</f>
        <v>0</v>
      </c>
      <c r="H196" s="463"/>
      <c r="I196" s="464">
        <f t="shared" ref="I196:I206" ca="1" si="11">$N$18+C196*$N$19+D196*$N$20+E196*$N$21+F196*$N$22+G196*$N$23</f>
        <v>42939383.958050571</v>
      </c>
      <c r="J196" s="36"/>
      <c r="K196" s="5"/>
    </row>
    <row r="197" spans="1:11" x14ac:dyDescent="0.2">
      <c r="A197" s="460">
        <v>43525</v>
      </c>
      <c r="B197" s="435"/>
      <c r="C197" s="461">
        <f>+'Purchased Power Model '!C197</f>
        <v>582.35137030273825</v>
      </c>
      <c r="D197" s="461">
        <f ca="1">+'Purchased Power Model '!D197</f>
        <v>0</v>
      </c>
      <c r="E197" s="437">
        <f>+'Purchased Power Model '!E197</f>
        <v>6.2343830000000003E-2</v>
      </c>
      <c r="F197" s="462">
        <f>+'Purchased Power Model '!F197</f>
        <v>31</v>
      </c>
      <c r="G197" s="462">
        <f>+'Purchased Power Model '!G197</f>
        <v>1</v>
      </c>
      <c r="H197" s="463"/>
      <c r="I197" s="464">
        <f t="shared" ca="1" si="11"/>
        <v>42444570.157887772</v>
      </c>
      <c r="J197" s="36"/>
      <c r="K197" s="5"/>
    </row>
    <row r="198" spans="1:11" x14ac:dyDescent="0.2">
      <c r="A198" s="460">
        <v>43556</v>
      </c>
      <c r="B198" s="435"/>
      <c r="C198" s="461">
        <f>+'Purchased Power Model '!C198</f>
        <v>425.67062939452069</v>
      </c>
      <c r="D198" s="461">
        <f ca="1">+'Purchased Power Model '!D198</f>
        <v>0</v>
      </c>
      <c r="E198" s="437">
        <f>+'Purchased Power Model '!E198</f>
        <v>6.0906349999999998E-2</v>
      </c>
      <c r="F198" s="462">
        <f>+'Purchased Power Model '!F198</f>
        <v>30</v>
      </c>
      <c r="G198" s="462">
        <f>+'Purchased Power Model '!G198</f>
        <v>1</v>
      </c>
      <c r="H198" s="463"/>
      <c r="I198" s="464">
        <f t="shared" ca="1" si="11"/>
        <v>41071032.615804315</v>
      </c>
      <c r="J198" s="36"/>
      <c r="K198" s="5"/>
    </row>
    <row r="199" spans="1:11" x14ac:dyDescent="0.2">
      <c r="A199" s="460">
        <v>43586</v>
      </c>
      <c r="B199" s="435"/>
      <c r="C199" s="461">
        <f>+'Purchased Power Model '!C199</f>
        <v>165.76839158454547</v>
      </c>
      <c r="D199" s="461">
        <f ca="1">+'Purchased Power Model '!D199</f>
        <v>14.271778592195387</v>
      </c>
      <c r="E199" s="437">
        <f>+'Purchased Power Model '!E199</f>
        <v>6.0906349999999998E-2</v>
      </c>
      <c r="F199" s="462">
        <f>+'Purchased Power Model '!F199</f>
        <v>31</v>
      </c>
      <c r="G199" s="462">
        <f>+'Purchased Power Model '!G199</f>
        <v>1</v>
      </c>
      <c r="H199" s="463"/>
      <c r="I199" s="464">
        <f t="shared" ca="1" si="11"/>
        <v>37180209.310307421</v>
      </c>
      <c r="J199" s="36"/>
      <c r="K199" s="5"/>
    </row>
    <row r="200" spans="1:11" x14ac:dyDescent="0.2">
      <c r="A200" s="460">
        <v>43617</v>
      </c>
      <c r="B200" s="435"/>
      <c r="C200" s="461">
        <f>+'Purchased Power Model '!C200</f>
        <v>39.449446810442659</v>
      </c>
      <c r="D200" s="461">
        <f ca="1">+'Purchased Power Model '!D200</f>
        <v>32.221850635987522</v>
      </c>
      <c r="E200" s="437">
        <f>+'Purchased Power Model '!E200</f>
        <v>6.0906349999999998E-2</v>
      </c>
      <c r="F200" s="462">
        <f>+'Purchased Power Model '!F200</f>
        <v>30</v>
      </c>
      <c r="G200" s="462">
        <f>+'Purchased Power Model '!G200</f>
        <v>0</v>
      </c>
      <c r="H200" s="463"/>
      <c r="I200" s="464">
        <f t="shared" ca="1" si="11"/>
        <v>35888728.32500428</v>
      </c>
      <c r="J200" s="36"/>
      <c r="K200" s="5"/>
    </row>
    <row r="201" spans="1:11" x14ac:dyDescent="0.2">
      <c r="A201" s="460">
        <v>43647</v>
      </c>
      <c r="B201" s="435"/>
      <c r="C201" s="461">
        <f>+'Purchased Power Model '!C201</f>
        <v>2.4214494205898305</v>
      </c>
      <c r="D201" s="461">
        <f ca="1">+'Purchased Power Model '!D201</f>
        <v>88.794003921545524</v>
      </c>
      <c r="E201" s="437">
        <f>+'Purchased Power Model '!E201</f>
        <v>5.928129E-2</v>
      </c>
      <c r="F201" s="462">
        <f>+'Purchased Power Model '!F201</f>
        <v>31</v>
      </c>
      <c r="G201" s="462">
        <f>+'Purchased Power Model '!G201</f>
        <v>0</v>
      </c>
      <c r="H201" s="463"/>
      <c r="I201" s="464">
        <f t="shared" ca="1" si="11"/>
        <v>38189624.330354333</v>
      </c>
      <c r="J201" s="36"/>
      <c r="K201" s="5"/>
    </row>
    <row r="202" spans="1:11" x14ac:dyDescent="0.2">
      <c r="A202" s="460">
        <v>43678</v>
      </c>
      <c r="B202" s="435"/>
      <c r="C202" s="461">
        <f>+'Purchased Power Model '!C202</f>
        <v>1.4125121620107346</v>
      </c>
      <c r="D202" s="461">
        <f ca="1">+'Purchased Power Model '!D202</f>
        <v>99.755318407303832</v>
      </c>
      <c r="E202" s="437">
        <f>+'Purchased Power Model '!E202</f>
        <v>5.928129E-2</v>
      </c>
      <c r="F202" s="462">
        <f>+'Purchased Power Model '!F202</f>
        <v>31</v>
      </c>
      <c r="G202" s="462">
        <f>+'Purchased Power Model '!G202</f>
        <v>0</v>
      </c>
      <c r="H202" s="463"/>
      <c r="I202" s="464">
        <f t="shared" ca="1" si="11"/>
        <v>38925784.037892848</v>
      </c>
      <c r="J202" s="36"/>
      <c r="K202" s="5"/>
    </row>
    <row r="203" spans="1:11" x14ac:dyDescent="0.2">
      <c r="A203" s="460">
        <v>43709</v>
      </c>
      <c r="B203" s="435"/>
      <c r="C203" s="461">
        <f>+'Purchased Power Model '!C203</f>
        <v>51.254012735818087</v>
      </c>
      <c r="D203" s="461">
        <f ca="1">+'Purchased Power Model '!D203</f>
        <v>25.968751768273048</v>
      </c>
      <c r="E203" s="437">
        <f>+'Purchased Power Model '!E203</f>
        <v>5.928129E-2</v>
      </c>
      <c r="F203" s="462">
        <f>+'Purchased Power Model '!F203</f>
        <v>30</v>
      </c>
      <c r="G203" s="462">
        <f>+'Purchased Power Model '!G203</f>
        <v>1</v>
      </c>
      <c r="H203" s="463"/>
      <c r="I203" s="464">
        <f t="shared" ca="1" si="11"/>
        <v>37233619.177700073</v>
      </c>
      <c r="J203" s="36"/>
      <c r="K203" s="5"/>
    </row>
    <row r="204" spans="1:11" x14ac:dyDescent="0.2">
      <c r="A204" s="460">
        <v>43739</v>
      </c>
      <c r="B204" s="435"/>
      <c r="C204" s="461">
        <f>+'Purchased Power Model '!C204</f>
        <v>205.82320075013561</v>
      </c>
      <c r="D204" s="461">
        <f ca="1">+'Purchased Power Model '!D204</f>
        <v>0.22069760709580494</v>
      </c>
      <c r="E204" s="437">
        <f>+'Purchased Power Model '!E204</f>
        <v>5.7468579999999998E-2</v>
      </c>
      <c r="F204" s="462">
        <f>+'Purchased Power Model '!F204</f>
        <v>31</v>
      </c>
      <c r="G204" s="462">
        <f>+'Purchased Power Model '!G204</f>
        <v>1</v>
      </c>
      <c r="H204" s="463"/>
      <c r="I204" s="464">
        <f t="shared" ca="1" si="11"/>
        <v>36747278.054047473</v>
      </c>
      <c r="J204" s="36"/>
      <c r="K204" s="5"/>
    </row>
    <row r="205" spans="1:11" x14ac:dyDescent="0.2">
      <c r="A205" s="460">
        <v>43770</v>
      </c>
      <c r="B205" s="435"/>
      <c r="C205" s="461">
        <f>+'Purchased Power Model '!C205</f>
        <v>301.1677716858602</v>
      </c>
      <c r="D205" s="461">
        <f ca="1">+'Purchased Power Model '!D205</f>
        <v>0</v>
      </c>
      <c r="E205" s="437">
        <f>+'Purchased Power Model '!E205</f>
        <v>5.7468579999999998E-2</v>
      </c>
      <c r="F205" s="462">
        <f>+'Purchased Power Model '!F205</f>
        <v>30</v>
      </c>
      <c r="G205" s="462">
        <f>+'Purchased Power Model '!G205</f>
        <v>1</v>
      </c>
      <c r="H205" s="463"/>
      <c r="I205" s="464">
        <f t="shared" ca="1" si="11"/>
        <v>39146329.919723079</v>
      </c>
      <c r="J205" s="36"/>
      <c r="K205" s="5"/>
    </row>
    <row r="206" spans="1:11" x14ac:dyDescent="0.2">
      <c r="A206" s="460">
        <v>43800</v>
      </c>
      <c r="B206" s="435"/>
      <c r="C206" s="461">
        <f>+'Purchased Power Model '!C206</f>
        <v>487.72027079713502</v>
      </c>
      <c r="D206" s="461">
        <f ca="1">+'Purchased Power Model '!D206</f>
        <v>0</v>
      </c>
      <c r="E206" s="437">
        <f>+'Purchased Power Model '!E206</f>
        <v>5.7468579999999998E-2</v>
      </c>
      <c r="F206" s="462">
        <f>+'Purchased Power Model '!F206</f>
        <v>31</v>
      </c>
      <c r="G206" s="462">
        <f>+'Purchased Power Model '!G206</f>
        <v>0</v>
      </c>
      <c r="H206" s="463"/>
      <c r="I206" s="464">
        <f t="shared" ca="1" si="11"/>
        <v>39308016.49522166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55" t="s">
        <v>60</v>
      </c>
      <c r="I208" s="43">
        <f ca="1">SUM(I3:I206)</f>
        <v>8034054965.7533302</v>
      </c>
    </row>
    <row r="209" spans="1:11" x14ac:dyDescent="0.2">
      <c r="A209" s="3"/>
      <c r="C209" s="23"/>
      <c r="D209" s="23"/>
      <c r="F209" s="164"/>
      <c r="G209" s="164"/>
      <c r="H209"/>
      <c r="I209" s="164"/>
      <c r="J209" s="36"/>
      <c r="K209" s="5" t="s">
        <v>196</v>
      </c>
    </row>
    <row r="210" spans="1:11" x14ac:dyDescent="0.2">
      <c r="A210" s="16">
        <v>2003</v>
      </c>
      <c r="B210" s="6">
        <f>SUM(B3:B14)</f>
        <v>457662445</v>
      </c>
      <c r="C210" s="96"/>
      <c r="D210" s="23" t="s">
        <v>195</v>
      </c>
      <c r="E210" s="97" t="s">
        <v>107</v>
      </c>
      <c r="F210" s="164"/>
      <c r="G210" s="164"/>
      <c r="H210"/>
      <c r="I210" s="6">
        <f>SUM(I3:I14)</f>
        <v>473627331.03526807</v>
      </c>
      <c r="J210" s="36">
        <f>I210-B210</f>
        <v>15964886.035268068</v>
      </c>
      <c r="K210" s="5">
        <f>J210/B210</f>
        <v>3.4883539625516068E-2</v>
      </c>
    </row>
    <row r="211" spans="1:11" x14ac:dyDescent="0.2">
      <c r="A211">
        <v>2004</v>
      </c>
      <c r="B211" s="6">
        <f>SUM(B15:B26)</f>
        <v>448166680</v>
      </c>
      <c r="C211" s="96">
        <f>+B211-B210</f>
        <v>-9495765</v>
      </c>
      <c r="D211" s="98">
        <f>+C211/B210</f>
        <v>-2.0748403334689171E-2</v>
      </c>
      <c r="E211" s="98">
        <f>RATE(1,0,-B$210,B211)</f>
        <v>-2.0748403334689181E-2</v>
      </c>
      <c r="F211" s="164"/>
      <c r="G211" s="164"/>
      <c r="H211"/>
      <c r="I211" s="6">
        <f>SUM(I15:I26)</f>
        <v>467826567.62778139</v>
      </c>
      <c r="J211" s="36">
        <f t="shared" ref="J211:J226" si="12">I211-B211</f>
        <v>19659887.627781391</v>
      </c>
      <c r="K211" s="5">
        <f t="shared" ref="K211:K226" si="13">J211/B211</f>
        <v>4.3867356733841505E-2</v>
      </c>
    </row>
    <row r="212" spans="1:11" x14ac:dyDescent="0.2">
      <c r="A212" s="16">
        <v>2005</v>
      </c>
      <c r="B212" s="6">
        <f>SUM(B27:B38)</f>
        <v>486004701</v>
      </c>
      <c r="C212" s="96">
        <f t="shared" ref="C212:C226" si="14">+B212-B211</f>
        <v>37838021</v>
      </c>
      <c r="D212" s="98">
        <f t="shared" ref="D212:D226" si="15">+C212/B211</f>
        <v>8.4428456394839521E-2</v>
      </c>
      <c r="E212" s="98">
        <f>RATE(2,0,-B$210,B212)</f>
        <v>3.0499052592453797E-2</v>
      </c>
      <c r="F212" s="164"/>
      <c r="G212" s="164"/>
      <c r="H212"/>
      <c r="I212" s="6">
        <f>SUM(I27:I38)</f>
        <v>485424174.36359763</v>
      </c>
      <c r="J212" s="36">
        <f t="shared" si="12"/>
        <v>-580526.63640236855</v>
      </c>
      <c r="K212" s="5">
        <f t="shared" si="13"/>
        <v>-1.1944876977689328E-3</v>
      </c>
    </row>
    <row r="213" spans="1:11" x14ac:dyDescent="0.2">
      <c r="A213">
        <v>2006</v>
      </c>
      <c r="B213" s="6">
        <f>SUM(B39:B50)</f>
        <v>466443961</v>
      </c>
      <c r="C213" s="96">
        <f t="shared" si="14"/>
        <v>-19560740</v>
      </c>
      <c r="D213" s="98">
        <f t="shared" si="15"/>
        <v>-4.0248046901093661E-2</v>
      </c>
      <c r="E213" s="98">
        <f>RATE(3,0,-B$210,B213)</f>
        <v>6.3554419470238047E-3</v>
      </c>
      <c r="F213" s="164"/>
      <c r="G213" s="164"/>
      <c r="H213"/>
      <c r="I213" s="6">
        <f>SUM(I39:I50)</f>
        <v>470639495.67209405</v>
      </c>
      <c r="J213" s="36">
        <f t="shared" si="12"/>
        <v>4195534.6720940471</v>
      </c>
      <c r="K213" s="5">
        <f t="shared" si="13"/>
        <v>8.9947239601930375E-3</v>
      </c>
    </row>
    <row r="214" spans="1:11" x14ac:dyDescent="0.2">
      <c r="A214" s="16">
        <v>2007</v>
      </c>
      <c r="B214" s="6">
        <f>SUM(B51:B62)</f>
        <v>473064563</v>
      </c>
      <c r="C214" s="96">
        <f t="shared" si="14"/>
        <v>6620602</v>
      </c>
      <c r="D214" s="98">
        <f t="shared" si="15"/>
        <v>1.419377793166455E-2</v>
      </c>
      <c r="E214" s="98">
        <f>RATE(4,0,-B$210,B214)</f>
        <v>8.3093282314549311E-3</v>
      </c>
      <c r="F214" s="164"/>
      <c r="G214" s="164"/>
      <c r="H214"/>
      <c r="I214" s="6">
        <f>SUM(I51:I62)</f>
        <v>457439159.48692209</v>
      </c>
      <c r="J214" s="36">
        <f t="shared" si="12"/>
        <v>-15625403.513077915</v>
      </c>
      <c r="K214" s="5">
        <f t="shared" si="13"/>
        <v>-3.303017121804136E-2</v>
      </c>
    </row>
    <row r="215" spans="1:11" x14ac:dyDescent="0.2">
      <c r="A215">
        <v>2008</v>
      </c>
      <c r="B215" s="6">
        <f>SUM(B63:B74)</f>
        <v>470758084</v>
      </c>
      <c r="C215" s="96">
        <f t="shared" si="14"/>
        <v>-2306479</v>
      </c>
      <c r="D215" s="98">
        <f t="shared" si="15"/>
        <v>-4.8756114501013678E-3</v>
      </c>
      <c r="E215" s="98">
        <f>RATE(5,0,-B$210,B215)</f>
        <v>5.6584382776635215E-3</v>
      </c>
      <c r="F215" s="164"/>
      <c r="G215" s="164"/>
      <c r="H215"/>
      <c r="I215" s="6">
        <f>SUM(I63:I74)</f>
        <v>448381070.90751946</v>
      </c>
      <c r="J215" s="36">
        <f t="shared" si="12"/>
        <v>-22377013.09248054</v>
      </c>
      <c r="K215" s="5">
        <f t="shared" si="13"/>
        <v>-4.753399644748435E-2</v>
      </c>
    </row>
    <row r="216" spans="1:11" x14ac:dyDescent="0.2">
      <c r="A216" s="16">
        <v>2009</v>
      </c>
      <c r="B216" s="6">
        <f>SUM(B75:B86)</f>
        <v>468014611</v>
      </c>
      <c r="C216" s="96">
        <f t="shared" si="14"/>
        <v>-2743473</v>
      </c>
      <c r="D216" s="98">
        <f t="shared" si="15"/>
        <v>-5.8277767142921755E-3</v>
      </c>
      <c r="E216" s="98">
        <f>RATE(6,0,-B$210,B216)</f>
        <v>3.734894531315652E-3</v>
      </c>
      <c r="F216" s="164"/>
      <c r="G216" s="164"/>
      <c r="H216"/>
      <c r="I216" s="6">
        <f>SUM(I75:I86)</f>
        <v>472515415.73863494</v>
      </c>
      <c r="J216" s="36">
        <f t="shared" si="12"/>
        <v>4500804.738634944</v>
      </c>
      <c r="K216" s="5">
        <f t="shared" si="13"/>
        <v>9.6168039049424978E-3</v>
      </c>
    </row>
    <row r="217" spans="1:11" x14ac:dyDescent="0.2">
      <c r="A217">
        <v>2010</v>
      </c>
      <c r="B217" s="6">
        <f>SUM(B87:B98)</f>
        <v>476976847</v>
      </c>
      <c r="C217" s="96">
        <f t="shared" si="14"/>
        <v>8962236</v>
      </c>
      <c r="D217" s="98">
        <f t="shared" si="15"/>
        <v>1.9149479074703504E-2</v>
      </c>
      <c r="E217" s="98">
        <f>RATE(7,0,-B$210,B217)</f>
        <v>5.9226209462114668E-3</v>
      </c>
      <c r="F217" s="164"/>
      <c r="G217" s="164"/>
      <c r="H217"/>
      <c r="I217" s="6">
        <f>SUM(I87:I98)</f>
        <v>483356227.4863838</v>
      </c>
      <c r="J217" s="36">
        <f t="shared" si="12"/>
        <v>6379380.4863837957</v>
      </c>
      <c r="K217" s="5">
        <f t="shared" si="13"/>
        <v>1.3374612471250194E-2</v>
      </c>
    </row>
    <row r="218" spans="1:11" x14ac:dyDescent="0.2">
      <c r="A218">
        <v>2011</v>
      </c>
      <c r="B218" s="6">
        <f>SUM(B99:B110)</f>
        <v>484617834</v>
      </c>
      <c r="C218" s="96">
        <f t="shared" si="14"/>
        <v>7640987</v>
      </c>
      <c r="D218" s="98">
        <f t="shared" si="15"/>
        <v>1.6019618243650304E-2</v>
      </c>
      <c r="E218" s="98">
        <f>RATE(8,0,-B$210,B218)</f>
        <v>7.1792376013294331E-3</v>
      </c>
      <c r="F218" s="164"/>
      <c r="G218" s="164"/>
      <c r="H218"/>
      <c r="I218" s="6">
        <f>SUM(I99:I110)</f>
        <v>481490189.01130295</v>
      </c>
      <c r="J218" s="36">
        <f t="shared" si="12"/>
        <v>-3127644.988697052</v>
      </c>
      <c r="K218" s="5">
        <f t="shared" si="13"/>
        <v>-6.4538379920559257E-3</v>
      </c>
    </row>
    <row r="219" spans="1:11" x14ac:dyDescent="0.2">
      <c r="A219">
        <v>2012</v>
      </c>
      <c r="B219" s="6">
        <f>SUM(B111:B122)</f>
        <v>473324280</v>
      </c>
      <c r="C219" s="96">
        <f t="shared" si="14"/>
        <v>-11293554</v>
      </c>
      <c r="D219" s="98">
        <f t="shared" si="15"/>
        <v>-2.3304041262336209E-2</v>
      </c>
      <c r="E219" s="98">
        <f>RATE(9,0,-B$210,B219)</f>
        <v>3.7457581328207484E-3</v>
      </c>
      <c r="F219" s="164"/>
      <c r="G219" s="164"/>
      <c r="H219"/>
      <c r="I219" s="6">
        <f>SUM(I111:I122)</f>
        <v>480093908.67220175</v>
      </c>
      <c r="J219" s="36">
        <f t="shared" si="12"/>
        <v>6769628.6722017527</v>
      </c>
      <c r="K219" s="5">
        <f t="shared" si="13"/>
        <v>1.4302305962841697E-2</v>
      </c>
    </row>
    <row r="220" spans="1:11" x14ac:dyDescent="0.2">
      <c r="A220">
        <v>2013</v>
      </c>
      <c r="B220" s="6">
        <f>SUM(B123:B134)</f>
        <v>475318261</v>
      </c>
      <c r="C220" s="96">
        <f t="shared" si="14"/>
        <v>1993981</v>
      </c>
      <c r="D220" s="98">
        <f t="shared" si="15"/>
        <v>4.2127164911126046E-3</v>
      </c>
      <c r="E220" s="98">
        <f>RATE(10,0,-B$210,B220)</f>
        <v>3.7924441958913282E-3</v>
      </c>
      <c r="F220" s="164"/>
      <c r="G220" s="164"/>
      <c r="H220"/>
      <c r="I220" s="6">
        <f ca="1">SUM(I123:I134)</f>
        <v>473829916.6436252</v>
      </c>
      <c r="J220" s="36">
        <f t="shared" ca="1" si="12"/>
        <v>-1488344.3563748002</v>
      </c>
      <c r="K220" s="5">
        <f t="shared" ca="1" si="13"/>
        <v>-3.131258524011978E-3</v>
      </c>
    </row>
    <row r="221" spans="1:11" x14ac:dyDescent="0.2">
      <c r="A221">
        <v>2014</v>
      </c>
      <c r="B221" s="6">
        <f>SUM(B135:B146)</f>
        <v>485539319</v>
      </c>
      <c r="C221" s="96">
        <f t="shared" ref="C221" si="16">+B221-B220</f>
        <v>10221058</v>
      </c>
      <c r="D221" s="98">
        <f t="shared" ref="D221" si="17">+C221/B220</f>
        <v>2.1503608926146434E-2</v>
      </c>
      <c r="E221" s="98">
        <f>RATE(10,0,-B$210,B221)</f>
        <v>5.9303531636595332E-3</v>
      </c>
      <c r="F221" s="92"/>
      <c r="G221" s="164"/>
      <c r="H221"/>
      <c r="I221" s="6">
        <f>SUM(I135:I146)</f>
        <v>476020861.96198869</v>
      </c>
      <c r="J221" s="36">
        <f t="shared" si="12"/>
        <v>-9518457.0380113125</v>
      </c>
      <c r="K221" s="5">
        <f t="shared" si="13"/>
        <v>-1.9603885134607014E-2</v>
      </c>
    </row>
    <row r="222" spans="1:11" x14ac:dyDescent="0.2">
      <c r="A222">
        <v>2015</v>
      </c>
      <c r="B222" s="6">
        <f>SUM(B147:B158)</f>
        <v>479213665</v>
      </c>
      <c r="C222" s="96">
        <f t="shared" si="14"/>
        <v>-6325654</v>
      </c>
      <c r="D222" s="98">
        <f t="shared" si="15"/>
        <v>-1.3028098348508826E-2</v>
      </c>
      <c r="E222" s="98">
        <f>RATE(12,0,-B$210,B222)</f>
        <v>3.8419171437148649E-3</v>
      </c>
      <c r="F222" s="92"/>
      <c r="G222" s="164"/>
      <c r="H222"/>
      <c r="I222" s="6">
        <f>SUM(I147:I158)</f>
        <v>475009936.41969764</v>
      </c>
      <c r="J222" s="36">
        <f t="shared" si="12"/>
        <v>-4203728.5803023577</v>
      </c>
      <c r="K222" s="5">
        <f t="shared" si="13"/>
        <v>-8.7721383744396308E-3</v>
      </c>
    </row>
    <row r="223" spans="1:11" x14ac:dyDescent="0.2">
      <c r="A223">
        <v>2016</v>
      </c>
      <c r="B223" s="6">
        <f>SUM(B159:B170)</f>
        <v>477490967</v>
      </c>
      <c r="C223" s="96">
        <f t="shared" si="14"/>
        <v>-1722698</v>
      </c>
      <c r="D223" s="98">
        <f t="shared" si="15"/>
        <v>-3.5948432313590221E-3</v>
      </c>
      <c r="E223" s="98">
        <f>RATE(13,0,-B$210,B223)</f>
        <v>3.2678933231765654E-3</v>
      </c>
      <c r="F223" s="92"/>
      <c r="G223" s="164"/>
      <c r="H223"/>
      <c r="I223" s="6">
        <f>SUM(I159:I170)</f>
        <v>477678555.90660405</v>
      </c>
      <c r="J223" s="36">
        <f t="shared" si="12"/>
        <v>187588.90660405159</v>
      </c>
      <c r="K223" s="5">
        <f t="shared" si="13"/>
        <v>3.9286378082216492E-4</v>
      </c>
    </row>
    <row r="224" spans="1:11" x14ac:dyDescent="0.2">
      <c r="A224">
        <v>2017</v>
      </c>
      <c r="B224" s="6">
        <f t="shared" ref="B224:B226" ca="1" si="18">+I224</f>
        <v>469098435.43353111</v>
      </c>
      <c r="C224" s="96">
        <f t="shared" ca="1" si="14"/>
        <v>-8392531.5664688945</v>
      </c>
      <c r="D224" s="98">
        <f t="shared" ca="1" si="15"/>
        <v>-1.7576314834179669E-2</v>
      </c>
      <c r="E224" s="98">
        <f ca="1">RATE(14,0,-B$210,B224)</f>
        <v>1.7644646494991729E-3</v>
      </c>
      <c r="F224" s="92"/>
      <c r="G224" s="164"/>
      <c r="H224"/>
      <c r="I224" s="6">
        <f ca="1">SUM(I171:I182)</f>
        <v>469098435.43353111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471377658.96001601</v>
      </c>
      <c r="C225" s="96">
        <f t="shared" ca="1" si="14"/>
        <v>2279223.5264849067</v>
      </c>
      <c r="D225" s="98">
        <f t="shared" ca="1" si="15"/>
        <v>4.8587318872178615E-3</v>
      </c>
      <c r="E225" s="98">
        <f ca="1">RATE(15,0,-B$210,B225)</f>
        <v>1.9704523742159609E-3</v>
      </c>
      <c r="F225" s="92"/>
      <c r="G225" s="164"/>
      <c r="H225"/>
      <c r="I225" s="6">
        <f ca="1">SUM(I183:I194)</f>
        <v>471377658.96001601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470246060.42616081</v>
      </c>
      <c r="C226" s="96">
        <f t="shared" ca="1" si="14"/>
        <v>-1131598.5338551998</v>
      </c>
      <c r="D226" s="98">
        <f t="shared" ca="1" si="15"/>
        <v>-2.4006197840428117E-3</v>
      </c>
      <c r="E226" s="98">
        <f ca="1">RATE(16,0,-B$210,B226)</f>
        <v>1.6967001320397444E-3</v>
      </c>
      <c r="F226" s="92"/>
      <c r="G226" s="164"/>
      <c r="H226"/>
      <c r="I226" s="6">
        <f ca="1">SUM(I195:I206)</f>
        <v>470246060.42616081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90"/>
      <c r="D227" s="164"/>
      <c r="F227" s="164"/>
      <c r="G227" s="164"/>
      <c r="H227"/>
      <c r="J227" s="164"/>
      <c r="K227" s="164"/>
    </row>
    <row r="228" spans="1:11" x14ac:dyDescent="0.2">
      <c r="A228" t="s">
        <v>9</v>
      </c>
      <c r="B228" s="6">
        <f ca="1">SUM(B210:B226)</f>
        <v>8033318372.8197079</v>
      </c>
      <c r="C228" s="90"/>
      <c r="D228" s="164"/>
      <c r="F228" s="164"/>
      <c r="G228" s="164"/>
      <c r="H228"/>
      <c r="I228" s="6">
        <f ca="1">SUM(I210:I226)</f>
        <v>8034054965.7533293</v>
      </c>
      <c r="J228" s="168">
        <f ca="1">I228-B228</f>
        <v>736592.93362140656</v>
      </c>
      <c r="K228" s="164"/>
    </row>
    <row r="229" spans="1:11" x14ac:dyDescent="0.2">
      <c r="C229" s="164"/>
      <c r="D229" s="164"/>
      <c r="F229" s="164"/>
      <c r="G229" s="164"/>
      <c r="H229"/>
      <c r="I229" s="164"/>
      <c r="J229" s="54"/>
      <c r="K229" s="164"/>
    </row>
    <row r="230" spans="1:11" x14ac:dyDescent="0.2">
      <c r="C230" s="164"/>
      <c r="D230" s="164"/>
      <c r="F230" s="164"/>
      <c r="G230" s="164"/>
      <c r="H230"/>
      <c r="I230" s="6">
        <f ca="1">SUM(I210:I226)</f>
        <v>8034054965.7533293</v>
      </c>
      <c r="J230" s="168">
        <f ca="1">I208-I230</f>
        <v>0</v>
      </c>
      <c r="K230" s="164"/>
    </row>
    <row r="231" spans="1:11" x14ac:dyDescent="0.2">
      <c r="C231" s="164"/>
      <c r="D231" s="164"/>
      <c r="F231" s="164"/>
      <c r="G231" s="164"/>
      <c r="H231"/>
      <c r="I231" s="23"/>
      <c r="J231" s="169" t="s">
        <v>69</v>
      </c>
      <c r="K231" s="18"/>
    </row>
    <row r="233" spans="1:11" x14ac:dyDescent="0.2">
      <c r="I233" s="11"/>
      <c r="J233" s="11"/>
      <c r="K233" s="11"/>
    </row>
    <row r="245" spans="9:11" x14ac:dyDescent="0.2">
      <c r="I245" s="11"/>
      <c r="J245" s="11"/>
      <c r="K245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>
      <selection activeCell="N5" sqref="N5"/>
    </sheetView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18.1406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140625" style="6" bestFit="1" customWidth="1"/>
    <col min="15" max="15" width="22.7109375" style="6" bestFit="1" customWidth="1"/>
    <col min="16" max="16" width="20.5703125" style="6" bestFit="1" customWidth="1"/>
    <col min="17" max="17" width="9.5703125" style="6" bestFit="1" customWidth="1"/>
    <col min="18" max="18" width="14.5703125" bestFit="1" customWidth="1"/>
    <col min="19" max="19" width="14.140625" bestFit="1" customWidth="1"/>
    <col min="20" max="20" width="14.5703125" bestFit="1" customWidth="1"/>
    <col min="21" max="21" width="14.14062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64"/>
      <c r="M2" t="s">
        <v>18</v>
      </c>
      <c r="N2"/>
      <c r="O2"/>
      <c r="P2"/>
      <c r="Q2"/>
    </row>
    <row r="3" spans="1:18" ht="13.5" thickBot="1" x14ac:dyDescent="0.25">
      <c r="A3" s="453">
        <v>37622</v>
      </c>
      <c r="B3" s="454">
        <v>11396944.435770413</v>
      </c>
      <c r="C3" s="455">
        <f>+'Purchased Power Model '!C3</f>
        <v>786</v>
      </c>
      <c r="D3" s="455">
        <f>+'Purchased Power Model '!D3</f>
        <v>0</v>
      </c>
      <c r="E3" s="443">
        <f>+'Purchased Power Model '!E3</f>
        <v>5.2000000000000005E-2</v>
      </c>
      <c r="F3" s="53">
        <f>+'Purchased Power Model '!F3</f>
        <v>31</v>
      </c>
      <c r="G3" s="53">
        <f>+'Purchased Power Model '!G3</f>
        <v>0</v>
      </c>
      <c r="H3" s="17">
        <v>3723.4166666666665</v>
      </c>
      <c r="I3" s="456">
        <f>$N$18+C3*$N$19+D3*$N$20+E3*$N$21+F3*$N$22+G3*$N$23</f>
        <v>11722391.32037247</v>
      </c>
      <c r="J3" s="457">
        <f>I3-B3</f>
        <v>325446.88460205682</v>
      </c>
      <c r="K3" s="5">
        <f>J3/B3</f>
        <v>2.8555626153674161E-2</v>
      </c>
      <c r="M3"/>
      <c r="N3"/>
      <c r="O3"/>
      <c r="P3"/>
      <c r="Q3"/>
    </row>
    <row r="4" spans="1:18" x14ac:dyDescent="0.2">
      <c r="A4" s="453">
        <v>37653</v>
      </c>
      <c r="B4" s="454">
        <v>11214225.542405957</v>
      </c>
      <c r="C4" s="455">
        <f>+'Purchased Power Model '!C4</f>
        <v>686.5</v>
      </c>
      <c r="D4" s="455">
        <f>+'Purchased Power Model '!D4</f>
        <v>0</v>
      </c>
      <c r="E4" s="443">
        <f>+'Purchased Power Model '!E4</f>
        <v>5.2000000000000005E-2</v>
      </c>
      <c r="F4" s="53">
        <f>+'Purchased Power Model '!F4</f>
        <v>28</v>
      </c>
      <c r="G4" s="53">
        <f>+'Purchased Power Model '!G4</f>
        <v>0</v>
      </c>
      <c r="H4" s="17">
        <v>3745.833333333333</v>
      </c>
      <c r="I4" s="456">
        <f t="shared" ref="I4:I67" si="0">$N$18+C4*$N$19+D4*$N$20+E4*$N$21+F4*$N$22+G4*$N$23</f>
        <v>12412409.144680301</v>
      </c>
      <c r="J4" s="457">
        <f t="shared" ref="J4:J67" si="1">I4-B4</f>
        <v>1198183.6022743434</v>
      </c>
      <c r="K4" s="5">
        <f t="shared" ref="K4:K67" si="2">J4/B4</f>
        <v>0.10684497094725624</v>
      </c>
      <c r="M4" s="49" t="s">
        <v>19</v>
      </c>
      <c r="N4" s="49"/>
      <c r="O4"/>
      <c r="P4"/>
      <c r="Q4"/>
    </row>
    <row r="5" spans="1:18" x14ac:dyDescent="0.2">
      <c r="A5" s="453">
        <v>37681</v>
      </c>
      <c r="B5" s="454">
        <v>11886519.02182363</v>
      </c>
      <c r="C5" s="455">
        <f>+'Purchased Power Model '!C5</f>
        <v>572.5</v>
      </c>
      <c r="D5" s="455">
        <f>+'Purchased Power Model '!D5</f>
        <v>0</v>
      </c>
      <c r="E5" s="443">
        <f>+'Purchased Power Model '!E5</f>
        <v>5.2000000000000005E-2</v>
      </c>
      <c r="F5" s="53">
        <f>+'Purchased Power Model '!F5</f>
        <v>31</v>
      </c>
      <c r="G5" s="53">
        <f>+'Purchased Power Model '!G5</f>
        <v>1</v>
      </c>
      <c r="H5" s="17">
        <v>3768.2499999999995</v>
      </c>
      <c r="I5" s="456">
        <f t="shared" si="0"/>
        <v>11365798.196953595</v>
      </c>
      <c r="J5" s="457">
        <f t="shared" si="1"/>
        <v>-520720.82487003505</v>
      </c>
      <c r="K5" s="5">
        <f t="shared" si="2"/>
        <v>-4.3807680273256829E-2</v>
      </c>
      <c r="M5" s="35" t="s">
        <v>20</v>
      </c>
      <c r="N5" s="87">
        <v>0.34022610989940472</v>
      </c>
      <c r="O5"/>
      <c r="P5"/>
      <c r="Q5"/>
    </row>
    <row r="6" spans="1:18" x14ac:dyDescent="0.2">
      <c r="A6" s="453">
        <v>37712</v>
      </c>
      <c r="B6" s="454">
        <v>9634741</v>
      </c>
      <c r="C6" s="455">
        <f>+'Purchased Power Model '!C6</f>
        <v>403.9</v>
      </c>
      <c r="D6" s="455">
        <f>+'Purchased Power Model '!D6</f>
        <v>0</v>
      </c>
      <c r="E6" s="443">
        <f>+'Purchased Power Model '!E6</f>
        <v>5.5999999999999994E-2</v>
      </c>
      <c r="F6" s="53">
        <f>+'Purchased Power Model '!F6</f>
        <v>30</v>
      </c>
      <c r="G6" s="53">
        <f>+'Purchased Power Model '!G6</f>
        <v>1</v>
      </c>
      <c r="H6" s="17">
        <v>3790.6666666666661</v>
      </c>
      <c r="I6" s="456">
        <f t="shared" si="0"/>
        <v>11309295.92800712</v>
      </c>
      <c r="J6" s="457">
        <f t="shared" si="1"/>
        <v>1674554.9280071203</v>
      </c>
      <c r="K6" s="5">
        <f t="shared" si="2"/>
        <v>0.17380383427090779</v>
      </c>
      <c r="M6" s="35" t="s">
        <v>21</v>
      </c>
      <c r="N6" s="87">
        <v>0.1157538058572818</v>
      </c>
      <c r="O6"/>
      <c r="P6"/>
      <c r="Q6"/>
    </row>
    <row r="7" spans="1:18" x14ac:dyDescent="0.2">
      <c r="A7" s="453">
        <v>37742</v>
      </c>
      <c r="B7" s="454">
        <v>11917377</v>
      </c>
      <c r="C7" s="455">
        <f>+'Purchased Power Model '!C7</f>
        <v>192</v>
      </c>
      <c r="D7" s="455">
        <f>+'Purchased Power Model '!D7</f>
        <v>0</v>
      </c>
      <c r="E7" s="443">
        <f>+'Purchased Power Model '!E7</f>
        <v>5.5999999999999994E-2</v>
      </c>
      <c r="F7" s="53">
        <f>+'Purchased Power Model '!F7</f>
        <v>31</v>
      </c>
      <c r="G7" s="53">
        <f>+'Purchased Power Model '!G7</f>
        <v>1</v>
      </c>
      <c r="H7" s="17">
        <v>3813.0833333333326</v>
      </c>
      <c r="I7" s="456">
        <f t="shared" si="0"/>
        <v>10573189.814344592</v>
      </c>
      <c r="J7" s="457">
        <f t="shared" si="1"/>
        <v>-1344187.1856554076</v>
      </c>
      <c r="K7" s="5">
        <f t="shared" si="2"/>
        <v>-0.11279220130867787</v>
      </c>
      <c r="M7" s="35" t="s">
        <v>22</v>
      </c>
      <c r="N7" s="87">
        <v>8.3715900272400695E-2</v>
      </c>
      <c r="O7"/>
      <c r="P7"/>
      <c r="Q7"/>
    </row>
    <row r="8" spans="1:18" x14ac:dyDescent="0.2">
      <c r="A8" s="453">
        <v>37773</v>
      </c>
      <c r="B8" s="454">
        <v>9459075</v>
      </c>
      <c r="C8" s="455">
        <f>+'Purchased Power Model '!C8</f>
        <v>55.1</v>
      </c>
      <c r="D8" s="455">
        <f>+'Purchased Power Model '!D8</f>
        <v>31</v>
      </c>
      <c r="E8" s="443">
        <f>+'Purchased Power Model '!E8</f>
        <v>5.5999999999999994E-2</v>
      </c>
      <c r="F8" s="53">
        <f>+'Purchased Power Model '!F8</f>
        <v>30</v>
      </c>
      <c r="G8" s="53">
        <f>+'Purchased Power Model '!G8</f>
        <v>0</v>
      </c>
      <c r="H8" s="17">
        <v>3835.4999999999991</v>
      </c>
      <c r="I8" s="456">
        <f t="shared" si="0"/>
        <v>10738878.082057832</v>
      </c>
      <c r="J8" s="457">
        <f t="shared" si="1"/>
        <v>1279803.0820578318</v>
      </c>
      <c r="K8" s="5">
        <f t="shared" si="2"/>
        <v>0.13529896761129728</v>
      </c>
      <c r="M8" s="35" t="s">
        <v>23</v>
      </c>
      <c r="N8" s="59">
        <v>1329369.2981808754</v>
      </c>
      <c r="O8"/>
      <c r="P8"/>
      <c r="Q8"/>
    </row>
    <row r="9" spans="1:18" ht="13.5" thickBot="1" x14ac:dyDescent="0.25">
      <c r="A9" s="453">
        <v>37803</v>
      </c>
      <c r="B9" s="454">
        <v>10609374</v>
      </c>
      <c r="C9" s="455">
        <f>+'Purchased Power Model '!C9</f>
        <v>5.7</v>
      </c>
      <c r="D9" s="455">
        <f>+'Purchased Power Model '!D9</f>
        <v>59.1</v>
      </c>
      <c r="E9" s="443">
        <f>+'Purchased Power Model '!E9</f>
        <v>5.0999999999999997E-2</v>
      </c>
      <c r="F9" s="53">
        <f>+'Purchased Power Model '!F9</f>
        <v>31</v>
      </c>
      <c r="G9" s="53">
        <f>+'Purchased Power Model '!G9</f>
        <v>0</v>
      </c>
      <c r="H9" s="17">
        <v>3857.9166666666656</v>
      </c>
      <c r="I9" s="456">
        <f t="shared" si="0"/>
        <v>10559194.654329982</v>
      </c>
      <c r="J9" s="457">
        <f t="shared" si="1"/>
        <v>-50179.345670018345</v>
      </c>
      <c r="K9" s="5">
        <f t="shared" si="2"/>
        <v>-4.729717858001645E-3</v>
      </c>
      <c r="M9" s="47" t="s">
        <v>24</v>
      </c>
      <c r="N9" s="60">
        <v>144</v>
      </c>
      <c r="O9"/>
      <c r="P9"/>
      <c r="Q9"/>
    </row>
    <row r="10" spans="1:18" x14ac:dyDescent="0.2">
      <c r="A10" s="453">
        <v>37834</v>
      </c>
      <c r="B10" s="454">
        <v>8646885</v>
      </c>
      <c r="C10" s="455">
        <f>+'Purchased Power Model '!C10</f>
        <v>10.4</v>
      </c>
      <c r="D10" s="455">
        <f>+'Purchased Power Model '!D10</f>
        <v>106.5</v>
      </c>
      <c r="E10" s="443">
        <f>+'Purchased Power Model '!E10</f>
        <v>5.0999999999999997E-2</v>
      </c>
      <c r="F10" s="53">
        <f>+'Purchased Power Model '!F10</f>
        <v>31</v>
      </c>
      <c r="G10" s="53">
        <f>+'Purchased Power Model '!G10</f>
        <v>0</v>
      </c>
      <c r="H10" s="17">
        <v>3880.3333333333321</v>
      </c>
      <c r="I10" s="456">
        <f t="shared" si="0"/>
        <v>10927037.821716905</v>
      </c>
      <c r="J10" s="457">
        <f t="shared" si="1"/>
        <v>2280152.8217169046</v>
      </c>
      <c r="K10" s="5">
        <f t="shared" si="2"/>
        <v>0.26369644348420324</v>
      </c>
      <c r="M10"/>
      <c r="N10"/>
      <c r="O10"/>
      <c r="P10"/>
      <c r="Q10"/>
    </row>
    <row r="11" spans="1:18" ht="13.5" thickBot="1" x14ac:dyDescent="0.25">
      <c r="A11" s="453">
        <v>37865</v>
      </c>
      <c r="B11" s="454">
        <v>10960006</v>
      </c>
      <c r="C11" s="455">
        <f>+'Purchased Power Model '!C11</f>
        <v>55.2</v>
      </c>
      <c r="D11" s="455">
        <f>+'Purchased Power Model '!D11</f>
        <v>12.1</v>
      </c>
      <c r="E11" s="443">
        <f>+'Purchased Power Model '!E11</f>
        <v>5.0999999999999997E-2</v>
      </c>
      <c r="F11" s="53">
        <f>+'Purchased Power Model '!F11</f>
        <v>30</v>
      </c>
      <c r="G11" s="53">
        <f>+'Purchased Power Model '!G11</f>
        <v>1</v>
      </c>
      <c r="H11" s="17">
        <v>3902.7499999999986</v>
      </c>
      <c r="I11" s="456">
        <f t="shared" si="0"/>
        <v>10689122.269672068</v>
      </c>
      <c r="J11" s="457">
        <f t="shared" si="1"/>
        <v>-270883.73032793216</v>
      </c>
      <c r="K11" s="5">
        <f t="shared" si="2"/>
        <v>-2.4715655295073028E-2</v>
      </c>
      <c r="M11" t="s">
        <v>25</v>
      </c>
      <c r="N11"/>
      <c r="O11"/>
      <c r="P11"/>
      <c r="Q11"/>
    </row>
    <row r="12" spans="1:18" x14ac:dyDescent="0.2">
      <c r="A12" s="453">
        <v>37895</v>
      </c>
      <c r="B12" s="454">
        <v>9502699</v>
      </c>
      <c r="C12" s="455">
        <f>+'Purchased Power Model '!C12</f>
        <v>289.7</v>
      </c>
      <c r="D12" s="455">
        <f>+'Purchased Power Model '!D12</f>
        <v>0</v>
      </c>
      <c r="E12" s="443">
        <f>+'Purchased Power Model '!E12</f>
        <v>4.8000000000000001E-2</v>
      </c>
      <c r="F12" s="53">
        <f>+'Purchased Power Model '!F12</f>
        <v>31</v>
      </c>
      <c r="G12" s="53">
        <f>+'Purchased Power Model '!G12</f>
        <v>1</v>
      </c>
      <c r="H12" s="17">
        <v>3925.1666666666652</v>
      </c>
      <c r="I12" s="456">
        <f t="shared" si="0"/>
        <v>10788590.566622335</v>
      </c>
      <c r="J12" s="457">
        <f t="shared" si="1"/>
        <v>1285891.5666223355</v>
      </c>
      <c r="K12" s="5">
        <f t="shared" si="2"/>
        <v>0.13531856229712586</v>
      </c>
      <c r="M12" s="48"/>
      <c r="N12" s="48" t="s">
        <v>29</v>
      </c>
      <c r="O12" s="48" t="s">
        <v>30</v>
      </c>
      <c r="P12" s="48" t="s">
        <v>31</v>
      </c>
      <c r="Q12" s="48" t="s">
        <v>32</v>
      </c>
      <c r="R12" s="48" t="s">
        <v>33</v>
      </c>
    </row>
    <row r="13" spans="1:18" x14ac:dyDescent="0.2">
      <c r="A13" s="453">
        <v>37926</v>
      </c>
      <c r="B13" s="454">
        <v>9788409</v>
      </c>
      <c r="C13" s="455">
        <f>+'Purchased Power Model '!C13</f>
        <v>387.6</v>
      </c>
      <c r="D13" s="455">
        <f>+'Purchased Power Model '!D13</f>
        <v>0</v>
      </c>
      <c r="E13" s="443">
        <f>+'Purchased Power Model '!E13</f>
        <v>4.8000000000000001E-2</v>
      </c>
      <c r="F13" s="53">
        <f>+'Purchased Power Model '!F13</f>
        <v>30</v>
      </c>
      <c r="G13" s="53">
        <f>+'Purchased Power Model '!G13</f>
        <v>1</v>
      </c>
      <c r="H13" s="17">
        <v>3947.5833333333317</v>
      </c>
      <c r="I13" s="456">
        <f t="shared" si="0"/>
        <v>11289269.23346564</v>
      </c>
      <c r="J13" s="457">
        <f t="shared" si="1"/>
        <v>1500860.2334656399</v>
      </c>
      <c r="K13" s="5">
        <f t="shared" si="2"/>
        <v>0.15333035567533396</v>
      </c>
      <c r="M13" s="35" t="s">
        <v>26</v>
      </c>
      <c r="N13" s="59">
        <v>5</v>
      </c>
      <c r="O13" s="59">
        <v>31925113887754.125</v>
      </c>
      <c r="P13" s="59">
        <v>6385022777550.8252</v>
      </c>
      <c r="Q13" s="59">
        <v>3.6130266240595583</v>
      </c>
      <c r="R13" s="59">
        <v>4.208637984956071E-3</v>
      </c>
    </row>
    <row r="14" spans="1:18" x14ac:dyDescent="0.2">
      <c r="A14" s="453">
        <v>37956</v>
      </c>
      <c r="B14" s="454">
        <v>9128398</v>
      </c>
      <c r="C14" s="455">
        <f>+'Purchased Power Model '!C14</f>
        <v>548.20000000000005</v>
      </c>
      <c r="D14" s="455">
        <f>+'Purchased Power Model '!D14</f>
        <v>0</v>
      </c>
      <c r="E14" s="443">
        <f>+'Purchased Power Model '!E14</f>
        <v>4.8000000000000001E-2</v>
      </c>
      <c r="F14" s="53">
        <f>+'Purchased Power Model '!F14</f>
        <v>31</v>
      </c>
      <c r="G14" s="53">
        <f>+'Purchased Power Model '!G14</f>
        <v>0</v>
      </c>
      <c r="H14" s="17">
        <v>3970</v>
      </c>
      <c r="I14" s="456">
        <f t="shared" si="0"/>
        <v>11238115.576943535</v>
      </c>
      <c r="J14" s="457">
        <f t="shared" si="1"/>
        <v>2109717.5769435354</v>
      </c>
      <c r="K14" s="5">
        <f t="shared" si="2"/>
        <v>0.23111586249236016</v>
      </c>
      <c r="M14" s="35" t="s">
        <v>27</v>
      </c>
      <c r="N14" s="59">
        <v>138</v>
      </c>
      <c r="O14" s="59">
        <v>243876736870536</v>
      </c>
      <c r="P14" s="59">
        <v>1767222730945.9131</v>
      </c>
      <c r="Q14" s="59"/>
      <c r="R14" s="59"/>
    </row>
    <row r="15" spans="1:18" ht="13.5" thickBot="1" x14ac:dyDescent="0.25">
      <c r="A15" s="453">
        <v>37987</v>
      </c>
      <c r="B15" s="454">
        <v>12389595</v>
      </c>
      <c r="C15" s="455">
        <f>+'Purchased Power Model '!C15</f>
        <v>828.8</v>
      </c>
      <c r="D15" s="455">
        <f>+'Purchased Power Model '!D15</f>
        <v>0</v>
      </c>
      <c r="E15" s="443">
        <f>+'Purchased Power Model '!E15</f>
        <v>5.0999999999999997E-2</v>
      </c>
      <c r="F15" s="53">
        <f>+'Purchased Power Model '!F15</f>
        <v>31</v>
      </c>
      <c r="G15" s="53">
        <f>+'Purchased Power Model '!G15</f>
        <v>0</v>
      </c>
      <c r="H15" s="17">
        <v>3951</v>
      </c>
      <c r="I15" s="456">
        <f t="shared" si="0"/>
        <v>11812484.283087738</v>
      </c>
      <c r="J15" s="457">
        <f t="shared" si="1"/>
        <v>-577110.71691226214</v>
      </c>
      <c r="K15" s="5">
        <f t="shared" si="2"/>
        <v>-4.6580272955836097E-2</v>
      </c>
      <c r="M15" s="47" t="s">
        <v>9</v>
      </c>
      <c r="N15" s="60">
        <v>143</v>
      </c>
      <c r="O15" s="60">
        <v>275801850758290.12</v>
      </c>
      <c r="P15" s="60"/>
      <c r="Q15" s="60"/>
      <c r="R15" s="60"/>
    </row>
    <row r="16" spans="1:18" ht="13.5" thickBot="1" x14ac:dyDescent="0.25">
      <c r="A16" s="453">
        <v>38018</v>
      </c>
      <c r="B16" s="454">
        <v>11165538</v>
      </c>
      <c r="C16" s="455">
        <f>+'Purchased Power Model '!C16</f>
        <v>615.6</v>
      </c>
      <c r="D16" s="455">
        <f>+'Purchased Power Model '!D16</f>
        <v>0</v>
      </c>
      <c r="E16" s="443">
        <f>+'Purchased Power Model '!E16</f>
        <v>5.0999999999999997E-2</v>
      </c>
      <c r="F16" s="53">
        <f>+'Purchased Power Model '!F16</f>
        <v>29</v>
      </c>
      <c r="G16" s="53">
        <f>+'Purchased Power Model '!G16</f>
        <v>0</v>
      </c>
      <c r="H16" s="17">
        <v>3985</v>
      </c>
      <c r="I16" s="456">
        <f t="shared" si="0"/>
        <v>11969194.022484338</v>
      </c>
      <c r="J16" s="457">
        <f t="shared" si="1"/>
        <v>803656.02248433791</v>
      </c>
      <c r="K16" s="5">
        <f t="shared" si="2"/>
        <v>7.1976471038326856E-2</v>
      </c>
      <c r="M16"/>
      <c r="N16"/>
      <c r="O16"/>
      <c r="P16"/>
      <c r="Q16"/>
    </row>
    <row r="17" spans="1:21" x14ac:dyDescent="0.2">
      <c r="A17" s="453">
        <v>38047</v>
      </c>
      <c r="B17" s="454">
        <v>14473788</v>
      </c>
      <c r="C17" s="455">
        <f>+'Purchased Power Model '!C17</f>
        <v>487.1</v>
      </c>
      <c r="D17" s="455">
        <f>+'Purchased Power Model '!D17</f>
        <v>0</v>
      </c>
      <c r="E17" s="443">
        <f>+'Purchased Power Model '!E17</f>
        <v>5.0999999999999997E-2</v>
      </c>
      <c r="F17" s="53">
        <f>+'Purchased Power Model '!F17</f>
        <v>31</v>
      </c>
      <c r="G17" s="53">
        <f>+'Purchased Power Model '!G17</f>
        <v>1</v>
      </c>
      <c r="H17" s="17">
        <v>3981</v>
      </c>
      <c r="I17" s="456">
        <f t="shared" si="0"/>
        <v>11191138.539649352</v>
      </c>
      <c r="J17" s="457">
        <f t="shared" si="1"/>
        <v>-3282649.4603506476</v>
      </c>
      <c r="K17" s="5">
        <f t="shared" si="2"/>
        <v>-0.22679960908302979</v>
      </c>
      <c r="M17" s="48"/>
      <c r="N17" s="48" t="s">
        <v>34</v>
      </c>
      <c r="O17" s="48" t="s">
        <v>23</v>
      </c>
      <c r="P17" s="48" t="s">
        <v>35</v>
      </c>
      <c r="Q17" s="48" t="s">
        <v>36</v>
      </c>
      <c r="R17" s="48" t="s">
        <v>37</v>
      </c>
      <c r="S17" s="48" t="s">
        <v>38</v>
      </c>
      <c r="T17" s="48" t="s">
        <v>39</v>
      </c>
      <c r="U17" s="48" t="s">
        <v>40</v>
      </c>
    </row>
    <row r="18" spans="1:21" x14ac:dyDescent="0.2">
      <c r="A18" s="453">
        <v>38078</v>
      </c>
      <c r="B18" s="454">
        <v>10779015</v>
      </c>
      <c r="C18" s="455">
        <f>+'Purchased Power Model '!C18</f>
        <v>345</v>
      </c>
      <c r="D18" s="455">
        <f>+'Purchased Power Model '!D18</f>
        <v>0</v>
      </c>
      <c r="E18" s="443">
        <f>+'Purchased Power Model '!E18</f>
        <v>5.2999999999999999E-2</v>
      </c>
      <c r="F18" s="53">
        <f>+'Purchased Power Model '!F18</f>
        <v>30</v>
      </c>
      <c r="G18" s="53">
        <f>+'Purchased Power Model '!G18</f>
        <v>1</v>
      </c>
      <c r="H18" s="17">
        <v>3975</v>
      </c>
      <c r="I18" s="456">
        <f t="shared" si="0"/>
        <v>11192771.651335033</v>
      </c>
      <c r="J18" s="457">
        <f t="shared" si="1"/>
        <v>413756.65133503266</v>
      </c>
      <c r="K18" s="5">
        <f t="shared" si="2"/>
        <v>3.8385385987034309E-2</v>
      </c>
      <c r="M18" s="35" t="s">
        <v>28</v>
      </c>
      <c r="N18" s="59">
        <v>19441316.18359999</v>
      </c>
      <c r="O18" s="59">
        <v>4342058.7112645432</v>
      </c>
      <c r="P18" s="59">
        <v>4.4774420330069811</v>
      </c>
      <c r="Q18" s="59">
        <v>1.5691185479331251E-5</v>
      </c>
      <c r="R18" s="59">
        <v>10855748.114124576</v>
      </c>
      <c r="S18" s="59">
        <v>28026884.253075406</v>
      </c>
      <c r="T18" s="59">
        <v>10855748.114124576</v>
      </c>
      <c r="U18" s="59">
        <v>28026884.253075406</v>
      </c>
    </row>
    <row r="19" spans="1:21" x14ac:dyDescent="0.2">
      <c r="A19" s="453">
        <v>38108</v>
      </c>
      <c r="B19" s="454">
        <v>12200717</v>
      </c>
      <c r="C19" s="455">
        <f>+'Purchased Power Model '!C19</f>
        <v>177.5</v>
      </c>
      <c r="D19" s="455">
        <f>+'Purchased Power Model '!D19</f>
        <v>0</v>
      </c>
      <c r="E19" s="443">
        <f>+'Purchased Power Model '!E19</f>
        <v>5.2999999999999999E-2</v>
      </c>
      <c r="F19" s="53">
        <f>+'Purchased Power Model '!F19</f>
        <v>31</v>
      </c>
      <c r="G19" s="53">
        <f>+'Purchased Power Model '!G19</f>
        <v>1</v>
      </c>
      <c r="H19" s="17">
        <v>3967</v>
      </c>
      <c r="I19" s="456">
        <f t="shared" si="0"/>
        <v>10548358.332749467</v>
      </c>
      <c r="J19" s="457">
        <f t="shared" si="1"/>
        <v>-1652358.6672505327</v>
      </c>
      <c r="K19" s="5">
        <f t="shared" si="2"/>
        <v>-0.13543127565785951</v>
      </c>
      <c r="M19" s="35" t="s">
        <v>3</v>
      </c>
      <c r="N19" s="59">
        <v>2065.153042273872</v>
      </c>
      <c r="O19" s="59">
        <v>677.56188260012163</v>
      </c>
      <c r="P19" s="59">
        <v>3.0479179766561164</v>
      </c>
      <c r="Q19" s="59">
        <v>2.762354848888527E-3</v>
      </c>
      <c r="R19" s="59">
        <v>725.40753186572556</v>
      </c>
      <c r="S19" s="59">
        <v>3404.8985526820184</v>
      </c>
      <c r="T19" s="59">
        <v>725.40753186572556</v>
      </c>
      <c r="U19" s="59">
        <v>3404.8985526820184</v>
      </c>
    </row>
    <row r="20" spans="1:21" x14ac:dyDescent="0.2">
      <c r="A20" s="453">
        <v>38139</v>
      </c>
      <c r="B20" s="454">
        <v>9552121</v>
      </c>
      <c r="C20" s="455">
        <f>+'Purchased Power Model '!C20</f>
        <v>73.2</v>
      </c>
      <c r="D20" s="455">
        <f>+'Purchased Power Model '!D20</f>
        <v>15.6</v>
      </c>
      <c r="E20" s="443">
        <f>+'Purchased Power Model '!E20</f>
        <v>5.2999999999999999E-2</v>
      </c>
      <c r="F20" s="53">
        <f>+'Purchased Power Model '!F20</f>
        <v>30</v>
      </c>
      <c r="G20" s="53">
        <f>+'Purchased Power Model '!G20</f>
        <v>0</v>
      </c>
      <c r="H20" s="17">
        <v>3927</v>
      </c>
      <c r="I20" s="456">
        <f t="shared" si="0"/>
        <v>10665013.859671237</v>
      </c>
      <c r="J20" s="457">
        <f t="shared" si="1"/>
        <v>1112892.8596712369</v>
      </c>
      <c r="K20" s="5">
        <f t="shared" si="2"/>
        <v>0.11650740811085171</v>
      </c>
      <c r="M20" s="35" t="s">
        <v>4</v>
      </c>
      <c r="N20" s="59">
        <v>7555.6318162075249</v>
      </c>
      <c r="O20" s="59">
        <v>5241.6306318460283</v>
      </c>
      <c r="P20" s="59">
        <v>1.4414659000011487</v>
      </c>
      <c r="Q20" s="59">
        <v>0.15171848205882016</v>
      </c>
      <c r="R20" s="59">
        <v>-2808.6629981422802</v>
      </c>
      <c r="S20" s="59">
        <v>17919.926630557329</v>
      </c>
      <c r="T20" s="59">
        <v>-2808.6629981422802</v>
      </c>
      <c r="U20" s="59">
        <v>17919.926630557329</v>
      </c>
    </row>
    <row r="21" spans="1:21" x14ac:dyDescent="0.2">
      <c r="A21" s="453">
        <v>38169</v>
      </c>
      <c r="B21" s="454">
        <v>12682460</v>
      </c>
      <c r="C21" s="455">
        <f>+'Purchased Power Model '!C21</f>
        <v>2</v>
      </c>
      <c r="D21" s="455">
        <f>+'Purchased Power Model '!D21</f>
        <v>69.3</v>
      </c>
      <c r="E21" s="443">
        <f>+'Purchased Power Model '!E21</f>
        <v>5.2999999999999999E-2</v>
      </c>
      <c r="F21" s="53">
        <f>+'Purchased Power Model '!F21</f>
        <v>31</v>
      </c>
      <c r="G21" s="53">
        <f>+'Purchased Power Model '!G21</f>
        <v>0</v>
      </c>
      <c r="H21" s="17">
        <v>3932</v>
      </c>
      <c r="I21" s="456">
        <f t="shared" si="0"/>
        <v>10625212.207586989</v>
      </c>
      <c r="J21" s="457">
        <f t="shared" si="1"/>
        <v>-2057247.7924130112</v>
      </c>
      <c r="K21" s="5">
        <f t="shared" si="2"/>
        <v>-0.16221204659135618</v>
      </c>
      <c r="M21" s="35" t="s">
        <v>217</v>
      </c>
      <c r="N21" s="59">
        <v>-1704412.5059477116</v>
      </c>
      <c r="O21" s="59">
        <v>7441056.494137858</v>
      </c>
      <c r="P21" s="59">
        <v>-0.22905517614205262</v>
      </c>
      <c r="Q21" s="59">
        <v>0.81916514416978359</v>
      </c>
      <c r="R21" s="59">
        <v>-16417639.868234379</v>
      </c>
      <c r="S21" s="59">
        <v>13008814.856338957</v>
      </c>
      <c r="T21" s="59">
        <v>-16417639.868234379</v>
      </c>
      <c r="U21" s="59">
        <v>13008814.856338957</v>
      </c>
    </row>
    <row r="22" spans="1:21" x14ac:dyDescent="0.2">
      <c r="A22" s="453">
        <v>38200</v>
      </c>
      <c r="B22" s="454">
        <v>15254194</v>
      </c>
      <c r="C22" s="455">
        <f>+'Purchased Power Model '!C22</f>
        <v>19.600000000000001</v>
      </c>
      <c r="D22" s="455">
        <f>+'Purchased Power Model '!D22</f>
        <v>53.6</v>
      </c>
      <c r="E22" s="443">
        <f>+'Purchased Power Model '!E22</f>
        <v>5.2999999999999999E-2</v>
      </c>
      <c r="F22" s="53">
        <f>+'Purchased Power Model '!F22</f>
        <v>31</v>
      </c>
      <c r="G22" s="53">
        <f>+'Purchased Power Model '!G22</f>
        <v>0</v>
      </c>
      <c r="H22" s="17">
        <v>3969</v>
      </c>
      <c r="I22" s="456">
        <f t="shared" si="0"/>
        <v>10542935.481616549</v>
      </c>
      <c r="J22" s="457">
        <f t="shared" si="1"/>
        <v>-4711258.5183834508</v>
      </c>
      <c r="K22" s="5">
        <f t="shared" si="2"/>
        <v>-0.30885004598626781</v>
      </c>
      <c r="M22" s="35" t="s">
        <v>5</v>
      </c>
      <c r="N22" s="59">
        <v>-298500.18400469364</v>
      </c>
      <c r="O22" s="59">
        <v>142024.61270066764</v>
      </c>
      <c r="P22" s="59">
        <v>-2.1017496779506475</v>
      </c>
      <c r="Q22" s="59">
        <v>3.739256771419746E-2</v>
      </c>
      <c r="R22" s="59">
        <v>-579325.95375282958</v>
      </c>
      <c r="S22" s="59">
        <v>-17674.414256557706</v>
      </c>
      <c r="T22" s="59">
        <v>-579325.95375282958</v>
      </c>
      <c r="U22" s="59">
        <v>-17674.414256557706</v>
      </c>
    </row>
    <row r="23" spans="1:21" ht="13.5" thickBot="1" x14ac:dyDescent="0.25">
      <c r="A23" s="453">
        <v>38231</v>
      </c>
      <c r="B23" s="454">
        <v>10882228</v>
      </c>
      <c r="C23" s="455">
        <f>+'Purchased Power Model '!C23</f>
        <v>41.7</v>
      </c>
      <c r="D23" s="455">
        <f>+'Purchased Power Model '!D23</f>
        <v>26.7</v>
      </c>
      <c r="E23" s="443">
        <f>+'Purchased Power Model '!E23</f>
        <v>5.2999999999999999E-2</v>
      </c>
      <c r="F23" s="53">
        <f>+'Purchased Power Model '!F23</f>
        <v>30</v>
      </c>
      <c r="G23" s="53">
        <f>+'Purchased Power Model '!G23</f>
        <v>1</v>
      </c>
      <c r="H23" s="17">
        <v>3988</v>
      </c>
      <c r="I23" s="456">
        <f t="shared" si="0"/>
        <v>10768146.103106106</v>
      </c>
      <c r="J23" s="457">
        <f t="shared" si="1"/>
        <v>-114081.8968938943</v>
      </c>
      <c r="K23" s="5">
        <f t="shared" si="2"/>
        <v>-1.0483321696062083E-2</v>
      </c>
      <c r="M23" s="47" t="s">
        <v>17</v>
      </c>
      <c r="N23" s="60">
        <v>84317.051106594954</v>
      </c>
      <c r="O23" s="60">
        <v>286402.61017777986</v>
      </c>
      <c r="P23" s="60">
        <v>0.2944004283140314</v>
      </c>
      <c r="Q23" s="60">
        <v>0.76889431743978287</v>
      </c>
      <c r="R23" s="60">
        <v>-481987.84444389469</v>
      </c>
      <c r="S23" s="60">
        <v>650621.94665708463</v>
      </c>
      <c r="T23" s="60">
        <v>-481987.84444389469</v>
      </c>
      <c r="U23" s="60">
        <v>650621.94665708463</v>
      </c>
    </row>
    <row r="24" spans="1:21" x14ac:dyDescent="0.2">
      <c r="A24" s="453">
        <v>38261</v>
      </c>
      <c r="B24" s="454">
        <v>2042443</v>
      </c>
      <c r="C24" s="455">
        <f>+'Purchased Power Model '!C24</f>
        <v>235</v>
      </c>
      <c r="D24" s="455">
        <f>+'Purchased Power Model '!D24</f>
        <v>0</v>
      </c>
      <c r="E24" s="443">
        <f>+'Purchased Power Model '!E24</f>
        <v>5.7999999999999996E-2</v>
      </c>
      <c r="F24" s="53">
        <f>+'Purchased Power Model '!F24</f>
        <v>31</v>
      </c>
      <c r="G24" s="53">
        <f>+'Purchased Power Model '!G24</f>
        <v>1</v>
      </c>
      <c r="H24" s="17">
        <v>3861</v>
      </c>
      <c r="I24" s="456">
        <f t="shared" si="0"/>
        <v>10658582.570150476</v>
      </c>
      <c r="J24" s="457">
        <f t="shared" si="1"/>
        <v>8616139.5701504759</v>
      </c>
      <c r="K24" s="5">
        <f t="shared" si="2"/>
        <v>4.2185459129828722</v>
      </c>
      <c r="M24"/>
      <c r="N24"/>
      <c r="O24"/>
      <c r="P24"/>
      <c r="Q24"/>
    </row>
    <row r="25" spans="1:21" x14ac:dyDescent="0.2">
      <c r="A25" s="453">
        <v>38292</v>
      </c>
      <c r="B25" s="454">
        <v>11145860</v>
      </c>
      <c r="C25" s="455">
        <f>+'Purchased Power Model '!C25</f>
        <v>385.7</v>
      </c>
      <c r="D25" s="455">
        <f>+'Purchased Power Model '!D25</f>
        <v>0</v>
      </c>
      <c r="E25" s="443">
        <f>+'Purchased Power Model '!E25</f>
        <v>5.7999999999999996E-2</v>
      </c>
      <c r="F25" s="53">
        <f>+'Purchased Power Model '!F25</f>
        <v>30</v>
      </c>
      <c r="G25" s="53">
        <f>+'Purchased Power Model '!G25</f>
        <v>1</v>
      </c>
      <c r="H25" s="17">
        <v>3869</v>
      </c>
      <c r="I25" s="456">
        <f t="shared" si="0"/>
        <v>11268301.317625841</v>
      </c>
      <c r="J25" s="457">
        <f t="shared" si="1"/>
        <v>122441.31762584113</v>
      </c>
      <c r="K25" s="5">
        <f t="shared" si="2"/>
        <v>1.0985362962197725E-2</v>
      </c>
      <c r="M25"/>
      <c r="N25"/>
      <c r="O25"/>
      <c r="P25"/>
      <c r="Q25"/>
    </row>
    <row r="26" spans="1:21" x14ac:dyDescent="0.2">
      <c r="A26" s="453">
        <v>38322</v>
      </c>
      <c r="B26" s="454">
        <v>10370531</v>
      </c>
      <c r="C26" s="455">
        <f>+'Purchased Power Model '!C26</f>
        <v>627.5</v>
      </c>
      <c r="D26" s="455">
        <f>+'Purchased Power Model '!D26</f>
        <v>0</v>
      </c>
      <c r="E26" s="443">
        <f>+'Purchased Power Model '!E26</f>
        <v>5.7999999999999996E-2</v>
      </c>
      <c r="F26" s="53">
        <f>+'Purchased Power Model '!F26</f>
        <v>31</v>
      </c>
      <c r="G26" s="53">
        <f>+'Purchased Power Model '!G26</f>
        <v>0</v>
      </c>
      <c r="H26" s="17">
        <v>3871</v>
      </c>
      <c r="I26" s="456">
        <f t="shared" si="0"/>
        <v>11384838.088136375</v>
      </c>
      <c r="J26" s="457">
        <f t="shared" si="1"/>
        <v>1014307.088136375</v>
      </c>
      <c r="K26" s="5">
        <f t="shared" si="2"/>
        <v>9.7806668543430897E-2</v>
      </c>
      <c r="M26"/>
      <c r="N26"/>
      <c r="O26"/>
      <c r="P26"/>
      <c r="Q26"/>
    </row>
    <row r="27" spans="1:21" x14ac:dyDescent="0.2">
      <c r="A27" s="453">
        <v>38353</v>
      </c>
      <c r="B27" s="454">
        <v>12101539</v>
      </c>
      <c r="C27" s="455">
        <f>+'Purchased Power Model '!C27</f>
        <v>745.5</v>
      </c>
      <c r="D27" s="455">
        <f>+'Purchased Power Model '!D27</f>
        <v>0</v>
      </c>
      <c r="E27" s="443">
        <f>+'Purchased Power Model '!E27</f>
        <v>7.2000000000000008E-2</v>
      </c>
      <c r="F27" s="53">
        <f>+'Purchased Power Model '!F27</f>
        <v>31</v>
      </c>
      <c r="G27" s="53">
        <f>+'Purchased Power Model '!G27</f>
        <v>0</v>
      </c>
      <c r="H27" s="17">
        <v>3872</v>
      </c>
      <c r="I27" s="456">
        <f t="shared" si="0"/>
        <v>11604664.372041423</v>
      </c>
      <c r="J27" s="457">
        <f t="shared" si="1"/>
        <v>-496874.62795857713</v>
      </c>
      <c r="K27" s="5">
        <f t="shared" si="2"/>
        <v>-4.1058796567823075E-2</v>
      </c>
      <c r="M27"/>
      <c r="N27"/>
      <c r="O27"/>
      <c r="P27"/>
      <c r="Q27"/>
    </row>
    <row r="28" spans="1:21" x14ac:dyDescent="0.2">
      <c r="A28" s="453">
        <v>38384</v>
      </c>
      <c r="B28" s="454">
        <v>12785626</v>
      </c>
      <c r="C28" s="455">
        <f>+'Purchased Power Model '!C28</f>
        <v>589.5</v>
      </c>
      <c r="D28" s="455">
        <f>+'Purchased Power Model '!D28</f>
        <v>0</v>
      </c>
      <c r="E28" s="443">
        <f>+'Purchased Power Model '!E28</f>
        <v>7.2000000000000008E-2</v>
      </c>
      <c r="F28" s="53">
        <f>+'Purchased Power Model '!F28</f>
        <v>28</v>
      </c>
      <c r="G28" s="53">
        <f>+'Purchased Power Model '!G28</f>
        <v>0</v>
      </c>
      <c r="H28" s="17">
        <v>3870</v>
      </c>
      <c r="I28" s="456">
        <f t="shared" si="0"/>
        <v>12178001.049460778</v>
      </c>
      <c r="J28" s="457">
        <f t="shared" si="1"/>
        <v>-607624.95053922199</v>
      </c>
      <c r="K28" s="5">
        <f t="shared" si="2"/>
        <v>-4.7524067303331252E-2</v>
      </c>
    </row>
    <row r="29" spans="1:21" x14ac:dyDescent="0.2">
      <c r="A29" s="453">
        <v>38412</v>
      </c>
      <c r="B29" s="454">
        <v>11521059</v>
      </c>
      <c r="C29" s="455">
        <f>+'Purchased Power Model '!C29</f>
        <v>578.29999999999995</v>
      </c>
      <c r="D29" s="455">
        <f>+'Purchased Power Model '!D29</f>
        <v>0</v>
      </c>
      <c r="E29" s="443">
        <f>+'Purchased Power Model '!E29</f>
        <v>7.2000000000000008E-2</v>
      </c>
      <c r="F29" s="53">
        <f>+'Purchased Power Model '!F29</f>
        <v>31</v>
      </c>
      <c r="G29" s="53">
        <f>+'Purchased Power Model '!G29</f>
        <v>1</v>
      </c>
      <c r="H29" s="17">
        <v>3876</v>
      </c>
      <c r="I29" s="456">
        <f t="shared" si="0"/>
        <v>11343687.834479827</v>
      </c>
      <c r="J29" s="457">
        <f t="shared" si="1"/>
        <v>-177371.16552017257</v>
      </c>
      <c r="K29" s="5">
        <f t="shared" si="2"/>
        <v>-1.5395387309462834E-2</v>
      </c>
    </row>
    <row r="30" spans="1:21" x14ac:dyDescent="0.2">
      <c r="A30" s="453">
        <v>38443</v>
      </c>
      <c r="B30" s="454">
        <v>12681822</v>
      </c>
      <c r="C30" s="455">
        <f>+'Purchased Power Model '!C30</f>
        <v>325.3</v>
      </c>
      <c r="D30" s="455">
        <f>+'Purchased Power Model '!D30</f>
        <v>0</v>
      </c>
      <c r="E30" s="443">
        <f>+'Purchased Power Model '!E30</f>
        <v>6.3E-2</v>
      </c>
      <c r="F30" s="53">
        <f>+'Purchased Power Model '!F30</f>
        <v>30</v>
      </c>
      <c r="G30" s="53">
        <f>+'Purchased Power Model '!G30</f>
        <v>1</v>
      </c>
      <c r="H30" s="17">
        <v>3888</v>
      </c>
      <c r="I30" s="456">
        <f t="shared" si="0"/>
        <v>11135044.011342758</v>
      </c>
      <c r="J30" s="457">
        <f t="shared" si="1"/>
        <v>-1546777.9886572417</v>
      </c>
      <c r="K30" s="5">
        <f t="shared" si="2"/>
        <v>-0.1219681200900976</v>
      </c>
    </row>
    <row r="31" spans="1:21" x14ac:dyDescent="0.2">
      <c r="A31" s="453">
        <v>38473</v>
      </c>
      <c r="B31" s="454">
        <v>11659837</v>
      </c>
      <c r="C31" s="455">
        <f>+'Purchased Power Model '!C31</f>
        <v>216.1</v>
      </c>
      <c r="D31" s="455">
        <f>+'Purchased Power Model '!D31</f>
        <v>0.3</v>
      </c>
      <c r="E31" s="443">
        <f>+'Purchased Power Model '!E31</f>
        <v>6.3E-2</v>
      </c>
      <c r="F31" s="53">
        <f>+'Purchased Power Model '!F31</f>
        <v>31</v>
      </c>
      <c r="G31" s="53">
        <f>+'Purchased Power Model '!G31</f>
        <v>1</v>
      </c>
      <c r="H31" s="17">
        <v>3892</v>
      </c>
      <c r="I31" s="456">
        <f t="shared" si="0"/>
        <v>10613295.804666623</v>
      </c>
      <c r="J31" s="457">
        <f t="shared" si="1"/>
        <v>-1046541.1953333765</v>
      </c>
      <c r="K31" s="5">
        <f t="shared" si="2"/>
        <v>-8.9756074234431965E-2</v>
      </c>
    </row>
    <row r="32" spans="1:21" x14ac:dyDescent="0.2">
      <c r="A32" s="453">
        <v>38504</v>
      </c>
      <c r="B32" s="454">
        <v>10976310</v>
      </c>
      <c r="C32" s="455">
        <f>+'Purchased Power Model '!C32</f>
        <v>13.7</v>
      </c>
      <c r="D32" s="455">
        <f>+'Purchased Power Model '!D32</f>
        <v>89.9</v>
      </c>
      <c r="E32" s="443">
        <f>+'Purchased Power Model '!E32</f>
        <v>6.3E-2</v>
      </c>
      <c r="F32" s="53">
        <f>+'Purchased Power Model '!F32</f>
        <v>30</v>
      </c>
      <c r="G32" s="53">
        <f>+'Purchased Power Model '!G32</f>
        <v>0</v>
      </c>
      <c r="H32" s="17">
        <v>3882</v>
      </c>
      <c r="I32" s="456">
        <f t="shared" si="0"/>
        <v>11086476.572540684</v>
      </c>
      <c r="J32" s="457">
        <f t="shared" si="1"/>
        <v>110166.57254068367</v>
      </c>
      <c r="K32" s="5">
        <f t="shared" si="2"/>
        <v>1.0036758486293087E-2</v>
      </c>
    </row>
    <row r="33" spans="1:11" x14ac:dyDescent="0.2">
      <c r="A33" s="453">
        <v>38534</v>
      </c>
      <c r="B33" s="454">
        <v>9734431</v>
      </c>
      <c r="C33" s="455">
        <f>+'Purchased Power Model '!C33</f>
        <v>2.2000000000000002</v>
      </c>
      <c r="D33" s="455">
        <f>+'Purchased Power Model '!D33</f>
        <v>153</v>
      </c>
      <c r="E33" s="443">
        <f>+'Purchased Power Model '!E33</f>
        <v>5.7000000000000002E-2</v>
      </c>
      <c r="F33" s="53">
        <f>+'Purchased Power Model '!F33</f>
        <v>31</v>
      </c>
      <c r="G33" s="53">
        <f>+'Purchased Power Model '!G33</f>
        <v>0</v>
      </c>
      <c r="H33" s="17">
        <v>3992</v>
      </c>
      <c r="I33" s="456">
        <f t="shared" si="0"/>
        <v>11251213.971188225</v>
      </c>
      <c r="J33" s="457">
        <f t="shared" si="1"/>
        <v>1516782.9711882249</v>
      </c>
      <c r="K33" s="5">
        <f t="shared" si="2"/>
        <v>0.15581629488032991</v>
      </c>
    </row>
    <row r="34" spans="1:11" x14ac:dyDescent="0.2">
      <c r="A34" s="453">
        <v>38565</v>
      </c>
      <c r="B34" s="454">
        <v>13811424</v>
      </c>
      <c r="C34" s="455">
        <f>+'Purchased Power Model '!C34</f>
        <v>0</v>
      </c>
      <c r="D34" s="455">
        <f>+'Purchased Power Model '!D34</f>
        <v>108</v>
      </c>
      <c r="E34" s="443">
        <f>+'Purchased Power Model '!E34</f>
        <v>5.7000000000000002E-2</v>
      </c>
      <c r="F34" s="53">
        <f>+'Purchased Power Model '!F34</f>
        <v>31</v>
      </c>
      <c r="G34" s="53">
        <f>+'Purchased Power Model '!G34</f>
        <v>0</v>
      </c>
      <c r="H34" s="17">
        <v>4008</v>
      </c>
      <c r="I34" s="456">
        <f t="shared" si="0"/>
        <v>10906667.202765882</v>
      </c>
      <c r="J34" s="457">
        <f t="shared" si="1"/>
        <v>-2904756.797234118</v>
      </c>
      <c r="K34" s="5">
        <f t="shared" si="2"/>
        <v>-0.21031551831542628</v>
      </c>
    </row>
    <row r="35" spans="1:11" x14ac:dyDescent="0.2">
      <c r="A35" s="453">
        <v>38596</v>
      </c>
      <c r="B35" s="454">
        <v>10621632</v>
      </c>
      <c r="C35" s="455">
        <f>+'Purchased Power Model '!C35</f>
        <v>36.700000000000003</v>
      </c>
      <c r="D35" s="455">
        <f>+'Purchased Power Model '!D35</f>
        <v>32.799999999999997</v>
      </c>
      <c r="E35" s="443">
        <f>+'Purchased Power Model '!E35</f>
        <v>5.7000000000000002E-2</v>
      </c>
      <c r="F35" s="53">
        <f>+'Purchased Power Model '!F35</f>
        <v>30</v>
      </c>
      <c r="G35" s="53">
        <f>+'Purchased Power Model '!G35</f>
        <v>1</v>
      </c>
      <c r="H35" s="17">
        <v>4013</v>
      </c>
      <c r="I35" s="456">
        <f t="shared" si="0"/>
        <v>10797092.04194981</v>
      </c>
      <c r="J35" s="457">
        <f t="shared" si="1"/>
        <v>175460.04194981046</v>
      </c>
      <c r="K35" s="5">
        <f t="shared" si="2"/>
        <v>1.651912266870199E-2</v>
      </c>
    </row>
    <row r="36" spans="1:11" x14ac:dyDescent="0.2">
      <c r="A36" s="453">
        <v>38626</v>
      </c>
      <c r="B36" s="454">
        <v>11684632</v>
      </c>
      <c r="C36" s="455">
        <f>+'Purchased Power Model '!C36</f>
        <v>223.8</v>
      </c>
      <c r="D36" s="455">
        <f>+'Purchased Power Model '!D36</f>
        <v>0.5</v>
      </c>
      <c r="E36" s="443">
        <f>+'Purchased Power Model '!E36</f>
        <v>6.7000000000000004E-2</v>
      </c>
      <c r="F36" s="53">
        <f>+'Purchased Power Model '!F36</f>
        <v>31</v>
      </c>
      <c r="G36" s="53">
        <f>+'Purchased Power Model '!G36</f>
        <v>1</v>
      </c>
      <c r="H36" s="17">
        <v>4013</v>
      </c>
      <c r="I36" s="456">
        <f t="shared" si="0"/>
        <v>10623890.959431581</v>
      </c>
      <c r="J36" s="457">
        <f t="shared" si="1"/>
        <v>-1060741.0405684188</v>
      </c>
      <c r="K36" s="5">
        <f t="shared" si="2"/>
        <v>-9.0780868457681754E-2</v>
      </c>
    </row>
    <row r="37" spans="1:11" x14ac:dyDescent="0.2">
      <c r="A37" s="453">
        <v>38657</v>
      </c>
      <c r="B37" s="454">
        <v>10256317</v>
      </c>
      <c r="C37" s="455">
        <f>+'Purchased Power Model '!C37</f>
        <v>398.5</v>
      </c>
      <c r="D37" s="455">
        <f>+'Purchased Power Model '!D37</f>
        <v>0</v>
      </c>
      <c r="E37" s="443">
        <f>+'Purchased Power Model '!E37</f>
        <v>6.7000000000000004E-2</v>
      </c>
      <c r="F37" s="53">
        <f>+'Purchased Power Model '!F37</f>
        <v>30</v>
      </c>
      <c r="G37" s="53">
        <f>+'Purchased Power Model '!G37</f>
        <v>1</v>
      </c>
      <c r="H37" s="17">
        <v>4031</v>
      </c>
      <c r="I37" s="456">
        <f t="shared" si="0"/>
        <v>11279395.564013416</v>
      </c>
      <c r="J37" s="457">
        <f t="shared" si="1"/>
        <v>1023078.5640134159</v>
      </c>
      <c r="K37" s="5">
        <f t="shared" si="2"/>
        <v>9.975106697788455E-2</v>
      </c>
    </row>
    <row r="38" spans="1:11" x14ac:dyDescent="0.2">
      <c r="A38" s="453">
        <v>38687</v>
      </c>
      <c r="B38" s="454">
        <v>11024399</v>
      </c>
      <c r="C38" s="455">
        <f>+'Purchased Power Model '!C38</f>
        <v>641.1</v>
      </c>
      <c r="D38" s="455">
        <f>+'Purchased Power Model '!D38</f>
        <v>0</v>
      </c>
      <c r="E38" s="443">
        <f>+'Purchased Power Model '!E38</f>
        <v>6.7000000000000004E-2</v>
      </c>
      <c r="F38" s="53">
        <f>+'Purchased Power Model '!F38</f>
        <v>31</v>
      </c>
      <c r="G38" s="53">
        <f>+'Purchased Power Model '!G38</f>
        <v>0</v>
      </c>
      <c r="H38" s="17">
        <v>4043</v>
      </c>
      <c r="I38" s="456">
        <f t="shared" si="0"/>
        <v>11397584.456957769</v>
      </c>
      <c r="J38" s="457">
        <f t="shared" si="1"/>
        <v>373185.45695776865</v>
      </c>
      <c r="K38" s="5">
        <f t="shared" si="2"/>
        <v>3.3850866333644911E-2</v>
      </c>
    </row>
    <row r="39" spans="1:11" x14ac:dyDescent="0.2">
      <c r="A39" s="453">
        <v>38718</v>
      </c>
      <c r="B39" s="96">
        <v>12471130</v>
      </c>
      <c r="C39" s="455">
        <f>+'Purchased Power Model '!C39</f>
        <v>558.20000000000005</v>
      </c>
      <c r="D39" s="455">
        <f>+'Purchased Power Model '!D39</f>
        <v>0</v>
      </c>
      <c r="E39" s="443">
        <f>+'Purchased Power Model '!E39</f>
        <v>6.7000000000000004E-2</v>
      </c>
      <c r="F39" s="53">
        <f>+'Purchased Power Model '!F39</f>
        <v>31</v>
      </c>
      <c r="G39" s="53">
        <f>+'Purchased Power Model '!G39</f>
        <v>0</v>
      </c>
      <c r="H39" s="17">
        <v>4045</v>
      </c>
      <c r="I39" s="456">
        <f t="shared" si="0"/>
        <v>11226383.269753266</v>
      </c>
      <c r="J39" s="457">
        <f t="shared" si="1"/>
        <v>-1244746.7302467339</v>
      </c>
      <c r="K39" s="5">
        <f t="shared" si="2"/>
        <v>-9.9810260196688982E-2</v>
      </c>
    </row>
    <row r="40" spans="1:11" x14ac:dyDescent="0.2">
      <c r="A40" s="453">
        <v>38749</v>
      </c>
      <c r="B40" s="96">
        <v>12378052</v>
      </c>
      <c r="C40" s="455">
        <f>+'Purchased Power Model '!C40</f>
        <v>608.79999999999995</v>
      </c>
      <c r="D40" s="455">
        <f>+'Purchased Power Model '!D40</f>
        <v>0</v>
      </c>
      <c r="E40" s="443">
        <f>+'Purchased Power Model '!E40</f>
        <v>6.7000000000000004E-2</v>
      </c>
      <c r="F40" s="53">
        <f>+'Purchased Power Model '!F40</f>
        <v>28</v>
      </c>
      <c r="G40" s="53">
        <f>+'Purchased Power Model '!G40</f>
        <v>0</v>
      </c>
      <c r="H40" s="17">
        <v>4052</v>
      </c>
      <c r="I40" s="456">
        <f t="shared" si="0"/>
        <v>12226380.565706404</v>
      </c>
      <c r="J40" s="457">
        <f t="shared" si="1"/>
        <v>-151671.43429359607</v>
      </c>
      <c r="K40" s="5">
        <f t="shared" si="2"/>
        <v>-1.2253255544054596E-2</v>
      </c>
    </row>
    <row r="41" spans="1:11" x14ac:dyDescent="0.2">
      <c r="A41" s="453">
        <v>38777</v>
      </c>
      <c r="B41" s="96">
        <v>12610185</v>
      </c>
      <c r="C41" s="455">
        <f>+'Purchased Power Model '!C41</f>
        <v>534</v>
      </c>
      <c r="D41" s="455">
        <f>+'Purchased Power Model '!D41</f>
        <v>0</v>
      </c>
      <c r="E41" s="443">
        <f>+'Purchased Power Model '!E41</f>
        <v>6.7000000000000004E-2</v>
      </c>
      <c r="F41" s="53">
        <f>+'Purchased Power Model '!F41</f>
        <v>31</v>
      </c>
      <c r="G41" s="53">
        <f>+'Purchased Power Model '!G41</f>
        <v>1</v>
      </c>
      <c r="H41" s="17">
        <v>4064</v>
      </c>
      <c r="I41" s="456">
        <f t="shared" si="0"/>
        <v>11260723.617236834</v>
      </c>
      <c r="J41" s="457">
        <f t="shared" si="1"/>
        <v>-1349461.382763166</v>
      </c>
      <c r="K41" s="5">
        <f t="shared" si="2"/>
        <v>-0.10701360707738752</v>
      </c>
    </row>
    <row r="42" spans="1:11" x14ac:dyDescent="0.2">
      <c r="A42" s="453">
        <v>38808</v>
      </c>
      <c r="B42" s="96">
        <v>11451939</v>
      </c>
      <c r="C42" s="455">
        <f>+'Purchased Power Model '!C42</f>
        <v>323.60000000000002</v>
      </c>
      <c r="D42" s="455">
        <f>+'Purchased Power Model '!D42</f>
        <v>0</v>
      </c>
      <c r="E42" s="443">
        <f>+'Purchased Power Model '!E42</f>
        <v>6.3E-2</v>
      </c>
      <c r="F42" s="53">
        <f>+'Purchased Power Model '!F42</f>
        <v>30</v>
      </c>
      <c r="G42" s="53">
        <f>+'Purchased Power Model '!G42</f>
        <v>1</v>
      </c>
      <c r="H42" s="17">
        <v>4088</v>
      </c>
      <c r="I42" s="456">
        <f t="shared" si="0"/>
        <v>11131533.251170894</v>
      </c>
      <c r="J42" s="457">
        <f t="shared" si="1"/>
        <v>-320405.74882910587</v>
      </c>
      <c r="K42" s="5">
        <f t="shared" si="2"/>
        <v>-2.7978296848167446E-2</v>
      </c>
    </row>
    <row r="43" spans="1:11" x14ac:dyDescent="0.2">
      <c r="A43" s="453">
        <v>38838</v>
      </c>
      <c r="B43" s="96">
        <v>10909292</v>
      </c>
      <c r="C43" s="455">
        <f>+'Purchased Power Model '!C43</f>
        <v>172.6</v>
      </c>
      <c r="D43" s="455">
        <f>+'Purchased Power Model '!D43</f>
        <v>12.8</v>
      </c>
      <c r="E43" s="443">
        <f>+'Purchased Power Model '!E43</f>
        <v>6.3E-2</v>
      </c>
      <c r="F43" s="53">
        <f>+'Purchased Power Model '!F43</f>
        <v>31</v>
      </c>
      <c r="G43" s="53">
        <f>+'Purchased Power Model '!G43</f>
        <v>1</v>
      </c>
      <c r="H43" s="17">
        <v>3783</v>
      </c>
      <c r="I43" s="456">
        <f t="shared" si="0"/>
        <v>10617907.045030303</v>
      </c>
      <c r="J43" s="457">
        <f t="shared" si="1"/>
        <v>-291384.9549696967</v>
      </c>
      <c r="K43" s="5">
        <f t="shared" si="2"/>
        <v>-2.6709795188330894E-2</v>
      </c>
    </row>
    <row r="44" spans="1:11" x14ac:dyDescent="0.2">
      <c r="A44" s="453">
        <v>38869</v>
      </c>
      <c r="B44" s="96">
        <v>10327669</v>
      </c>
      <c r="C44" s="455">
        <f>+'Purchased Power Model '!C44</f>
        <v>22.6</v>
      </c>
      <c r="D44" s="455">
        <f>+'Purchased Power Model '!D44</f>
        <v>36.200000000000003</v>
      </c>
      <c r="E44" s="443">
        <f>+'Purchased Power Model '!E44</f>
        <v>6.3E-2</v>
      </c>
      <c r="F44" s="53">
        <f>+'Purchased Power Model '!F44</f>
        <v>30</v>
      </c>
      <c r="G44" s="53">
        <f>+'Purchased Power Model '!G44</f>
        <v>0</v>
      </c>
      <c r="H44" s="17">
        <v>3797</v>
      </c>
      <c r="I44" s="456">
        <f t="shared" si="0"/>
        <v>10699119.006086575</v>
      </c>
      <c r="J44" s="457">
        <f t="shared" si="1"/>
        <v>371450.00608657487</v>
      </c>
      <c r="K44" s="5">
        <f t="shared" si="2"/>
        <v>3.5966490220259273E-2</v>
      </c>
    </row>
    <row r="45" spans="1:11" x14ac:dyDescent="0.2">
      <c r="A45" s="453">
        <v>38899</v>
      </c>
      <c r="B45" s="96">
        <v>10443940</v>
      </c>
      <c r="C45" s="455">
        <f>+'Purchased Power Model '!C45</f>
        <v>1.7</v>
      </c>
      <c r="D45" s="455">
        <f>+'Purchased Power Model '!D45</f>
        <v>107.6</v>
      </c>
      <c r="E45" s="443">
        <f>+'Purchased Power Model '!E45</f>
        <v>6.6000000000000003E-2</v>
      </c>
      <c r="F45" s="53">
        <f>+'Purchased Power Model '!F45</f>
        <v>31</v>
      </c>
      <c r="G45" s="53">
        <f>+'Purchased Power Model '!G45</f>
        <v>0</v>
      </c>
      <c r="H45" s="17">
        <v>3809</v>
      </c>
      <c r="I45" s="456">
        <f t="shared" si="0"/>
        <v>10891815.997657731</v>
      </c>
      <c r="J45" s="457">
        <f t="shared" si="1"/>
        <v>447875.99765773118</v>
      </c>
      <c r="K45" s="5">
        <f t="shared" si="2"/>
        <v>4.2883815653645192E-2</v>
      </c>
    </row>
    <row r="46" spans="1:11" x14ac:dyDescent="0.2">
      <c r="A46" s="453">
        <v>38930</v>
      </c>
      <c r="B46" s="96">
        <v>12084297</v>
      </c>
      <c r="C46" s="455">
        <f>+'Purchased Power Model '!C46</f>
        <v>4.4000000000000004</v>
      </c>
      <c r="D46" s="455">
        <f>+'Purchased Power Model '!D46</f>
        <v>82.1</v>
      </c>
      <c r="E46" s="443">
        <f>+'Purchased Power Model '!E46</f>
        <v>6.6000000000000003E-2</v>
      </c>
      <c r="F46" s="53">
        <f>+'Purchased Power Model '!F46</f>
        <v>31</v>
      </c>
      <c r="G46" s="53">
        <f>+'Purchased Power Model '!G46</f>
        <v>0</v>
      </c>
      <c r="H46" s="17">
        <v>3824</v>
      </c>
      <c r="I46" s="456">
        <f t="shared" si="0"/>
        <v>10704723.29955858</v>
      </c>
      <c r="J46" s="457">
        <f t="shared" si="1"/>
        <v>-1379573.7004414201</v>
      </c>
      <c r="K46" s="5">
        <f t="shared" si="2"/>
        <v>-0.11416251193109703</v>
      </c>
    </row>
    <row r="47" spans="1:11" x14ac:dyDescent="0.2">
      <c r="A47" s="453">
        <v>38961</v>
      </c>
      <c r="B47" s="96">
        <v>10707914</v>
      </c>
      <c r="C47" s="455">
        <f>+'Purchased Power Model '!C47</f>
        <v>70.7</v>
      </c>
      <c r="D47" s="455">
        <f>+'Purchased Power Model '!D47</f>
        <v>5.0999999999999996</v>
      </c>
      <c r="E47" s="443">
        <f>+'Purchased Power Model '!E47</f>
        <v>6.6000000000000003E-2</v>
      </c>
      <c r="F47" s="53">
        <f>+'Purchased Power Model '!F47</f>
        <v>30</v>
      </c>
      <c r="G47" s="53">
        <f>+'Purchased Power Model '!G47</f>
        <v>1</v>
      </c>
      <c r="H47" s="17">
        <v>3724</v>
      </c>
      <c r="I47" s="456">
        <f t="shared" si="0"/>
        <v>10642676.531524645</v>
      </c>
      <c r="J47" s="457">
        <f t="shared" si="1"/>
        <v>-65237.468475354835</v>
      </c>
      <c r="K47" s="5">
        <f t="shared" si="2"/>
        <v>-6.0924535325325583E-3</v>
      </c>
    </row>
    <row r="48" spans="1:11" x14ac:dyDescent="0.2">
      <c r="A48" s="453">
        <v>38991</v>
      </c>
      <c r="B48" s="96">
        <v>10422734</v>
      </c>
      <c r="C48" s="455">
        <f>+'Purchased Power Model '!C48</f>
        <v>274.60000000000002</v>
      </c>
      <c r="D48" s="455">
        <f>+'Purchased Power Model '!D48</f>
        <v>0</v>
      </c>
      <c r="E48" s="443">
        <f>+'Purchased Power Model '!E48</f>
        <v>6.7000000000000004E-2</v>
      </c>
      <c r="F48" s="53">
        <f>+'Purchased Power Model '!F48</f>
        <v>31</v>
      </c>
      <c r="G48" s="53">
        <f>+'Purchased Power Model '!G48</f>
        <v>1</v>
      </c>
      <c r="H48" s="17">
        <v>3725</v>
      </c>
      <c r="I48" s="456">
        <f t="shared" si="0"/>
        <v>10725022.918070991</v>
      </c>
      <c r="J48" s="457">
        <f t="shared" si="1"/>
        <v>302288.91807099059</v>
      </c>
      <c r="K48" s="5">
        <f t="shared" si="2"/>
        <v>2.900284302285663E-2</v>
      </c>
    </row>
    <row r="49" spans="1:11" x14ac:dyDescent="0.2">
      <c r="A49" s="453">
        <v>39022</v>
      </c>
      <c r="B49" s="96">
        <v>9945698</v>
      </c>
      <c r="C49" s="455">
        <f>+'Purchased Power Model '!C49</f>
        <v>367.5</v>
      </c>
      <c r="D49" s="455">
        <f>+'Purchased Power Model '!D49</f>
        <v>0</v>
      </c>
      <c r="E49" s="443">
        <f>+'Purchased Power Model '!E49</f>
        <v>6.7000000000000004E-2</v>
      </c>
      <c r="F49" s="53">
        <f>+'Purchased Power Model '!F49</f>
        <v>30</v>
      </c>
      <c r="G49" s="53">
        <f>+'Purchased Power Model '!G49</f>
        <v>1</v>
      </c>
      <c r="H49" s="17">
        <v>3729</v>
      </c>
      <c r="I49" s="456">
        <f t="shared" si="0"/>
        <v>11215375.819702925</v>
      </c>
      <c r="J49" s="457">
        <f t="shared" si="1"/>
        <v>1269677.8197029252</v>
      </c>
      <c r="K49" s="5">
        <f t="shared" si="2"/>
        <v>0.12766100676925091</v>
      </c>
    </row>
    <row r="50" spans="1:11" x14ac:dyDescent="0.2">
      <c r="A50" s="453">
        <v>39052</v>
      </c>
      <c r="B50" s="96">
        <v>10402920</v>
      </c>
      <c r="C50" s="455">
        <f>+'Purchased Power Model '!C50</f>
        <v>471.5</v>
      </c>
      <c r="D50" s="455">
        <f>+'Purchased Power Model '!D50</f>
        <v>0</v>
      </c>
      <c r="E50" s="443">
        <f>+'Purchased Power Model '!E50</f>
        <v>6.7000000000000004E-2</v>
      </c>
      <c r="F50" s="53">
        <f>+'Purchased Power Model '!F50</f>
        <v>31</v>
      </c>
      <c r="G50" s="53">
        <f>+'Purchased Power Model '!G50</f>
        <v>0</v>
      </c>
      <c r="H50" s="17">
        <v>3733</v>
      </c>
      <c r="I50" s="456">
        <f t="shared" si="0"/>
        <v>11047334.500988122</v>
      </c>
      <c r="J50" s="457">
        <f t="shared" si="1"/>
        <v>644414.50098812208</v>
      </c>
      <c r="K50" s="5">
        <f t="shared" si="2"/>
        <v>6.1945540385595785E-2</v>
      </c>
    </row>
    <row r="51" spans="1:11" x14ac:dyDescent="0.2">
      <c r="A51" s="453">
        <v>39083</v>
      </c>
      <c r="B51" s="96">
        <v>11259988</v>
      </c>
      <c r="C51" s="455">
        <f>+'Purchased Power Model '!C51</f>
        <v>573.1</v>
      </c>
      <c r="D51" s="455">
        <f>+'Purchased Power Model '!D51</f>
        <v>0</v>
      </c>
      <c r="E51" s="443">
        <f>+'Purchased Power Model '!E51</f>
        <v>6.2E-2</v>
      </c>
      <c r="F51" s="53">
        <f>+'Purchased Power Model '!F51</f>
        <v>31</v>
      </c>
      <c r="G51" s="53">
        <f>+'Purchased Power Model '!G51</f>
        <v>0</v>
      </c>
      <c r="H51" s="17">
        <v>3744</v>
      </c>
      <c r="I51" s="456">
        <f t="shared" si="0"/>
        <v>11265676.112612884</v>
      </c>
      <c r="J51" s="457">
        <f t="shared" si="1"/>
        <v>5688.1126128844917</v>
      </c>
      <c r="K51" s="5">
        <f t="shared" si="2"/>
        <v>5.0516151641409309E-4</v>
      </c>
    </row>
    <row r="52" spans="1:11" x14ac:dyDescent="0.2">
      <c r="A52" s="453">
        <v>39114</v>
      </c>
      <c r="B52" s="96">
        <v>11970135</v>
      </c>
      <c r="C52" s="455">
        <f>+'Purchased Power Model '!C52</f>
        <v>693.5</v>
      </c>
      <c r="D52" s="455">
        <f>+'Purchased Power Model '!D52</f>
        <v>0</v>
      </c>
      <c r="E52" s="443">
        <f>+'Purchased Power Model '!E52</f>
        <v>6.2E-2</v>
      </c>
      <c r="F52" s="53">
        <f>+'Purchased Power Model '!F52</f>
        <v>28</v>
      </c>
      <c r="G52" s="53">
        <f>+'Purchased Power Model '!G52</f>
        <v>0</v>
      </c>
      <c r="H52" s="17">
        <v>3741</v>
      </c>
      <c r="I52" s="456">
        <f t="shared" si="0"/>
        <v>12409821.09091674</v>
      </c>
      <c r="J52" s="457">
        <f t="shared" si="1"/>
        <v>439686.09091673978</v>
      </c>
      <c r="K52" s="5">
        <f t="shared" si="2"/>
        <v>3.6731924152629838E-2</v>
      </c>
    </row>
    <row r="53" spans="1:11" x14ac:dyDescent="0.2">
      <c r="A53" s="453">
        <v>39142</v>
      </c>
      <c r="B53" s="96">
        <v>11917401</v>
      </c>
      <c r="C53" s="455">
        <f>+'Purchased Power Model '!C53</f>
        <v>477.9</v>
      </c>
      <c r="D53" s="455">
        <f>+'Purchased Power Model '!D53</f>
        <v>0</v>
      </c>
      <c r="E53" s="443">
        <f>+'Purchased Power Model '!E53</f>
        <v>6.2E-2</v>
      </c>
      <c r="F53" s="53">
        <f>+'Purchased Power Model '!F53</f>
        <v>31</v>
      </c>
      <c r="G53" s="53">
        <f>+'Purchased Power Model '!G53</f>
        <v>1</v>
      </c>
      <c r="H53" s="17">
        <v>3739</v>
      </c>
      <c r="I53" s="456">
        <f t="shared" si="0"/>
        <v>11153390.594095007</v>
      </c>
      <c r="J53" s="457">
        <f t="shared" si="1"/>
        <v>-764010.40590499341</v>
      </c>
      <c r="K53" s="5">
        <f t="shared" si="2"/>
        <v>-6.4108810797336893E-2</v>
      </c>
    </row>
    <row r="54" spans="1:11" x14ac:dyDescent="0.2">
      <c r="A54" s="453">
        <v>39173</v>
      </c>
      <c r="B54" s="96">
        <v>11639751</v>
      </c>
      <c r="C54" s="455">
        <f>+'Purchased Power Model '!C54</f>
        <v>280.39999999999998</v>
      </c>
      <c r="D54" s="455">
        <f>+'Purchased Power Model '!D54</f>
        <v>0</v>
      </c>
      <c r="E54" s="443">
        <f>+'Purchased Power Model '!E54</f>
        <v>5.9000000000000004E-2</v>
      </c>
      <c r="F54" s="53">
        <f>+'Purchased Power Model '!F54</f>
        <v>30</v>
      </c>
      <c r="G54" s="53">
        <f>+'Purchased Power Model '!G54</f>
        <v>1</v>
      </c>
      <c r="H54" s="17">
        <v>3743</v>
      </c>
      <c r="I54" s="456">
        <f t="shared" si="0"/>
        <v>11049136.289768456</v>
      </c>
      <c r="J54" s="457">
        <f t="shared" si="1"/>
        <v>-590614.71023154445</v>
      </c>
      <c r="K54" s="5">
        <f t="shared" si="2"/>
        <v>-5.0741180823502534E-2</v>
      </c>
    </row>
    <row r="55" spans="1:11" x14ac:dyDescent="0.2">
      <c r="A55" s="453">
        <v>39203</v>
      </c>
      <c r="B55" s="96">
        <v>10763742</v>
      </c>
      <c r="C55" s="455">
        <f>+'Purchased Power Model '!C55</f>
        <v>72.8</v>
      </c>
      <c r="D55" s="455">
        <f>+'Purchased Power Model '!D55</f>
        <v>4.5</v>
      </c>
      <c r="E55" s="443">
        <f>+'Purchased Power Model '!E55</f>
        <v>5.9000000000000004E-2</v>
      </c>
      <c r="F55" s="53">
        <f>+'Purchased Power Model '!F55</f>
        <v>31</v>
      </c>
      <c r="G55" s="53">
        <f>+'Purchased Power Model '!G55</f>
        <v>1</v>
      </c>
      <c r="H55" s="17">
        <v>3747</v>
      </c>
      <c r="I55" s="456">
        <f t="shared" si="0"/>
        <v>10355910.677360639</v>
      </c>
      <c r="J55" s="457">
        <f t="shared" si="1"/>
        <v>-407831.32263936102</v>
      </c>
      <c r="K55" s="5">
        <f t="shared" si="2"/>
        <v>-3.7889362513460562E-2</v>
      </c>
    </row>
    <row r="56" spans="1:11" x14ac:dyDescent="0.2">
      <c r="A56" s="453">
        <v>39234</v>
      </c>
      <c r="B56" s="96">
        <v>10679632</v>
      </c>
      <c r="C56" s="455">
        <f>+'Purchased Power Model '!C56</f>
        <v>6.2</v>
      </c>
      <c r="D56" s="455">
        <f>+'Purchased Power Model '!D56</f>
        <v>32.799999999999997</v>
      </c>
      <c r="E56" s="443">
        <f>+'Purchased Power Model '!E56</f>
        <v>5.9000000000000004E-2</v>
      </c>
      <c r="F56" s="53">
        <f>+'Purchased Power Model '!F56</f>
        <v>30</v>
      </c>
      <c r="G56" s="53">
        <f>+'Purchased Power Model '!G56</f>
        <v>0</v>
      </c>
      <c r="H56" s="17">
        <v>3744</v>
      </c>
      <c r="I56" s="456">
        <f t="shared" si="0"/>
        <v>10646378.998041971</v>
      </c>
      <c r="J56" s="457">
        <f t="shared" si="1"/>
        <v>-33253.001958029345</v>
      </c>
      <c r="K56" s="5">
        <f t="shared" si="2"/>
        <v>-3.11368425035894E-3</v>
      </c>
    </row>
    <row r="57" spans="1:11" x14ac:dyDescent="0.2">
      <c r="A57" s="453">
        <v>39264</v>
      </c>
      <c r="B57" s="96">
        <v>10131980</v>
      </c>
      <c r="C57" s="455">
        <f>+'Purchased Power Model '!C57</f>
        <v>8.6999999999999993</v>
      </c>
      <c r="D57" s="455">
        <f>+'Purchased Power Model '!D57</f>
        <v>41.6</v>
      </c>
      <c r="E57" s="443">
        <f>+'Purchased Power Model '!E57</f>
        <v>6.4000000000000001E-2</v>
      </c>
      <c r="F57" s="53">
        <f>+'Purchased Power Model '!F57</f>
        <v>31</v>
      </c>
      <c r="G57" s="53">
        <f>+'Purchased Power Model '!G57</f>
        <v>0</v>
      </c>
      <c r="H57" s="17">
        <v>3770</v>
      </c>
      <c r="I57" s="456">
        <f t="shared" si="0"/>
        <v>10411009.19409585</v>
      </c>
      <c r="J57" s="457">
        <f t="shared" si="1"/>
        <v>279029.19409584999</v>
      </c>
      <c r="K57" s="5">
        <f t="shared" si="2"/>
        <v>2.7539453699656928E-2</v>
      </c>
    </row>
    <row r="58" spans="1:11" x14ac:dyDescent="0.2">
      <c r="A58" s="453">
        <v>39295</v>
      </c>
      <c r="B58" s="96">
        <v>11308818</v>
      </c>
      <c r="C58" s="455">
        <f>+'Purchased Power Model '!C58</f>
        <v>4</v>
      </c>
      <c r="D58" s="455">
        <f>+'Purchased Power Model '!D58</f>
        <v>87.8</v>
      </c>
      <c r="E58" s="443">
        <f>+'Purchased Power Model '!E58</f>
        <v>6.4000000000000001E-2</v>
      </c>
      <c r="F58" s="53">
        <f>+'Purchased Power Model '!F58</f>
        <v>31</v>
      </c>
      <c r="G58" s="53">
        <f>+'Purchased Power Model '!G58</f>
        <v>0</v>
      </c>
      <c r="H58" s="17">
        <v>3770</v>
      </c>
      <c r="I58" s="456">
        <f t="shared" si="0"/>
        <v>10750373.164705951</v>
      </c>
      <c r="J58" s="457">
        <f t="shared" si="1"/>
        <v>-558444.83529404923</v>
      </c>
      <c r="K58" s="5">
        <f t="shared" si="2"/>
        <v>-4.9381361986199551E-2</v>
      </c>
    </row>
    <row r="59" spans="1:11" x14ac:dyDescent="0.2">
      <c r="A59" s="453">
        <v>39326</v>
      </c>
      <c r="B59" s="96">
        <v>11270208</v>
      </c>
      <c r="C59" s="455">
        <f>+'Purchased Power Model '!C59</f>
        <v>20.100000000000001</v>
      </c>
      <c r="D59" s="455">
        <f>+'Purchased Power Model '!D59</f>
        <v>12.3</v>
      </c>
      <c r="E59" s="443">
        <f>+'Purchased Power Model '!E59</f>
        <v>6.4000000000000001E-2</v>
      </c>
      <c r="F59" s="53">
        <f>+'Purchased Power Model '!F59</f>
        <v>30</v>
      </c>
      <c r="G59" s="53">
        <f>+'Purchased Power Model '!G59</f>
        <v>1</v>
      </c>
      <c r="H59" s="17">
        <v>3768</v>
      </c>
      <c r="I59" s="456">
        <f t="shared" si="0"/>
        <v>10595989.161674181</v>
      </c>
      <c r="J59" s="457">
        <f t="shared" si="1"/>
        <v>-674218.838325819</v>
      </c>
      <c r="K59" s="5">
        <f t="shared" si="2"/>
        <v>-5.9823105157049361E-2</v>
      </c>
    </row>
    <row r="60" spans="1:11" x14ac:dyDescent="0.2">
      <c r="A60" s="453">
        <v>39356</v>
      </c>
      <c r="B60" s="96">
        <v>10530867</v>
      </c>
      <c r="C60" s="455">
        <f>+'Purchased Power Model '!C60</f>
        <v>101.5</v>
      </c>
      <c r="D60" s="455">
        <f>+'Purchased Power Model '!D60</f>
        <v>0</v>
      </c>
      <c r="E60" s="443">
        <f>+'Purchased Power Model '!E60</f>
        <v>6.0999999999999999E-2</v>
      </c>
      <c r="F60" s="53">
        <f>+'Purchased Power Model '!F60</f>
        <v>31</v>
      </c>
      <c r="G60" s="53">
        <f>+'Purchased Power Model '!G60</f>
        <v>1</v>
      </c>
      <c r="H60" s="17">
        <v>3770</v>
      </c>
      <c r="I60" s="456">
        <f t="shared" si="0"/>
        <v>10377771.401489068</v>
      </c>
      <c r="J60" s="457">
        <f t="shared" si="1"/>
        <v>-153095.59851093218</v>
      </c>
      <c r="K60" s="5">
        <f t="shared" si="2"/>
        <v>-1.4537796224274049E-2</v>
      </c>
    </row>
    <row r="61" spans="1:11" x14ac:dyDescent="0.2">
      <c r="A61" s="453">
        <v>39387</v>
      </c>
      <c r="B61" s="96">
        <v>10602579</v>
      </c>
      <c r="C61" s="455">
        <f>+'Purchased Power Model '!C61</f>
        <v>314.10000000000002</v>
      </c>
      <c r="D61" s="455">
        <f>+'Purchased Power Model '!D61</f>
        <v>0</v>
      </c>
      <c r="E61" s="443">
        <f>+'Purchased Power Model '!E61</f>
        <v>6.0999999999999999E-2</v>
      </c>
      <c r="F61" s="53">
        <f>+'Purchased Power Model '!F61</f>
        <v>30</v>
      </c>
      <c r="G61" s="53">
        <f>+'Purchased Power Model '!G61</f>
        <v>1</v>
      </c>
      <c r="H61" s="17">
        <v>3774</v>
      </c>
      <c r="I61" s="456">
        <f t="shared" si="0"/>
        <v>11115323.122281188</v>
      </c>
      <c r="J61" s="457">
        <f t="shared" si="1"/>
        <v>512744.12228118815</v>
      </c>
      <c r="K61" s="5">
        <f t="shared" si="2"/>
        <v>4.8360320850350483E-2</v>
      </c>
    </row>
    <row r="62" spans="1:11" x14ac:dyDescent="0.2">
      <c r="A62" s="453">
        <v>39417</v>
      </c>
      <c r="B62" s="96">
        <v>10270903</v>
      </c>
      <c r="C62" s="455">
        <f>+'Purchased Power Model '!C62</f>
        <v>337.8</v>
      </c>
      <c r="D62" s="455">
        <f>+'Purchased Power Model '!D62</f>
        <v>0</v>
      </c>
      <c r="E62" s="443">
        <f>+'Purchased Power Model '!E62</f>
        <v>6.0999999999999999E-2</v>
      </c>
      <c r="F62" s="53">
        <f>+'Purchased Power Model '!F62</f>
        <v>31</v>
      </c>
      <c r="G62" s="53">
        <f>+'Purchased Power Model '!G62</f>
        <v>0</v>
      </c>
      <c r="H62" s="17">
        <v>3765</v>
      </c>
      <c r="I62" s="456">
        <f t="shared" si="0"/>
        <v>10781450.014271792</v>
      </c>
      <c r="J62" s="457">
        <f t="shared" si="1"/>
        <v>510547.01427179202</v>
      </c>
      <c r="K62" s="5">
        <f t="shared" si="2"/>
        <v>4.9708094241742135E-2</v>
      </c>
    </row>
    <row r="63" spans="1:11" x14ac:dyDescent="0.2">
      <c r="A63" s="453">
        <v>39448</v>
      </c>
      <c r="B63" s="171">
        <v>11697786</v>
      </c>
      <c r="C63" s="458">
        <f>+'Purchased Power Model '!C63</f>
        <v>432.8</v>
      </c>
      <c r="D63" s="458">
        <f>+'Purchased Power Model '!D63</f>
        <v>0</v>
      </c>
      <c r="E63" s="443">
        <f>+'Purchased Power Model '!E63</f>
        <v>6.6000000000000003E-2</v>
      </c>
      <c r="F63" s="53">
        <f>+'Purchased Power Model '!F63</f>
        <v>31</v>
      </c>
      <c r="G63" s="53">
        <f>+'Purchased Power Model '!G63</f>
        <v>0</v>
      </c>
      <c r="H63" s="17">
        <v>3768</v>
      </c>
      <c r="I63" s="456">
        <f t="shared" si="0"/>
        <v>10969117.490758069</v>
      </c>
      <c r="J63" s="457">
        <f t="shared" si="1"/>
        <v>-728668.50924193114</v>
      </c>
      <c r="K63" s="5">
        <f t="shared" si="2"/>
        <v>-6.2291147165962103E-2</v>
      </c>
    </row>
    <row r="64" spans="1:11" x14ac:dyDescent="0.2">
      <c r="A64" s="453">
        <v>39479</v>
      </c>
      <c r="B64" s="171">
        <v>13146769</v>
      </c>
      <c r="C64" s="458">
        <f>+'Purchased Power Model '!C64</f>
        <v>317.60000000000002</v>
      </c>
      <c r="D64" s="458">
        <f>+'Purchased Power Model '!D64</f>
        <v>0</v>
      </c>
      <c r="E64" s="443">
        <f>+'Purchased Power Model '!E64</f>
        <v>6.6000000000000003E-2</v>
      </c>
      <c r="F64" s="53">
        <f>+'Purchased Power Model '!F64</f>
        <v>29</v>
      </c>
      <c r="G64" s="53">
        <f>+'Purchased Power Model '!G64</f>
        <v>0</v>
      </c>
      <c r="H64" s="17">
        <v>3766</v>
      </c>
      <c r="I64" s="456">
        <f t="shared" si="0"/>
        <v>11328212.228297507</v>
      </c>
      <c r="J64" s="457">
        <f t="shared" si="1"/>
        <v>-1818556.7717024926</v>
      </c>
      <c r="K64" s="5">
        <f t="shared" si="2"/>
        <v>-0.13832727810935846</v>
      </c>
    </row>
    <row r="65" spans="1:17" x14ac:dyDescent="0.2">
      <c r="A65" s="453">
        <v>39508</v>
      </c>
      <c r="B65" s="171">
        <v>12431779</v>
      </c>
      <c r="C65" s="458">
        <f>+'Purchased Power Model '!C65</f>
        <v>430</v>
      </c>
      <c r="D65" s="458">
        <f>+'Purchased Power Model '!D65</f>
        <v>0</v>
      </c>
      <c r="E65" s="443">
        <f>+'Purchased Power Model '!E65</f>
        <v>6.6000000000000003E-2</v>
      </c>
      <c r="F65" s="53">
        <f>+'Purchased Power Model '!F65</f>
        <v>31</v>
      </c>
      <c r="G65" s="53">
        <f>+'Purchased Power Model '!G65</f>
        <v>1</v>
      </c>
      <c r="H65" s="17">
        <v>3772</v>
      </c>
      <c r="I65" s="456">
        <f t="shared" si="0"/>
        <v>11047652.113346297</v>
      </c>
      <c r="J65" s="457">
        <f t="shared" si="1"/>
        <v>-1384126.8866537027</v>
      </c>
      <c r="K65" s="5">
        <f t="shared" si="2"/>
        <v>-0.11133779700022842</v>
      </c>
    </row>
    <row r="66" spans="1:17" x14ac:dyDescent="0.2">
      <c r="A66" s="453">
        <v>39539</v>
      </c>
      <c r="B66" s="171">
        <v>11604575</v>
      </c>
      <c r="C66" s="458">
        <f>+'Purchased Power Model '!C66</f>
        <v>144.6</v>
      </c>
      <c r="D66" s="458">
        <f>+'Purchased Power Model '!D66</f>
        <v>0</v>
      </c>
      <c r="E66" s="443">
        <f>+'Purchased Power Model '!E66</f>
        <v>7.400000000000001E-2</v>
      </c>
      <c r="F66" s="53">
        <f>+'Purchased Power Model '!F66</f>
        <v>30</v>
      </c>
      <c r="G66" s="53">
        <f>+'Purchased Power Model '!G66</f>
        <v>1</v>
      </c>
      <c r="H66" s="17">
        <v>3774</v>
      </c>
      <c r="I66" s="456">
        <f t="shared" si="0"/>
        <v>10743122.319038445</v>
      </c>
      <c r="J66" s="457">
        <f t="shared" si="1"/>
        <v>-861452.68096155487</v>
      </c>
      <c r="K66" s="5">
        <f t="shared" si="2"/>
        <v>-7.4233884563765146E-2</v>
      </c>
    </row>
    <row r="67" spans="1:17" x14ac:dyDescent="0.2">
      <c r="A67" s="453">
        <v>39569</v>
      </c>
      <c r="B67" s="171">
        <v>10354473</v>
      </c>
      <c r="C67" s="458">
        <f>+'Purchased Power Model '!C67</f>
        <v>151</v>
      </c>
      <c r="D67" s="458">
        <f>+'Purchased Power Model '!D67</f>
        <v>0</v>
      </c>
      <c r="E67" s="443">
        <f>+'Purchased Power Model '!E67</f>
        <v>7.400000000000001E-2</v>
      </c>
      <c r="F67" s="53">
        <f>+'Purchased Power Model '!F67</f>
        <v>31</v>
      </c>
      <c r="G67" s="53">
        <f>+'Purchased Power Model '!G67</f>
        <v>1</v>
      </c>
      <c r="H67" s="17">
        <v>3773</v>
      </c>
      <c r="I67" s="456">
        <f t="shared" si="0"/>
        <v>10457839.114504308</v>
      </c>
      <c r="J67" s="457">
        <f t="shared" si="1"/>
        <v>103366.11450430751</v>
      </c>
      <c r="K67" s="5">
        <f t="shared" si="2"/>
        <v>9.982749919219212E-3</v>
      </c>
    </row>
    <row r="68" spans="1:17" x14ac:dyDescent="0.2">
      <c r="A68" s="453">
        <v>39600</v>
      </c>
      <c r="B68" s="171">
        <v>10341099</v>
      </c>
      <c r="C68" s="458">
        <f>+'Purchased Power Model '!C68</f>
        <v>15.5</v>
      </c>
      <c r="D68" s="458">
        <f>+'Purchased Power Model '!D68</f>
        <v>23.6</v>
      </c>
      <c r="E68" s="443">
        <f>+'Purchased Power Model '!E68</f>
        <v>7.400000000000001E-2</v>
      </c>
      <c r="F68" s="53">
        <f>+'Purchased Power Model '!F68</f>
        <v>30</v>
      </c>
      <c r="G68" s="53">
        <f>+'Purchased Power Model '!G68</f>
        <v>0</v>
      </c>
      <c r="H68" s="17">
        <v>3775</v>
      </c>
      <c r="I68" s="456">
        <f t="shared" ref="I68:I131" si="3">$N$18+C68*$N$19+D68*$N$20+E68*$N$21+F68*$N$22+G68*$N$23</f>
        <v>10570506.921036793</v>
      </c>
      <c r="J68" s="457">
        <f t="shared" ref="J68:J131" si="4">I68-B68</f>
        <v>229407.92103679292</v>
      </c>
      <c r="K68" s="5">
        <f t="shared" ref="K68:K131" si="5">J68/B68</f>
        <v>2.2184094846862304E-2</v>
      </c>
    </row>
    <row r="69" spans="1:17" x14ac:dyDescent="0.2">
      <c r="A69" s="453">
        <v>39630</v>
      </c>
      <c r="B69" s="171">
        <v>10150312</v>
      </c>
      <c r="C69" s="458">
        <f>+'Purchased Power Model '!C69</f>
        <v>1</v>
      </c>
      <c r="D69" s="458">
        <f>+'Purchased Power Model '!D69</f>
        <v>61.4</v>
      </c>
      <c r="E69" s="443">
        <f>+'Purchased Power Model '!E69</f>
        <v>6.8000000000000005E-2</v>
      </c>
      <c r="F69" s="53">
        <f>+'Purchased Power Model '!F69</f>
        <v>31</v>
      </c>
      <c r="G69" s="53">
        <f>+'Purchased Power Model '!G69</f>
        <v>0</v>
      </c>
      <c r="H69" s="17">
        <v>3784</v>
      </c>
      <c r="I69" s="456">
        <f t="shared" si="3"/>
        <v>10537891.375607461</v>
      </c>
      <c r="J69" s="457">
        <f t="shared" si="4"/>
        <v>387579.37560746074</v>
      </c>
      <c r="K69" s="5">
        <f t="shared" si="5"/>
        <v>3.8183986424009504E-2</v>
      </c>
    </row>
    <row r="70" spans="1:17" x14ac:dyDescent="0.2">
      <c r="A70" s="453">
        <v>39661</v>
      </c>
      <c r="B70" s="171">
        <v>10885564</v>
      </c>
      <c r="C70" s="458">
        <f>+'Purchased Power Model '!C70</f>
        <v>13.8</v>
      </c>
      <c r="D70" s="458">
        <f>+'Purchased Power Model '!D70</f>
        <v>29.9</v>
      </c>
      <c r="E70" s="443">
        <f>+'Purchased Power Model '!E70</f>
        <v>6.8000000000000005E-2</v>
      </c>
      <c r="F70" s="53">
        <f>+'Purchased Power Model '!F70</f>
        <v>31</v>
      </c>
      <c r="G70" s="53">
        <f>+'Purchased Power Model '!G70</f>
        <v>0</v>
      </c>
      <c r="H70" s="17">
        <v>3802</v>
      </c>
      <c r="I70" s="456">
        <f t="shared" si="3"/>
        <v>10326322.932338029</v>
      </c>
      <c r="J70" s="457">
        <f t="shared" si="4"/>
        <v>-559241.06766197085</v>
      </c>
      <c r="K70" s="5">
        <f t="shared" si="5"/>
        <v>-5.1374560625611208E-2</v>
      </c>
    </row>
    <row r="71" spans="1:17" x14ac:dyDescent="0.2">
      <c r="A71" s="453">
        <v>39692</v>
      </c>
      <c r="B71" s="171">
        <v>10839209</v>
      </c>
      <c r="C71" s="458">
        <f>+'Purchased Power Model '!C71</f>
        <v>51.6</v>
      </c>
      <c r="D71" s="458">
        <f>+'Purchased Power Model '!D71</f>
        <v>15.1</v>
      </c>
      <c r="E71" s="443">
        <f>+'Purchased Power Model '!E71</f>
        <v>6.8000000000000005E-2</v>
      </c>
      <c r="F71" s="53">
        <f>+'Purchased Power Model '!F71</f>
        <v>30</v>
      </c>
      <c r="G71" s="53">
        <f>+'Purchased Power Model '!G71</f>
        <v>1</v>
      </c>
      <c r="H71" s="17">
        <v>3808</v>
      </c>
      <c r="I71" s="456">
        <f t="shared" si="3"/>
        <v>10675379.601567397</v>
      </c>
      <c r="J71" s="457">
        <f t="shared" si="4"/>
        <v>-163829.39843260311</v>
      </c>
      <c r="K71" s="5">
        <f t="shared" si="5"/>
        <v>-1.5114516053025927E-2</v>
      </c>
    </row>
    <row r="72" spans="1:17" x14ac:dyDescent="0.2">
      <c r="A72" s="453">
        <v>39722</v>
      </c>
      <c r="B72" s="171">
        <v>10352355</v>
      </c>
      <c r="C72" s="458">
        <f>+'Purchased Power Model '!C72</f>
        <v>203.1</v>
      </c>
      <c r="D72" s="458">
        <f>+'Purchased Power Model '!D72</f>
        <v>0</v>
      </c>
      <c r="E72" s="443">
        <f>+'Purchased Power Model '!E72</f>
        <v>0.08</v>
      </c>
      <c r="F72" s="53">
        <f>+'Purchased Power Model '!F72</f>
        <v>31</v>
      </c>
      <c r="G72" s="53">
        <f>+'Purchased Power Model '!G72</f>
        <v>1</v>
      </c>
      <c r="H72" s="17">
        <v>3817</v>
      </c>
      <c r="I72" s="456">
        <f t="shared" si="3"/>
        <v>10555207.11297109</v>
      </c>
      <c r="J72" s="457">
        <f t="shared" si="4"/>
        <v>202852.11297108978</v>
      </c>
      <c r="K72" s="5">
        <f t="shared" si="5"/>
        <v>1.9594779445941506E-2</v>
      </c>
    </row>
    <row r="73" spans="1:17" x14ac:dyDescent="0.2">
      <c r="A73" s="453">
        <v>39753</v>
      </c>
      <c r="B73" s="171">
        <v>9669055</v>
      </c>
      <c r="C73" s="458">
        <f>+'Purchased Power Model '!C73</f>
        <v>268.8</v>
      </c>
      <c r="D73" s="458">
        <f>+'Purchased Power Model '!D73</f>
        <v>0</v>
      </c>
      <c r="E73" s="443">
        <f>+'Purchased Power Model '!E73</f>
        <v>0.08</v>
      </c>
      <c r="F73" s="53">
        <f>+'Purchased Power Model '!F73</f>
        <v>30</v>
      </c>
      <c r="G73" s="53">
        <f>+'Purchased Power Model '!G73</f>
        <v>1</v>
      </c>
      <c r="H73" s="17">
        <v>3823</v>
      </c>
      <c r="I73" s="456">
        <f t="shared" si="3"/>
        <v>10989387.851853175</v>
      </c>
      <c r="J73" s="457">
        <f t="shared" si="4"/>
        <v>1320332.8518531751</v>
      </c>
      <c r="K73" s="5">
        <f t="shared" si="5"/>
        <v>0.13655241922330311</v>
      </c>
    </row>
    <row r="74" spans="1:17" x14ac:dyDescent="0.2">
      <c r="A74" s="453">
        <v>39783</v>
      </c>
      <c r="B74" s="171">
        <v>10395041</v>
      </c>
      <c r="C74" s="458">
        <f>+'Purchased Power Model '!C74</f>
        <v>378.9</v>
      </c>
      <c r="D74" s="458">
        <f>+'Purchased Power Model '!D74</f>
        <v>0</v>
      </c>
      <c r="E74" s="443">
        <f>+'Purchased Power Model '!E74</f>
        <v>0.08</v>
      </c>
      <c r="F74" s="53">
        <f>+'Purchased Power Model '!F74</f>
        <v>31</v>
      </c>
      <c r="G74" s="53">
        <f>+'Purchased Power Model '!G74</f>
        <v>0</v>
      </c>
      <c r="H74" s="17">
        <v>3822</v>
      </c>
      <c r="I74" s="456">
        <f t="shared" si="3"/>
        <v>10833943.96669624</v>
      </c>
      <c r="J74" s="457">
        <f t="shared" si="4"/>
        <v>438902.96669624001</v>
      </c>
      <c r="K74" s="5">
        <f t="shared" si="5"/>
        <v>4.2222341085161666E-2</v>
      </c>
    </row>
    <row r="75" spans="1:17" s="14" customFormat="1" x14ac:dyDescent="0.2">
      <c r="A75" s="453">
        <v>39814</v>
      </c>
      <c r="B75" s="171">
        <v>12106349</v>
      </c>
      <c r="C75" s="458">
        <f>+'Purchased Power Model '!C75</f>
        <v>684.3</v>
      </c>
      <c r="D75" s="458">
        <f>+'Purchased Power Model '!D75</f>
        <v>0</v>
      </c>
      <c r="E75" s="443">
        <f>+'Purchased Power Model '!E75</f>
        <v>8.3000000000000004E-2</v>
      </c>
      <c r="F75" s="53">
        <f>+'Purchased Power Model '!F75</f>
        <v>31</v>
      </c>
      <c r="G75" s="53">
        <f>+'Purchased Power Model '!G75</f>
        <v>0</v>
      </c>
      <c r="H75" s="17">
        <v>3820</v>
      </c>
      <c r="I75" s="456">
        <f t="shared" si="3"/>
        <v>11459528.468288835</v>
      </c>
      <c r="J75" s="457">
        <f t="shared" si="4"/>
        <v>-646820.53171116486</v>
      </c>
      <c r="K75" s="5">
        <f t="shared" si="5"/>
        <v>-5.3428207935453116E-2</v>
      </c>
      <c r="L75" s="11"/>
      <c r="M75" s="11"/>
      <c r="N75" s="11"/>
      <c r="O75" s="11"/>
      <c r="P75" s="11"/>
      <c r="Q75" s="11"/>
    </row>
    <row r="76" spans="1:17" x14ac:dyDescent="0.2">
      <c r="A76" s="453">
        <v>39845</v>
      </c>
      <c r="B76" s="171">
        <v>12482450</v>
      </c>
      <c r="C76" s="458">
        <f>+'Purchased Power Model '!C76</f>
        <v>595.29999999999995</v>
      </c>
      <c r="D76" s="458">
        <f>+'Purchased Power Model '!D76</f>
        <v>0</v>
      </c>
      <c r="E76" s="443">
        <f>+'Purchased Power Model '!E76</f>
        <v>8.3000000000000004E-2</v>
      </c>
      <c r="F76" s="53">
        <f>+'Purchased Power Model '!F76</f>
        <v>28</v>
      </c>
      <c r="G76" s="53">
        <f>+'Purchased Power Model '!G76</f>
        <v>0</v>
      </c>
      <c r="H76" s="17">
        <v>3826</v>
      </c>
      <c r="I76" s="456">
        <f t="shared" si="3"/>
        <v>12171230.399540542</v>
      </c>
      <c r="J76" s="457">
        <f t="shared" si="4"/>
        <v>-311219.60045945831</v>
      </c>
      <c r="K76" s="5">
        <f t="shared" si="5"/>
        <v>-2.493257336976782E-2</v>
      </c>
    </row>
    <row r="77" spans="1:17" x14ac:dyDescent="0.2">
      <c r="A77" s="453">
        <v>39873</v>
      </c>
      <c r="B77" s="171">
        <v>10503063</v>
      </c>
      <c r="C77" s="458">
        <f>+'Purchased Power Model '!C77</f>
        <v>442.2</v>
      </c>
      <c r="D77" s="458">
        <f>+'Purchased Power Model '!D77</f>
        <v>0</v>
      </c>
      <c r="E77" s="443">
        <f>+'Purchased Power Model '!E77</f>
        <v>8.3000000000000004E-2</v>
      </c>
      <c r="F77" s="53">
        <f>+'Purchased Power Model '!F77</f>
        <v>31</v>
      </c>
      <c r="G77" s="53">
        <f>+'Purchased Power Model '!G77</f>
        <v>1</v>
      </c>
      <c r="H77" s="17">
        <v>3825</v>
      </c>
      <c r="I77" s="456">
        <f t="shared" si="3"/>
        <v>11043871.967860926</v>
      </c>
      <c r="J77" s="457">
        <f t="shared" si="4"/>
        <v>540808.96786092594</v>
      </c>
      <c r="K77" s="5">
        <f t="shared" si="5"/>
        <v>5.1490595444483762E-2</v>
      </c>
    </row>
    <row r="78" spans="1:17" x14ac:dyDescent="0.2">
      <c r="A78" s="453">
        <v>39904</v>
      </c>
      <c r="B78" s="171">
        <v>10918955</v>
      </c>
      <c r="C78" s="458">
        <f>+'Purchased Power Model '!C78</f>
        <v>313.8</v>
      </c>
      <c r="D78" s="458">
        <f>+'Purchased Power Model '!D78</f>
        <v>0</v>
      </c>
      <c r="E78" s="443">
        <f>+'Purchased Power Model '!E78</f>
        <v>8.8000000000000009E-2</v>
      </c>
      <c r="F78" s="53">
        <f>+'Purchased Power Model '!F78</f>
        <v>30</v>
      </c>
      <c r="G78" s="53">
        <f>+'Purchased Power Model '!G78</f>
        <v>1</v>
      </c>
      <c r="H78" s="17">
        <v>3828</v>
      </c>
      <c r="I78" s="456">
        <f t="shared" si="3"/>
        <v>11068684.438707916</v>
      </c>
      <c r="J78" s="457">
        <f t="shared" si="4"/>
        <v>149729.43870791607</v>
      </c>
      <c r="K78" s="5">
        <f t="shared" si="5"/>
        <v>1.3712799320806438E-2</v>
      </c>
    </row>
    <row r="79" spans="1:17" x14ac:dyDescent="0.2">
      <c r="A79" s="453">
        <v>39934</v>
      </c>
      <c r="B79" s="171">
        <v>10667089</v>
      </c>
      <c r="C79" s="458">
        <f>+'Purchased Power Model '!C79</f>
        <v>170.1</v>
      </c>
      <c r="D79" s="458">
        <f>+'Purchased Power Model '!D79</f>
        <v>0</v>
      </c>
      <c r="E79" s="443">
        <f>+'Purchased Power Model '!E79</f>
        <v>8.8000000000000009E-2</v>
      </c>
      <c r="F79" s="53">
        <f>+'Purchased Power Model '!F79</f>
        <v>31</v>
      </c>
      <c r="G79" s="53">
        <f>+'Purchased Power Model '!G79</f>
        <v>1</v>
      </c>
      <c r="H79" s="17">
        <v>3829</v>
      </c>
      <c r="I79" s="456">
        <f t="shared" si="3"/>
        <v>10473421.762528468</v>
      </c>
      <c r="J79" s="457">
        <f t="shared" si="4"/>
        <v>-193667.23747153208</v>
      </c>
      <c r="K79" s="5">
        <f t="shared" si="5"/>
        <v>-1.8155584665275792E-2</v>
      </c>
    </row>
    <row r="80" spans="1:17" x14ac:dyDescent="0.2">
      <c r="A80" s="453">
        <v>39965</v>
      </c>
      <c r="B80" s="171">
        <v>10147486</v>
      </c>
      <c r="C80" s="458">
        <f>+'Purchased Power Model '!C80</f>
        <v>57.9</v>
      </c>
      <c r="D80" s="458">
        <f>+'Purchased Power Model '!D80</f>
        <v>26.3</v>
      </c>
      <c r="E80" s="443">
        <f>+'Purchased Power Model '!E80</f>
        <v>8.8000000000000009E-2</v>
      </c>
      <c r="F80" s="53">
        <f>+'Purchased Power Model '!F80</f>
        <v>30</v>
      </c>
      <c r="G80" s="53">
        <f>+'Purchased Power Model '!G80</f>
        <v>0</v>
      </c>
      <c r="H80" s="17">
        <v>3832</v>
      </c>
      <c r="I80" s="456">
        <f t="shared" si="3"/>
        <v>10654607.840849696</v>
      </c>
      <c r="J80" s="457">
        <f t="shared" si="4"/>
        <v>507121.84084969573</v>
      </c>
      <c r="K80" s="5">
        <f t="shared" si="5"/>
        <v>4.9975121015165304E-2</v>
      </c>
    </row>
    <row r="81" spans="1:17" x14ac:dyDescent="0.2">
      <c r="A81" s="453">
        <v>39995</v>
      </c>
      <c r="B81" s="171">
        <v>9831147</v>
      </c>
      <c r="C81" s="458">
        <f>+'Purchased Power Model '!C81</f>
        <v>16.8</v>
      </c>
      <c r="D81" s="458">
        <f>+'Purchased Power Model '!D81</f>
        <v>25.6</v>
      </c>
      <c r="E81" s="443">
        <f>+'Purchased Power Model '!E81</f>
        <v>9.5000000000000001E-2</v>
      </c>
      <c r="F81" s="53">
        <f>+'Purchased Power Model '!F81</f>
        <v>31</v>
      </c>
      <c r="G81" s="53">
        <f>+'Purchased Power Model '!G81</f>
        <v>0</v>
      </c>
      <c r="H81" s="17">
        <v>3834</v>
      </c>
      <c r="I81" s="456">
        <f t="shared" si="3"/>
        <v>10254010.036994565</v>
      </c>
      <c r="J81" s="457">
        <f t="shared" si="4"/>
        <v>422863.03699456528</v>
      </c>
      <c r="K81" s="5">
        <f t="shared" si="5"/>
        <v>4.3012584085515684E-2</v>
      </c>
    </row>
    <row r="82" spans="1:17" x14ac:dyDescent="0.2">
      <c r="A82" s="453">
        <v>40026</v>
      </c>
      <c r="B82" s="171">
        <v>10245990</v>
      </c>
      <c r="C82" s="458">
        <f>+'Purchased Power Model '!C82</f>
        <v>13.1</v>
      </c>
      <c r="D82" s="458">
        <f>+'Purchased Power Model '!D82</f>
        <v>77.7</v>
      </c>
      <c r="E82" s="443">
        <f>+'Purchased Power Model '!E82</f>
        <v>9.5000000000000001E-2</v>
      </c>
      <c r="F82" s="53">
        <f>+'Purchased Power Model '!F82</f>
        <v>31</v>
      </c>
      <c r="G82" s="53">
        <f>+'Purchased Power Model '!G82</f>
        <v>0</v>
      </c>
      <c r="H82" s="17">
        <v>3838</v>
      </c>
      <c r="I82" s="456">
        <f t="shared" si="3"/>
        <v>10640017.388362568</v>
      </c>
      <c r="J82" s="457">
        <f t="shared" si="4"/>
        <v>394027.38836256787</v>
      </c>
      <c r="K82" s="5">
        <f t="shared" si="5"/>
        <v>3.845674145324833E-2</v>
      </c>
    </row>
    <row r="83" spans="1:17" x14ac:dyDescent="0.2">
      <c r="A83" s="453">
        <v>40057</v>
      </c>
      <c r="B83" s="171">
        <v>10416446</v>
      </c>
      <c r="C83" s="458">
        <f>+'Purchased Power Model '!C83</f>
        <v>64.8</v>
      </c>
      <c r="D83" s="458">
        <f>+'Purchased Power Model '!D83</f>
        <v>9</v>
      </c>
      <c r="E83" s="443">
        <f>+'Purchased Power Model '!E83</f>
        <v>9.5000000000000001E-2</v>
      </c>
      <c r="F83" s="53">
        <f>+'Purchased Power Model '!F83</f>
        <v>30</v>
      </c>
      <c r="G83" s="53">
        <f>+'Purchased Power Model '!G83</f>
        <v>1</v>
      </c>
      <c r="H83" s="17">
        <v>3848</v>
      </c>
      <c r="I83" s="456">
        <f t="shared" si="3"/>
        <v>10610531.129985956</v>
      </c>
      <c r="J83" s="457">
        <f t="shared" si="4"/>
        <v>194085.12998595648</v>
      </c>
      <c r="K83" s="5">
        <f t="shared" si="5"/>
        <v>1.8632567190955195E-2</v>
      </c>
    </row>
    <row r="84" spans="1:17" x14ac:dyDescent="0.2">
      <c r="A84" s="453">
        <v>40087</v>
      </c>
      <c r="B84" s="171">
        <v>10039694</v>
      </c>
      <c r="C84" s="458">
        <f>+'Purchased Power Model '!C84</f>
        <v>287.89999999999998</v>
      </c>
      <c r="D84" s="458">
        <f>+'Purchased Power Model '!D84</f>
        <v>0</v>
      </c>
      <c r="E84" s="443">
        <f>+'Purchased Power Model '!E84</f>
        <v>0.1</v>
      </c>
      <c r="F84" s="53">
        <f>+'Purchased Power Model '!F84</f>
        <v>31</v>
      </c>
      <c r="G84" s="53">
        <f>+'Purchased Power Model '!G84</f>
        <v>1</v>
      </c>
      <c r="H84" s="17">
        <v>3853</v>
      </c>
      <c r="I84" s="456">
        <f t="shared" si="3"/>
        <v>10696243.840836957</v>
      </c>
      <c r="J84" s="457">
        <f t="shared" si="4"/>
        <v>656549.8408369571</v>
      </c>
      <c r="K84" s="5">
        <f t="shared" si="5"/>
        <v>6.5395403568769842E-2</v>
      </c>
    </row>
    <row r="85" spans="1:17" x14ac:dyDescent="0.2">
      <c r="A85" s="453">
        <v>40118</v>
      </c>
      <c r="B85" s="171">
        <v>10212467</v>
      </c>
      <c r="C85" s="458">
        <f>+'Purchased Power Model '!C85</f>
        <v>347.4</v>
      </c>
      <c r="D85" s="458">
        <f>+'Purchased Power Model '!D85</f>
        <v>0</v>
      </c>
      <c r="E85" s="443">
        <f>+'Purchased Power Model '!E85</f>
        <v>0.1</v>
      </c>
      <c r="F85" s="53">
        <f>+'Purchased Power Model '!F85</f>
        <v>30</v>
      </c>
      <c r="G85" s="53">
        <f>+'Purchased Power Model '!G85</f>
        <v>1</v>
      </c>
      <c r="H85" s="17">
        <v>3877</v>
      </c>
      <c r="I85" s="456">
        <f t="shared" si="3"/>
        <v>11117620.630856944</v>
      </c>
      <c r="J85" s="457">
        <f t="shared" si="4"/>
        <v>905153.63085694425</v>
      </c>
      <c r="K85" s="5">
        <f t="shared" si="5"/>
        <v>8.8632220878358217E-2</v>
      </c>
    </row>
    <row r="86" spans="1:17" s="31" customFormat="1" x14ac:dyDescent="0.2">
      <c r="A86" s="453">
        <v>40148</v>
      </c>
      <c r="B86" s="171">
        <v>10448369</v>
      </c>
      <c r="C86" s="458">
        <f>+'Purchased Power Model '!C86</f>
        <v>619.1</v>
      </c>
      <c r="D86" s="458">
        <f>+'Purchased Power Model '!D86</f>
        <v>0</v>
      </c>
      <c r="E86" s="443">
        <f>+'Purchased Power Model '!E86</f>
        <v>0.1</v>
      </c>
      <c r="F86" s="53">
        <f>+'Purchased Power Model '!F86</f>
        <v>31</v>
      </c>
      <c r="G86" s="53">
        <f>+'Purchased Power Model '!G86</f>
        <v>0</v>
      </c>
      <c r="H86" s="17">
        <v>3897</v>
      </c>
      <c r="I86" s="456">
        <f t="shared" si="3"/>
        <v>11295905.477331471</v>
      </c>
      <c r="J86" s="457">
        <f t="shared" si="4"/>
        <v>847536.4773314707</v>
      </c>
      <c r="K86" s="5">
        <f t="shared" si="5"/>
        <v>8.1116629526720455E-2</v>
      </c>
      <c r="L86" s="27"/>
      <c r="M86" s="27"/>
      <c r="N86" s="27"/>
      <c r="O86" s="27"/>
      <c r="P86" s="27"/>
      <c r="Q86" s="27"/>
    </row>
    <row r="87" spans="1:17" x14ac:dyDescent="0.2">
      <c r="A87" s="453">
        <v>40179</v>
      </c>
      <c r="B87" s="454">
        <v>11522598</v>
      </c>
      <c r="C87" s="458">
        <f>+'Purchased Power Model '!C87</f>
        <v>699.9</v>
      </c>
      <c r="D87" s="458">
        <f>+'Purchased Power Model '!D87</f>
        <v>0</v>
      </c>
      <c r="E87" s="443">
        <f>+'Purchased Power Model '!E87</f>
        <v>0.10300000000000001</v>
      </c>
      <c r="F87" s="53">
        <f>+'Purchased Power Model '!F87</f>
        <v>31</v>
      </c>
      <c r="G87" s="53">
        <f>+'Purchased Power Model '!G87</f>
        <v>0</v>
      </c>
      <c r="H87" s="17">
        <v>3899</v>
      </c>
      <c r="I87" s="456">
        <f t="shared" si="3"/>
        <v>11457656.605629358</v>
      </c>
      <c r="J87" s="457">
        <f t="shared" si="4"/>
        <v>-64941.394370641559</v>
      </c>
      <c r="K87" s="5">
        <f t="shared" si="5"/>
        <v>-5.6360027808521618E-3</v>
      </c>
    </row>
    <row r="88" spans="1:17" x14ac:dyDescent="0.2">
      <c r="A88" s="453">
        <v>40210</v>
      </c>
      <c r="B88" s="454">
        <v>13123101</v>
      </c>
      <c r="C88" s="458">
        <f>+'Purchased Power Model '!C88</f>
        <v>583.79999999999995</v>
      </c>
      <c r="D88" s="458">
        <f>+'Purchased Power Model '!D88</f>
        <v>0</v>
      </c>
      <c r="E88" s="443">
        <f>+'Purchased Power Model '!E88</f>
        <v>0.10300000000000001</v>
      </c>
      <c r="F88" s="53">
        <f>+'Purchased Power Model '!F88</f>
        <v>28</v>
      </c>
      <c r="G88" s="53">
        <f>+'Purchased Power Model '!G88</f>
        <v>0</v>
      </c>
      <c r="H88" s="17">
        <v>3902</v>
      </c>
      <c r="I88" s="456">
        <f t="shared" si="3"/>
        <v>12113392.889435442</v>
      </c>
      <c r="J88" s="457">
        <f t="shared" si="4"/>
        <v>-1009708.1105645578</v>
      </c>
      <c r="K88" s="5">
        <f t="shared" si="5"/>
        <v>-7.6941274060495141E-2</v>
      </c>
    </row>
    <row r="89" spans="1:17" x14ac:dyDescent="0.2">
      <c r="A89" s="453">
        <v>40238</v>
      </c>
      <c r="B89" s="454">
        <v>11365818</v>
      </c>
      <c r="C89" s="458">
        <f>+'Purchased Power Model '!C89</f>
        <v>411</v>
      </c>
      <c r="D89" s="458">
        <f>+'Purchased Power Model '!D89</f>
        <v>0</v>
      </c>
      <c r="E89" s="443">
        <f>+'Purchased Power Model '!E89</f>
        <v>0.10300000000000001</v>
      </c>
      <c r="F89" s="53">
        <f>+'Purchased Power Model '!F89</f>
        <v>31</v>
      </c>
      <c r="G89" s="53">
        <f>+'Purchased Power Model '!G89</f>
        <v>1</v>
      </c>
      <c r="H89" s="17">
        <v>3904</v>
      </c>
      <c r="I89" s="456">
        <f t="shared" si="3"/>
        <v>10945350.94282303</v>
      </c>
      <c r="J89" s="457">
        <f t="shared" si="4"/>
        <v>-420467.05717696995</v>
      </c>
      <c r="K89" s="5">
        <f t="shared" si="5"/>
        <v>-3.6993998775712397E-2</v>
      </c>
    </row>
    <row r="90" spans="1:17" x14ac:dyDescent="0.2">
      <c r="A90" s="453">
        <v>40269</v>
      </c>
      <c r="B90" s="454">
        <v>10954550</v>
      </c>
      <c r="C90" s="458">
        <f>+'Purchased Power Model '!C90</f>
        <v>244</v>
      </c>
      <c r="D90" s="458">
        <f>+'Purchased Power Model '!D90</f>
        <v>0</v>
      </c>
      <c r="E90" s="443">
        <f>+'Purchased Power Model '!E90</f>
        <v>9.9000000000000005E-2</v>
      </c>
      <c r="F90" s="53">
        <f>+'Purchased Power Model '!F90</f>
        <v>30</v>
      </c>
      <c r="G90" s="53">
        <f>+'Purchased Power Model '!G90</f>
        <v>1</v>
      </c>
      <c r="H90" s="17">
        <v>3905</v>
      </c>
      <c r="I90" s="456">
        <f t="shared" si="3"/>
        <v>10905788.218791777</v>
      </c>
      <c r="J90" s="457">
        <f t="shared" si="4"/>
        <v>-48761.781208222732</v>
      </c>
      <c r="K90" s="5">
        <f t="shared" si="5"/>
        <v>-4.4512810848663549E-3</v>
      </c>
    </row>
    <row r="91" spans="1:17" x14ac:dyDescent="0.2">
      <c r="A91" s="453">
        <v>40299</v>
      </c>
      <c r="B91" s="454">
        <v>10190240</v>
      </c>
      <c r="C91" s="458">
        <f>+'Purchased Power Model '!C91</f>
        <v>121.7</v>
      </c>
      <c r="D91" s="458">
        <f>+'Purchased Power Model '!D91</f>
        <v>23.2</v>
      </c>
      <c r="E91" s="443">
        <f>+'Purchased Power Model '!E91</f>
        <v>9.9000000000000005E-2</v>
      </c>
      <c r="F91" s="53">
        <f>+'Purchased Power Model '!F91</f>
        <v>31</v>
      </c>
      <c r="G91" s="53">
        <f>+'Purchased Power Model '!G91</f>
        <v>1</v>
      </c>
      <c r="H91" s="17">
        <v>3919</v>
      </c>
      <c r="I91" s="456">
        <f t="shared" si="3"/>
        <v>10530010.475853004</v>
      </c>
      <c r="J91" s="457">
        <f t="shared" si="4"/>
        <v>339770.47585300356</v>
      </c>
      <c r="K91" s="5">
        <f t="shared" si="5"/>
        <v>3.3342735387292502E-2</v>
      </c>
    </row>
    <row r="92" spans="1:17" x14ac:dyDescent="0.2">
      <c r="A92" s="453">
        <v>40330</v>
      </c>
      <c r="B92" s="454">
        <v>9777540</v>
      </c>
      <c r="C92" s="458">
        <f>+'Purchased Power Model '!C92</f>
        <v>19.399999999999999</v>
      </c>
      <c r="D92" s="458">
        <f>+'Purchased Power Model '!D92</f>
        <v>46.6</v>
      </c>
      <c r="E92" s="443">
        <f>+'Purchased Power Model '!E92</f>
        <v>9.9000000000000005E-2</v>
      </c>
      <c r="F92" s="53">
        <f>+'Purchased Power Model '!F92</f>
        <v>30</v>
      </c>
      <c r="G92" s="53">
        <f>+'Purchased Power Model '!G92</f>
        <v>0</v>
      </c>
      <c r="H92" s="17">
        <v>3923</v>
      </c>
      <c r="I92" s="456">
        <f t="shared" si="3"/>
        <v>10709730.237025743</v>
      </c>
      <c r="J92" s="457">
        <f t="shared" si="4"/>
        <v>932190.23702574335</v>
      </c>
      <c r="K92" s="5">
        <f t="shared" si="5"/>
        <v>9.5339956372026441E-2</v>
      </c>
    </row>
    <row r="93" spans="1:17" x14ac:dyDescent="0.2">
      <c r="A93" s="453">
        <v>40360</v>
      </c>
      <c r="B93" s="454">
        <v>10570916</v>
      </c>
      <c r="C93" s="458">
        <f>+'Purchased Power Model '!C93</f>
        <v>3.5</v>
      </c>
      <c r="D93" s="458">
        <f>+'Purchased Power Model '!D93</f>
        <v>124</v>
      </c>
      <c r="E93" s="443">
        <f>+'Purchased Power Model '!E93</f>
        <v>0.10099999999999999</v>
      </c>
      <c r="F93" s="53">
        <f>+'Purchased Power Model '!F93</f>
        <v>31</v>
      </c>
      <c r="G93" s="53">
        <f>+'Purchased Power Model '!G93</f>
        <v>0</v>
      </c>
      <c r="H93" s="17">
        <v>3928</v>
      </c>
      <c r="I93" s="456">
        <f t="shared" si="3"/>
        <v>10959791.197211459</v>
      </c>
      <c r="J93" s="457">
        <f t="shared" si="4"/>
        <v>388875.19721145928</v>
      </c>
      <c r="K93" s="5">
        <f t="shared" si="5"/>
        <v>3.6787275313838394E-2</v>
      </c>
    </row>
    <row r="94" spans="1:17" x14ac:dyDescent="0.2">
      <c r="A94" s="453">
        <v>40391</v>
      </c>
      <c r="B94" s="454">
        <v>11251146</v>
      </c>
      <c r="C94" s="458">
        <f>+'Purchased Power Model '!C94</f>
        <v>3.2</v>
      </c>
      <c r="D94" s="458">
        <f>+'Purchased Power Model '!D94</f>
        <v>96.8</v>
      </c>
      <c r="E94" s="443">
        <f>+'Purchased Power Model '!E94</f>
        <v>0.10099999999999999</v>
      </c>
      <c r="F94" s="53">
        <f>+'Purchased Power Model '!F94</f>
        <v>31</v>
      </c>
      <c r="G94" s="53">
        <f>+'Purchased Power Model '!G94</f>
        <v>0</v>
      </c>
      <c r="H94" s="17">
        <v>3927</v>
      </c>
      <c r="I94" s="456">
        <f t="shared" si="3"/>
        <v>10753658.465897933</v>
      </c>
      <c r="J94" s="457">
        <f t="shared" si="4"/>
        <v>-497487.53410206735</v>
      </c>
      <c r="K94" s="5">
        <f t="shared" si="5"/>
        <v>-4.4216609943739715E-2</v>
      </c>
    </row>
    <row r="95" spans="1:17" x14ac:dyDescent="0.2">
      <c r="A95" s="453">
        <v>40422</v>
      </c>
      <c r="B95" s="454">
        <v>11729543</v>
      </c>
      <c r="C95" s="458">
        <f>+'Purchased Power Model '!C95</f>
        <v>85.5</v>
      </c>
      <c r="D95" s="458">
        <f>+'Purchased Power Model '!D95</f>
        <v>18.5</v>
      </c>
      <c r="E95" s="443">
        <f>+'Purchased Power Model '!E95</f>
        <v>0.10099999999999999</v>
      </c>
      <c r="F95" s="53">
        <f>+'Purchased Power Model '!F95</f>
        <v>30</v>
      </c>
      <c r="G95" s="53">
        <f>+'Purchased Power Model '!G95</f>
        <v>1</v>
      </c>
      <c r="H95" s="17">
        <v>3943</v>
      </c>
      <c r="I95" s="456">
        <f t="shared" si="3"/>
        <v>10714831.825179311</v>
      </c>
      <c r="J95" s="457">
        <f t="shared" si="4"/>
        <v>-1014711.1748206895</v>
      </c>
      <c r="K95" s="5">
        <f t="shared" si="5"/>
        <v>-8.6509011887393183E-2</v>
      </c>
    </row>
    <row r="96" spans="1:17" x14ac:dyDescent="0.2">
      <c r="A96" s="453">
        <v>40452</v>
      </c>
      <c r="B96" s="454">
        <v>10513628</v>
      </c>
      <c r="C96" s="458">
        <f>+'Purchased Power Model '!C96</f>
        <v>247.8</v>
      </c>
      <c r="D96" s="458">
        <f>+'Purchased Power Model '!D96</f>
        <v>0</v>
      </c>
      <c r="E96" s="443">
        <f>+'Purchased Power Model '!E96</f>
        <v>9.3000000000000013E-2</v>
      </c>
      <c r="F96" s="53">
        <f>+'Purchased Power Model '!F96</f>
        <v>31</v>
      </c>
      <c r="G96" s="53">
        <f>+'Purchased Power Model '!G96</f>
        <v>1</v>
      </c>
      <c r="H96" s="17">
        <v>3951</v>
      </c>
      <c r="I96" s="456">
        <f t="shared" si="3"/>
        <v>10625362.091383412</v>
      </c>
      <c r="J96" s="457">
        <f t="shared" si="4"/>
        <v>111734.09138341248</v>
      </c>
      <c r="K96" s="5">
        <f t="shared" si="5"/>
        <v>1.0627548490721993E-2</v>
      </c>
    </row>
    <row r="97" spans="1:11" x14ac:dyDescent="0.2">
      <c r="A97" s="453">
        <v>40483</v>
      </c>
      <c r="B97" s="454">
        <v>10081406</v>
      </c>
      <c r="C97" s="458">
        <f>+'Purchased Power Model '!C97</f>
        <v>389.2</v>
      </c>
      <c r="D97" s="458">
        <f>+'Purchased Power Model '!D97</f>
        <v>0</v>
      </c>
      <c r="E97" s="443">
        <f>+'Purchased Power Model '!E97</f>
        <v>9.3000000000000013E-2</v>
      </c>
      <c r="F97" s="53">
        <f>+'Purchased Power Model '!F97</f>
        <v>30</v>
      </c>
      <c r="G97" s="53">
        <f>+'Purchased Power Model '!G97</f>
        <v>1</v>
      </c>
      <c r="H97" s="17">
        <v>3954</v>
      </c>
      <c r="I97" s="456">
        <f t="shared" si="3"/>
        <v>11215874.91556563</v>
      </c>
      <c r="J97" s="457">
        <f t="shared" si="4"/>
        <v>1134468.9155656304</v>
      </c>
      <c r="K97" s="5">
        <f t="shared" si="5"/>
        <v>0.11253082313772805</v>
      </c>
    </row>
    <row r="98" spans="1:11" x14ac:dyDescent="0.2">
      <c r="A98" s="453">
        <v>40513</v>
      </c>
      <c r="B98" s="454">
        <v>10201617</v>
      </c>
      <c r="C98" s="458">
        <f>+'Purchased Power Model '!C98</f>
        <v>628.70000000000005</v>
      </c>
      <c r="D98" s="458">
        <f>+'Purchased Power Model '!D98</f>
        <v>0</v>
      </c>
      <c r="E98" s="443">
        <f>+'Purchased Power Model '!E98</f>
        <v>9.3000000000000013E-2</v>
      </c>
      <c r="F98" s="53">
        <f>+'Purchased Power Model '!F98</f>
        <v>31</v>
      </c>
      <c r="G98" s="53">
        <f>+'Purchased Power Model '!G98</f>
        <v>0</v>
      </c>
      <c r="H98" s="17">
        <v>3961</v>
      </c>
      <c r="I98" s="456">
        <f t="shared" si="3"/>
        <v>11327661.834078934</v>
      </c>
      <c r="J98" s="457">
        <f t="shared" si="4"/>
        <v>1126044.834078934</v>
      </c>
      <c r="K98" s="5">
        <f t="shared" si="5"/>
        <v>0.11037905403417263</v>
      </c>
    </row>
    <row r="99" spans="1:11" x14ac:dyDescent="0.2">
      <c r="A99" s="453">
        <v>40544</v>
      </c>
      <c r="B99" s="27">
        <v>11108115</v>
      </c>
      <c r="C99" s="458">
        <f>+'Purchased Power Model '!C99</f>
        <v>760.9</v>
      </c>
      <c r="D99" s="458">
        <f>+'Purchased Power Model '!D99</f>
        <v>0</v>
      </c>
      <c r="E99" s="443">
        <f>+'Purchased Power Model '!E99</f>
        <v>8.8000000000000009E-2</v>
      </c>
      <c r="F99" s="53">
        <f>+'Purchased Power Model '!F99</f>
        <v>31</v>
      </c>
      <c r="G99" s="53">
        <f>+'Purchased Power Model '!G99</f>
        <v>0</v>
      </c>
      <c r="H99" s="170">
        <v>3962</v>
      </c>
      <c r="I99" s="456">
        <f t="shared" si="3"/>
        <v>11609197.128797278</v>
      </c>
      <c r="J99" s="457">
        <f t="shared" si="4"/>
        <v>501082.12879727781</v>
      </c>
      <c r="K99" s="5">
        <f t="shared" si="5"/>
        <v>4.5109555383364128E-2</v>
      </c>
    </row>
    <row r="100" spans="1:11" x14ac:dyDescent="0.2">
      <c r="A100" s="453">
        <v>40575</v>
      </c>
      <c r="B100" s="27">
        <v>13519418</v>
      </c>
      <c r="C100" s="458">
        <f>+'Purchased Power Model '!C100</f>
        <v>634.19999999999993</v>
      </c>
      <c r="D100" s="458">
        <f>+'Purchased Power Model '!D100</f>
        <v>0</v>
      </c>
      <c r="E100" s="443">
        <f>+'Purchased Power Model '!E100</f>
        <v>8.8000000000000009E-2</v>
      </c>
      <c r="F100" s="53">
        <f>+'Purchased Power Model '!F100</f>
        <v>28</v>
      </c>
      <c r="G100" s="53">
        <f>+'Purchased Power Model '!G100</f>
        <v>0</v>
      </c>
      <c r="H100" s="170">
        <v>3963</v>
      </c>
      <c r="I100" s="456">
        <f t="shared" si="3"/>
        <v>12243042.790355256</v>
      </c>
      <c r="J100" s="457">
        <f t="shared" si="4"/>
        <v>-1276375.2096447442</v>
      </c>
      <c r="K100" s="5">
        <f t="shared" si="5"/>
        <v>-9.4410514538772611E-2</v>
      </c>
    </row>
    <row r="101" spans="1:11" x14ac:dyDescent="0.2">
      <c r="A101" s="453">
        <v>40603</v>
      </c>
      <c r="B101" s="27">
        <v>13897258</v>
      </c>
      <c r="C101" s="458">
        <f>+'Purchased Power Model '!C101</f>
        <v>559.80000000000007</v>
      </c>
      <c r="D101" s="458">
        <f>+'Purchased Power Model '!D101</f>
        <v>0</v>
      </c>
      <c r="E101" s="443">
        <f>+'Purchased Power Model '!E101</f>
        <v>8.8000000000000009E-2</v>
      </c>
      <c r="F101" s="53">
        <f>+'Purchased Power Model '!F101</f>
        <v>31</v>
      </c>
      <c r="G101" s="53">
        <f>+'Purchased Power Model '!G101</f>
        <v>1</v>
      </c>
      <c r="H101" s="170">
        <v>3966</v>
      </c>
      <c r="I101" s="456">
        <f t="shared" si="3"/>
        <v>11278211.903102595</v>
      </c>
      <c r="J101" s="457">
        <f t="shared" si="4"/>
        <v>-2619046.0968974046</v>
      </c>
      <c r="K101" s="5">
        <f t="shared" si="5"/>
        <v>-0.18845775885411387</v>
      </c>
    </row>
    <row r="102" spans="1:11" x14ac:dyDescent="0.2">
      <c r="A102" s="453">
        <v>40634</v>
      </c>
      <c r="B102" s="27">
        <v>11362813</v>
      </c>
      <c r="C102" s="458">
        <f>+'Purchased Power Model '!C102</f>
        <v>350.79999999999995</v>
      </c>
      <c r="D102" s="458">
        <f>+'Purchased Power Model '!D102</f>
        <v>0</v>
      </c>
      <c r="E102" s="443">
        <f>+'Purchased Power Model '!E102</f>
        <v>9.0999999999999998E-2</v>
      </c>
      <c r="F102" s="53">
        <f>+'Purchased Power Model '!F102</f>
        <v>30</v>
      </c>
      <c r="G102" s="53">
        <f>+'Purchased Power Model '!G102</f>
        <v>1</v>
      </c>
      <c r="H102" s="170">
        <v>3969</v>
      </c>
      <c r="I102" s="456">
        <f t="shared" si="3"/>
        <v>11139981.863754207</v>
      </c>
      <c r="J102" s="457">
        <f t="shared" si="4"/>
        <v>-222831.13624579273</v>
      </c>
      <c r="K102" s="5">
        <f t="shared" si="5"/>
        <v>-1.9610560892429782E-2</v>
      </c>
    </row>
    <row r="103" spans="1:11" x14ac:dyDescent="0.2">
      <c r="A103" s="453">
        <v>40664</v>
      </c>
      <c r="B103" s="27">
        <v>10258796</v>
      </c>
      <c r="C103" s="458">
        <f>+'Purchased Power Model '!C103</f>
        <v>157.69999999999996</v>
      </c>
      <c r="D103" s="458">
        <f>+'Purchased Power Model '!D103</f>
        <v>2.8</v>
      </c>
      <c r="E103" s="443">
        <f>+'Purchased Power Model '!E103</f>
        <v>9.0999999999999998E-2</v>
      </c>
      <c r="F103" s="53">
        <f>+'Purchased Power Model '!F103</f>
        <v>31</v>
      </c>
      <c r="G103" s="53">
        <f>+'Purchased Power Model '!G103</f>
        <v>1</v>
      </c>
      <c r="H103" s="170">
        <v>3974</v>
      </c>
      <c r="I103" s="456">
        <f t="shared" si="3"/>
        <v>10463856.396371812</v>
      </c>
      <c r="J103" s="457">
        <f t="shared" si="4"/>
        <v>205060.39637181163</v>
      </c>
      <c r="K103" s="5">
        <f t="shared" si="5"/>
        <v>1.9988739065657572E-2</v>
      </c>
    </row>
    <row r="104" spans="1:11" x14ac:dyDescent="0.2">
      <c r="A104" s="453">
        <v>40695</v>
      </c>
      <c r="B104" s="27">
        <v>10532456</v>
      </c>
      <c r="C104" s="458">
        <f>+'Purchased Power Model '!C104</f>
        <v>26.699999999999996</v>
      </c>
      <c r="D104" s="458">
        <f>+'Purchased Power Model '!D104</f>
        <v>36.900000000000006</v>
      </c>
      <c r="E104" s="443">
        <f>+'Purchased Power Model '!E104</f>
        <v>9.0999999999999998E-2</v>
      </c>
      <c r="F104" s="53">
        <f>+'Purchased Power Model '!F104</f>
        <v>30</v>
      </c>
      <c r="G104" s="53">
        <f>+'Purchased Power Model '!G104</f>
        <v>0</v>
      </c>
      <c r="H104" s="170">
        <v>3812</v>
      </c>
      <c r="I104" s="456">
        <f t="shared" si="3"/>
        <v>10665151.525664711</v>
      </c>
      <c r="J104" s="457">
        <f t="shared" si="4"/>
        <v>132695.52566471137</v>
      </c>
      <c r="K104" s="5">
        <f t="shared" si="5"/>
        <v>1.2598725849385118E-2</v>
      </c>
    </row>
    <row r="105" spans="1:11" x14ac:dyDescent="0.2">
      <c r="A105" s="453">
        <v>40725</v>
      </c>
      <c r="B105" s="27">
        <v>11071076</v>
      </c>
      <c r="C105" s="458">
        <f>+'Purchased Power Model '!C105</f>
        <v>0.2</v>
      </c>
      <c r="D105" s="458">
        <f>+'Purchased Power Model '!D105</f>
        <v>141.19999999999999</v>
      </c>
      <c r="E105" s="443">
        <f>+'Purchased Power Model '!E105</f>
        <v>7.2999999999999995E-2</v>
      </c>
      <c r="F105" s="53">
        <f>+'Purchased Power Model '!F105</f>
        <v>31</v>
      </c>
      <c r="G105" s="53">
        <f>+'Purchased Power Model '!G105</f>
        <v>0</v>
      </c>
      <c r="H105" s="170">
        <v>3811</v>
      </c>
      <c r="I105" s="456">
        <f t="shared" si="3"/>
        <v>11130656.609577265</v>
      </c>
      <c r="J105" s="457">
        <f t="shared" si="4"/>
        <v>59580.609577264637</v>
      </c>
      <c r="K105" s="5">
        <f t="shared" si="5"/>
        <v>5.3816457928086339E-3</v>
      </c>
    </row>
    <row r="106" spans="1:11" x14ac:dyDescent="0.2">
      <c r="A106" s="453">
        <v>40756</v>
      </c>
      <c r="B106" s="27">
        <v>10992419</v>
      </c>
      <c r="C106" s="458">
        <f>+'Purchased Power Model '!C106</f>
        <v>3.7</v>
      </c>
      <c r="D106" s="458">
        <f>+'Purchased Power Model '!D106</f>
        <v>80.499999999999957</v>
      </c>
      <c r="E106" s="443">
        <f>+'Purchased Power Model '!E106</f>
        <v>7.2999999999999995E-2</v>
      </c>
      <c r="F106" s="53">
        <f>+'Purchased Power Model '!F106</f>
        <v>31</v>
      </c>
      <c r="G106" s="53">
        <f>+'Purchased Power Model '!G106</f>
        <v>0</v>
      </c>
      <c r="H106" s="170">
        <v>3810</v>
      </c>
      <c r="I106" s="456">
        <f t="shared" si="3"/>
        <v>10679257.793981425</v>
      </c>
      <c r="J106" s="457">
        <f t="shared" si="4"/>
        <v>-313161.20601857454</v>
      </c>
      <c r="K106" s="5">
        <f t="shared" si="5"/>
        <v>-2.848883453392511E-2</v>
      </c>
    </row>
    <row r="107" spans="1:11" x14ac:dyDescent="0.2">
      <c r="A107" s="453">
        <v>40787</v>
      </c>
      <c r="B107" s="27">
        <v>12046598</v>
      </c>
      <c r="C107" s="458">
        <f>+'Purchased Power Model '!C107</f>
        <v>48.900000000000006</v>
      </c>
      <c r="D107" s="458">
        <f>+'Purchased Power Model '!D107</f>
        <v>34.6</v>
      </c>
      <c r="E107" s="443">
        <f>+'Purchased Power Model '!E107</f>
        <v>7.2999999999999995E-2</v>
      </c>
      <c r="F107" s="53">
        <f>+'Purchased Power Model '!F107</f>
        <v>30</v>
      </c>
      <c r="G107" s="53">
        <f>+'Purchased Power Model '!G107</f>
        <v>1</v>
      </c>
      <c r="H107" s="170">
        <v>3807</v>
      </c>
      <c r="I107" s="456">
        <f t="shared" si="3"/>
        <v>10808616.446239563</v>
      </c>
      <c r="J107" s="457">
        <f t="shared" si="4"/>
        <v>-1237981.5537604373</v>
      </c>
      <c r="K107" s="5">
        <f t="shared" si="5"/>
        <v>-0.1027660716959624</v>
      </c>
    </row>
    <row r="108" spans="1:11" x14ac:dyDescent="0.2">
      <c r="A108" s="453">
        <v>40817</v>
      </c>
      <c r="B108" s="27">
        <v>10380233</v>
      </c>
      <c r="C108" s="458">
        <f>+'Purchased Power Model '!C108</f>
        <v>225.29999999999998</v>
      </c>
      <c r="D108" s="458">
        <f>+'Purchased Power Model '!D108</f>
        <v>0</v>
      </c>
      <c r="E108" s="443">
        <f>+'Purchased Power Model '!E108</f>
        <v>7.400000000000001E-2</v>
      </c>
      <c r="F108" s="53">
        <f>+'Purchased Power Model '!F108</f>
        <v>31</v>
      </c>
      <c r="G108" s="53">
        <f>+'Purchased Power Model '!G108</f>
        <v>1</v>
      </c>
      <c r="H108" s="170">
        <v>3810</v>
      </c>
      <c r="I108" s="456">
        <f t="shared" si="3"/>
        <v>10611279.985545255</v>
      </c>
      <c r="J108" s="457">
        <f t="shared" si="4"/>
        <v>231046.98554525524</v>
      </c>
      <c r="K108" s="5">
        <f t="shared" si="5"/>
        <v>2.2258362172145389E-2</v>
      </c>
    </row>
    <row r="109" spans="1:11" x14ac:dyDescent="0.2">
      <c r="A109" s="453">
        <v>40848</v>
      </c>
      <c r="B109" s="27">
        <v>9987001</v>
      </c>
      <c r="C109" s="458">
        <f>+'Purchased Power Model '!C109</f>
        <v>349.69999999999993</v>
      </c>
      <c r="D109" s="458">
        <f>+'Purchased Power Model '!D109</f>
        <v>0</v>
      </c>
      <c r="E109" s="443">
        <f>+'Purchased Power Model '!E109</f>
        <v>7.400000000000001E-2</v>
      </c>
      <c r="F109" s="53">
        <f>+'Purchased Power Model '!F109</f>
        <v>30</v>
      </c>
      <c r="G109" s="53">
        <f>+'Purchased Power Model '!G109</f>
        <v>1</v>
      </c>
      <c r="H109" s="170">
        <v>3811</v>
      </c>
      <c r="I109" s="456">
        <f t="shared" si="3"/>
        <v>11166685.208008816</v>
      </c>
      <c r="J109" s="457">
        <f t="shared" si="4"/>
        <v>1179684.2080088165</v>
      </c>
      <c r="K109" s="5">
        <f t="shared" si="5"/>
        <v>0.11812196754649533</v>
      </c>
    </row>
    <row r="110" spans="1:11" x14ac:dyDescent="0.2">
      <c r="A110" s="453">
        <v>40878</v>
      </c>
      <c r="B110" s="27">
        <v>10539695</v>
      </c>
      <c r="C110" s="458">
        <f>+'Purchased Power Model '!C110</f>
        <v>531.20000000000005</v>
      </c>
      <c r="D110" s="458">
        <f>+'Purchased Power Model '!D110</f>
        <v>0</v>
      </c>
      <c r="E110" s="443">
        <f>+'Purchased Power Model '!E110</f>
        <v>7.400000000000001E-2</v>
      </c>
      <c r="F110" s="53">
        <f>+'Purchased Power Model '!F110</f>
        <v>31</v>
      </c>
      <c r="G110" s="53">
        <f>+'Purchased Power Model '!G110</f>
        <v>0</v>
      </c>
      <c r="H110" s="170">
        <v>3816</v>
      </c>
      <c r="I110" s="456">
        <f t="shared" si="3"/>
        <v>11158693.250070237</v>
      </c>
      <c r="J110" s="457">
        <f t="shared" si="4"/>
        <v>618998.25007023662</v>
      </c>
      <c r="K110" s="5">
        <f t="shared" si="5"/>
        <v>5.8730186221730006E-2</v>
      </c>
    </row>
    <row r="111" spans="1:11" x14ac:dyDescent="0.2">
      <c r="A111" s="453">
        <v>40909</v>
      </c>
      <c r="B111" s="27">
        <v>9452959</v>
      </c>
      <c r="C111" s="458">
        <f>+'Purchased Power Model '!C111</f>
        <v>611</v>
      </c>
      <c r="D111" s="458">
        <f>+'Purchased Power Model '!D111</f>
        <v>0</v>
      </c>
      <c r="E111" s="443">
        <f>+'Purchased Power Model '!E111</f>
        <v>7.9000000000000001E-2</v>
      </c>
      <c r="F111" s="53">
        <f>+'Purchased Power Model '!F111</f>
        <v>31</v>
      </c>
      <c r="G111" s="53">
        <f>+'Purchased Power Model '!G111</f>
        <v>0</v>
      </c>
      <c r="H111" s="170">
        <v>3819</v>
      </c>
      <c r="I111" s="456">
        <f t="shared" si="3"/>
        <v>11314970.400313955</v>
      </c>
      <c r="J111" s="457">
        <f t="shared" si="4"/>
        <v>1862011.4003139548</v>
      </c>
      <c r="K111" s="5">
        <f t="shared" si="5"/>
        <v>0.19697656578368264</v>
      </c>
    </row>
    <row r="112" spans="1:11" x14ac:dyDescent="0.2">
      <c r="A112" s="453">
        <v>40940</v>
      </c>
      <c r="B112" s="27">
        <v>14357372</v>
      </c>
      <c r="C112" s="458">
        <f>+'Purchased Power Model '!C112</f>
        <v>536.20000000000005</v>
      </c>
      <c r="D112" s="458">
        <f>+'Purchased Power Model '!D112</f>
        <v>0</v>
      </c>
      <c r="E112" s="443">
        <f>+'Purchased Power Model '!E112</f>
        <v>7.9000000000000001E-2</v>
      </c>
      <c r="F112" s="53">
        <f>+'Purchased Power Model '!F112</f>
        <v>29</v>
      </c>
      <c r="G112" s="53">
        <f>+'Purchased Power Model '!G112</f>
        <v>0</v>
      </c>
      <c r="H112" s="170">
        <v>3835</v>
      </c>
      <c r="I112" s="456">
        <f t="shared" si="3"/>
        <v>11757497.320761254</v>
      </c>
      <c r="J112" s="457">
        <f t="shared" si="4"/>
        <v>-2599874.6792387459</v>
      </c>
      <c r="K112" s="5">
        <f t="shared" si="5"/>
        <v>-0.1810829084346875</v>
      </c>
    </row>
    <row r="113" spans="1:11" x14ac:dyDescent="0.2">
      <c r="A113" s="453">
        <v>40969</v>
      </c>
      <c r="B113" s="27">
        <v>10772984</v>
      </c>
      <c r="C113" s="458">
        <f>+'Purchased Power Model '!C113</f>
        <v>399.39999999999992</v>
      </c>
      <c r="D113" s="458">
        <f>+'Purchased Power Model '!D113</f>
        <v>0</v>
      </c>
      <c r="E113" s="443">
        <f>+'Purchased Power Model '!E113</f>
        <v>7.9000000000000001E-2</v>
      </c>
      <c r="F113" s="53">
        <f>+'Purchased Power Model '!F113</f>
        <v>31</v>
      </c>
      <c r="G113" s="53">
        <f>+'Purchased Power Model '!G113</f>
        <v>1</v>
      </c>
      <c r="H113" s="170">
        <v>3838</v>
      </c>
      <c r="I113" s="456">
        <f t="shared" si="3"/>
        <v>10962301.067675397</v>
      </c>
      <c r="J113" s="457">
        <f t="shared" si="4"/>
        <v>189317.0676753968</v>
      </c>
      <c r="K113" s="5">
        <f t="shared" si="5"/>
        <v>1.7573317446252294E-2</v>
      </c>
    </row>
    <row r="114" spans="1:11" x14ac:dyDescent="0.2">
      <c r="A114" s="453">
        <v>41000</v>
      </c>
      <c r="B114" s="27">
        <v>11133490</v>
      </c>
      <c r="C114" s="458">
        <f>+'Purchased Power Model '!C114</f>
        <v>336.89999999999992</v>
      </c>
      <c r="D114" s="458">
        <f>+'Purchased Power Model '!D114</f>
        <v>0</v>
      </c>
      <c r="E114" s="443">
        <f>+'Purchased Power Model '!E114</f>
        <v>8.4000000000000005E-2</v>
      </c>
      <c r="F114" s="53">
        <f>+'Purchased Power Model '!F114</f>
        <v>30</v>
      </c>
      <c r="G114" s="53">
        <f>+'Purchased Power Model '!G114</f>
        <v>1</v>
      </c>
      <c r="H114" s="170">
        <v>3845</v>
      </c>
      <c r="I114" s="456">
        <f t="shared" si="3"/>
        <v>11123207.124008233</v>
      </c>
      <c r="J114" s="457">
        <f t="shared" si="4"/>
        <v>-10282.875991767272</v>
      </c>
      <c r="K114" s="5">
        <f t="shared" si="5"/>
        <v>-9.2359861927996279E-4</v>
      </c>
    </row>
    <row r="115" spans="1:11" x14ac:dyDescent="0.2">
      <c r="A115" s="453">
        <v>41030</v>
      </c>
      <c r="B115" s="27">
        <v>8931520</v>
      </c>
      <c r="C115" s="458">
        <f>+'Purchased Power Model '!C115</f>
        <v>109.30000000000001</v>
      </c>
      <c r="D115" s="458">
        <f>+'Purchased Power Model '!D115</f>
        <v>21.8</v>
      </c>
      <c r="E115" s="443">
        <f>+'Purchased Power Model '!E115</f>
        <v>8.4000000000000005E-2</v>
      </c>
      <c r="F115" s="53">
        <f>+'Purchased Power Model '!F115</f>
        <v>31</v>
      </c>
      <c r="G115" s="53">
        <f>+'Purchased Power Model '!G115</f>
        <v>1</v>
      </c>
      <c r="H115" s="170">
        <v>3864</v>
      </c>
      <c r="I115" s="456">
        <f t="shared" si="3"/>
        <v>10519390.881175332</v>
      </c>
      <c r="J115" s="457">
        <f t="shared" si="4"/>
        <v>1587870.8811753318</v>
      </c>
      <c r="K115" s="5">
        <f t="shared" si="5"/>
        <v>0.17778282769062062</v>
      </c>
    </row>
    <row r="116" spans="1:11" x14ac:dyDescent="0.2">
      <c r="A116" s="453">
        <v>41061</v>
      </c>
      <c r="B116" s="27">
        <v>8356542</v>
      </c>
      <c r="C116" s="458">
        <f>+'Purchased Power Model '!C116</f>
        <v>28.2</v>
      </c>
      <c r="D116" s="458">
        <f>+'Purchased Power Model '!D116</f>
        <v>64.3</v>
      </c>
      <c r="E116" s="443">
        <f>+'Purchased Power Model '!E116</f>
        <v>8.4000000000000005E-2</v>
      </c>
      <c r="F116" s="53">
        <f>+'Purchased Power Model '!F116</f>
        <v>30</v>
      </c>
      <c r="G116" s="53">
        <f>+'Purchased Power Model '!G116</f>
        <v>0</v>
      </c>
      <c r="H116" s="170">
        <v>3865</v>
      </c>
      <c r="I116" s="456">
        <f t="shared" si="3"/>
        <v>10887204.45453384</v>
      </c>
      <c r="J116" s="457">
        <f t="shared" si="4"/>
        <v>2530662.4545338396</v>
      </c>
      <c r="K116" s="5">
        <f t="shared" si="5"/>
        <v>0.30283608393685324</v>
      </c>
    </row>
    <row r="117" spans="1:11" x14ac:dyDescent="0.2">
      <c r="A117" s="453">
        <v>41091</v>
      </c>
      <c r="B117" s="27">
        <v>9843844</v>
      </c>
      <c r="C117" s="458">
        <f>+'Purchased Power Model '!C117</f>
        <v>0</v>
      </c>
      <c r="D117" s="458">
        <f>+'Purchased Power Model '!D117</f>
        <v>155.30000000000001</v>
      </c>
      <c r="E117" s="443">
        <f>+'Purchased Power Model '!E117</f>
        <v>8.900000000000001E-2</v>
      </c>
      <c r="F117" s="53">
        <f>+'Purchased Power Model '!F117</f>
        <v>31</v>
      </c>
      <c r="G117" s="53">
        <f>+'Purchased Power Model '!G117</f>
        <v>0</v>
      </c>
      <c r="H117" s="170">
        <v>3864</v>
      </c>
      <c r="I117" s="456">
        <f t="shared" si="3"/>
        <v>11209507.38748217</v>
      </c>
      <c r="J117" s="457">
        <f t="shared" si="4"/>
        <v>1365663.38748217</v>
      </c>
      <c r="K117" s="5">
        <f t="shared" si="5"/>
        <v>0.13873273362338637</v>
      </c>
    </row>
    <row r="118" spans="1:11" x14ac:dyDescent="0.2">
      <c r="A118" s="453">
        <v>41122</v>
      </c>
      <c r="B118" s="27">
        <v>12271242</v>
      </c>
      <c r="C118" s="458">
        <f>+'Purchased Power Model '!C118</f>
        <v>4.4000000000000004</v>
      </c>
      <c r="D118" s="458">
        <f>+'Purchased Power Model '!D118</f>
        <v>102.79999999999998</v>
      </c>
      <c r="E118" s="443">
        <f>+'Purchased Power Model '!E118</f>
        <v>8.900000000000001E-2</v>
      </c>
      <c r="F118" s="53">
        <f>+'Purchased Power Model '!F118</f>
        <v>31</v>
      </c>
      <c r="G118" s="53">
        <f>+'Purchased Power Model '!G118</f>
        <v>0</v>
      </c>
      <c r="H118" s="170">
        <v>3866</v>
      </c>
      <c r="I118" s="456">
        <f t="shared" si="3"/>
        <v>10821923.390517276</v>
      </c>
      <c r="J118" s="457">
        <f t="shared" si="4"/>
        <v>-1449318.6094827242</v>
      </c>
      <c r="K118" s="5">
        <f t="shared" si="5"/>
        <v>-0.11810692100137249</v>
      </c>
    </row>
    <row r="119" spans="1:11" x14ac:dyDescent="0.2">
      <c r="A119" s="453">
        <v>41153</v>
      </c>
      <c r="B119" s="27">
        <v>12813803</v>
      </c>
      <c r="C119" s="458">
        <f>+'Purchased Power Model '!C119</f>
        <v>84</v>
      </c>
      <c r="D119" s="458">
        <f>+'Purchased Power Model '!D119</f>
        <v>24.400000000000002</v>
      </c>
      <c r="E119" s="443">
        <f>+'Purchased Power Model '!E119</f>
        <v>8.900000000000001E-2</v>
      </c>
      <c r="F119" s="53">
        <f>+'Purchased Power Model '!F119</f>
        <v>30</v>
      </c>
      <c r="G119" s="53">
        <f>+'Purchased Power Model '!G119</f>
        <v>1</v>
      </c>
      <c r="H119" s="170">
        <v>3868</v>
      </c>
      <c r="I119" s="456">
        <f t="shared" si="3"/>
        <v>10776765.273402894</v>
      </c>
      <c r="J119" s="457">
        <f t="shared" si="4"/>
        <v>-2037037.7265971061</v>
      </c>
      <c r="K119" s="5">
        <f t="shared" si="5"/>
        <v>-0.15897214328931902</v>
      </c>
    </row>
    <row r="120" spans="1:11" x14ac:dyDescent="0.2">
      <c r="A120" s="453">
        <v>41183</v>
      </c>
      <c r="B120" s="27">
        <v>11998690</v>
      </c>
      <c r="C120" s="458">
        <f>+'Purchased Power Model '!C120</f>
        <v>228.99999999999994</v>
      </c>
      <c r="D120" s="458">
        <f>+'Purchased Power Model '!D120</f>
        <v>0</v>
      </c>
      <c r="E120" s="443">
        <f>+'Purchased Power Model '!E120</f>
        <v>9.1999999999999998E-2</v>
      </c>
      <c r="F120" s="53">
        <f>+'Purchased Power Model '!F120</f>
        <v>31</v>
      </c>
      <c r="G120" s="53">
        <f>+'Purchased Power Model '!G120</f>
        <v>1</v>
      </c>
      <c r="H120" s="170">
        <v>3870</v>
      </c>
      <c r="I120" s="456">
        <f t="shared" si="3"/>
        <v>10588241.626694608</v>
      </c>
      <c r="J120" s="457">
        <f t="shared" si="4"/>
        <v>-1410448.3733053915</v>
      </c>
      <c r="K120" s="5">
        <f t="shared" si="5"/>
        <v>-0.11755019700528904</v>
      </c>
    </row>
    <row r="121" spans="1:11" x14ac:dyDescent="0.2">
      <c r="A121" s="453">
        <v>41214</v>
      </c>
      <c r="B121" s="27">
        <v>10009126</v>
      </c>
      <c r="C121" s="458">
        <f>+'Purchased Power Model '!C121</f>
        <v>427.89999999999992</v>
      </c>
      <c r="D121" s="458">
        <f>+'Purchased Power Model '!D121</f>
        <v>0</v>
      </c>
      <c r="E121" s="443">
        <f>+'Purchased Power Model '!E121</f>
        <v>9.1999999999999998E-2</v>
      </c>
      <c r="F121" s="53">
        <f>+'Purchased Power Model '!F121</f>
        <v>30</v>
      </c>
      <c r="G121" s="53">
        <f>+'Purchased Power Model '!G121</f>
        <v>1</v>
      </c>
      <c r="H121" s="170">
        <v>3876</v>
      </c>
      <c r="I121" s="456">
        <f t="shared" si="3"/>
        <v>11297500.750807574</v>
      </c>
      <c r="J121" s="457">
        <f t="shared" si="4"/>
        <v>1288374.750807574</v>
      </c>
      <c r="K121" s="5">
        <f t="shared" si="5"/>
        <v>0.12872000520400823</v>
      </c>
    </row>
    <row r="122" spans="1:11" x14ac:dyDescent="0.2">
      <c r="A122" s="453">
        <v>41244</v>
      </c>
      <c r="B122" s="27">
        <v>11649229</v>
      </c>
      <c r="C122" s="458">
        <f>+'Purchased Power Model '!C122</f>
        <v>451.09999999999997</v>
      </c>
      <c r="D122" s="458">
        <f>+'Purchased Power Model '!D122</f>
        <v>0</v>
      </c>
      <c r="E122" s="443">
        <f>+'Purchased Power Model '!E122</f>
        <v>9.1999999999999998E-2</v>
      </c>
      <c r="F122" s="53">
        <f>+'Purchased Power Model '!F122</f>
        <v>31</v>
      </c>
      <c r="G122" s="53">
        <f>+'Purchased Power Model '!G122</f>
        <v>0</v>
      </c>
      <c r="H122" s="170">
        <v>3885</v>
      </c>
      <c r="I122" s="456">
        <f t="shared" si="3"/>
        <v>10962595.066277042</v>
      </c>
      <c r="J122" s="457">
        <f t="shared" si="4"/>
        <v>-686633.93372295797</v>
      </c>
      <c r="K122" s="5">
        <f t="shared" si="5"/>
        <v>-5.8942435909102482E-2</v>
      </c>
    </row>
    <row r="123" spans="1:11" x14ac:dyDescent="0.2">
      <c r="A123" s="453">
        <v>41275</v>
      </c>
      <c r="B123" s="27">
        <v>11710408</v>
      </c>
      <c r="C123" s="458">
        <f>+'Purchased Power Model '!C123</f>
        <v>615.40000000000009</v>
      </c>
      <c r="D123" s="458">
        <f>+'Purchased Power Model '!D123</f>
        <v>0</v>
      </c>
      <c r="E123" s="443">
        <f>+'Purchased Power Model '!E123</f>
        <v>8.8000000000000009E-2</v>
      </c>
      <c r="F123" s="53">
        <f>+'Purchased Power Model '!F123</f>
        <v>31</v>
      </c>
      <c r="G123" s="53">
        <f>+'Purchased Power Model '!G123</f>
        <v>0</v>
      </c>
      <c r="H123" s="170">
        <v>3896</v>
      </c>
      <c r="I123" s="456">
        <f t="shared" si="3"/>
        <v>11308717.361146428</v>
      </c>
      <c r="J123" s="457">
        <f t="shared" si="4"/>
        <v>-401690.63885357231</v>
      </c>
      <c r="K123" s="5">
        <f t="shared" si="5"/>
        <v>-3.4302019097333956E-2</v>
      </c>
    </row>
    <row r="124" spans="1:11" x14ac:dyDescent="0.2">
      <c r="A124" s="453">
        <v>41306</v>
      </c>
      <c r="B124" s="27">
        <v>11135515</v>
      </c>
      <c r="C124" s="458">
        <f>+'Purchased Power Model '!C124</f>
        <v>611.5</v>
      </c>
      <c r="D124" s="458">
        <f>+'Purchased Power Model '!D124</f>
        <v>0</v>
      </c>
      <c r="E124" s="443">
        <f>+'Purchased Power Model '!E124</f>
        <v>8.8000000000000009E-2</v>
      </c>
      <c r="F124" s="53">
        <f>+'Purchased Power Model '!F124</f>
        <v>28</v>
      </c>
      <c r="G124" s="53">
        <f>+'Purchased Power Model '!G124</f>
        <v>0</v>
      </c>
      <c r="H124" s="170">
        <v>3895</v>
      </c>
      <c r="I124" s="456">
        <f t="shared" si="3"/>
        <v>12196163.816295641</v>
      </c>
      <c r="J124" s="457">
        <f t="shared" si="4"/>
        <v>1060648.8162956405</v>
      </c>
      <c r="K124" s="5">
        <f t="shared" si="5"/>
        <v>9.5249192901777829E-2</v>
      </c>
    </row>
    <row r="125" spans="1:11" x14ac:dyDescent="0.2">
      <c r="A125" s="453">
        <v>41334</v>
      </c>
      <c r="B125" s="27">
        <v>12239097</v>
      </c>
      <c r="C125" s="458">
        <f>+'Purchased Power Model '!C125</f>
        <v>545</v>
      </c>
      <c r="D125" s="458">
        <f>+'Purchased Power Model '!D125</f>
        <v>0</v>
      </c>
      <c r="E125" s="443">
        <f>+'Purchased Power Model '!E125</f>
        <v>8.8000000000000009E-2</v>
      </c>
      <c r="F125" s="53">
        <f>+'Purchased Power Model '!F125</f>
        <v>31</v>
      </c>
      <c r="G125" s="53">
        <f>+'Purchased Power Model '!G125</f>
        <v>1</v>
      </c>
      <c r="H125" s="170">
        <v>3902</v>
      </c>
      <c r="I125" s="456">
        <f t="shared" si="3"/>
        <v>11247647.638076942</v>
      </c>
      <c r="J125" s="457">
        <f t="shared" si="4"/>
        <v>-991449.36192305759</v>
      </c>
      <c r="K125" s="5">
        <f t="shared" si="5"/>
        <v>-8.1006741095610041E-2</v>
      </c>
    </row>
    <row r="126" spans="1:11" x14ac:dyDescent="0.2">
      <c r="A126" s="453">
        <v>41365</v>
      </c>
      <c r="B126" s="27">
        <v>11909221</v>
      </c>
      <c r="C126" s="458">
        <f>+'Purchased Power Model '!C126</f>
        <v>366.49999999999994</v>
      </c>
      <c r="D126" s="458">
        <f>+'Purchased Power Model '!D126</f>
        <v>0</v>
      </c>
      <c r="E126" s="443">
        <f>+'Purchased Power Model '!E126</f>
        <v>7.400000000000001E-2</v>
      </c>
      <c r="F126" s="53">
        <f>+'Purchased Power Model '!F126</f>
        <v>30</v>
      </c>
      <c r="G126" s="53">
        <f>+'Purchased Power Model '!G126</f>
        <v>1</v>
      </c>
      <c r="H126" s="170">
        <v>3913</v>
      </c>
      <c r="I126" s="456">
        <f t="shared" si="3"/>
        <v>11201379.779119017</v>
      </c>
      <c r="J126" s="457">
        <f t="shared" si="4"/>
        <v>-707841.2208809834</v>
      </c>
      <c r="K126" s="5">
        <f t="shared" si="5"/>
        <v>-5.9436399818341049E-2</v>
      </c>
    </row>
    <row r="127" spans="1:11" x14ac:dyDescent="0.2">
      <c r="A127" s="453">
        <v>41395</v>
      </c>
      <c r="B127" s="27">
        <v>10706718</v>
      </c>
      <c r="C127" s="458">
        <f>+'Purchased Power Model '!C127</f>
        <v>133.4</v>
      </c>
      <c r="D127" s="458">
        <f>+'Purchased Power Model '!D127</f>
        <v>3</v>
      </c>
      <c r="E127" s="443">
        <f>+'Purchased Power Model '!E127</f>
        <v>7.400000000000001E-2</v>
      </c>
      <c r="F127" s="53">
        <f>+'Purchased Power Model '!F127</f>
        <v>31</v>
      </c>
      <c r="G127" s="53">
        <f>+'Purchased Power Model '!G127</f>
        <v>1</v>
      </c>
      <c r="H127" s="170">
        <v>3916</v>
      </c>
      <c r="I127" s="456">
        <f t="shared" si="3"/>
        <v>10444159.316408906</v>
      </c>
      <c r="J127" s="457">
        <f t="shared" si="4"/>
        <v>-262558.68359109387</v>
      </c>
      <c r="K127" s="5">
        <f t="shared" si="5"/>
        <v>-2.4522798077907148E-2</v>
      </c>
    </row>
    <row r="128" spans="1:11" x14ac:dyDescent="0.2">
      <c r="A128" s="453">
        <v>41426</v>
      </c>
      <c r="B128" s="27">
        <v>10139279</v>
      </c>
      <c r="C128" s="458">
        <f>+'Purchased Power Model '!C128</f>
        <v>42.900000000000006</v>
      </c>
      <c r="D128" s="458">
        <f>+'Purchased Power Model '!D128</f>
        <v>32.200000000000003</v>
      </c>
      <c r="E128" s="443">
        <f>+'Purchased Power Model '!E128</f>
        <v>7.400000000000001E-2</v>
      </c>
      <c r="F128" s="53">
        <f>+'Purchased Power Model '!F128</f>
        <v>30</v>
      </c>
      <c r="G128" s="53">
        <f>+'Purchased Power Model '!G128</f>
        <v>0</v>
      </c>
      <c r="H128" s="170">
        <v>3914</v>
      </c>
      <c r="I128" s="456">
        <f t="shared" si="3"/>
        <v>10692070.548014479</v>
      </c>
      <c r="J128" s="457">
        <f t="shared" si="4"/>
        <v>552791.54801447876</v>
      </c>
      <c r="K128" s="5">
        <f t="shared" si="5"/>
        <v>5.4519808362555044E-2</v>
      </c>
    </row>
    <row r="129" spans="1:11" x14ac:dyDescent="0.2">
      <c r="A129" s="453">
        <v>41456</v>
      </c>
      <c r="B129" s="27">
        <v>10246768</v>
      </c>
      <c r="C129" s="458">
        <f>+'Purchased Power Model '!C129</f>
        <v>4.4000000000000004</v>
      </c>
      <c r="D129" s="458">
        <f>+'Purchased Power Model '!D129</f>
        <v>109.99999999999999</v>
      </c>
      <c r="E129" s="443">
        <f>+'Purchased Power Model '!E129</f>
        <v>6.2E-2</v>
      </c>
      <c r="F129" s="53">
        <f>+'Purchased Power Model '!F129</f>
        <v>31</v>
      </c>
      <c r="G129" s="53">
        <f>+'Purchased Power Model '!G129</f>
        <v>0</v>
      </c>
      <c r="H129" s="170">
        <v>3908</v>
      </c>
      <c r="I129" s="456">
        <f t="shared" si="3"/>
        <v>10922343.07725456</v>
      </c>
      <c r="J129" s="457">
        <f t="shared" si="4"/>
        <v>675575.07725455984</v>
      </c>
      <c r="K129" s="5">
        <f t="shared" si="5"/>
        <v>6.5930552663489586E-2</v>
      </c>
    </row>
    <row r="130" spans="1:11" x14ac:dyDescent="0.2">
      <c r="A130" s="453">
        <v>41487</v>
      </c>
      <c r="B130" s="27">
        <v>11967647</v>
      </c>
      <c r="C130" s="458">
        <f>+'Purchased Power Model '!C130</f>
        <v>11</v>
      </c>
      <c r="D130" s="458">
        <f>+'Purchased Power Model '!D130</f>
        <v>57.899999999999991</v>
      </c>
      <c r="E130" s="443">
        <f>+'Purchased Power Model '!E130</f>
        <v>6.2E-2</v>
      </c>
      <c r="F130" s="53">
        <f>+'Purchased Power Model '!F130</f>
        <v>31</v>
      </c>
      <c r="G130" s="53">
        <f>+'Purchased Power Model '!G130</f>
        <v>0</v>
      </c>
      <c r="H130" s="170">
        <v>3911</v>
      </c>
      <c r="I130" s="456">
        <f t="shared" si="3"/>
        <v>10542324.669709157</v>
      </c>
      <c r="J130" s="457">
        <f t="shared" si="4"/>
        <v>-1425322.3302908428</v>
      </c>
      <c r="K130" s="5">
        <f t="shared" si="5"/>
        <v>-0.11909795887953938</v>
      </c>
    </row>
    <row r="131" spans="1:11" x14ac:dyDescent="0.2">
      <c r="A131" s="453">
        <v>41518</v>
      </c>
      <c r="B131" s="27">
        <v>11151803</v>
      </c>
      <c r="C131" s="458">
        <f>+'Purchased Power Model '!C131</f>
        <v>96.600000000000009</v>
      </c>
      <c r="D131" s="458">
        <f>+'Purchased Power Model '!D131</f>
        <v>15.700000000000001</v>
      </c>
      <c r="E131" s="443">
        <f>+'Purchased Power Model '!E131</f>
        <v>6.2E-2</v>
      </c>
      <c r="F131" s="53">
        <f>+'Purchased Power Model '!F131</f>
        <v>30</v>
      </c>
      <c r="G131" s="53">
        <f>+'Purchased Power Model '!G131</f>
        <v>1</v>
      </c>
      <c r="H131" s="170">
        <v>3914</v>
      </c>
      <c r="I131" s="456">
        <f t="shared" si="3"/>
        <v>10783071.342595132</v>
      </c>
      <c r="J131" s="457">
        <f t="shared" si="4"/>
        <v>-368731.65740486793</v>
      </c>
      <c r="K131" s="5">
        <f t="shared" si="5"/>
        <v>-3.3064757098459137E-2</v>
      </c>
    </row>
    <row r="132" spans="1:11" x14ac:dyDescent="0.2">
      <c r="A132" s="453">
        <v>41548</v>
      </c>
      <c r="B132" s="27">
        <v>10054279</v>
      </c>
      <c r="C132" s="458">
        <f>+'Purchased Power Model '!C132</f>
        <v>221</v>
      </c>
      <c r="D132" s="458">
        <f>+'Purchased Power Model '!D132</f>
        <v>3</v>
      </c>
      <c r="E132" s="443">
        <f>+'Purchased Power Model '!E132</f>
        <v>7.5999999999999998E-2</v>
      </c>
      <c r="F132" s="53">
        <f>+'Purchased Power Model '!F132</f>
        <v>31</v>
      </c>
      <c r="G132" s="53">
        <f>+'Purchased Power Model '!G132</f>
        <v>1</v>
      </c>
      <c r="H132" s="170">
        <v>3914</v>
      </c>
      <c r="I132" s="456">
        <f t="shared" ref="I132:I195" si="6">$N$18+C132*$N$19+D132*$N$20+E132*$N$21+F132*$N$22+G132*$N$23</f>
        <v>10621657.897900205</v>
      </c>
      <c r="J132" s="457">
        <f t="shared" ref="J132:J133" si="7">I132-B132</f>
        <v>567378.89790020511</v>
      </c>
      <c r="K132" s="5">
        <f t="shared" ref="K132:K133" si="8">J132/B132</f>
        <v>5.6431584790933798E-2</v>
      </c>
    </row>
    <row r="133" spans="1:11" x14ac:dyDescent="0.2">
      <c r="A133" s="453">
        <v>41579</v>
      </c>
      <c r="B133" s="27">
        <v>10066610</v>
      </c>
      <c r="C133" s="458">
        <f>+'Purchased Power Model '!C133</f>
        <v>458.6</v>
      </c>
      <c r="D133" s="458">
        <f>+'Purchased Power Model '!D133</f>
        <v>0</v>
      </c>
      <c r="E133" s="443">
        <f>+'Purchased Power Model '!E133</f>
        <v>7.5999999999999998E-2</v>
      </c>
      <c r="F133" s="53">
        <f>+'Purchased Power Model '!F133</f>
        <v>30</v>
      </c>
      <c r="G133" s="53">
        <f>+'Purchased Power Model '!G133</f>
        <v>1</v>
      </c>
      <c r="H133" s="170">
        <v>3919</v>
      </c>
      <c r="I133" s="456">
        <f t="shared" si="6"/>
        <v>11388171.54930055</v>
      </c>
      <c r="J133" s="457">
        <f t="shared" si="7"/>
        <v>1321561.5493005496</v>
      </c>
      <c r="K133" s="5">
        <f t="shared" si="8"/>
        <v>0.13128168760889211</v>
      </c>
    </row>
    <row r="134" spans="1:11" x14ac:dyDescent="0.2">
      <c r="A134" s="453">
        <v>41609</v>
      </c>
      <c r="B134" s="27">
        <v>11054783</v>
      </c>
      <c r="C134" s="458">
        <f>+'Purchased Power Model '!C134</f>
        <v>472.8</v>
      </c>
      <c r="D134" s="458">
        <f ca="1">+'Purchased Power Model '!D134</f>
        <v>0</v>
      </c>
      <c r="E134" s="443">
        <f>+'Purchased Power Model '!E134</f>
        <v>7.5999999999999998E-2</v>
      </c>
      <c r="F134" s="53">
        <f>+'Purchased Power Model '!F134</f>
        <v>31</v>
      </c>
      <c r="G134" s="53">
        <f>+'Purchased Power Model '!G134</f>
        <v>0</v>
      </c>
      <c r="H134" s="170">
        <v>3924</v>
      </c>
      <c r="I134" s="456">
        <f t="shared" ca="1" si="6"/>
        <v>11034679.48738955</v>
      </c>
      <c r="J134" s="457">
        <f t="shared" ref="J134" ca="1" si="9">I134-B134</f>
        <v>-20103.512610450387</v>
      </c>
      <c r="K134" s="5">
        <f t="shared" ref="K134" ca="1" si="10">J134/B134</f>
        <v>-1.8185352539665761E-3</v>
      </c>
    </row>
    <row r="135" spans="1:11" x14ac:dyDescent="0.2">
      <c r="A135" s="453">
        <v>41640</v>
      </c>
      <c r="B135" s="27">
        <v>12354311</v>
      </c>
      <c r="C135" s="458">
        <f>+'Purchased Power Model '!C135</f>
        <v>771.3</v>
      </c>
      <c r="D135" s="458">
        <f>+'Purchased Power Model '!D135</f>
        <v>0</v>
      </c>
      <c r="E135" s="443">
        <f>+'Purchased Power Model '!E135</f>
        <v>7.6999999999999999E-2</v>
      </c>
      <c r="F135" s="53">
        <f>+'Purchased Power Model '!F135</f>
        <v>31</v>
      </c>
      <c r="G135" s="53">
        <f>+'Purchased Power Model '!G135</f>
        <v>0</v>
      </c>
      <c r="H135" s="170">
        <v>3922</v>
      </c>
      <c r="I135" s="456">
        <f t="shared" si="6"/>
        <v>11649423.258002348</v>
      </c>
      <c r="J135" s="457"/>
      <c r="K135" s="5"/>
    </row>
    <row r="136" spans="1:11" x14ac:dyDescent="0.2">
      <c r="A136" s="453">
        <v>41671</v>
      </c>
      <c r="B136" s="27">
        <v>13443741</v>
      </c>
      <c r="C136" s="458">
        <f>+'Purchased Power Model '!C136</f>
        <v>690.84999999999991</v>
      </c>
      <c r="D136" s="458">
        <f>+'Purchased Power Model '!D136</f>
        <v>0</v>
      </c>
      <c r="E136" s="443">
        <f>+'Purchased Power Model '!E136</f>
        <v>7.6999999999999999E-2</v>
      </c>
      <c r="F136" s="53">
        <f>+'Purchased Power Model '!F136</f>
        <v>28</v>
      </c>
      <c r="G136" s="53">
        <f>+'Purchased Power Model '!G136</f>
        <v>0</v>
      </c>
      <c r="H136" s="170">
        <v>3917</v>
      </c>
      <c r="I136" s="456">
        <f t="shared" si="6"/>
        <v>12378782.247765498</v>
      </c>
      <c r="J136" s="457"/>
      <c r="K136" s="5"/>
    </row>
    <row r="137" spans="1:11" x14ac:dyDescent="0.2">
      <c r="A137" s="453">
        <v>41699</v>
      </c>
      <c r="B137" s="27">
        <v>11985513</v>
      </c>
      <c r="C137" s="458">
        <f>+'Purchased Power Model '!C137</f>
        <v>677.95</v>
      </c>
      <c r="D137" s="458">
        <f>+'Purchased Power Model '!D137</f>
        <v>0</v>
      </c>
      <c r="E137" s="443">
        <f>+'Purchased Power Model '!E137</f>
        <v>7.6999999999999999E-2</v>
      </c>
      <c r="F137" s="53">
        <f>+'Purchased Power Model '!F137</f>
        <v>31</v>
      </c>
      <c r="G137" s="53">
        <f>+'Purchased Power Model '!G137</f>
        <v>1</v>
      </c>
      <c r="H137" s="170">
        <v>3919</v>
      </c>
      <c r="I137" s="456">
        <f t="shared" si="6"/>
        <v>11540958.27261268</v>
      </c>
      <c r="J137" s="457"/>
      <c r="K137" s="5"/>
    </row>
    <row r="138" spans="1:11" x14ac:dyDescent="0.2">
      <c r="A138" s="453">
        <v>41730</v>
      </c>
      <c r="B138" s="27">
        <v>12615272</v>
      </c>
      <c r="C138" s="458">
        <f>+'Purchased Power Model '!C138</f>
        <v>371.2999999999999</v>
      </c>
      <c r="D138" s="458">
        <f>+'Purchased Power Model '!D138</f>
        <v>0</v>
      </c>
      <c r="E138" s="443">
        <f>+'Purchased Power Model '!E138</f>
        <v>6.7000000000000004E-2</v>
      </c>
      <c r="F138" s="53">
        <f>+'Purchased Power Model '!F138</f>
        <v>30</v>
      </c>
      <c r="G138" s="53">
        <f>+'Purchased Power Model '!G138</f>
        <v>1</v>
      </c>
      <c r="H138" s="170">
        <v>3921</v>
      </c>
      <c r="I138" s="456">
        <f t="shared" si="6"/>
        <v>11223223.401263567</v>
      </c>
      <c r="J138" s="457"/>
      <c r="K138" s="5"/>
    </row>
    <row r="139" spans="1:11" x14ac:dyDescent="0.2">
      <c r="A139" s="453">
        <v>41760</v>
      </c>
      <c r="B139" s="27">
        <v>10327397</v>
      </c>
      <c r="C139" s="458">
        <f>+'Purchased Power Model '!C139</f>
        <v>160.49999999999994</v>
      </c>
      <c r="D139" s="458">
        <f>+'Purchased Power Model '!D139</f>
        <v>1.3</v>
      </c>
      <c r="E139" s="443">
        <f>+'Purchased Power Model '!E139</f>
        <v>6.7000000000000004E-2</v>
      </c>
      <c r="F139" s="53">
        <f>+'Purchased Power Model '!F139</f>
        <v>31</v>
      </c>
      <c r="G139" s="53">
        <f>+'Purchased Power Model '!G139</f>
        <v>1</v>
      </c>
      <c r="H139" s="170">
        <v>3927</v>
      </c>
      <c r="I139" s="456">
        <f t="shared" si="6"/>
        <v>10499211.277308609</v>
      </c>
      <c r="J139" s="457"/>
      <c r="K139" s="5"/>
    </row>
    <row r="140" spans="1:11" x14ac:dyDescent="0.2">
      <c r="A140" s="453">
        <v>41791</v>
      </c>
      <c r="B140" s="27">
        <v>10160622</v>
      </c>
      <c r="C140" s="458">
        <f>+'Purchased Power Model '!C140</f>
        <v>26.9</v>
      </c>
      <c r="D140" s="458">
        <f>+'Purchased Power Model '!D140</f>
        <v>40.1</v>
      </c>
      <c r="E140" s="443">
        <f>+'Purchased Power Model '!E140</f>
        <v>6.7000000000000004E-2</v>
      </c>
      <c r="F140" s="53">
        <f>+'Purchased Power Model '!F140</f>
        <v>30</v>
      </c>
      <c r="G140" s="53">
        <f>+'Purchased Power Model '!G140</f>
        <v>0</v>
      </c>
      <c r="H140" s="170">
        <v>3933</v>
      </c>
      <c r="I140" s="456">
        <f t="shared" si="6"/>
        <v>10730648.47822777</v>
      </c>
      <c r="J140" s="457"/>
      <c r="K140" s="5"/>
    </row>
    <row r="141" spans="1:11" x14ac:dyDescent="0.2">
      <c r="A141" s="453">
        <v>41821</v>
      </c>
      <c r="B141" s="27">
        <v>10305554</v>
      </c>
      <c r="C141" s="458">
        <f>+'Purchased Power Model '!C141</f>
        <v>9.5999999999999979</v>
      </c>
      <c r="D141" s="458">
        <f>+'Purchased Power Model '!D141</f>
        <v>54.599999999999994</v>
      </c>
      <c r="E141" s="443">
        <f>+'Purchased Power Model '!E141</f>
        <v>7.5999999999999998E-2</v>
      </c>
      <c r="F141" s="53">
        <f>+'Purchased Power Model '!F141</f>
        <v>31</v>
      </c>
      <c r="G141" s="53">
        <f>+'Purchased Power Model '!G141</f>
        <v>0</v>
      </c>
      <c r="H141" s="170">
        <v>3934</v>
      </c>
      <c r="I141" s="456">
        <f t="shared" si="6"/>
        <v>10490638.095373224</v>
      </c>
      <c r="J141" s="457"/>
      <c r="K141" s="5"/>
    </row>
    <row r="142" spans="1:11" x14ac:dyDescent="0.2">
      <c r="A142" s="453">
        <v>41852</v>
      </c>
      <c r="B142" s="27">
        <v>10932603</v>
      </c>
      <c r="C142" s="458">
        <f>+'Purchased Power Model '!C142</f>
        <v>12.7</v>
      </c>
      <c r="D142" s="458">
        <f>+'Purchased Power Model '!D142</f>
        <v>58</v>
      </c>
      <c r="E142" s="443">
        <f>+'Purchased Power Model '!E142</f>
        <v>7.5999999999999998E-2</v>
      </c>
      <c r="F142" s="53">
        <f>+'Purchased Power Model '!F142</f>
        <v>31</v>
      </c>
      <c r="G142" s="53">
        <f>+'Purchased Power Model '!G142</f>
        <v>0</v>
      </c>
      <c r="H142" s="170">
        <v>3945</v>
      </c>
      <c r="I142" s="456">
        <f t="shared" si="6"/>
        <v>10522729.217979379</v>
      </c>
      <c r="J142" s="457"/>
      <c r="K142" s="5"/>
    </row>
    <row r="143" spans="1:11" x14ac:dyDescent="0.2">
      <c r="A143" s="453">
        <v>41883</v>
      </c>
      <c r="B143" s="27">
        <v>10524907</v>
      </c>
      <c r="C143" s="458">
        <f>+'Purchased Power Model '!C143</f>
        <v>77.400000000000006</v>
      </c>
      <c r="D143" s="458">
        <f>+'Purchased Power Model '!D143</f>
        <v>22.5</v>
      </c>
      <c r="E143" s="443">
        <f>+'Purchased Power Model '!E143</f>
        <v>7.5999999999999998E-2</v>
      </c>
      <c r="F143" s="53">
        <f>+'Purchased Power Model '!F143</f>
        <v>30</v>
      </c>
      <c r="G143" s="53">
        <f>+'Purchased Power Model '!G143</f>
        <v>1</v>
      </c>
      <c r="H143" s="170">
        <v>3952</v>
      </c>
      <c r="I143" s="456">
        <f t="shared" si="6"/>
        <v>10770936.925450416</v>
      </c>
      <c r="J143" s="457"/>
      <c r="K143" s="5"/>
    </row>
    <row r="144" spans="1:11" x14ac:dyDescent="0.2">
      <c r="A144" s="453">
        <v>41913</v>
      </c>
      <c r="B144" s="27">
        <v>10042926</v>
      </c>
      <c r="C144" s="458">
        <f>+'Purchased Power Model '!C144</f>
        <v>216.29999999999998</v>
      </c>
      <c r="D144" s="458">
        <f>+'Purchased Power Model '!D144</f>
        <v>0.5</v>
      </c>
      <c r="E144" s="443">
        <f>+'Purchased Power Model '!E144</f>
        <v>7.400000000000001E-2</v>
      </c>
      <c r="F144" s="53">
        <f>+'Purchased Power Model '!F144</f>
        <v>31</v>
      </c>
      <c r="G144" s="53">
        <f>+'Purchased Power Model '!G144</f>
        <v>1</v>
      </c>
      <c r="H144" s="170">
        <v>3960</v>
      </c>
      <c r="I144" s="456">
        <f t="shared" si="6"/>
        <v>10596471.424072895</v>
      </c>
      <c r="J144" s="457"/>
      <c r="K144" s="5"/>
    </row>
    <row r="145" spans="1:11" x14ac:dyDescent="0.2">
      <c r="A145" s="453">
        <v>41944</v>
      </c>
      <c r="B145" s="27">
        <v>9975710</v>
      </c>
      <c r="C145" s="458">
        <f>+'Purchased Power Model '!C145</f>
        <v>407.30000000000013</v>
      </c>
      <c r="D145" s="458">
        <f>+'Purchased Power Model '!D145</f>
        <v>0</v>
      </c>
      <c r="E145" s="443">
        <f>+'Purchased Power Model '!E145</f>
        <v>6.8000000000000005E-2</v>
      </c>
      <c r="F145" s="53">
        <f>+'Purchased Power Model '!F145</f>
        <v>30</v>
      </c>
      <c r="G145" s="53">
        <f>+'Purchased Power Model '!G145</f>
        <v>1</v>
      </c>
      <c r="H145" s="170">
        <v>3973</v>
      </c>
      <c r="I145" s="456">
        <f t="shared" si="6"/>
        <v>11295864.498279477</v>
      </c>
      <c r="J145" s="457"/>
      <c r="K145" s="5"/>
    </row>
    <row r="146" spans="1:11" x14ac:dyDescent="0.2">
      <c r="A146" s="453">
        <v>41974</v>
      </c>
      <c r="B146" s="27">
        <v>11060526</v>
      </c>
      <c r="C146" s="458">
        <f>+'Purchased Power Model '!C146</f>
        <v>551.79999999999995</v>
      </c>
      <c r="D146" s="458">
        <f>+'Purchased Power Model '!D146</f>
        <v>0</v>
      </c>
      <c r="E146" s="443">
        <f>+'Purchased Power Model '!E146</f>
        <v>6.6000000000000003E-2</v>
      </c>
      <c r="F146" s="53">
        <f>+'Purchased Power Model '!F146</f>
        <v>31</v>
      </c>
      <c r="G146" s="53">
        <f>+'Purchased Power Model '!G146</f>
        <v>0</v>
      </c>
      <c r="H146" s="170">
        <v>3981</v>
      </c>
      <c r="I146" s="456">
        <f t="shared" si="6"/>
        <v>11214870.702788658</v>
      </c>
      <c r="J146" s="457"/>
      <c r="K146" s="5"/>
    </row>
    <row r="147" spans="1:11" x14ac:dyDescent="0.2">
      <c r="A147" s="453">
        <v>42005</v>
      </c>
      <c r="B147" s="27">
        <v>11692518</v>
      </c>
      <c r="C147" s="458">
        <f>+'Purchased Power Model '!C147</f>
        <v>775.6</v>
      </c>
      <c r="D147" s="458">
        <f>+'Purchased Power Model '!D147</f>
        <v>0</v>
      </c>
      <c r="E147" s="443">
        <f>+'Purchased Power Model '!E147</f>
        <v>6.7000000000000004E-2</v>
      </c>
      <c r="F147" s="53">
        <f>+'Purchased Power Model '!F147</f>
        <v>31</v>
      </c>
      <c r="G147" s="53">
        <f>+'Purchased Power Model '!G147</f>
        <v>0</v>
      </c>
      <c r="H147" s="170"/>
      <c r="I147" s="456">
        <f t="shared" si="6"/>
        <v>11675347.541143607</v>
      </c>
      <c r="J147" s="457"/>
      <c r="K147" s="5"/>
    </row>
    <row r="148" spans="1:11" x14ac:dyDescent="0.2">
      <c r="A148" s="453">
        <v>42036</v>
      </c>
      <c r="B148" s="27">
        <v>13488852</v>
      </c>
      <c r="C148" s="458">
        <f>+'Purchased Power Model '!C148</f>
        <v>809.4</v>
      </c>
      <c r="D148" s="458">
        <f>+'Purchased Power Model '!D148</f>
        <v>0</v>
      </c>
      <c r="E148" s="443">
        <f>+'Purchased Power Model '!E148</f>
        <v>6.8000000000000005E-2</v>
      </c>
      <c r="F148" s="53">
        <f>+'Purchased Power Model '!F148</f>
        <v>28</v>
      </c>
      <c r="G148" s="53">
        <f>+'Purchased Power Model '!G148</f>
        <v>0</v>
      </c>
      <c r="H148" s="170"/>
      <c r="I148" s="456">
        <f t="shared" si="6"/>
        <v>12638945.853480594</v>
      </c>
      <c r="J148" s="457"/>
      <c r="K148" s="5"/>
    </row>
    <row r="149" spans="1:11" x14ac:dyDescent="0.2">
      <c r="A149" s="453">
        <v>42064</v>
      </c>
      <c r="B149" s="27">
        <v>12455720</v>
      </c>
      <c r="C149" s="458">
        <f>+'Purchased Power Model '!C149</f>
        <v>611.6</v>
      </c>
      <c r="D149" s="458">
        <f>+'Purchased Power Model '!D149</f>
        <v>0</v>
      </c>
      <c r="E149" s="443">
        <f>+'Purchased Power Model '!E149</f>
        <v>7.2000000000000008E-2</v>
      </c>
      <c r="F149" s="53">
        <f>+'Purchased Power Model '!F149</f>
        <v>31</v>
      </c>
      <c r="G149" s="53">
        <f>+'Purchased Power Model '!G149</f>
        <v>1</v>
      </c>
      <c r="H149" s="170"/>
      <c r="I149" s="456">
        <f t="shared" si="6"/>
        <v>11412457.430787545</v>
      </c>
      <c r="J149" s="457"/>
      <c r="K149" s="5"/>
    </row>
    <row r="150" spans="1:11" x14ac:dyDescent="0.2">
      <c r="A150" s="453">
        <v>42095</v>
      </c>
      <c r="B150" s="27">
        <v>12022550</v>
      </c>
      <c r="C150" s="458">
        <f>+'Purchased Power Model '!C150</f>
        <v>335.6</v>
      </c>
      <c r="D150" s="458">
        <f>+'Purchased Power Model '!D150</f>
        <v>0</v>
      </c>
      <c r="E150" s="443">
        <f>+'Purchased Power Model '!E150</f>
        <v>7.5999999999999998E-2</v>
      </c>
      <c r="F150" s="53">
        <f>+'Purchased Power Model '!F150</f>
        <v>30</v>
      </c>
      <c r="G150" s="53">
        <f>+'Purchased Power Model '!G150</f>
        <v>1</v>
      </c>
      <c r="H150" s="170"/>
      <c r="I150" s="456">
        <f t="shared" si="6"/>
        <v>11134157.725100862</v>
      </c>
      <c r="J150" s="457"/>
      <c r="K150" s="5"/>
    </row>
    <row r="151" spans="1:11" x14ac:dyDescent="0.2">
      <c r="A151" s="453">
        <v>42125</v>
      </c>
      <c r="B151" s="27">
        <v>10352272</v>
      </c>
      <c r="C151" s="458">
        <f>+'Purchased Power Model '!C151</f>
        <v>120.5</v>
      </c>
      <c r="D151" s="458">
        <f>+'Purchased Power Model '!D151</f>
        <v>1.8</v>
      </c>
      <c r="E151" s="443">
        <f>+'Purchased Power Model '!E151</f>
        <v>7.8E-2</v>
      </c>
      <c r="F151" s="53">
        <f>+'Purchased Power Model '!F151</f>
        <v>31</v>
      </c>
      <c r="G151" s="53">
        <f>+'Purchased Power Model '!G151</f>
        <v>1</v>
      </c>
      <c r="H151" s="170"/>
      <c r="I151" s="456">
        <f t="shared" si="6"/>
        <v>10401634.433960333</v>
      </c>
      <c r="J151" s="457"/>
      <c r="K151" s="5"/>
    </row>
    <row r="152" spans="1:11" x14ac:dyDescent="0.2">
      <c r="A152" s="453">
        <v>42156</v>
      </c>
      <c r="B152" s="27">
        <v>9923697</v>
      </c>
      <c r="C152" s="458">
        <f>+'Purchased Power Model '!C152</f>
        <v>50.2</v>
      </c>
      <c r="D152" s="458">
        <f>+'Purchased Power Model '!D152</f>
        <v>13.1</v>
      </c>
      <c r="E152" s="443">
        <f>+'Purchased Power Model '!E152</f>
        <v>7.8E-2</v>
      </c>
      <c r="F152" s="53">
        <f>+'Purchased Power Model '!F152</f>
        <v>30</v>
      </c>
      <c r="G152" s="53">
        <f>+'Purchased Power Model '!G152</f>
        <v>0</v>
      </c>
      <c r="H152" s="170"/>
      <c r="I152" s="456">
        <f t="shared" si="6"/>
        <v>10556015.947509723</v>
      </c>
      <c r="J152" s="457"/>
      <c r="K152" s="5"/>
    </row>
    <row r="153" spans="1:11" x14ac:dyDescent="0.2">
      <c r="A153" s="453">
        <v>42186</v>
      </c>
      <c r="B153" s="27">
        <v>9916348</v>
      </c>
      <c r="C153" s="458">
        <f>+'Purchased Power Model '!C153</f>
        <v>6.8</v>
      </c>
      <c r="D153" s="458">
        <f>+'Purchased Power Model '!D153</f>
        <v>71.5</v>
      </c>
      <c r="E153" s="443">
        <f>+'Purchased Power Model '!E153</f>
        <v>7.8E-2</v>
      </c>
      <c r="F153" s="53">
        <f>+'Purchased Power Model '!F153</f>
        <v>31</v>
      </c>
      <c r="G153" s="53">
        <f>+'Purchased Power Model '!G153</f>
        <v>0</v>
      </c>
      <c r="H153" s="170"/>
      <c r="I153" s="456">
        <f t="shared" si="6"/>
        <v>10609137.019536868</v>
      </c>
      <c r="J153" s="457"/>
      <c r="K153" s="5"/>
    </row>
    <row r="154" spans="1:11" x14ac:dyDescent="0.2">
      <c r="A154" s="453">
        <v>42217</v>
      </c>
      <c r="B154" s="27">
        <v>11019138</v>
      </c>
      <c r="C154" s="458">
        <f>+'Purchased Power Model '!C154</f>
        <v>4.9000000000000004</v>
      </c>
      <c r="D154" s="458">
        <f>+'Purchased Power Model '!D154</f>
        <v>62</v>
      </c>
      <c r="E154" s="443">
        <f>+'Purchased Power Model '!E154</f>
        <v>0.08</v>
      </c>
      <c r="F154" s="53">
        <f>+'Purchased Power Model '!F154</f>
        <v>31</v>
      </c>
      <c r="G154" s="53">
        <f>+'Purchased Power Model '!G154</f>
        <v>0</v>
      </c>
      <c r="H154" s="170"/>
      <c r="I154" s="456">
        <f t="shared" si="6"/>
        <v>10530025.901490681</v>
      </c>
      <c r="J154" s="457"/>
      <c r="K154" s="5"/>
    </row>
    <row r="155" spans="1:11" x14ac:dyDescent="0.2">
      <c r="A155" s="453">
        <v>42248</v>
      </c>
      <c r="B155" s="27">
        <v>10737898</v>
      </c>
      <c r="C155" s="458">
        <f>+'Purchased Power Model '!C155</f>
        <v>37</v>
      </c>
      <c r="D155" s="458">
        <f>+'Purchased Power Model '!D155</f>
        <v>48.6</v>
      </c>
      <c r="E155" s="443">
        <f>+'Purchased Power Model '!E155</f>
        <v>8.3000000000000004E-2</v>
      </c>
      <c r="F155" s="53">
        <f>+'Purchased Power Model '!F155</f>
        <v>30</v>
      </c>
      <c r="G155" s="53">
        <f>+'Purchased Power Model '!G155</f>
        <v>1</v>
      </c>
      <c r="H155" s="170"/>
      <c r="I155" s="456">
        <f t="shared" si="6"/>
        <v>10872775.84540393</v>
      </c>
      <c r="J155" s="457"/>
      <c r="K155" s="5"/>
    </row>
    <row r="156" spans="1:11" x14ac:dyDescent="0.2">
      <c r="A156" s="453">
        <v>42278</v>
      </c>
      <c r="B156" s="27">
        <v>10506660</v>
      </c>
      <c r="C156" s="458">
        <f>+'Purchased Power Model '!C156</f>
        <v>248.1</v>
      </c>
      <c r="D156" s="458">
        <f>+'Purchased Power Model '!D156</f>
        <v>0</v>
      </c>
      <c r="E156" s="443">
        <f>+'Purchased Power Model '!E156</f>
        <v>8.1000000000000003E-2</v>
      </c>
      <c r="F156" s="53">
        <f>+'Purchased Power Model '!F156</f>
        <v>31</v>
      </c>
      <c r="G156" s="53">
        <f>+'Purchased Power Model '!G156</f>
        <v>1</v>
      </c>
      <c r="H156" s="170"/>
      <c r="I156" s="456">
        <f t="shared" si="6"/>
        <v>10646434.587367468</v>
      </c>
      <c r="J156" s="457"/>
      <c r="K156" s="5"/>
    </row>
    <row r="157" spans="1:11" x14ac:dyDescent="0.2">
      <c r="A157" s="453">
        <v>42309</v>
      </c>
      <c r="B157" s="27">
        <v>9729256</v>
      </c>
      <c r="C157" s="458">
        <f>+'Purchased Power Model '!C157</f>
        <v>345.6</v>
      </c>
      <c r="D157" s="458">
        <f>+'Purchased Power Model '!D157</f>
        <v>0</v>
      </c>
      <c r="E157" s="443">
        <f>+'Purchased Power Model '!E157</f>
        <v>7.8E-2</v>
      </c>
      <c r="F157" s="53">
        <f>+'Purchased Power Model '!F157</f>
        <v>30</v>
      </c>
      <c r="G157" s="53">
        <f>+'Purchased Power Model '!G157</f>
        <v>1</v>
      </c>
      <c r="H157" s="170"/>
      <c r="I157" s="456">
        <f t="shared" si="6"/>
        <v>11151400.430511704</v>
      </c>
      <c r="J157" s="457"/>
      <c r="K157" s="5"/>
    </row>
    <row r="158" spans="1:11" x14ac:dyDescent="0.2">
      <c r="A158" s="453">
        <v>42339</v>
      </c>
      <c r="B158" s="27">
        <v>10352901</v>
      </c>
      <c r="C158" s="458">
        <f>+'Purchased Power Model '!C158</f>
        <v>415</v>
      </c>
      <c r="D158" s="458">
        <f>+'Purchased Power Model '!D158</f>
        <v>0</v>
      </c>
      <c r="E158" s="443">
        <f>+'Purchased Power Model '!E158</f>
        <v>7.0000000000000007E-2</v>
      </c>
      <c r="F158" s="53">
        <f>+'Purchased Power Model '!F158</f>
        <v>31</v>
      </c>
      <c r="G158" s="53">
        <f>+'Purchased Power Model '!G158</f>
        <v>0</v>
      </c>
      <c r="H158" s="170"/>
      <c r="I158" s="456">
        <f t="shared" si="6"/>
        <v>10925540.116581805</v>
      </c>
      <c r="J158" s="457"/>
      <c r="K158" s="5"/>
    </row>
    <row r="159" spans="1:11" x14ac:dyDescent="0.2">
      <c r="A159" s="453">
        <v>42370</v>
      </c>
      <c r="B159" s="27">
        <v>10870579</v>
      </c>
      <c r="C159" s="458">
        <f>+'Purchased Power Model '!C159</f>
        <v>689.4</v>
      </c>
      <c r="D159" s="458">
        <f>+'Purchased Power Model '!D159</f>
        <v>0</v>
      </c>
      <c r="E159" s="443">
        <f>+'Purchased Power Model '!E159</f>
        <v>6.4000000000000001E-2</v>
      </c>
      <c r="F159" s="53">
        <f>+'Purchased Power Model '!F159</f>
        <v>31</v>
      </c>
      <c r="G159" s="53">
        <f>+'Purchased Power Model '!G159</f>
        <v>0</v>
      </c>
      <c r="H159" s="170"/>
      <c r="I159" s="456">
        <f t="shared" si="6"/>
        <v>11502444.586417444</v>
      </c>
      <c r="J159" s="457"/>
      <c r="K159" s="5"/>
    </row>
    <row r="160" spans="1:11" x14ac:dyDescent="0.2">
      <c r="A160" s="453">
        <v>42401</v>
      </c>
      <c r="B160" s="27">
        <v>12338469</v>
      </c>
      <c r="C160" s="458">
        <f>+'Purchased Power Model '!C160</f>
        <v>623.20000000000005</v>
      </c>
      <c r="D160" s="458">
        <f>+'Purchased Power Model '!D160</f>
        <v>0</v>
      </c>
      <c r="E160" s="443">
        <f>+'Purchased Power Model '!E160</f>
        <v>6.0999999999999999E-2</v>
      </c>
      <c r="F160" s="53">
        <f>+'Purchased Power Model '!F160</f>
        <v>29</v>
      </c>
      <c r="G160" s="53">
        <f>+'Purchased Power Model '!G160</f>
        <v>0</v>
      </c>
      <c r="H160" s="170"/>
      <c r="I160" s="456">
        <f t="shared" si="6"/>
        <v>11967845.060546139</v>
      </c>
      <c r="J160" s="457"/>
      <c r="K160" s="5"/>
    </row>
    <row r="161" spans="1:11" x14ac:dyDescent="0.2">
      <c r="A161" s="453">
        <v>42430</v>
      </c>
      <c r="B161" s="27">
        <v>11345477</v>
      </c>
      <c r="C161" s="458">
        <f>+'Purchased Power Model '!C161</f>
        <v>531.20000000000005</v>
      </c>
      <c r="D161" s="458">
        <f>+'Purchased Power Model '!D161</f>
        <v>0</v>
      </c>
      <c r="E161" s="443">
        <f>+'Purchased Power Model '!E161</f>
        <v>6.0999999999999999E-2</v>
      </c>
      <c r="F161" s="53">
        <f>+'Purchased Power Model '!F161</f>
        <v>31</v>
      </c>
      <c r="G161" s="53">
        <f>+'Purchased Power Model '!G161</f>
        <v>1</v>
      </c>
      <c r="H161" s="170"/>
      <c r="I161" s="456">
        <f t="shared" si="6"/>
        <v>11265167.66375415</v>
      </c>
      <c r="J161" s="457"/>
      <c r="K161" s="5"/>
    </row>
    <row r="162" spans="1:11" x14ac:dyDescent="0.2">
      <c r="A162" s="453">
        <v>42461</v>
      </c>
      <c r="B162" s="27">
        <v>11422985</v>
      </c>
      <c r="C162" s="458">
        <f>+'Purchased Power Model '!C162</f>
        <v>421.9</v>
      </c>
      <c r="D162" s="458">
        <f>+'Purchased Power Model '!D162</f>
        <v>0</v>
      </c>
      <c r="E162" s="443">
        <f>+'Purchased Power Model '!E162</f>
        <v>6.0999999999999999E-2</v>
      </c>
      <c r="F162" s="53">
        <f>+'Purchased Power Model '!F162</f>
        <v>30</v>
      </c>
      <c r="G162" s="53">
        <f>+'Purchased Power Model '!G162</f>
        <v>1</v>
      </c>
      <c r="H162" s="170"/>
      <c r="I162" s="456">
        <f t="shared" si="6"/>
        <v>11337946.62023831</v>
      </c>
      <c r="J162" s="457"/>
      <c r="K162" s="5"/>
    </row>
    <row r="163" spans="1:11" x14ac:dyDescent="0.2">
      <c r="A163" s="453">
        <v>42491</v>
      </c>
      <c r="B163" s="27">
        <v>10156087</v>
      </c>
      <c r="C163" s="458">
        <f>+'Purchased Power Model '!C163</f>
        <v>164.3</v>
      </c>
      <c r="D163" s="458">
        <f>+'Purchased Power Model '!D163</f>
        <v>19.399999999999999</v>
      </c>
      <c r="E163" s="443">
        <f>+'Purchased Power Model '!E163</f>
        <v>5.7999999999999996E-2</v>
      </c>
      <c r="F163" s="53">
        <f>+'Purchased Power Model '!F163</f>
        <v>31</v>
      </c>
      <c r="G163" s="53">
        <f>+'Purchased Power Model '!G163</f>
        <v>1</v>
      </c>
      <c r="H163" s="170"/>
      <c r="I163" s="456">
        <f t="shared" si="6"/>
        <v>10659155.507296138</v>
      </c>
      <c r="J163" s="457"/>
      <c r="K163" s="5"/>
    </row>
    <row r="164" spans="1:11" x14ac:dyDescent="0.2">
      <c r="A164" s="453">
        <v>42522</v>
      </c>
      <c r="B164" s="27">
        <v>9963891</v>
      </c>
      <c r="C164" s="458">
        <f>+'Purchased Power Model '!C164</f>
        <v>39.1</v>
      </c>
      <c r="D164" s="458">
        <f>+'Purchased Power Model '!D164</f>
        <v>43.8</v>
      </c>
      <c r="E164" s="443">
        <f>+'Purchased Power Model '!E164</f>
        <v>6.5000000000000002E-2</v>
      </c>
      <c r="F164" s="53">
        <f>+'Purchased Power Model '!F164</f>
        <v>30</v>
      </c>
      <c r="G164" s="53">
        <f>+'Purchased Power Model '!G164</f>
        <v>0</v>
      </c>
      <c r="H164" s="170"/>
      <c r="I164" s="456">
        <f t="shared" si="6"/>
        <v>10787208.008075381</v>
      </c>
      <c r="J164" s="457"/>
      <c r="K164" s="5"/>
    </row>
    <row r="165" spans="1:11" x14ac:dyDescent="0.2">
      <c r="A165" s="453">
        <v>42552</v>
      </c>
      <c r="B165" s="27">
        <v>10187434</v>
      </c>
      <c r="C165" s="458">
        <f>+'Purchased Power Model '!C165</f>
        <v>2.4</v>
      </c>
      <c r="D165" s="458">
        <f>+'Purchased Power Model '!D165</f>
        <v>120.7</v>
      </c>
      <c r="E165" s="443">
        <f>+'Purchased Power Model '!E165</f>
        <v>6.5000000000000002E-2</v>
      </c>
      <c r="F165" s="53">
        <f>+'Purchased Power Model '!F165</f>
        <v>31</v>
      </c>
      <c r="G165" s="53">
        <f>+'Purchased Power Model '!G165</f>
        <v>0</v>
      </c>
      <c r="H165" s="170"/>
      <c r="I165" s="456">
        <f t="shared" si="6"/>
        <v>10993944.794085592</v>
      </c>
      <c r="J165" s="457"/>
      <c r="K165" s="5"/>
    </row>
    <row r="166" spans="1:11" x14ac:dyDescent="0.2">
      <c r="A166" s="453">
        <v>42583</v>
      </c>
      <c r="B166" s="27">
        <v>11557607</v>
      </c>
      <c r="C166" s="458">
        <f>+'Purchased Power Model '!C166</f>
        <v>1.4</v>
      </c>
      <c r="D166" s="458">
        <f>+'Purchased Power Model '!D166</f>
        <v>135.6</v>
      </c>
      <c r="E166" s="443">
        <f>+'Purchased Power Model '!E166</f>
        <v>6.9000000000000006E-2</v>
      </c>
      <c r="F166" s="53">
        <f>+'Purchased Power Model '!F166</f>
        <v>31</v>
      </c>
      <c r="G166" s="53">
        <f>+'Purchased Power Model '!G166</f>
        <v>0</v>
      </c>
      <c r="H166" s="170"/>
      <c r="I166" s="456">
        <f t="shared" si="6"/>
        <v>11097640.905081023</v>
      </c>
      <c r="J166" s="457"/>
      <c r="K166" s="5"/>
    </row>
    <row r="167" spans="1:11" x14ac:dyDescent="0.2">
      <c r="A167" s="453">
        <v>42614</v>
      </c>
      <c r="B167" s="27">
        <v>11989950</v>
      </c>
      <c r="C167" s="458">
        <f>+'Purchased Power Model '!C167</f>
        <v>50.8</v>
      </c>
      <c r="D167" s="458">
        <f>+'Purchased Power Model '!D167</f>
        <v>35.299999999999997</v>
      </c>
      <c r="E167" s="443">
        <f>+'Purchased Power Model '!E167</f>
        <v>6.4000000000000001E-2</v>
      </c>
      <c r="F167" s="53">
        <f>+'Purchased Power Model '!F167</f>
        <v>30</v>
      </c>
      <c r="G167" s="53">
        <f>+'Purchased Power Model '!G167</f>
        <v>1</v>
      </c>
      <c r="H167" s="170"/>
      <c r="I167" s="456">
        <f t="shared" si="6"/>
        <v>10833168.891844762</v>
      </c>
      <c r="J167" s="457"/>
      <c r="K167" s="5"/>
    </row>
    <row r="168" spans="1:11" x14ac:dyDescent="0.2">
      <c r="A168" s="453">
        <v>42644</v>
      </c>
      <c r="B168" s="27">
        <v>10349614</v>
      </c>
      <c r="C168" s="458">
        <f>+'Purchased Power Model '!C168</f>
        <v>204</v>
      </c>
      <c r="D168" s="458">
        <f>+'Purchased Power Model '!D168</f>
        <v>0.3</v>
      </c>
      <c r="E168" s="443">
        <f>+'Purchased Power Model '!E168</f>
        <v>0.06</v>
      </c>
      <c r="F168" s="53">
        <f>+'Purchased Power Model '!F168</f>
        <v>31</v>
      </c>
      <c r="G168" s="53">
        <f>+'Purchased Power Model '!G168</f>
        <v>1</v>
      </c>
      <c r="H168" s="170"/>
      <c r="I168" s="456">
        <f t="shared" si="6"/>
        <v>10593420.690372951</v>
      </c>
      <c r="J168" s="457"/>
      <c r="K168" s="5"/>
    </row>
    <row r="169" spans="1:11" x14ac:dyDescent="0.2">
      <c r="A169" s="453">
        <v>42675</v>
      </c>
      <c r="B169" s="27">
        <v>9732427</v>
      </c>
      <c r="C169" s="458">
        <f>+'Purchased Power Model '!C169</f>
        <v>298.5</v>
      </c>
      <c r="D169" s="458">
        <f>+'Purchased Power Model '!D169</f>
        <v>0</v>
      </c>
      <c r="E169" s="443">
        <f>+'Purchased Power Model '!E169</f>
        <v>5.4000000000000006E-2</v>
      </c>
      <c r="F169" s="53">
        <f>+'Purchased Power Model '!F169</f>
        <v>30</v>
      </c>
      <c r="G169" s="53">
        <f>+'Purchased Power Model '!G169</f>
        <v>1</v>
      </c>
      <c r="H169" s="170"/>
      <c r="I169" s="456">
        <f t="shared" si="6"/>
        <v>11095037.622363346</v>
      </c>
      <c r="J169" s="457"/>
      <c r="K169" s="5"/>
    </row>
    <row r="170" spans="1:11" x14ac:dyDescent="0.2">
      <c r="A170" s="453">
        <v>42705</v>
      </c>
      <c r="B170" s="27">
        <v>10135010</v>
      </c>
      <c r="C170" s="458">
        <f>+'Purchased Power Model '!C170</f>
        <v>483.4</v>
      </c>
      <c r="D170" s="458">
        <f>+'Purchased Power Model '!D170</f>
        <v>0</v>
      </c>
      <c r="E170" s="443">
        <f>+'Purchased Power Model '!E170</f>
        <v>5.2000000000000005E-2</v>
      </c>
      <c r="F170" s="53">
        <f>+'Purchased Power Model '!F170</f>
        <v>31</v>
      </c>
      <c r="G170" s="53">
        <f>+'Purchased Power Model '!G170</f>
        <v>0</v>
      </c>
      <c r="H170" s="170"/>
      <c r="I170" s="456">
        <f t="shared" si="6"/>
        <v>11097476.009780396</v>
      </c>
      <c r="J170" s="457"/>
      <c r="K170" s="5"/>
    </row>
    <row r="171" spans="1:11" x14ac:dyDescent="0.2">
      <c r="A171" s="453">
        <v>42736</v>
      </c>
      <c r="B171" s="27">
        <v>11533625</v>
      </c>
      <c r="C171" s="458">
        <f>+'Purchased Power Model '!C171</f>
        <v>584</v>
      </c>
      <c r="D171" s="458">
        <f ca="1">+'Purchased Power Model '!D171</f>
        <v>0</v>
      </c>
      <c r="E171" s="443">
        <f>+'Purchased Power Model '!E171</f>
        <v>5.2999999999999999E-2</v>
      </c>
      <c r="F171" s="53">
        <f>+'Purchased Power Model '!F171</f>
        <v>31</v>
      </c>
      <c r="G171" s="53">
        <f>+'Purchased Power Model '!G171</f>
        <v>0</v>
      </c>
      <c r="H171" s="170"/>
      <c r="I171" s="456">
        <f t="shared" ca="1" si="6"/>
        <v>11303525.9933272</v>
      </c>
      <c r="J171" s="457"/>
      <c r="K171" s="5"/>
    </row>
    <row r="172" spans="1:11" x14ac:dyDescent="0.2">
      <c r="A172" s="453">
        <v>42767</v>
      </c>
      <c r="B172" s="27">
        <v>11917836</v>
      </c>
      <c r="C172" s="458">
        <f>+'Purchased Power Model '!C172</f>
        <v>506</v>
      </c>
      <c r="D172" s="458">
        <f ca="1">+'Purchased Power Model '!D172</f>
        <v>0</v>
      </c>
      <c r="E172" s="443">
        <f>+'Purchased Power Model '!E172</f>
        <v>5.9000000000000004E-2</v>
      </c>
      <c r="F172" s="53">
        <f>+'Purchased Power Model '!F172</f>
        <v>28</v>
      </c>
      <c r="G172" s="53">
        <f>+'Purchased Power Model '!G172</f>
        <v>0</v>
      </c>
      <c r="H172" s="170"/>
      <c r="I172" s="456">
        <f t="shared" ca="1" si="6"/>
        <v>12027718.133008236</v>
      </c>
      <c r="J172" s="457"/>
      <c r="K172" s="5"/>
    </row>
    <row r="173" spans="1:11" x14ac:dyDescent="0.2">
      <c r="A173" s="453">
        <v>42795</v>
      </c>
      <c r="B173" s="27">
        <v>10619897</v>
      </c>
      <c r="C173" s="458">
        <f>+'Purchased Power Model '!C173</f>
        <v>561</v>
      </c>
      <c r="D173" s="458">
        <f ca="1">+'Purchased Power Model '!D173</f>
        <v>0</v>
      </c>
      <c r="E173" s="443">
        <f>+'Purchased Power Model '!E173</f>
        <v>6.2E-2</v>
      </c>
      <c r="F173" s="53">
        <f>+'Purchased Power Model '!F173</f>
        <v>31</v>
      </c>
      <c r="G173" s="53">
        <f>+'Purchased Power Model '!G173</f>
        <v>1</v>
      </c>
      <c r="H173" s="170"/>
      <c r="I173" s="456">
        <f t="shared" ca="1" si="6"/>
        <v>11325004.811907966</v>
      </c>
      <c r="J173" s="457"/>
      <c r="K173" s="5"/>
    </row>
    <row r="174" spans="1:11" x14ac:dyDescent="0.2">
      <c r="A174" s="460">
        <v>42826</v>
      </c>
      <c r="B174" s="435"/>
      <c r="C174" s="461">
        <f>+'Purchased Power Model '!C174</f>
        <v>410.06381244743028</v>
      </c>
      <c r="D174" s="461">
        <f ca="1">+'Purchased Power Model '!D174</f>
        <v>0</v>
      </c>
      <c r="E174" s="437">
        <f>+'Purchased Power Model '!E174</f>
        <v>6.7312499999999997E-2</v>
      </c>
      <c r="F174" s="462">
        <f>+'Purchased Power Model '!F174</f>
        <v>30</v>
      </c>
      <c r="G174" s="462">
        <f>+'Purchased Power Model '!G174</f>
        <v>1</v>
      </c>
      <c r="H174" s="463"/>
      <c r="I174" s="464">
        <f t="shared" ca="1" si="6"/>
        <v>11302743.977561401</v>
      </c>
      <c r="J174" s="36"/>
      <c r="K174" s="5"/>
    </row>
    <row r="175" spans="1:11" x14ac:dyDescent="0.2">
      <c r="A175" s="460">
        <v>42856</v>
      </c>
      <c r="B175" s="435"/>
      <c r="C175" s="461">
        <f>+'Purchased Power Model '!C175</f>
        <v>159.69064798557193</v>
      </c>
      <c r="D175" s="461">
        <f ca="1">+'Purchased Power Model '!D175</f>
        <v>14.000793761762511</v>
      </c>
      <c r="E175" s="437">
        <f>+'Purchased Power Model '!E175</f>
        <v>6.7312499999999997E-2</v>
      </c>
      <c r="F175" s="462">
        <f>+'Purchased Power Model '!F175</f>
        <v>31</v>
      </c>
      <c r="G175" s="462">
        <f>+'Purchased Power Model '!G175</f>
        <v>1</v>
      </c>
      <c r="H175" s="463"/>
      <c r="I175" s="464">
        <f t="shared" ca="1" si="6"/>
        <v>10592969.734063096</v>
      </c>
      <c r="J175" s="36"/>
      <c r="K175" s="5"/>
    </row>
    <row r="176" spans="1:11" x14ac:dyDescent="0.2">
      <c r="A176" s="460">
        <v>42887</v>
      </c>
      <c r="B176" s="435"/>
      <c r="C176" s="461">
        <f>+'Purchased Power Model '!C176</f>
        <v>38.003069605817792</v>
      </c>
      <c r="D176" s="461">
        <f ca="1">+'Purchased Power Model '!D176</f>
        <v>31.610039523979275</v>
      </c>
      <c r="E176" s="437">
        <f>+'Purchased Power Model '!E176</f>
        <v>6.7312499999999997E-2</v>
      </c>
      <c r="F176" s="462">
        <f>+'Purchased Power Model '!F176</f>
        <v>30</v>
      </c>
      <c r="G176" s="462">
        <f>+'Purchased Power Model '!G176</f>
        <v>0</v>
      </c>
      <c r="H176" s="463"/>
      <c r="I176" s="464">
        <f t="shared" ca="1" si="6"/>
        <v>10688898.371803733</v>
      </c>
      <c r="J176" s="36"/>
      <c r="K176" s="5"/>
    </row>
    <row r="177" spans="1:11" x14ac:dyDescent="0.2">
      <c r="A177" s="460">
        <v>42917</v>
      </c>
      <c r="B177" s="435"/>
      <c r="C177" s="461">
        <f>+'Purchased Power Model '!C177</f>
        <v>2.3326692341166928</v>
      </c>
      <c r="D177" s="461">
        <f ca="1">+'Purchased Power Model '!D177</f>
        <v>87.108031290965727</v>
      </c>
      <c r="E177" s="437">
        <f>+'Purchased Power Model '!E177</f>
        <v>6.6562659999999996E-2</v>
      </c>
      <c r="F177" s="462">
        <f>+'Purchased Power Model '!F177</f>
        <v>31</v>
      </c>
      <c r="G177" s="462">
        <f>+'Purchased Power Model '!G177</f>
        <v>0</v>
      </c>
      <c r="H177" s="463"/>
      <c r="I177" s="464">
        <f t="shared" ca="1" si="6"/>
        <v>10737333.780956015</v>
      </c>
      <c r="J177" s="36"/>
      <c r="K177" s="5"/>
    </row>
    <row r="178" spans="1:11" x14ac:dyDescent="0.2">
      <c r="A178" s="460">
        <v>42948</v>
      </c>
      <c r="B178" s="435"/>
      <c r="C178" s="461">
        <f>+'Purchased Power Model '!C178</f>
        <v>1.3607237199014042</v>
      </c>
      <c r="D178" s="461">
        <f ca="1">+'Purchased Power Model '!D178</f>
        <v>97.861218252319404</v>
      </c>
      <c r="E178" s="437">
        <f>+'Purchased Power Model '!E178</f>
        <v>6.6562659999999996E-2</v>
      </c>
      <c r="F178" s="462">
        <f>+'Purchased Power Model '!F178</f>
        <v>31</v>
      </c>
      <c r="G178" s="462">
        <f>+'Purchased Power Model '!G178</f>
        <v>0</v>
      </c>
      <c r="H178" s="463"/>
      <c r="I178" s="464">
        <f t="shared" ca="1" si="6"/>
        <v>10816573.686251245</v>
      </c>
      <c r="J178" s="36"/>
      <c r="K178" s="5"/>
    </row>
    <row r="179" spans="1:11" x14ac:dyDescent="0.2">
      <c r="A179" s="460">
        <v>42979</v>
      </c>
      <c r="B179" s="435"/>
      <c r="C179" s="461">
        <f>+'Purchased Power Model '!C179</f>
        <v>49.374832122136667</v>
      </c>
      <c r="D179" s="461">
        <f ca="1">+'Purchased Power Model '!D179</f>
        <v>25.475671123207043</v>
      </c>
      <c r="E179" s="437">
        <f>+'Purchased Power Model '!E179</f>
        <v>6.6562659999999996E-2</v>
      </c>
      <c r="F179" s="462">
        <f>+'Purchased Power Model '!F179</f>
        <v>30</v>
      </c>
      <c r="G179" s="462">
        <f>+'Purchased Power Model '!G179</f>
        <v>1</v>
      </c>
      <c r="H179" s="463"/>
      <c r="I179" s="464">
        <f t="shared" ca="1" si="6"/>
        <v>10751628.860479163</v>
      </c>
      <c r="J179" s="36"/>
      <c r="K179" s="5"/>
    </row>
    <row r="180" spans="1:11" x14ac:dyDescent="0.2">
      <c r="A180" s="460">
        <v>43009</v>
      </c>
      <c r="B180" s="435"/>
      <c r="C180" s="461">
        <f>+'Purchased Power Model '!C180</f>
        <v>198.27688489991891</v>
      </c>
      <c r="D180" s="461">
        <f ca="1">+'Purchased Power Model '!D180</f>
        <v>0.21650712002725533</v>
      </c>
      <c r="E180" s="437">
        <f>+'Purchased Power Model '!E180</f>
        <v>6.5937659999999995E-2</v>
      </c>
      <c r="F180" s="462">
        <f>+'Purchased Power Model '!F180</f>
        <v>31</v>
      </c>
      <c r="G180" s="462">
        <f>+'Purchased Power Model '!G180</f>
        <v>1</v>
      </c>
      <c r="H180" s="463"/>
      <c r="I180" s="464">
        <f t="shared" ca="1" si="6"/>
        <v>10570850.518392321</v>
      </c>
      <c r="J180" s="36"/>
      <c r="K180" s="5"/>
    </row>
    <row r="181" spans="1:11" x14ac:dyDescent="0.2">
      <c r="A181" s="460">
        <v>43040</v>
      </c>
      <c r="B181" s="435"/>
      <c r="C181" s="461">
        <f>+'Purchased Power Model '!C181</f>
        <v>290.12573599326367</v>
      </c>
      <c r="D181" s="461">
        <f ca="1">+'Purchased Power Model '!D181</f>
        <v>0</v>
      </c>
      <c r="E181" s="437">
        <f>+'Purchased Power Model '!E181</f>
        <v>6.5937659999999995E-2</v>
      </c>
      <c r="F181" s="462">
        <f>+'Purchased Power Model '!F181</f>
        <v>30</v>
      </c>
      <c r="G181" s="462">
        <f>+'Purchased Power Model '!G181</f>
        <v>1</v>
      </c>
      <c r="H181" s="463"/>
      <c r="I181" s="464">
        <f t="shared" ca="1" si="6"/>
        <v>11057396.788577283</v>
      </c>
      <c r="J181" s="36"/>
      <c r="K181" s="5"/>
    </row>
    <row r="182" spans="1:11" x14ac:dyDescent="0.2">
      <c r="A182" s="460">
        <v>43070</v>
      </c>
      <c r="B182" s="435"/>
      <c r="C182" s="461">
        <f>+'Purchased Power Model '!C182</f>
        <v>469.83846157167056</v>
      </c>
      <c r="D182" s="461">
        <f ca="1">+'Purchased Power Model '!D182</f>
        <v>0</v>
      </c>
      <c r="E182" s="437">
        <f>+'Purchased Power Model '!E182</f>
        <v>6.5937659999999995E-2</v>
      </c>
      <c r="F182" s="462">
        <f>+'Purchased Power Model '!F182</f>
        <v>31</v>
      </c>
      <c r="G182" s="462">
        <f>+'Purchased Power Model '!G182</f>
        <v>0</v>
      </c>
      <c r="H182" s="463"/>
      <c r="I182" s="464">
        <f t="shared" ca="1" si="6"/>
        <v>11045713.835429572</v>
      </c>
      <c r="J182" s="36"/>
      <c r="K182" s="5"/>
    </row>
    <row r="183" spans="1:11" x14ac:dyDescent="0.2">
      <c r="A183" s="460">
        <v>43101</v>
      </c>
      <c r="B183" s="435"/>
      <c r="C183" s="461">
        <f>+'Purchased Power Model '!C183</f>
        <v>607.71046849740094</v>
      </c>
      <c r="D183" s="461">
        <f ca="1">+'Purchased Power Model '!D183</f>
        <v>0</v>
      </c>
      <c r="E183" s="437">
        <f>+'Purchased Power Model '!E183</f>
        <v>6.6219020000000003E-2</v>
      </c>
      <c r="F183" s="462">
        <f>+'Purchased Power Model '!F183</f>
        <v>31</v>
      </c>
      <c r="G183" s="462">
        <f>+'Purchased Power Model '!G183</f>
        <v>0</v>
      </c>
      <c r="H183" s="463"/>
      <c r="I183" s="464">
        <f t="shared" ca="1" si="6"/>
        <v>11329961.076473974</v>
      </c>
      <c r="J183" s="36"/>
      <c r="K183" s="5"/>
    </row>
    <row r="184" spans="1:11" x14ac:dyDescent="0.2">
      <c r="A184" s="460">
        <v>43132</v>
      </c>
      <c r="B184" s="435"/>
      <c r="C184" s="461">
        <f>+'Purchased Power Model '!C184</f>
        <v>526.54365934877546</v>
      </c>
      <c r="D184" s="461">
        <f ca="1">+'Purchased Power Model '!D184</f>
        <v>0</v>
      </c>
      <c r="E184" s="437">
        <f>+'Purchased Power Model '!E184</f>
        <v>6.6219020000000003E-2</v>
      </c>
      <c r="F184" s="462">
        <f>+'Purchased Power Model '!F184</f>
        <v>28</v>
      </c>
      <c r="G184" s="462">
        <f>+'Purchased Power Model '!G184</f>
        <v>0</v>
      </c>
      <c r="H184" s="463"/>
      <c r="I184" s="464">
        <f t="shared" ca="1" si="6"/>
        <v>12057839.745643107</v>
      </c>
      <c r="J184" s="36"/>
      <c r="K184" s="5"/>
    </row>
    <row r="185" spans="1:11" x14ac:dyDescent="0.2">
      <c r="A185" s="460">
        <v>43160</v>
      </c>
      <c r="B185" s="435"/>
      <c r="C185" s="461">
        <f>+'Purchased Power Model '!C185</f>
        <v>583.77666579972936</v>
      </c>
      <c r="D185" s="461">
        <f ca="1">+'Purchased Power Model '!D185</f>
        <v>0</v>
      </c>
      <c r="E185" s="437">
        <f>+'Purchased Power Model '!E185</f>
        <v>6.6219020000000003E-2</v>
      </c>
      <c r="F185" s="462">
        <f>+'Purchased Power Model '!F185</f>
        <v>31</v>
      </c>
      <c r="G185" s="462">
        <f>+'Purchased Power Model '!G185</f>
        <v>1</v>
      </c>
      <c r="H185" s="463"/>
      <c r="I185" s="464">
        <f t="shared" ca="1" si="6"/>
        <v>11364851.162126288</v>
      </c>
      <c r="J185" s="36"/>
      <c r="K185" s="5"/>
    </row>
    <row r="186" spans="1:11" x14ac:dyDescent="0.2">
      <c r="A186" s="460">
        <v>43191</v>
      </c>
      <c r="B186" s="435"/>
      <c r="C186" s="461">
        <f>+'Purchased Power Model '!C186</f>
        <v>426.71245132920933</v>
      </c>
      <c r="D186" s="461">
        <f ca="1">+'Purchased Power Model '!D186</f>
        <v>0</v>
      </c>
      <c r="E186" s="437">
        <f>+'Purchased Power Model '!E186</f>
        <v>6.5531039999999999E-2</v>
      </c>
      <c r="F186" s="462">
        <f>+'Purchased Power Model '!F186</f>
        <v>30</v>
      </c>
      <c r="G186" s="462">
        <f>+'Purchased Power Model '!G186</f>
        <v>1</v>
      </c>
      <c r="H186" s="463"/>
      <c r="I186" s="464">
        <f t="shared" ca="1" si="6"/>
        <v>11340162.307500673</v>
      </c>
      <c r="J186" s="36"/>
      <c r="K186" s="5"/>
    </row>
    <row r="187" spans="1:11" x14ac:dyDescent="0.2">
      <c r="A187" s="460">
        <v>43221</v>
      </c>
      <c r="B187" s="435"/>
      <c r="C187" s="461">
        <f>+'Purchased Power Model '!C187</f>
        <v>166.17410702391345</v>
      </c>
      <c r="D187" s="461">
        <f ca="1">+'Purchased Power Model '!D187</f>
        <v>14.136286176978922</v>
      </c>
      <c r="E187" s="437">
        <f>+'Purchased Power Model '!E187</f>
        <v>6.5531039999999999E-2</v>
      </c>
      <c r="F187" s="462">
        <f>+'Purchased Power Model '!F187</f>
        <v>31</v>
      </c>
      <c r="G187" s="462">
        <f>+'Purchased Power Model '!G187</f>
        <v>1</v>
      </c>
      <c r="H187" s="463"/>
      <c r="I187" s="464">
        <f t="shared" ca="1" si="6"/>
        <v>10610419.142726701</v>
      </c>
      <c r="J187" s="36"/>
      <c r="K187" s="5"/>
    </row>
    <row r="188" spans="1:11" x14ac:dyDescent="0.2">
      <c r="A188" s="460">
        <v>43252</v>
      </c>
      <c r="B188" s="435"/>
      <c r="C188" s="461">
        <f>+'Purchased Power Model '!C188</f>
        <v>39.545998689196693</v>
      </c>
      <c r="D188" s="461">
        <f ca="1">+'Purchased Power Model '!D188</f>
        <v>31.915945079983338</v>
      </c>
      <c r="E188" s="437">
        <f>+'Purchased Power Model '!E188</f>
        <v>6.5531039999999999E-2</v>
      </c>
      <c r="F188" s="462">
        <f>+'Purchased Power Model '!F188</f>
        <v>30</v>
      </c>
      <c r="G188" s="462">
        <f>+'Purchased Power Model '!G188</f>
        <v>0</v>
      </c>
      <c r="H188" s="463"/>
      <c r="I188" s="464">
        <f t="shared" ca="1" si="6"/>
        <v>10697432.408948829</v>
      </c>
      <c r="J188" s="36"/>
      <c r="K188" s="5"/>
    </row>
    <row r="189" spans="1:11" x14ac:dyDescent="0.2">
      <c r="A189" s="460">
        <v>43282</v>
      </c>
      <c r="B189" s="435"/>
      <c r="C189" s="461">
        <f>+'Purchased Power Model '!C189</f>
        <v>2.4273758786207686</v>
      </c>
      <c r="D189" s="461">
        <f ca="1">+'Purchased Power Model '!D189</f>
        <v>87.951017606255462</v>
      </c>
      <c r="E189" s="437">
        <f>+'Purchased Power Model '!E189</f>
        <v>6.4656290000000005E-2</v>
      </c>
      <c r="F189" s="462">
        <f>+'Purchased Power Model '!F189</f>
        <v>31</v>
      </c>
      <c r="G189" s="462">
        <f>+'Purchased Power Model '!G189</f>
        <v>0</v>
      </c>
      <c r="H189" s="463"/>
      <c r="I189" s="464">
        <f t="shared" ca="1" si="6"/>
        <v>10747147.899764434</v>
      </c>
      <c r="J189" s="36"/>
      <c r="K189" s="5"/>
    </row>
    <row r="190" spans="1:11" x14ac:dyDescent="0.2">
      <c r="A190" s="460">
        <v>43313</v>
      </c>
      <c r="B190" s="435"/>
      <c r="C190" s="461">
        <f>+'Purchased Power Model '!C190</f>
        <v>1.4159692625287819</v>
      </c>
      <c r="D190" s="461">
        <f ca="1">+'Purchased Power Model '!D190</f>
        <v>98.80826832981144</v>
      </c>
      <c r="E190" s="437">
        <f>+'Purchased Power Model '!E190</f>
        <v>6.4656290000000005E-2</v>
      </c>
      <c r="F190" s="462">
        <f>+'Purchased Power Model '!F190</f>
        <v>31</v>
      </c>
      <c r="G190" s="462">
        <f>+'Purchased Power Model '!G190</f>
        <v>0</v>
      </c>
      <c r="H190" s="463"/>
      <c r="I190" s="464">
        <f t="shared" ca="1" si="6"/>
        <v>10827092.579317678</v>
      </c>
      <c r="J190" s="36"/>
      <c r="K190" s="5"/>
    </row>
    <row r="191" spans="1:11" x14ac:dyDescent="0.2">
      <c r="A191" s="460">
        <v>43344</v>
      </c>
      <c r="B191" s="435"/>
      <c r="C191" s="461">
        <f>+'Purchased Power Model '!C191</f>
        <v>51.379456097472939</v>
      </c>
      <c r="D191" s="461">
        <f ca="1">+'Purchased Power Model '!D191</f>
        <v>25.722211445739998</v>
      </c>
      <c r="E191" s="437">
        <f>+'Purchased Power Model '!E191</f>
        <v>6.4656290000000005E-2</v>
      </c>
      <c r="F191" s="462">
        <f>+'Purchased Power Model '!F191</f>
        <v>30</v>
      </c>
      <c r="G191" s="462">
        <f>+'Purchased Power Model '!G191</f>
        <v>1</v>
      </c>
      <c r="H191" s="463"/>
      <c r="I191" s="464">
        <f t="shared" ca="1" si="6"/>
        <v>10760880.724554317</v>
      </c>
      <c r="J191" s="36"/>
      <c r="K191" s="5"/>
    </row>
    <row r="192" spans="1:11" x14ac:dyDescent="0.2">
      <c r="A192" s="460">
        <v>43374</v>
      </c>
      <c r="B192" s="435"/>
      <c r="C192" s="461">
        <f>+'Purchased Power Model '!C192</f>
        <v>206.32694968276536</v>
      </c>
      <c r="D192" s="461">
        <f ca="1">+'Purchased Power Model '!D192</f>
        <v>0.21860236356152973</v>
      </c>
      <c r="E192" s="437">
        <f>+'Purchased Power Model '!E192</f>
        <v>6.3593549999999999E-2</v>
      </c>
      <c r="F192" s="462">
        <f>+'Purchased Power Model '!F192</f>
        <v>31</v>
      </c>
      <c r="G192" s="462">
        <f>+'Purchased Power Model '!G192</f>
        <v>1</v>
      </c>
      <c r="H192" s="463"/>
      <c r="I192" s="464">
        <f t="shared" ca="1" si="6"/>
        <v>10591486.295457143</v>
      </c>
      <c r="J192" s="36"/>
      <c r="K192" s="5"/>
    </row>
    <row r="193" spans="1:11" x14ac:dyDescent="0.2">
      <c r="A193" s="460">
        <v>43405</v>
      </c>
      <c r="B193" s="435"/>
      <c r="C193" s="461">
        <f>+'Purchased Power Model '!C193</f>
        <v>301.90487490345811</v>
      </c>
      <c r="D193" s="461">
        <f ca="1">+'Purchased Power Model '!D193</f>
        <v>0</v>
      </c>
      <c r="E193" s="437">
        <f>+'Purchased Power Model '!E193</f>
        <v>6.3593549999999999E-2</v>
      </c>
      <c r="F193" s="462">
        <f>+'Purchased Power Model '!F193</f>
        <v>30</v>
      </c>
      <c r="G193" s="462">
        <f>+'Purchased Power Model '!G193</f>
        <v>1</v>
      </c>
      <c r="H193" s="463"/>
      <c r="I193" s="464">
        <f t="shared" ca="1" si="6"/>
        <v>11085717.843532352</v>
      </c>
      <c r="J193" s="36"/>
      <c r="K193" s="5"/>
    </row>
    <row r="194" spans="1:11" x14ac:dyDescent="0.2">
      <c r="A194" s="460">
        <v>43435</v>
      </c>
      <c r="B194" s="435"/>
      <c r="C194" s="461">
        <f>+'Purchased Power Model '!C194</f>
        <v>488.91395821886647</v>
      </c>
      <c r="D194" s="461">
        <f ca="1">+'Purchased Power Model '!D194</f>
        <v>0</v>
      </c>
      <c r="E194" s="437">
        <f>+'Purchased Power Model '!E194</f>
        <v>6.3593549999999999E-2</v>
      </c>
      <c r="F194" s="462">
        <f>+'Purchased Power Model '!F194</f>
        <v>31</v>
      </c>
      <c r="G194" s="462">
        <f>+'Purchased Power Model '!G194</f>
        <v>0</v>
      </c>
      <c r="H194" s="463"/>
      <c r="I194" s="464">
        <f t="shared" ca="1" si="6"/>
        <v>11089102.985762727</v>
      </c>
      <c r="J194" s="36"/>
      <c r="K194" s="5"/>
    </row>
    <row r="195" spans="1:11" x14ac:dyDescent="0.2">
      <c r="A195" s="460">
        <v>43466</v>
      </c>
      <c r="B195" s="435"/>
      <c r="C195" s="461">
        <f>+'Purchased Power Model '!C195</f>
        <v>606.22673842566678</v>
      </c>
      <c r="D195" s="461">
        <f ca="1">+'Purchased Power Model '!D195</f>
        <v>0</v>
      </c>
      <c r="E195" s="437">
        <f>+'Purchased Power Model '!E195</f>
        <v>6.2343830000000003E-2</v>
      </c>
      <c r="F195" s="462">
        <f>+'Purchased Power Model '!F195</f>
        <v>31</v>
      </c>
      <c r="G195" s="462">
        <f>+'Purchased Power Model '!G195</f>
        <v>0</v>
      </c>
      <c r="H195" s="463"/>
      <c r="I195" s="464">
        <f t="shared" ca="1" si="6"/>
        <v>11333501.869101342</v>
      </c>
      <c r="J195" s="36"/>
      <c r="K195" s="5"/>
    </row>
    <row r="196" spans="1:11" x14ac:dyDescent="0.2">
      <c r="A196" s="460">
        <v>43497</v>
      </c>
      <c r="B196" s="435"/>
      <c r="C196" s="461">
        <f>+'Purchased Power Model '!C196</f>
        <v>525.25809870443049</v>
      </c>
      <c r="D196" s="461">
        <f ca="1">+'Purchased Power Model '!D196</f>
        <v>0</v>
      </c>
      <c r="E196" s="437">
        <f>+'Purchased Power Model '!E196</f>
        <v>6.2343830000000003E-2</v>
      </c>
      <c r="F196" s="462">
        <f>+'Purchased Power Model '!F196</f>
        <v>28</v>
      </c>
      <c r="G196" s="462">
        <f>+'Purchased Power Model '!G196</f>
        <v>0</v>
      </c>
      <c r="H196" s="463"/>
      <c r="I196" s="464">
        <f t="shared" ref="I196:I206" ca="1" si="11">$N$18+C196*$N$19+D196*$N$20+E196*$N$21+F196*$N$22+G196*$N$23</f>
        <v>12061789.788466336</v>
      </c>
      <c r="J196" s="36"/>
      <c r="K196" s="5"/>
    </row>
    <row r="197" spans="1:11" x14ac:dyDescent="0.2">
      <c r="A197" s="460">
        <v>43525</v>
      </c>
      <c r="B197" s="435"/>
      <c r="C197" s="461">
        <f>+'Purchased Power Model '!C197</f>
        <v>582.35137030273825</v>
      </c>
      <c r="D197" s="461">
        <f ca="1">+'Purchased Power Model '!D197</f>
        <v>0</v>
      </c>
      <c r="E197" s="437">
        <f>+'Purchased Power Model '!E197</f>
        <v>6.2343830000000003E-2</v>
      </c>
      <c r="F197" s="462">
        <f>+'Purchased Power Model '!F197</f>
        <v>31</v>
      </c>
      <c r="G197" s="462">
        <f>+'Purchased Power Model '!G197</f>
        <v>1</v>
      </c>
      <c r="H197" s="463"/>
      <c r="I197" s="464">
        <f t="shared" ca="1" si="11"/>
        <v>11368512.631093465</v>
      </c>
      <c r="J197" s="36"/>
      <c r="K197" s="5"/>
    </row>
    <row r="198" spans="1:11" x14ac:dyDescent="0.2">
      <c r="A198" s="460">
        <v>43556</v>
      </c>
      <c r="B198" s="435"/>
      <c r="C198" s="461">
        <f>+'Purchased Power Model '!C198</f>
        <v>425.67062939452069</v>
      </c>
      <c r="D198" s="461">
        <f ca="1">+'Purchased Power Model '!D198</f>
        <v>0</v>
      </c>
      <c r="E198" s="437">
        <f>+'Purchased Power Model '!E198</f>
        <v>6.0906349999999998E-2</v>
      </c>
      <c r="F198" s="462">
        <f>+'Purchased Power Model '!F198</f>
        <v>30</v>
      </c>
      <c r="G198" s="462">
        <f>+'Purchased Power Model '!G198</f>
        <v>1</v>
      </c>
      <c r="H198" s="463"/>
      <c r="I198" s="464">
        <f t="shared" ca="1" si="11"/>
        <v>11345893.165234873</v>
      </c>
      <c r="J198" s="36"/>
      <c r="K198" s="5"/>
    </row>
    <row r="199" spans="1:11" x14ac:dyDescent="0.2">
      <c r="A199" s="460">
        <v>43586</v>
      </c>
      <c r="B199" s="435"/>
      <c r="C199" s="461">
        <f>+'Purchased Power Model '!C199</f>
        <v>165.76839158454547</v>
      </c>
      <c r="D199" s="461">
        <f ca="1">+'Purchased Power Model '!D199</f>
        <v>14.271778592195387</v>
      </c>
      <c r="E199" s="437">
        <f>+'Purchased Power Model '!E199</f>
        <v>6.0906349999999998E-2</v>
      </c>
      <c r="F199" s="462">
        <f>+'Purchased Power Model '!F199</f>
        <v>31</v>
      </c>
      <c r="G199" s="462">
        <f>+'Purchased Power Model '!G199</f>
        <v>1</v>
      </c>
      <c r="H199" s="463"/>
      <c r="I199" s="464">
        <f t="shared" ca="1" si="11"/>
        <v>10618487.388528183</v>
      </c>
      <c r="J199" s="36"/>
      <c r="K199" s="5"/>
    </row>
    <row r="200" spans="1:11" x14ac:dyDescent="0.2">
      <c r="A200" s="460">
        <v>43617</v>
      </c>
      <c r="B200" s="435"/>
      <c r="C200" s="461">
        <f>+'Purchased Power Model '!C200</f>
        <v>39.449446810442659</v>
      </c>
      <c r="D200" s="461">
        <f ca="1">+'Purchased Power Model '!D200</f>
        <v>32.221850635987522</v>
      </c>
      <c r="E200" s="437">
        <f>+'Purchased Power Model '!E200</f>
        <v>6.0906349999999998E-2</v>
      </c>
      <c r="F200" s="462">
        <f>+'Purchased Power Model '!F200</f>
        <v>30</v>
      </c>
      <c r="G200" s="462">
        <f>+'Purchased Power Model '!G200</f>
        <v>0</v>
      </c>
      <c r="H200" s="463"/>
      <c r="I200" s="464">
        <f t="shared" ca="1" si="11"/>
        <v>10707426.703766512</v>
      </c>
      <c r="J200" s="36"/>
      <c r="K200" s="5"/>
    </row>
    <row r="201" spans="1:11" x14ac:dyDescent="0.2">
      <c r="A201" s="460">
        <v>43647</v>
      </c>
      <c r="B201" s="435"/>
      <c r="C201" s="461">
        <f>+'Purchased Power Model '!C201</f>
        <v>2.4214494205898305</v>
      </c>
      <c r="D201" s="461">
        <f ca="1">+'Purchased Power Model '!D201</f>
        <v>88.794003921545524</v>
      </c>
      <c r="E201" s="437">
        <f>+'Purchased Power Model '!E201</f>
        <v>5.928129E-2</v>
      </c>
      <c r="F201" s="462">
        <f>+'Purchased Power Model '!F201</f>
        <v>31</v>
      </c>
      <c r="G201" s="462">
        <f>+'Purchased Power Model '!G201</f>
        <v>0</v>
      </c>
      <c r="H201" s="463"/>
      <c r="I201" s="464">
        <f t="shared" ca="1" si="11"/>
        <v>10762666.172165498</v>
      </c>
      <c r="J201" s="36"/>
      <c r="K201" s="5"/>
    </row>
    <row r="202" spans="1:11" x14ac:dyDescent="0.2">
      <c r="A202" s="460">
        <v>43678</v>
      </c>
      <c r="B202" s="435"/>
      <c r="C202" s="461">
        <f>+'Purchased Power Model '!C202</f>
        <v>1.4125121620107346</v>
      </c>
      <c r="D202" s="461">
        <f ca="1">+'Purchased Power Model '!D202</f>
        <v>99.755318407303832</v>
      </c>
      <c r="E202" s="437">
        <f>+'Purchased Power Model '!E202</f>
        <v>5.928129E-2</v>
      </c>
      <c r="F202" s="462">
        <f>+'Purchased Power Model '!F202</f>
        <v>31</v>
      </c>
      <c r="G202" s="462">
        <f>+'Purchased Power Model '!G202</f>
        <v>0</v>
      </c>
      <c r="H202" s="463"/>
      <c r="I202" s="464">
        <f t="shared" ca="1" si="11"/>
        <v>10843402.218792535</v>
      </c>
      <c r="J202" s="36"/>
      <c r="K202" s="5"/>
    </row>
    <row r="203" spans="1:11" x14ac:dyDescent="0.2">
      <c r="A203" s="460">
        <v>43709</v>
      </c>
      <c r="B203" s="435"/>
      <c r="C203" s="461">
        <f>+'Purchased Power Model '!C203</f>
        <v>51.254012735818087</v>
      </c>
      <c r="D203" s="461">
        <f ca="1">+'Purchased Power Model '!D203</f>
        <v>25.968751768273048</v>
      </c>
      <c r="E203" s="437">
        <f>+'Purchased Power Model '!E203</f>
        <v>5.928129E-2</v>
      </c>
      <c r="F203" s="462">
        <f>+'Purchased Power Model '!F203</f>
        <v>30</v>
      </c>
      <c r="G203" s="462">
        <f>+'Purchased Power Model '!G203</f>
        <v>1</v>
      </c>
      <c r="H203" s="463"/>
      <c r="I203" s="464">
        <f t="shared" ca="1" si="11"/>
        <v>10771645.649938738</v>
      </c>
      <c r="J203" s="36"/>
      <c r="K203" s="5"/>
    </row>
    <row r="204" spans="1:11" x14ac:dyDescent="0.2">
      <c r="A204" s="460">
        <v>43739</v>
      </c>
      <c r="B204" s="435"/>
      <c r="C204" s="461">
        <f>+'Purchased Power Model '!C204</f>
        <v>205.82320075013561</v>
      </c>
      <c r="D204" s="461">
        <f ca="1">+'Purchased Power Model '!D204</f>
        <v>0.22069760709580494</v>
      </c>
      <c r="E204" s="437">
        <f>+'Purchased Power Model '!E204</f>
        <v>5.7468579999999998E-2</v>
      </c>
      <c r="F204" s="462">
        <f>+'Purchased Power Model '!F204</f>
        <v>31</v>
      </c>
      <c r="G204" s="462">
        <f>+'Purchased Power Model '!G204</f>
        <v>1</v>
      </c>
      <c r="H204" s="463"/>
      <c r="I204" s="464">
        <f t="shared" ca="1" si="11"/>
        <v>10600901.28317165</v>
      </c>
      <c r="J204" s="36"/>
      <c r="K204" s="5"/>
    </row>
    <row r="205" spans="1:11" x14ac:dyDescent="0.2">
      <c r="A205" s="460">
        <v>43770</v>
      </c>
      <c r="B205" s="435"/>
      <c r="C205" s="461">
        <f>+'Purchased Power Model '!C205</f>
        <v>301.1677716858602</v>
      </c>
      <c r="D205" s="461">
        <f ca="1">+'Purchased Power Model '!D205</f>
        <v>0</v>
      </c>
      <c r="E205" s="437">
        <f>+'Purchased Power Model '!E205</f>
        <v>5.7468579999999998E-2</v>
      </c>
      <c r="F205" s="462">
        <f>+'Purchased Power Model '!F205</f>
        <v>30</v>
      </c>
      <c r="G205" s="462">
        <f>+'Purchased Power Model '!G205</f>
        <v>1</v>
      </c>
      <c r="H205" s="463"/>
      <c r="I205" s="464">
        <f t="shared" ca="1" si="11"/>
        <v>11094635.088046616</v>
      </c>
      <c r="J205" s="36"/>
      <c r="K205" s="5"/>
    </row>
    <row r="206" spans="1:11" x14ac:dyDescent="0.2">
      <c r="A206" s="460">
        <v>43800</v>
      </c>
      <c r="B206" s="435"/>
      <c r="C206" s="461">
        <f>+'Purchased Power Model '!C206</f>
        <v>487.72027079713502</v>
      </c>
      <c r="D206" s="461">
        <f ca="1">+'Purchased Power Model '!D206</f>
        <v>0</v>
      </c>
      <c r="E206" s="437">
        <f>+'Purchased Power Model '!E206</f>
        <v>5.7468579999999998E-2</v>
      </c>
      <c r="F206" s="462">
        <f>+'Purchased Power Model '!F206</f>
        <v>31</v>
      </c>
      <c r="G206" s="462">
        <f>+'Purchased Power Model '!G206</f>
        <v>0</v>
      </c>
      <c r="H206" s="463"/>
      <c r="I206" s="464">
        <f t="shared" ca="1" si="11"/>
        <v>11097077.314018771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55" t="s">
        <v>60</v>
      </c>
      <c r="I208" s="43">
        <f ca="1">SUM(I3:I206)</f>
        <v>2250122475.7161136</v>
      </c>
    </row>
    <row r="209" spans="1:11" x14ac:dyDescent="0.2">
      <c r="A209" s="3"/>
      <c r="C209" s="23"/>
      <c r="D209" s="23"/>
      <c r="F209" s="164"/>
      <c r="G209" s="164"/>
      <c r="H209"/>
      <c r="I209" s="164"/>
      <c r="J209" s="36"/>
      <c r="K209" s="5" t="s">
        <v>196</v>
      </c>
    </row>
    <row r="210" spans="1:11" x14ac:dyDescent="0.2">
      <c r="A210" s="16">
        <v>2003</v>
      </c>
      <c r="B210" s="6">
        <f>SUM(B3:B14)</f>
        <v>124144653</v>
      </c>
      <c r="C210" s="96"/>
      <c r="D210" s="23" t="s">
        <v>195</v>
      </c>
      <c r="E210" s="97" t="s">
        <v>107</v>
      </c>
      <c r="F210" s="164"/>
      <c r="G210" s="164"/>
      <c r="H210"/>
      <c r="I210" s="6">
        <f>SUM(I3:I14)</f>
        <v>133613292.60916637</v>
      </c>
      <c r="J210" s="36">
        <f>I210-B210</f>
        <v>9468639.6091663688</v>
      </c>
      <c r="K210" s="5">
        <f>J210/B210</f>
        <v>7.6271022394870033E-2</v>
      </c>
    </row>
    <row r="211" spans="1:11" x14ac:dyDescent="0.2">
      <c r="A211">
        <v>2004</v>
      </c>
      <c r="B211" s="6">
        <f>SUM(B15:B26)</f>
        <v>132938490</v>
      </c>
      <c r="C211" s="96">
        <f>+B211-B210</f>
        <v>8793837</v>
      </c>
      <c r="D211" s="98">
        <f>+C211/B210</f>
        <v>7.0835406821750102E-2</v>
      </c>
      <c r="E211" s="98">
        <f>RATE(1,0,-B$210,B211)</f>
        <v>7.0835406821750047E-2</v>
      </c>
      <c r="F211" s="164"/>
      <c r="G211" s="164"/>
      <c r="H211"/>
      <c r="I211" s="6">
        <f>SUM(I15:I26)</f>
        <v>132626976.45719951</v>
      </c>
      <c r="J211" s="36">
        <f t="shared" ref="J211:J226" si="12">I211-B211</f>
        <v>-311513.54280048609</v>
      </c>
      <c r="K211" s="5">
        <f t="shared" ref="K211:K226" si="13">J211/B211</f>
        <v>-2.3432908166813545E-3</v>
      </c>
    </row>
    <row r="212" spans="1:11" x14ac:dyDescent="0.2">
      <c r="A212" s="16">
        <v>2005</v>
      </c>
      <c r="B212" s="6">
        <f>SUM(B27:B38)</f>
        <v>138859028</v>
      </c>
      <c r="C212" s="96">
        <f t="shared" ref="C212:C226" si="14">+B212-B211</f>
        <v>5920538</v>
      </c>
      <c r="D212" s="98">
        <f t="shared" ref="D212:D226" si="15">+C212/B211</f>
        <v>4.4535920334283927E-2</v>
      </c>
      <c r="E212" s="98">
        <f>RATE(2,0,-B$210,B212)</f>
        <v>5.7603917915915265E-2</v>
      </c>
      <c r="F212" s="164"/>
      <c r="G212" s="164"/>
      <c r="H212"/>
      <c r="I212" s="6">
        <f>SUM(I27:I38)</f>
        <v>134217013.84083878</v>
      </c>
      <c r="J212" s="36">
        <f t="shared" si="12"/>
        <v>-4642014.159161225</v>
      </c>
      <c r="K212" s="5">
        <f t="shared" si="13"/>
        <v>-3.3429689275667585E-2</v>
      </c>
    </row>
    <row r="213" spans="1:11" x14ac:dyDescent="0.2">
      <c r="A213">
        <v>2006</v>
      </c>
      <c r="B213" s="6">
        <f>SUM(B39:B50)</f>
        <v>134155770</v>
      </c>
      <c r="C213" s="96">
        <f t="shared" si="14"/>
        <v>-4703258</v>
      </c>
      <c r="D213" s="98">
        <f t="shared" si="15"/>
        <v>-3.3870739754854107E-2</v>
      </c>
      <c r="E213" s="98">
        <f>RATE(3,0,-B$210,B213)</f>
        <v>2.6188426843453606E-2</v>
      </c>
      <c r="F213" s="164"/>
      <c r="G213" s="164"/>
      <c r="H213"/>
      <c r="I213" s="6">
        <f>SUM(I39:I50)</f>
        <v>132388995.82248726</v>
      </c>
      <c r="J213" s="36">
        <f t="shared" si="12"/>
        <v>-1766774.1775127351</v>
      </c>
      <c r="K213" s="5">
        <f t="shared" si="13"/>
        <v>-1.3169572784776496E-2</v>
      </c>
    </row>
    <row r="214" spans="1:11" x14ac:dyDescent="0.2">
      <c r="A214" s="16">
        <v>2007</v>
      </c>
      <c r="B214" s="6">
        <f>SUM(B51:B62)</f>
        <v>132346004</v>
      </c>
      <c r="C214" s="96">
        <f t="shared" si="14"/>
        <v>-1809766</v>
      </c>
      <c r="D214" s="98">
        <f t="shared" si="15"/>
        <v>-1.349003475586626E-2</v>
      </c>
      <c r="E214" s="98">
        <f>RATE(4,0,-B$210,B214)</f>
        <v>1.6121647059656956E-2</v>
      </c>
      <c r="F214" s="164"/>
      <c r="G214" s="164"/>
      <c r="H214"/>
      <c r="I214" s="6">
        <f>SUM(I51:I62)</f>
        <v>130912229.82131374</v>
      </c>
      <c r="J214" s="36">
        <f t="shared" si="12"/>
        <v>-1433774.1786862612</v>
      </c>
      <c r="K214" s="5">
        <f t="shared" si="13"/>
        <v>-1.0833528292144439E-2</v>
      </c>
    </row>
    <row r="215" spans="1:11" x14ac:dyDescent="0.2">
      <c r="A215">
        <v>2008</v>
      </c>
      <c r="B215" s="6">
        <f>SUM(B63:B74)</f>
        <v>131868017</v>
      </c>
      <c r="C215" s="96">
        <f t="shared" si="14"/>
        <v>-477987</v>
      </c>
      <c r="D215" s="98">
        <f t="shared" si="15"/>
        <v>-3.6116466349826477E-3</v>
      </c>
      <c r="E215" s="98">
        <f>RATE(5,0,-B$210,B215)</f>
        <v>1.2143968187770533E-2</v>
      </c>
      <c r="F215" s="164"/>
      <c r="G215" s="164"/>
      <c r="H215"/>
      <c r="I215" s="6">
        <f>SUM(I63:I74)</f>
        <v>129034583.02801484</v>
      </c>
      <c r="J215" s="36">
        <f t="shared" si="12"/>
        <v>-2833433.9719851613</v>
      </c>
      <c r="K215" s="5">
        <f t="shared" si="13"/>
        <v>-2.148689300442852E-2</v>
      </c>
    </row>
    <row r="216" spans="1:11" x14ac:dyDescent="0.2">
      <c r="A216" s="16">
        <v>2009</v>
      </c>
      <c r="B216" s="6">
        <f>SUM(B75:B86)</f>
        <v>128019505</v>
      </c>
      <c r="C216" s="96">
        <f t="shared" si="14"/>
        <v>-3848512</v>
      </c>
      <c r="D216" s="98">
        <f t="shared" si="15"/>
        <v>-2.9184574755529994E-2</v>
      </c>
      <c r="E216" s="98">
        <f>RATE(6,0,-B$210,B216)</f>
        <v>5.1356747601914686E-3</v>
      </c>
      <c r="F216" s="164"/>
      <c r="G216" s="164"/>
      <c r="H216"/>
      <c r="I216" s="6">
        <f>SUM(I75:I86)</f>
        <v>131485673.38214485</v>
      </c>
      <c r="J216" s="36">
        <f t="shared" si="12"/>
        <v>3466168.3821448535</v>
      </c>
      <c r="K216" s="5">
        <f t="shared" si="13"/>
        <v>2.7075314672907486E-2</v>
      </c>
    </row>
    <row r="217" spans="1:11" x14ac:dyDescent="0.2">
      <c r="A217">
        <v>2010</v>
      </c>
      <c r="B217" s="6">
        <f>SUM(B87:B98)</f>
        <v>131282103</v>
      </c>
      <c r="C217" s="96">
        <f t="shared" si="14"/>
        <v>3262598</v>
      </c>
      <c r="D217" s="98">
        <f t="shared" si="15"/>
        <v>2.5485163374128029E-2</v>
      </c>
      <c r="E217" s="98">
        <f>RATE(7,0,-B$210,B217)</f>
        <v>8.0178325628356955E-3</v>
      </c>
      <c r="F217" s="164"/>
      <c r="G217" s="164"/>
      <c r="H217"/>
      <c r="I217" s="6">
        <f>SUM(I87:I98)</f>
        <v>132259109.69887502</v>
      </c>
      <c r="J217" s="36">
        <f t="shared" si="12"/>
        <v>977006.69887502491</v>
      </c>
      <c r="K217" s="5">
        <f t="shared" si="13"/>
        <v>7.4420402823302196E-3</v>
      </c>
    </row>
    <row r="218" spans="1:11" x14ac:dyDescent="0.2">
      <c r="A218">
        <v>2011</v>
      </c>
      <c r="B218" s="6">
        <f>SUM(B99:B110)</f>
        <v>135695878</v>
      </c>
      <c r="C218" s="96">
        <f t="shared" si="14"/>
        <v>4413775</v>
      </c>
      <c r="D218" s="98">
        <f t="shared" si="15"/>
        <v>3.3620538513158951E-2</v>
      </c>
      <c r="E218" s="98">
        <f>RATE(8,0,-B$210,B218)</f>
        <v>1.1183162789080017E-2</v>
      </c>
      <c r="F218" s="164"/>
      <c r="G218" s="164"/>
      <c r="H218"/>
      <c r="I218" s="6">
        <f>SUM(I99:I110)</f>
        <v>132954630.9014684</v>
      </c>
      <c r="J218" s="36">
        <f t="shared" si="12"/>
        <v>-2741247.0985316038</v>
      </c>
      <c r="K218" s="5">
        <f t="shared" si="13"/>
        <v>-2.0201402864511504E-2</v>
      </c>
    </row>
    <row r="219" spans="1:11" x14ac:dyDescent="0.2">
      <c r="A219">
        <v>2012</v>
      </c>
      <c r="B219" s="6">
        <f>SUM(B111:B122)</f>
        <v>131590801</v>
      </c>
      <c r="C219" s="96">
        <f t="shared" si="14"/>
        <v>-4105077</v>
      </c>
      <c r="D219" s="98">
        <f t="shared" si="15"/>
        <v>-3.025203904867324E-2</v>
      </c>
      <c r="E219" s="98">
        <f>RATE(9,0,-B$210,B219)</f>
        <v>6.493175751213668E-3</v>
      </c>
      <c r="F219" s="164"/>
      <c r="G219" s="164"/>
      <c r="H219"/>
      <c r="I219" s="6">
        <f>SUM(I111:I122)</f>
        <v>132221104.74364957</v>
      </c>
      <c r="J219" s="36">
        <f t="shared" si="12"/>
        <v>630303.74364957213</v>
      </c>
      <c r="K219" s="5">
        <f t="shared" si="13"/>
        <v>4.7898769432186379E-3</v>
      </c>
    </row>
    <row r="220" spans="1:11" x14ac:dyDescent="0.2">
      <c r="A220">
        <v>2013</v>
      </c>
      <c r="B220" s="6">
        <f>SUM(B123:B134)</f>
        <v>132382128</v>
      </c>
      <c r="C220" s="96">
        <f t="shared" si="14"/>
        <v>791327</v>
      </c>
      <c r="D220" s="98">
        <f t="shared" si="15"/>
        <v>6.0135434543027062E-3</v>
      </c>
      <c r="E220" s="98">
        <f>RATE(10,0,-B$210,B220)</f>
        <v>6.4452022330804253E-3</v>
      </c>
      <c r="F220" s="164"/>
      <c r="G220" s="164"/>
      <c r="H220"/>
      <c r="I220" s="6">
        <f ca="1">SUM(I123:I134)</f>
        <v>132382386.48321056</v>
      </c>
      <c r="J220" s="36">
        <f t="shared" ca="1" si="12"/>
        <v>258.48321056365967</v>
      </c>
      <c r="K220" s="5">
        <f t="shared" ca="1" si="13"/>
        <v>1.9525536752488197E-6</v>
      </c>
    </row>
    <row r="221" spans="1:11" x14ac:dyDescent="0.2">
      <c r="A221">
        <v>2014</v>
      </c>
      <c r="B221" s="6">
        <f>SUM(B135:B146)</f>
        <v>133729082</v>
      </c>
      <c r="C221" s="96">
        <f t="shared" ref="C221" si="16">+B221-B220</f>
        <v>1346954</v>
      </c>
      <c r="D221" s="98">
        <f t="shared" ref="D221" si="17">+C221/B220</f>
        <v>1.0174742016535647E-2</v>
      </c>
      <c r="E221" s="98">
        <f>RATE(10,0,-B$210,B221)</f>
        <v>7.4645755866290337E-3</v>
      </c>
      <c r="F221" s="92"/>
      <c r="G221" s="164"/>
      <c r="H221"/>
      <c r="I221" s="6">
        <f>SUM(I135:I146)</f>
        <v>132913757.79912451</v>
      </c>
      <c r="J221" s="36">
        <f t="shared" si="12"/>
        <v>-815324.2008754909</v>
      </c>
      <c r="K221" s="5">
        <f t="shared" si="13"/>
        <v>-6.0968353979689392E-3</v>
      </c>
    </row>
    <row r="222" spans="1:11" x14ac:dyDescent="0.2">
      <c r="A222">
        <v>2015</v>
      </c>
      <c r="B222" s="6">
        <f>SUM(B147:B158)</f>
        <v>132197810</v>
      </c>
      <c r="C222" s="96">
        <f t="shared" si="14"/>
        <v>-1531272</v>
      </c>
      <c r="D222" s="98">
        <f t="shared" si="15"/>
        <v>-1.1450553440574728E-2</v>
      </c>
      <c r="E222" s="98">
        <f>RATE(12,0,-B$210,B222)</f>
        <v>5.2514004624709667E-3</v>
      </c>
      <c r="F222" s="92"/>
      <c r="G222" s="164"/>
      <c r="H222"/>
      <c r="I222" s="6">
        <f>SUM(I147:I158)</f>
        <v>132553872.8328751</v>
      </c>
      <c r="J222" s="36">
        <f t="shared" si="12"/>
        <v>356062.83287510276</v>
      </c>
      <c r="K222" s="5">
        <f t="shared" si="13"/>
        <v>2.6934094662771097E-3</v>
      </c>
    </row>
    <row r="223" spans="1:11" x14ac:dyDescent="0.2">
      <c r="A223">
        <v>2016</v>
      </c>
      <c r="B223" s="6">
        <f>SUM(B159:B170)</f>
        <v>130049530</v>
      </c>
      <c r="C223" s="96">
        <f t="shared" si="14"/>
        <v>-2148280</v>
      </c>
      <c r="D223" s="98">
        <f t="shared" si="15"/>
        <v>-1.6250496131516853E-2</v>
      </c>
      <c r="E223" s="98">
        <f>RATE(13,0,-B$210,B223)</f>
        <v>3.5808525834420636E-3</v>
      </c>
      <c r="F223" s="92"/>
      <c r="G223" s="164"/>
      <c r="H223"/>
      <c r="I223" s="6">
        <f>SUM(I159:I170)</f>
        <v>133230456.35985562</v>
      </c>
      <c r="J223" s="36">
        <f t="shared" si="12"/>
        <v>3180926.3598556221</v>
      </c>
      <c r="K223" s="5">
        <f t="shared" si="13"/>
        <v>2.4459345296023925E-2</v>
      </c>
    </row>
    <row r="224" spans="1:11" x14ac:dyDescent="0.2">
      <c r="A224">
        <v>2017</v>
      </c>
      <c r="B224" s="6">
        <f t="shared" ref="B224:B226" ca="1" si="18">+I224</f>
        <v>132220358.49175724</v>
      </c>
      <c r="C224" s="96">
        <f t="shared" ca="1" si="14"/>
        <v>2170828.4917572439</v>
      </c>
      <c r="D224" s="98">
        <f t="shared" ca="1" si="15"/>
        <v>1.6692320931550032E-2</v>
      </c>
      <c r="E224" s="98">
        <f ca="1">RATE(14,0,-B$210,B224)</f>
        <v>4.5117525215256091E-3</v>
      </c>
      <c r="F224" s="92"/>
      <c r="G224" s="164"/>
      <c r="H224"/>
      <c r="I224" s="6">
        <f ca="1">SUM(I171:I182)</f>
        <v>132220358.49175724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132502094.17180821</v>
      </c>
      <c r="C225" s="96">
        <f t="shared" ca="1" si="14"/>
        <v>281735.68005096912</v>
      </c>
      <c r="D225" s="98">
        <f t="shared" ca="1" si="15"/>
        <v>2.1308040854278337E-3</v>
      </c>
      <c r="E225" s="98">
        <f ca="1">RATE(15,0,-B$210,B225)</f>
        <v>4.3528467830180094E-3</v>
      </c>
      <c r="F225" s="92"/>
      <c r="G225" s="164"/>
      <c r="H225"/>
      <c r="I225" s="6">
        <f ca="1">SUM(I183:I194)</f>
        <v>132502094.17180821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132605939.27232452</v>
      </c>
      <c r="C226" s="96">
        <f t="shared" ca="1" si="14"/>
        <v>103845.10051630437</v>
      </c>
      <c r="D226" s="98">
        <f t="shared" ca="1" si="15"/>
        <v>7.8372422085385394E-4</v>
      </c>
      <c r="E226" s="98">
        <f ca="1">RATE(16,0,-B$210,B226)</f>
        <v>4.129404183067416E-3</v>
      </c>
      <c r="F226" s="92"/>
      <c r="G226" s="164"/>
      <c r="H226"/>
      <c r="I226" s="6">
        <f ca="1">SUM(I195:I206)</f>
        <v>132605939.27232452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90"/>
      <c r="D227" s="164"/>
      <c r="F227" s="164"/>
      <c r="G227" s="164"/>
      <c r="H227"/>
      <c r="J227" s="164"/>
      <c r="K227" s="164"/>
    </row>
    <row r="228" spans="1:11" x14ac:dyDescent="0.2">
      <c r="A228" t="s">
        <v>9</v>
      </c>
      <c r="B228" s="6">
        <f ca="1">SUM(B210:B226)</f>
        <v>2246587190.9358897</v>
      </c>
      <c r="C228" s="90"/>
      <c r="D228" s="164"/>
      <c r="F228" s="164"/>
      <c r="G228" s="164"/>
      <c r="H228"/>
      <c r="I228" s="6">
        <f ca="1">SUM(I210:I226)</f>
        <v>2250122475.7161136</v>
      </c>
      <c r="J228" s="168">
        <f ca="1">I228-B228</f>
        <v>3535284.7802238464</v>
      </c>
      <c r="K228" s="164"/>
    </row>
    <row r="229" spans="1:11" x14ac:dyDescent="0.2">
      <c r="C229" s="164"/>
      <c r="D229" s="164"/>
      <c r="F229" s="164"/>
      <c r="G229" s="164"/>
      <c r="H229"/>
      <c r="I229" s="164"/>
      <c r="J229" s="54"/>
      <c r="K229" s="164"/>
    </row>
    <row r="230" spans="1:11" x14ac:dyDescent="0.2">
      <c r="C230" s="164"/>
      <c r="D230" s="164"/>
      <c r="F230" s="164"/>
      <c r="G230" s="164"/>
      <c r="H230"/>
      <c r="I230" s="6">
        <f ca="1">SUM(I210:I226)</f>
        <v>2250122475.7161136</v>
      </c>
      <c r="J230" s="168">
        <f ca="1">I208-I230</f>
        <v>0</v>
      </c>
      <c r="K230" s="164"/>
    </row>
    <row r="231" spans="1:11" x14ac:dyDescent="0.2">
      <c r="C231" s="164"/>
      <c r="D231" s="164"/>
      <c r="F231" s="164"/>
      <c r="G231" s="164"/>
      <c r="H231"/>
      <c r="I231" s="23"/>
      <c r="J231" s="169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.57031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28515625" style="6" bestFit="1" customWidth="1"/>
    <col min="15" max="15" width="24.42578125" style="6" bestFit="1" customWidth="1"/>
    <col min="16" max="16" width="22.85546875" style="6" bestFit="1" customWidth="1"/>
    <col min="17" max="17" width="9.7109375" style="6" bestFit="1" customWidth="1"/>
    <col min="18" max="18" width="14.5703125" bestFit="1" customWidth="1"/>
    <col min="19" max="19" width="15" bestFit="1" customWidth="1"/>
    <col min="20" max="20" width="14.5703125" bestFit="1" customWidth="1"/>
    <col min="21" max="21" width="1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64"/>
      <c r="M2" t="s">
        <v>18</v>
      </c>
      <c r="N2"/>
      <c r="O2"/>
      <c r="P2"/>
      <c r="Q2"/>
    </row>
    <row r="3" spans="1:18" ht="13.5" thickBot="1" x14ac:dyDescent="0.25">
      <c r="A3" s="453">
        <v>37622</v>
      </c>
      <c r="B3" s="459">
        <v>23662140</v>
      </c>
      <c r="C3" s="455">
        <f>+'Purchased Power Model '!C3</f>
        <v>786</v>
      </c>
      <c r="D3" s="455">
        <f>+'Purchased Power Model '!D3</f>
        <v>0</v>
      </c>
      <c r="E3" s="443">
        <f>+'Purchased Power Model '!E3</f>
        <v>5.2000000000000005E-2</v>
      </c>
      <c r="F3" s="53">
        <f>+'Purchased Power Model '!F3</f>
        <v>31</v>
      </c>
      <c r="G3" s="53">
        <f>+'Purchased Power Model '!G3</f>
        <v>0</v>
      </c>
      <c r="H3" s="17">
        <v>570.66666666666663</v>
      </c>
      <c r="I3" s="456">
        <f>$N$18+C3*$N$19+D3*$N$20+E3*$N$21+F3*$N$22+G3*$N$23</f>
        <v>32251320.232003495</v>
      </c>
      <c r="J3" s="457">
        <f>I3-B3</f>
        <v>8589180.2320034951</v>
      </c>
      <c r="K3" s="5">
        <f>J3/B3</f>
        <v>0.36299253710794943</v>
      </c>
      <c r="M3"/>
      <c r="N3"/>
      <c r="O3"/>
      <c r="P3"/>
      <c r="Q3"/>
    </row>
    <row r="4" spans="1:18" x14ac:dyDescent="0.2">
      <c r="A4" s="453">
        <v>37653</v>
      </c>
      <c r="B4" s="459">
        <v>28617624</v>
      </c>
      <c r="C4" s="455">
        <f>+'Purchased Power Model '!C4</f>
        <v>686.5</v>
      </c>
      <c r="D4" s="455">
        <f>+'Purchased Power Model '!D4</f>
        <v>0</v>
      </c>
      <c r="E4" s="443">
        <f>+'Purchased Power Model '!E4</f>
        <v>5.2000000000000005E-2</v>
      </c>
      <c r="F4" s="53">
        <f>+'Purchased Power Model '!F4</f>
        <v>28</v>
      </c>
      <c r="G4" s="53">
        <f>+'Purchased Power Model '!G4</f>
        <v>0</v>
      </c>
      <c r="H4" s="17">
        <v>568.33333333333326</v>
      </c>
      <c r="I4" s="456">
        <f t="shared" ref="I4:I67" si="0">$N$18+C4*$N$19+D4*$N$20+E4*$N$21+F4*$N$22+G4*$N$23</f>
        <v>33401866.660646632</v>
      </c>
      <c r="J4" s="457">
        <f t="shared" ref="J4:J67" si="1">I4-B4</f>
        <v>4784242.6606466323</v>
      </c>
      <c r="K4" s="5">
        <f t="shared" ref="K4:K67" si="2">J4/B4</f>
        <v>0.16717819273349291</v>
      </c>
      <c r="M4" s="49" t="s">
        <v>19</v>
      </c>
      <c r="N4" s="49"/>
      <c r="O4"/>
      <c r="P4"/>
      <c r="Q4"/>
    </row>
    <row r="5" spans="1:18" x14ac:dyDescent="0.2">
      <c r="A5" s="453">
        <v>37681</v>
      </c>
      <c r="B5" s="459">
        <v>27305059</v>
      </c>
      <c r="C5" s="455">
        <f>+'Purchased Power Model '!C5</f>
        <v>572.5</v>
      </c>
      <c r="D5" s="455">
        <f>+'Purchased Power Model '!D5</f>
        <v>0</v>
      </c>
      <c r="E5" s="443">
        <f>+'Purchased Power Model '!E5</f>
        <v>5.2000000000000005E-2</v>
      </c>
      <c r="F5" s="53">
        <f>+'Purchased Power Model '!F5</f>
        <v>31</v>
      </c>
      <c r="G5" s="53">
        <f>+'Purchased Power Model '!G5</f>
        <v>1</v>
      </c>
      <c r="H5" s="17">
        <v>565.99999999999989</v>
      </c>
      <c r="I5" s="456">
        <f t="shared" si="0"/>
        <v>30005972.662309609</v>
      </c>
      <c r="J5" s="457">
        <f t="shared" si="1"/>
        <v>2700913.6623096094</v>
      </c>
      <c r="K5" s="5">
        <f t="shared" si="2"/>
        <v>9.8916236083196496E-2</v>
      </c>
      <c r="M5" s="35" t="s">
        <v>20</v>
      </c>
      <c r="N5" s="466">
        <v>0.61657034388414833</v>
      </c>
      <c r="O5"/>
      <c r="P5"/>
      <c r="Q5"/>
    </row>
    <row r="6" spans="1:18" x14ac:dyDescent="0.2">
      <c r="A6" s="453">
        <v>37712</v>
      </c>
      <c r="B6" s="459">
        <v>26547174</v>
      </c>
      <c r="C6" s="455">
        <f>+'Purchased Power Model '!C6</f>
        <v>403.9</v>
      </c>
      <c r="D6" s="455">
        <f>+'Purchased Power Model '!D6</f>
        <v>0</v>
      </c>
      <c r="E6" s="443">
        <f>+'Purchased Power Model '!E6</f>
        <v>5.5999999999999994E-2</v>
      </c>
      <c r="F6" s="53">
        <f>+'Purchased Power Model '!F6</f>
        <v>30</v>
      </c>
      <c r="G6" s="53">
        <f>+'Purchased Power Model '!G6</f>
        <v>1</v>
      </c>
      <c r="H6" s="17">
        <v>563.66666666666652</v>
      </c>
      <c r="I6" s="456">
        <f t="shared" si="0"/>
        <v>29080793.776854161</v>
      </c>
      <c r="J6" s="457">
        <f t="shared" si="1"/>
        <v>2533619.7768541612</v>
      </c>
      <c r="K6" s="5">
        <f t="shared" si="2"/>
        <v>9.5438398710693692E-2</v>
      </c>
      <c r="M6" s="35" t="s">
        <v>21</v>
      </c>
      <c r="N6" s="466">
        <v>0.3801589889574169</v>
      </c>
      <c r="O6"/>
      <c r="P6"/>
      <c r="Q6"/>
    </row>
    <row r="7" spans="1:18" x14ac:dyDescent="0.2">
      <c r="A7" s="453">
        <v>37742</v>
      </c>
      <c r="B7" s="459">
        <v>25198381</v>
      </c>
      <c r="C7" s="455">
        <f>+'Purchased Power Model '!C7</f>
        <v>192</v>
      </c>
      <c r="D7" s="455">
        <f>+'Purchased Power Model '!D7</f>
        <v>0</v>
      </c>
      <c r="E7" s="443">
        <f>+'Purchased Power Model '!E7</f>
        <v>5.5999999999999994E-2</v>
      </c>
      <c r="F7" s="53">
        <f>+'Purchased Power Model '!F7</f>
        <v>31</v>
      </c>
      <c r="G7" s="53">
        <f>+'Purchased Power Model '!G7</f>
        <v>1</v>
      </c>
      <c r="H7" s="17">
        <v>561.33333333333314</v>
      </c>
      <c r="I7" s="456">
        <f t="shared" si="0"/>
        <v>26088948.552091181</v>
      </c>
      <c r="J7" s="457">
        <f t="shared" si="1"/>
        <v>890567.55209118128</v>
      </c>
      <c r="K7" s="5">
        <f t="shared" si="2"/>
        <v>3.5342252825337518E-2</v>
      </c>
      <c r="M7" s="35" t="s">
        <v>22</v>
      </c>
      <c r="N7" s="466">
        <v>0.36137592801673257</v>
      </c>
      <c r="O7"/>
      <c r="P7"/>
      <c r="Q7"/>
    </row>
    <row r="8" spans="1:18" x14ac:dyDescent="0.2">
      <c r="A8" s="453">
        <v>37773</v>
      </c>
      <c r="B8" s="459">
        <v>16128368</v>
      </c>
      <c r="C8" s="455">
        <f>+'Purchased Power Model '!C8</f>
        <v>55.1</v>
      </c>
      <c r="D8" s="455">
        <f>+'Purchased Power Model '!D8</f>
        <v>31</v>
      </c>
      <c r="E8" s="443">
        <f>+'Purchased Power Model '!E8</f>
        <v>5.5999999999999994E-2</v>
      </c>
      <c r="F8" s="53">
        <f>+'Purchased Power Model '!F8</f>
        <v>30</v>
      </c>
      <c r="G8" s="53">
        <f>+'Purchased Power Model '!G8</f>
        <v>0</v>
      </c>
      <c r="H8" s="17">
        <v>558.99999999999977</v>
      </c>
      <c r="I8" s="456">
        <f t="shared" si="0"/>
        <v>26184480.201281842</v>
      </c>
      <c r="J8" s="457">
        <f t="shared" si="1"/>
        <v>10056112.201281842</v>
      </c>
      <c r="K8" s="5">
        <f t="shared" si="2"/>
        <v>0.6235046348943577</v>
      </c>
      <c r="M8" s="35" t="s">
        <v>23</v>
      </c>
      <c r="N8" s="59">
        <v>3055372.774893418</v>
      </c>
      <c r="O8"/>
      <c r="P8"/>
      <c r="Q8"/>
    </row>
    <row r="9" spans="1:18" ht="13.5" thickBot="1" x14ac:dyDescent="0.25">
      <c r="A9" s="453">
        <v>37803</v>
      </c>
      <c r="B9" s="459">
        <v>18871062</v>
      </c>
      <c r="C9" s="455">
        <f>+'Purchased Power Model '!C9</f>
        <v>5.7</v>
      </c>
      <c r="D9" s="455">
        <f>+'Purchased Power Model '!D9</f>
        <v>59.1</v>
      </c>
      <c r="E9" s="443">
        <f>+'Purchased Power Model '!E9</f>
        <v>5.0999999999999997E-2</v>
      </c>
      <c r="F9" s="53">
        <f>+'Purchased Power Model '!F9</f>
        <v>31</v>
      </c>
      <c r="G9" s="53">
        <f>+'Purchased Power Model '!G9</f>
        <v>0</v>
      </c>
      <c r="H9" s="17">
        <v>556.6666666666664</v>
      </c>
      <c r="I9" s="456">
        <f t="shared" si="0"/>
        <v>25520440.121365175</v>
      </c>
      <c r="J9" s="457">
        <f t="shared" si="1"/>
        <v>6649378.1213651747</v>
      </c>
      <c r="K9" s="5">
        <f t="shared" si="2"/>
        <v>0.35235844815544426</v>
      </c>
      <c r="M9" s="47" t="s">
        <v>24</v>
      </c>
      <c r="N9" s="60">
        <v>171</v>
      </c>
      <c r="O9"/>
      <c r="P9"/>
      <c r="Q9"/>
    </row>
    <row r="10" spans="1:18" x14ac:dyDescent="0.2">
      <c r="A10" s="453">
        <v>37834</v>
      </c>
      <c r="B10" s="459">
        <v>20660581</v>
      </c>
      <c r="C10" s="455">
        <f>+'Purchased Power Model '!C10</f>
        <v>10.4</v>
      </c>
      <c r="D10" s="455">
        <f>+'Purchased Power Model '!D10</f>
        <v>106.5</v>
      </c>
      <c r="E10" s="443">
        <f>+'Purchased Power Model '!E10</f>
        <v>5.0999999999999997E-2</v>
      </c>
      <c r="F10" s="53">
        <f>+'Purchased Power Model '!F10</f>
        <v>31</v>
      </c>
      <c r="G10" s="53">
        <f>+'Purchased Power Model '!G10</f>
        <v>0</v>
      </c>
      <c r="H10" s="17">
        <v>554.33333333333303</v>
      </c>
      <c r="I10" s="456">
        <f t="shared" si="0"/>
        <v>26859580.676030427</v>
      </c>
      <c r="J10" s="457">
        <f t="shared" si="1"/>
        <v>6198999.6760304272</v>
      </c>
      <c r="K10" s="5">
        <f t="shared" si="2"/>
        <v>0.30003994931364358</v>
      </c>
      <c r="M10"/>
      <c r="N10"/>
      <c r="O10"/>
      <c r="P10"/>
      <c r="Q10"/>
    </row>
    <row r="11" spans="1:18" ht="13.5" thickBot="1" x14ac:dyDescent="0.25">
      <c r="A11" s="453">
        <v>37865</v>
      </c>
      <c r="B11" s="459">
        <v>19684349</v>
      </c>
      <c r="C11" s="455">
        <f>+'Purchased Power Model '!C11</f>
        <v>55.2</v>
      </c>
      <c r="D11" s="455">
        <f>+'Purchased Power Model '!D11</f>
        <v>12.1</v>
      </c>
      <c r="E11" s="443">
        <f>+'Purchased Power Model '!E11</f>
        <v>5.0999999999999997E-2</v>
      </c>
      <c r="F11" s="53">
        <f>+'Purchased Power Model '!F11</f>
        <v>30</v>
      </c>
      <c r="G11" s="53">
        <f>+'Purchased Power Model '!G11</f>
        <v>1</v>
      </c>
      <c r="H11" s="17">
        <v>551.99999999999966</v>
      </c>
      <c r="I11" s="456">
        <f t="shared" si="0"/>
        <v>25532574.647646058</v>
      </c>
      <c r="J11" s="457">
        <f t="shared" si="1"/>
        <v>5848225.6476460584</v>
      </c>
      <c r="K11" s="5">
        <f t="shared" si="2"/>
        <v>0.29710028244500536</v>
      </c>
      <c r="M11" t="s">
        <v>25</v>
      </c>
      <c r="N11"/>
      <c r="O11"/>
      <c r="P11"/>
      <c r="Q11"/>
    </row>
    <row r="12" spans="1:18" x14ac:dyDescent="0.2">
      <c r="A12" s="453">
        <v>37895</v>
      </c>
      <c r="B12" s="459">
        <v>23357580</v>
      </c>
      <c r="C12" s="455">
        <f>+'Purchased Power Model '!C12</f>
        <v>289.7</v>
      </c>
      <c r="D12" s="455">
        <f>+'Purchased Power Model '!D12</f>
        <v>0</v>
      </c>
      <c r="E12" s="443">
        <f>+'Purchased Power Model '!E12</f>
        <v>4.8000000000000001E-2</v>
      </c>
      <c r="F12" s="53">
        <f>+'Purchased Power Model '!F12</f>
        <v>31</v>
      </c>
      <c r="G12" s="53">
        <f>+'Purchased Power Model '!G12</f>
        <v>1</v>
      </c>
      <c r="H12" s="17">
        <v>549.66666666666629</v>
      </c>
      <c r="I12" s="456">
        <f t="shared" si="0"/>
        <v>26863264.228136219</v>
      </c>
      <c r="J12" s="457">
        <f t="shared" si="1"/>
        <v>3505684.2281362191</v>
      </c>
      <c r="K12" s="5">
        <f t="shared" si="2"/>
        <v>0.15008764727065985</v>
      </c>
      <c r="M12" s="48"/>
      <c r="N12" s="48" t="s">
        <v>29</v>
      </c>
      <c r="O12" s="48" t="s">
        <v>30</v>
      </c>
      <c r="P12" s="48" t="s">
        <v>31</v>
      </c>
      <c r="Q12" s="48" t="s">
        <v>32</v>
      </c>
      <c r="R12" s="48" t="s">
        <v>33</v>
      </c>
    </row>
    <row r="13" spans="1:18" x14ac:dyDescent="0.2">
      <c r="A13" s="453">
        <v>37926</v>
      </c>
      <c r="B13" s="459">
        <v>25075881</v>
      </c>
      <c r="C13" s="455">
        <f>+'Purchased Power Model '!C13</f>
        <v>387.6</v>
      </c>
      <c r="D13" s="455">
        <f>+'Purchased Power Model '!D13</f>
        <v>0</v>
      </c>
      <c r="E13" s="443">
        <f>+'Purchased Power Model '!E13</f>
        <v>4.8000000000000001E-2</v>
      </c>
      <c r="F13" s="53">
        <f>+'Purchased Power Model '!F13</f>
        <v>30</v>
      </c>
      <c r="G13" s="53">
        <f>+'Purchased Power Model '!G13</f>
        <v>1</v>
      </c>
      <c r="H13" s="17">
        <v>547.33333333333292</v>
      </c>
      <c r="I13" s="456">
        <f t="shared" si="0"/>
        <v>28641767.812524308</v>
      </c>
      <c r="J13" s="457">
        <f t="shared" si="1"/>
        <v>3565886.8125243075</v>
      </c>
      <c r="K13" s="5">
        <f t="shared" si="2"/>
        <v>0.14220384968824457</v>
      </c>
      <c r="M13" s="35" t="s">
        <v>26</v>
      </c>
      <c r="N13" s="59">
        <v>5</v>
      </c>
      <c r="O13" s="59">
        <v>944707383641641.75</v>
      </c>
      <c r="P13" s="59">
        <v>188941476728328.34</v>
      </c>
      <c r="Q13" s="59">
        <v>20.239458848477032</v>
      </c>
      <c r="R13" s="59">
        <v>1.0152320561181142E-15</v>
      </c>
    </row>
    <row r="14" spans="1:18" x14ac:dyDescent="0.2">
      <c r="A14" s="453">
        <v>37956</v>
      </c>
      <c r="B14" s="459">
        <v>26135926.5</v>
      </c>
      <c r="C14" s="455">
        <f>+'Purchased Power Model '!C14</f>
        <v>548.20000000000005</v>
      </c>
      <c r="D14" s="455">
        <f>+'Purchased Power Model '!D14</f>
        <v>0</v>
      </c>
      <c r="E14" s="443">
        <f>+'Purchased Power Model '!E14</f>
        <v>4.8000000000000001E-2</v>
      </c>
      <c r="F14" s="53">
        <f>+'Purchased Power Model '!F14</f>
        <v>31</v>
      </c>
      <c r="G14" s="53">
        <f>+'Purchased Power Model '!G14</f>
        <v>0</v>
      </c>
      <c r="H14" s="17">
        <v>545</v>
      </c>
      <c r="I14" s="456">
        <f t="shared" si="0"/>
        <v>29587562.445346512</v>
      </c>
      <c r="J14" s="457">
        <f t="shared" si="1"/>
        <v>3451635.9453465119</v>
      </c>
      <c r="K14" s="5">
        <f t="shared" si="2"/>
        <v>0.1320648015040336</v>
      </c>
      <c r="M14" s="35" t="s">
        <v>27</v>
      </c>
      <c r="N14" s="59">
        <v>165</v>
      </c>
      <c r="O14" s="59">
        <v>1540324960937384.2</v>
      </c>
      <c r="P14" s="59">
        <v>9335302793559.9043</v>
      </c>
      <c r="Q14" s="59"/>
      <c r="R14" s="59"/>
    </row>
    <row r="15" spans="1:18" ht="13.5" thickBot="1" x14ac:dyDescent="0.25">
      <c r="A15" s="453">
        <v>37987</v>
      </c>
      <c r="B15" s="459">
        <v>31050925</v>
      </c>
      <c r="C15" s="455">
        <f>+'Purchased Power Model '!C15</f>
        <v>828.8</v>
      </c>
      <c r="D15" s="455">
        <f>+'Purchased Power Model '!D15</f>
        <v>0</v>
      </c>
      <c r="E15" s="443">
        <f>+'Purchased Power Model '!E15</f>
        <v>5.0999999999999997E-2</v>
      </c>
      <c r="F15" s="53">
        <f>+'Purchased Power Model '!F15</f>
        <v>31</v>
      </c>
      <c r="G15" s="53">
        <f>+'Purchased Power Model '!G15</f>
        <v>0</v>
      </c>
      <c r="H15" s="17">
        <v>546</v>
      </c>
      <c r="I15" s="456">
        <f t="shared" si="0"/>
        <v>32673663.08997374</v>
      </c>
      <c r="J15" s="457">
        <f t="shared" si="1"/>
        <v>1622738.0899737403</v>
      </c>
      <c r="K15" s="5">
        <f t="shared" si="2"/>
        <v>5.2260539419477531E-2</v>
      </c>
      <c r="M15" s="47" t="s">
        <v>9</v>
      </c>
      <c r="N15" s="60">
        <v>170</v>
      </c>
      <c r="O15" s="60">
        <v>2485032344579026</v>
      </c>
      <c r="P15" s="60"/>
      <c r="Q15" s="60"/>
      <c r="R15" s="60"/>
    </row>
    <row r="16" spans="1:18" ht="13.5" thickBot="1" x14ac:dyDescent="0.25">
      <c r="A16" s="453">
        <v>38018</v>
      </c>
      <c r="B16" s="459">
        <v>36406043</v>
      </c>
      <c r="C16" s="455">
        <f>+'Purchased Power Model '!C16</f>
        <v>615.6</v>
      </c>
      <c r="D16" s="455">
        <f>+'Purchased Power Model '!D16</f>
        <v>0</v>
      </c>
      <c r="E16" s="443">
        <f>+'Purchased Power Model '!E16</f>
        <v>5.0999999999999997E-2</v>
      </c>
      <c r="F16" s="53">
        <f>+'Purchased Power Model '!F16</f>
        <v>29</v>
      </c>
      <c r="G16" s="53">
        <f>+'Purchased Power Model '!G16</f>
        <v>0</v>
      </c>
      <c r="H16" s="17">
        <v>513</v>
      </c>
      <c r="I16" s="456">
        <f t="shared" si="0"/>
        <v>31877541.040211931</v>
      </c>
      <c r="J16" s="457">
        <f t="shared" si="1"/>
        <v>-4528501.9597880691</v>
      </c>
      <c r="K16" s="5">
        <f t="shared" si="2"/>
        <v>-0.12438874391781796</v>
      </c>
      <c r="M16"/>
      <c r="N16"/>
      <c r="O16"/>
      <c r="P16"/>
      <c r="Q16"/>
    </row>
    <row r="17" spans="1:21" x14ac:dyDescent="0.2">
      <c r="A17" s="453">
        <v>38047</v>
      </c>
      <c r="B17" s="459">
        <v>38126322</v>
      </c>
      <c r="C17" s="455">
        <f>+'Purchased Power Model '!C17</f>
        <v>487.1</v>
      </c>
      <c r="D17" s="455">
        <f>+'Purchased Power Model '!D17</f>
        <v>0</v>
      </c>
      <c r="E17" s="443">
        <f>+'Purchased Power Model '!E17</f>
        <v>5.0999999999999997E-2</v>
      </c>
      <c r="F17" s="53">
        <f>+'Purchased Power Model '!F17</f>
        <v>31</v>
      </c>
      <c r="G17" s="53">
        <f>+'Purchased Power Model '!G17</f>
        <v>1</v>
      </c>
      <c r="H17" s="17">
        <v>511</v>
      </c>
      <c r="I17" s="456">
        <f t="shared" si="0"/>
        <v>29063838.342244238</v>
      </c>
      <c r="J17" s="457">
        <f t="shared" si="1"/>
        <v>-9062483.6577557623</v>
      </c>
      <c r="K17" s="5">
        <f t="shared" si="2"/>
        <v>-0.23769624716897061</v>
      </c>
      <c r="M17" s="48"/>
      <c r="N17" s="48" t="s">
        <v>34</v>
      </c>
      <c r="O17" s="48" t="s">
        <v>23</v>
      </c>
      <c r="P17" s="48" t="s">
        <v>35</v>
      </c>
      <c r="Q17" s="48" t="s">
        <v>36</v>
      </c>
      <c r="R17" s="48" t="s">
        <v>37</v>
      </c>
      <c r="S17" s="48" t="s">
        <v>38</v>
      </c>
      <c r="T17" s="48" t="s">
        <v>39</v>
      </c>
      <c r="U17" s="48" t="s">
        <v>40</v>
      </c>
    </row>
    <row r="18" spans="1:21" x14ac:dyDescent="0.2">
      <c r="A18" s="453">
        <v>38078</v>
      </c>
      <c r="B18" s="459">
        <v>33666701.487578265</v>
      </c>
      <c r="C18" s="455">
        <f>+'Purchased Power Model '!C18</f>
        <v>345</v>
      </c>
      <c r="D18" s="455">
        <f>+'Purchased Power Model '!D18</f>
        <v>0</v>
      </c>
      <c r="E18" s="443">
        <f>+'Purchased Power Model '!E18</f>
        <v>5.2999999999999999E-2</v>
      </c>
      <c r="F18" s="53">
        <f>+'Purchased Power Model '!F18</f>
        <v>30</v>
      </c>
      <c r="G18" s="53">
        <f>+'Purchased Power Model '!G18</f>
        <v>1</v>
      </c>
      <c r="H18" s="17">
        <v>505</v>
      </c>
      <c r="I18" s="456">
        <f t="shared" si="0"/>
        <v>28354323.322324414</v>
      </c>
      <c r="J18" s="457">
        <f t="shared" si="1"/>
        <v>-5312378.1652538516</v>
      </c>
      <c r="K18" s="5">
        <f t="shared" si="2"/>
        <v>-0.1577932476460136</v>
      </c>
      <c r="M18" s="35" t="s">
        <v>28</v>
      </c>
      <c r="N18" s="59">
        <v>44991757.957866393</v>
      </c>
      <c r="O18" s="59">
        <v>9074214.0301479157</v>
      </c>
      <c r="P18" s="59">
        <v>4.9581988928613576</v>
      </c>
      <c r="Q18" s="59">
        <v>1.7537306852959159E-6</v>
      </c>
      <c r="R18" s="59">
        <v>27075215.719517857</v>
      </c>
      <c r="S18" s="59">
        <v>62908300.196214929</v>
      </c>
      <c r="T18" s="59">
        <v>27075215.719517857</v>
      </c>
      <c r="U18" s="59">
        <v>62908300.196214929</v>
      </c>
    </row>
    <row r="19" spans="1:21" x14ac:dyDescent="0.2">
      <c r="A19" s="453">
        <v>38108</v>
      </c>
      <c r="B19" s="459">
        <v>28864544.396351375</v>
      </c>
      <c r="C19" s="455">
        <f>+'Purchased Power Model '!C19</f>
        <v>177.5</v>
      </c>
      <c r="D19" s="455">
        <f>+'Purchased Power Model '!D19</f>
        <v>0</v>
      </c>
      <c r="E19" s="443">
        <f>+'Purchased Power Model '!E19</f>
        <v>5.2999999999999999E-2</v>
      </c>
      <c r="F19" s="53">
        <f>+'Purchased Power Model '!F19</f>
        <v>31</v>
      </c>
      <c r="G19" s="53">
        <f>+'Purchased Power Model '!G19</f>
        <v>1</v>
      </c>
      <c r="H19" s="17">
        <v>504</v>
      </c>
      <c r="I19" s="456">
        <f t="shared" si="0"/>
        <v>25835042.736444287</v>
      </c>
      <c r="J19" s="457">
        <f t="shared" si="1"/>
        <v>-3029501.6599070877</v>
      </c>
      <c r="K19" s="5">
        <f t="shared" si="2"/>
        <v>-0.1049558107797479</v>
      </c>
      <c r="M19" s="35" t="s">
        <v>3</v>
      </c>
      <c r="N19" s="59">
        <v>10643.347722586783</v>
      </c>
      <c r="O19" s="59">
        <v>1410.7455043780574</v>
      </c>
      <c r="P19" s="59">
        <v>7.5444845931151976</v>
      </c>
      <c r="Q19" s="59">
        <v>2.8980640711226763E-12</v>
      </c>
      <c r="R19" s="59">
        <v>7857.9074262950544</v>
      </c>
      <c r="S19" s="59">
        <v>13428.788018878511</v>
      </c>
      <c r="T19" s="59">
        <v>7857.9074262950544</v>
      </c>
      <c r="U19" s="59">
        <v>13428.788018878511</v>
      </c>
    </row>
    <row r="20" spans="1:21" x14ac:dyDescent="0.2">
      <c r="A20" s="453">
        <v>38139</v>
      </c>
      <c r="B20" s="459">
        <v>28787116.822719466</v>
      </c>
      <c r="C20" s="455">
        <f>+'Purchased Power Model '!C20</f>
        <v>73.2</v>
      </c>
      <c r="D20" s="455">
        <f>+'Purchased Power Model '!D20</f>
        <v>15.6</v>
      </c>
      <c r="E20" s="443">
        <f>+'Purchased Power Model '!E20</f>
        <v>5.2999999999999999E-2</v>
      </c>
      <c r="F20" s="53">
        <f>+'Purchased Power Model '!F20</f>
        <v>30</v>
      </c>
      <c r="G20" s="53">
        <f>+'Purchased Power Model '!G20</f>
        <v>0</v>
      </c>
      <c r="H20" s="17">
        <v>506</v>
      </c>
      <c r="I20" s="456">
        <f t="shared" si="0"/>
        <v>25858720.537558284</v>
      </c>
      <c r="J20" s="457">
        <f t="shared" si="1"/>
        <v>-2928396.2851611823</v>
      </c>
      <c r="K20" s="5">
        <f t="shared" si="2"/>
        <v>-0.10172593188804596</v>
      </c>
      <c r="M20" s="35" t="s">
        <v>4</v>
      </c>
      <c r="N20" s="59">
        <v>27196.55739175306</v>
      </c>
      <c r="O20" s="59">
        <v>10864.198346276329</v>
      </c>
      <c r="P20" s="59">
        <v>2.5033192993088713</v>
      </c>
      <c r="Q20" s="59">
        <v>1.3275778283948552E-2</v>
      </c>
      <c r="R20" s="59">
        <v>5745.7884424908771</v>
      </c>
      <c r="S20" s="59">
        <v>48647.326341015243</v>
      </c>
      <c r="T20" s="59">
        <v>5745.7884424908771</v>
      </c>
      <c r="U20" s="59">
        <v>48647.326341015243</v>
      </c>
    </row>
    <row r="21" spans="1:21" x14ac:dyDescent="0.2">
      <c r="A21" s="453">
        <v>38169</v>
      </c>
      <c r="B21" s="459">
        <v>29929744.994740829</v>
      </c>
      <c r="C21" s="455">
        <f>+'Purchased Power Model '!C21</f>
        <v>2</v>
      </c>
      <c r="D21" s="455">
        <f>+'Purchased Power Model '!D21</f>
        <v>69.3</v>
      </c>
      <c r="E21" s="443">
        <f>+'Purchased Power Model '!E21</f>
        <v>5.2999999999999999E-2</v>
      </c>
      <c r="F21" s="53">
        <f>+'Purchased Power Model '!F21</f>
        <v>31</v>
      </c>
      <c r="G21" s="53">
        <f>+'Purchased Power Model '!G21</f>
        <v>0</v>
      </c>
      <c r="H21" s="17">
        <v>512</v>
      </c>
      <c r="I21" s="456">
        <f t="shared" si="0"/>
        <v>25824849.469300397</v>
      </c>
      <c r="J21" s="457">
        <f t="shared" si="1"/>
        <v>-4104895.5254404321</v>
      </c>
      <c r="K21" s="5">
        <f t="shared" si="2"/>
        <v>-0.13715103573925314</v>
      </c>
      <c r="M21" s="35" t="s">
        <v>217</v>
      </c>
      <c r="N21" s="59">
        <v>33192424.556461073</v>
      </c>
      <c r="O21" s="59">
        <v>16350972.378080077</v>
      </c>
      <c r="P21" s="59">
        <v>2.0299969805440101</v>
      </c>
      <c r="Q21" s="59">
        <v>4.3963084797060042E-2</v>
      </c>
      <c r="R21" s="59">
        <v>908318.5967996195</v>
      </c>
      <c r="S21" s="59">
        <v>65476530.516122527</v>
      </c>
      <c r="T21" s="59">
        <v>908318.5967996195</v>
      </c>
      <c r="U21" s="59">
        <v>65476530.516122527</v>
      </c>
    </row>
    <row r="22" spans="1:21" x14ac:dyDescent="0.2">
      <c r="A22" s="453">
        <v>38200</v>
      </c>
      <c r="B22" s="459">
        <v>32499982.567717485</v>
      </c>
      <c r="C22" s="455">
        <f>+'Purchased Power Model '!C22</f>
        <v>19.600000000000001</v>
      </c>
      <c r="D22" s="455">
        <f>+'Purchased Power Model '!D22</f>
        <v>53.6</v>
      </c>
      <c r="E22" s="443">
        <f>+'Purchased Power Model '!E22</f>
        <v>5.2999999999999999E-2</v>
      </c>
      <c r="F22" s="53">
        <f>+'Purchased Power Model '!F22</f>
        <v>31</v>
      </c>
      <c r="G22" s="53">
        <f>+'Purchased Power Model '!G22</f>
        <v>0</v>
      </c>
      <c r="H22" s="17">
        <v>512</v>
      </c>
      <c r="I22" s="456">
        <f t="shared" si="0"/>
        <v>25585186.438167408</v>
      </c>
      <c r="J22" s="457">
        <f t="shared" si="1"/>
        <v>-6914796.129550077</v>
      </c>
      <c r="K22" s="5">
        <f t="shared" si="2"/>
        <v>-0.21276307195372479</v>
      </c>
      <c r="M22" s="35" t="s">
        <v>5</v>
      </c>
      <c r="N22" s="59">
        <v>-736519.84234684147</v>
      </c>
      <c r="O22" s="59">
        <v>296513.36343274964</v>
      </c>
      <c r="P22" s="59">
        <v>-2.4839347333965507</v>
      </c>
      <c r="Q22" s="59">
        <v>1.3992417044537688E-2</v>
      </c>
      <c r="R22" s="59">
        <v>-1321969.3570406283</v>
      </c>
      <c r="S22" s="59">
        <v>-151070.32765305461</v>
      </c>
      <c r="T22" s="59">
        <v>-1321969.3570406283</v>
      </c>
      <c r="U22" s="59">
        <v>-151070.32765305461</v>
      </c>
    </row>
    <row r="23" spans="1:21" ht="13.5" thickBot="1" x14ac:dyDescent="0.25">
      <c r="A23" s="453">
        <v>38231</v>
      </c>
      <c r="B23" s="459">
        <v>29189627.730892576</v>
      </c>
      <c r="C23" s="455">
        <f>+'Purchased Power Model '!C23</f>
        <v>41.7</v>
      </c>
      <c r="D23" s="455">
        <f>+'Purchased Power Model '!D23</f>
        <v>26.7</v>
      </c>
      <c r="E23" s="443">
        <f>+'Purchased Power Model '!E23</f>
        <v>5.2999999999999999E-2</v>
      </c>
      <c r="F23" s="53">
        <f>+'Purchased Power Model '!F23</f>
        <v>30</v>
      </c>
      <c r="G23" s="53">
        <f>+'Purchased Power Model '!G23</f>
        <v>1</v>
      </c>
      <c r="H23" s="17">
        <v>515</v>
      </c>
      <c r="I23" s="456">
        <f t="shared" si="0"/>
        <v>25852344.04042365</v>
      </c>
      <c r="J23" s="457">
        <f t="shared" si="1"/>
        <v>-3337283.690468926</v>
      </c>
      <c r="K23" s="5">
        <f t="shared" si="2"/>
        <v>-0.11433114944925941</v>
      </c>
      <c r="M23" s="47" t="s">
        <v>17</v>
      </c>
      <c r="N23" s="60">
        <v>27007.169078394978</v>
      </c>
      <c r="O23" s="60">
        <v>596273.58307237213</v>
      </c>
      <c r="P23" s="60">
        <v>4.5293251026210582E-2</v>
      </c>
      <c r="Q23" s="60">
        <v>0.96392833674034373</v>
      </c>
      <c r="R23" s="60">
        <v>-1150302.6013583771</v>
      </c>
      <c r="S23" s="60">
        <v>1204316.9395151671</v>
      </c>
      <c r="T23" s="60">
        <v>-1150302.6013583771</v>
      </c>
      <c r="U23" s="60">
        <v>1204316.9395151671</v>
      </c>
    </row>
    <row r="24" spans="1:21" x14ac:dyDescent="0.2">
      <c r="A24" s="453">
        <v>38261</v>
      </c>
      <c r="B24" s="459">
        <v>15440536</v>
      </c>
      <c r="C24" s="455">
        <f>+'Purchased Power Model '!C24</f>
        <v>235</v>
      </c>
      <c r="D24" s="455">
        <f>+'Purchased Power Model '!D24</f>
        <v>0</v>
      </c>
      <c r="E24" s="443">
        <f>+'Purchased Power Model '!E24</f>
        <v>5.7999999999999996E-2</v>
      </c>
      <c r="F24" s="53">
        <f>+'Purchased Power Model '!F24</f>
        <v>31</v>
      </c>
      <c r="G24" s="53">
        <f>+'Purchased Power Model '!G24</f>
        <v>1</v>
      </c>
      <c r="H24" s="17">
        <v>515</v>
      </c>
      <c r="I24" s="456">
        <f t="shared" si="0"/>
        <v>26612997.353275336</v>
      </c>
      <c r="J24" s="457">
        <f t="shared" si="1"/>
        <v>11172461.353275336</v>
      </c>
      <c r="K24" s="5">
        <f t="shared" si="2"/>
        <v>0.72357989083250329</v>
      </c>
      <c r="M24"/>
      <c r="N24"/>
      <c r="O24"/>
      <c r="P24"/>
      <c r="Q24"/>
    </row>
    <row r="25" spans="1:21" x14ac:dyDescent="0.2">
      <c r="A25" s="453">
        <v>38292</v>
      </c>
      <c r="B25" s="459">
        <v>25555031</v>
      </c>
      <c r="C25" s="455">
        <f>+'Purchased Power Model '!C25</f>
        <v>385.7</v>
      </c>
      <c r="D25" s="455">
        <f>+'Purchased Power Model '!D25</f>
        <v>0</v>
      </c>
      <c r="E25" s="443">
        <f>+'Purchased Power Model '!E25</f>
        <v>5.7999999999999996E-2</v>
      </c>
      <c r="F25" s="53">
        <f>+'Purchased Power Model '!F25</f>
        <v>30</v>
      </c>
      <c r="G25" s="53">
        <f>+'Purchased Power Model '!G25</f>
        <v>1</v>
      </c>
      <c r="H25" s="17">
        <v>513</v>
      </c>
      <c r="I25" s="456">
        <f t="shared" si="0"/>
        <v>28953469.697416011</v>
      </c>
      <c r="J25" s="457">
        <f t="shared" si="1"/>
        <v>3398438.6974160112</v>
      </c>
      <c r="K25" s="5">
        <f t="shared" si="2"/>
        <v>0.132985113475934</v>
      </c>
      <c r="M25"/>
      <c r="N25"/>
      <c r="O25"/>
      <c r="P25"/>
      <c r="Q25"/>
    </row>
    <row r="26" spans="1:21" x14ac:dyDescent="0.2">
      <c r="A26" s="453">
        <v>38322</v>
      </c>
      <c r="B26" s="459">
        <v>31115405</v>
      </c>
      <c r="C26" s="455">
        <f>+'Purchased Power Model '!C26</f>
        <v>627.5</v>
      </c>
      <c r="D26" s="455">
        <f>+'Purchased Power Model '!D26</f>
        <v>0</v>
      </c>
      <c r="E26" s="443">
        <f>+'Purchased Power Model '!E26</f>
        <v>5.7999999999999996E-2</v>
      </c>
      <c r="F26" s="53">
        <f>+'Purchased Power Model '!F26</f>
        <v>31</v>
      </c>
      <c r="G26" s="53">
        <f>+'Purchased Power Model '!G26</f>
        <v>0</v>
      </c>
      <c r="H26" s="17">
        <v>515</v>
      </c>
      <c r="I26" s="456">
        <f t="shared" si="0"/>
        <v>30763504.16531226</v>
      </c>
      <c r="J26" s="457">
        <f t="shared" si="1"/>
        <v>-351900.83468773961</v>
      </c>
      <c r="K26" s="5">
        <f t="shared" si="2"/>
        <v>-1.1309537339711297E-2</v>
      </c>
      <c r="M26"/>
      <c r="N26"/>
      <c r="O26"/>
      <c r="P26"/>
      <c r="Q26"/>
    </row>
    <row r="27" spans="1:21" x14ac:dyDescent="0.2">
      <c r="A27" s="453">
        <v>38353</v>
      </c>
      <c r="B27" s="459">
        <v>37040836</v>
      </c>
      <c r="C27" s="455">
        <f>+'Purchased Power Model '!C27</f>
        <v>745.5</v>
      </c>
      <c r="D27" s="455">
        <f>+'Purchased Power Model '!D27</f>
        <v>0</v>
      </c>
      <c r="E27" s="443">
        <f>+'Purchased Power Model '!E27</f>
        <v>7.2000000000000008E-2</v>
      </c>
      <c r="F27" s="53">
        <f>+'Purchased Power Model '!F27</f>
        <v>31</v>
      </c>
      <c r="G27" s="53">
        <f>+'Purchased Power Model '!G27</f>
        <v>0</v>
      </c>
      <c r="H27" s="17">
        <v>515</v>
      </c>
      <c r="I27" s="456">
        <f t="shared" si="0"/>
        <v>32484113.140367948</v>
      </c>
      <c r="J27" s="457">
        <f t="shared" si="1"/>
        <v>-4556722.8596320525</v>
      </c>
      <c r="K27" s="5">
        <f t="shared" si="2"/>
        <v>-0.12301889891556585</v>
      </c>
      <c r="M27"/>
      <c r="N27"/>
      <c r="O27"/>
      <c r="P27"/>
      <c r="Q27"/>
    </row>
    <row r="28" spans="1:21" x14ac:dyDescent="0.2">
      <c r="A28" s="453">
        <v>38384</v>
      </c>
      <c r="B28" s="459">
        <v>34565800</v>
      </c>
      <c r="C28" s="455">
        <f>+'Purchased Power Model '!C28</f>
        <v>589.5</v>
      </c>
      <c r="D28" s="455">
        <f>+'Purchased Power Model '!D28</f>
        <v>0</v>
      </c>
      <c r="E28" s="443">
        <f>+'Purchased Power Model '!E28</f>
        <v>7.2000000000000008E-2</v>
      </c>
      <c r="F28" s="53">
        <f>+'Purchased Power Model '!F28</f>
        <v>28</v>
      </c>
      <c r="G28" s="53">
        <f>+'Purchased Power Model '!G28</f>
        <v>0</v>
      </c>
      <c r="H28" s="17">
        <v>520</v>
      </c>
      <c r="I28" s="456">
        <f t="shared" si="0"/>
        <v>33033310.422684938</v>
      </c>
      <c r="J28" s="457">
        <f t="shared" si="1"/>
        <v>-1532489.5773150623</v>
      </c>
      <c r="K28" s="5">
        <f t="shared" si="2"/>
        <v>-4.4335429161629768E-2</v>
      </c>
    </row>
    <row r="29" spans="1:21" x14ac:dyDescent="0.2">
      <c r="A29" s="453">
        <v>38412</v>
      </c>
      <c r="B29" s="459">
        <v>32449972</v>
      </c>
      <c r="C29" s="455">
        <f>+'Purchased Power Model '!C29</f>
        <v>578.29999999999995</v>
      </c>
      <c r="D29" s="455">
        <f>+'Purchased Power Model '!D29</f>
        <v>0</v>
      </c>
      <c r="E29" s="443">
        <f>+'Purchased Power Model '!E29</f>
        <v>7.2000000000000008E-2</v>
      </c>
      <c r="F29" s="53">
        <f>+'Purchased Power Model '!F29</f>
        <v>31</v>
      </c>
      <c r="G29" s="53">
        <f>+'Purchased Power Model '!G29</f>
        <v>1</v>
      </c>
      <c r="H29" s="17">
        <v>512</v>
      </c>
      <c r="I29" s="456">
        <f t="shared" si="0"/>
        <v>30731552.570229836</v>
      </c>
      <c r="J29" s="457">
        <f t="shared" si="1"/>
        <v>-1718419.4297701642</v>
      </c>
      <c r="K29" s="5">
        <f t="shared" si="2"/>
        <v>-5.295596032471659E-2</v>
      </c>
    </row>
    <row r="30" spans="1:21" x14ac:dyDescent="0.2">
      <c r="A30" s="453">
        <v>38443</v>
      </c>
      <c r="B30" s="459">
        <v>30732659</v>
      </c>
      <c r="C30" s="455">
        <f>+'Purchased Power Model '!C30</f>
        <v>325.3</v>
      </c>
      <c r="D30" s="455">
        <f>+'Purchased Power Model '!D30</f>
        <v>0</v>
      </c>
      <c r="E30" s="443">
        <f>+'Purchased Power Model '!E30</f>
        <v>6.3E-2</v>
      </c>
      <c r="F30" s="53">
        <f>+'Purchased Power Model '!F30</f>
        <v>30</v>
      </c>
      <c r="G30" s="53">
        <f>+'Purchased Power Model '!G30</f>
        <v>1</v>
      </c>
      <c r="H30" s="17">
        <v>511</v>
      </c>
      <c r="I30" s="456">
        <f t="shared" si="0"/>
        <v>28476573.617754076</v>
      </c>
      <c r="J30" s="457">
        <f t="shared" si="1"/>
        <v>-2256085.3822459243</v>
      </c>
      <c r="K30" s="5">
        <f t="shared" si="2"/>
        <v>-7.3410028798546995E-2</v>
      </c>
    </row>
    <row r="31" spans="1:21" x14ac:dyDescent="0.2">
      <c r="A31" s="453">
        <v>38473</v>
      </c>
      <c r="B31" s="459">
        <v>26655787</v>
      </c>
      <c r="C31" s="455">
        <f>+'Purchased Power Model '!C31</f>
        <v>216.1</v>
      </c>
      <c r="D31" s="455">
        <f>+'Purchased Power Model '!D31</f>
        <v>0.3</v>
      </c>
      <c r="E31" s="443">
        <f>+'Purchased Power Model '!E31</f>
        <v>6.3E-2</v>
      </c>
      <c r="F31" s="53">
        <f>+'Purchased Power Model '!F31</f>
        <v>31</v>
      </c>
      <c r="G31" s="53">
        <f>+'Purchased Power Model '!G31</f>
        <v>1</v>
      </c>
      <c r="H31" s="17">
        <v>513</v>
      </c>
      <c r="I31" s="456">
        <f t="shared" si="0"/>
        <v>26585959.171318285</v>
      </c>
      <c r="J31" s="457">
        <f t="shared" si="1"/>
        <v>-69827.828681714833</v>
      </c>
      <c r="K31" s="5">
        <f t="shared" si="2"/>
        <v>-2.6196123446557713E-3</v>
      </c>
    </row>
    <row r="32" spans="1:21" x14ac:dyDescent="0.2">
      <c r="A32" s="453">
        <v>38504</v>
      </c>
      <c r="B32" s="459">
        <v>27616081</v>
      </c>
      <c r="C32" s="455">
        <f>+'Purchased Power Model '!C32</f>
        <v>13.7</v>
      </c>
      <c r="D32" s="455">
        <f>+'Purchased Power Model '!D32</f>
        <v>89.9</v>
      </c>
      <c r="E32" s="443">
        <f>+'Purchased Power Model '!E32</f>
        <v>6.3E-2</v>
      </c>
      <c r="F32" s="53">
        <f>+'Purchased Power Model '!F32</f>
        <v>30</v>
      </c>
      <c r="G32" s="53">
        <f>+'Purchased Power Model '!G32</f>
        <v>0</v>
      </c>
      <c r="H32" s="17">
        <v>513</v>
      </c>
      <c r="I32" s="456">
        <f t="shared" si="0"/>
        <v>27578069.807836238</v>
      </c>
      <c r="J32" s="457">
        <f t="shared" si="1"/>
        <v>-38011.192163761705</v>
      </c>
      <c r="K32" s="5">
        <f t="shared" si="2"/>
        <v>-1.3764151460796232E-3</v>
      </c>
    </row>
    <row r="33" spans="1:11" x14ac:dyDescent="0.2">
      <c r="A33" s="453">
        <v>38534</v>
      </c>
      <c r="B33" s="459">
        <v>27395622</v>
      </c>
      <c r="C33" s="455">
        <f>+'Purchased Power Model '!C33</f>
        <v>2.2000000000000002</v>
      </c>
      <c r="D33" s="455">
        <f>+'Purchased Power Model '!D33</f>
        <v>153</v>
      </c>
      <c r="E33" s="443">
        <f>+'Purchased Power Model '!E33</f>
        <v>5.7000000000000002E-2</v>
      </c>
      <c r="F33" s="53">
        <f>+'Purchased Power Model '!F33</f>
        <v>31</v>
      </c>
      <c r="G33" s="53">
        <f>+'Purchased Power Model '!G33</f>
        <v>0</v>
      </c>
      <c r="H33" s="17">
        <v>518</v>
      </c>
      <c r="I33" s="456">
        <f t="shared" si="0"/>
        <v>28236099.690760493</v>
      </c>
      <c r="J33" s="457">
        <f t="shared" si="1"/>
        <v>840477.69076049328</v>
      </c>
      <c r="K33" s="5">
        <f t="shared" si="2"/>
        <v>3.0679270241080612E-2</v>
      </c>
    </row>
    <row r="34" spans="1:11" x14ac:dyDescent="0.2">
      <c r="A34" s="453">
        <v>38565</v>
      </c>
      <c r="B34" s="459">
        <v>31319034</v>
      </c>
      <c r="C34" s="455">
        <f>+'Purchased Power Model '!C34</f>
        <v>0</v>
      </c>
      <c r="D34" s="455">
        <f>+'Purchased Power Model '!D34</f>
        <v>108</v>
      </c>
      <c r="E34" s="443">
        <f>+'Purchased Power Model '!E34</f>
        <v>5.7000000000000002E-2</v>
      </c>
      <c r="F34" s="53">
        <f>+'Purchased Power Model '!F34</f>
        <v>31</v>
      </c>
      <c r="G34" s="53">
        <f>+'Purchased Power Model '!G34</f>
        <v>0</v>
      </c>
      <c r="H34" s="17">
        <v>521</v>
      </c>
      <c r="I34" s="456">
        <f t="shared" si="0"/>
        <v>26988839.243141919</v>
      </c>
      <c r="J34" s="457">
        <f t="shared" si="1"/>
        <v>-4330194.7568580806</v>
      </c>
      <c r="K34" s="5">
        <f t="shared" si="2"/>
        <v>-0.13826080194102031</v>
      </c>
    </row>
    <row r="35" spans="1:11" x14ac:dyDescent="0.2">
      <c r="A35" s="453">
        <v>38596</v>
      </c>
      <c r="B35" s="459">
        <v>26590568</v>
      </c>
      <c r="C35" s="455">
        <f>+'Purchased Power Model '!C35</f>
        <v>36.700000000000003</v>
      </c>
      <c r="D35" s="455">
        <f>+'Purchased Power Model '!D35</f>
        <v>32.799999999999997</v>
      </c>
      <c r="E35" s="443">
        <f>+'Purchased Power Model '!E35</f>
        <v>5.7000000000000002E-2</v>
      </c>
      <c r="F35" s="53">
        <f>+'Purchased Power Model '!F35</f>
        <v>30</v>
      </c>
      <c r="G35" s="53">
        <f>+'Purchased Power Model '!G35</f>
        <v>1</v>
      </c>
      <c r="H35" s="17">
        <v>523</v>
      </c>
      <c r="I35" s="456">
        <f t="shared" si="0"/>
        <v>26097796.000126261</v>
      </c>
      <c r="J35" s="457">
        <f t="shared" si="1"/>
        <v>-492771.99987373874</v>
      </c>
      <c r="K35" s="5">
        <f t="shared" si="2"/>
        <v>-1.8531834290780803E-2</v>
      </c>
    </row>
    <row r="36" spans="1:11" x14ac:dyDescent="0.2">
      <c r="A36" s="453">
        <v>38626</v>
      </c>
      <c r="B36" s="459">
        <v>22998757</v>
      </c>
      <c r="C36" s="455">
        <f>+'Purchased Power Model '!C36</f>
        <v>223.8</v>
      </c>
      <c r="D36" s="455">
        <f>+'Purchased Power Model '!D36</f>
        <v>0.5</v>
      </c>
      <c r="E36" s="443">
        <f>+'Purchased Power Model '!E36</f>
        <v>6.7000000000000004E-2</v>
      </c>
      <c r="F36" s="53">
        <f>+'Purchased Power Model '!F36</f>
        <v>31</v>
      </c>
      <c r="G36" s="53">
        <f>+'Purchased Power Model '!G36</f>
        <v>1</v>
      </c>
      <c r="H36" s="17">
        <v>523</v>
      </c>
      <c r="I36" s="456">
        <f t="shared" si="0"/>
        <v>26806121.958486386</v>
      </c>
      <c r="J36" s="457">
        <f t="shared" si="1"/>
        <v>3807364.9584863856</v>
      </c>
      <c r="K36" s="5">
        <f t="shared" si="2"/>
        <v>0.16554655360228318</v>
      </c>
    </row>
    <row r="37" spans="1:11" x14ac:dyDescent="0.2">
      <c r="A37" s="453">
        <v>38657</v>
      </c>
      <c r="B37" s="459">
        <v>33595008</v>
      </c>
      <c r="C37" s="455">
        <f>+'Purchased Power Model '!C37</f>
        <v>398.5</v>
      </c>
      <c r="D37" s="455">
        <f>+'Purchased Power Model '!D37</f>
        <v>0</v>
      </c>
      <c r="E37" s="443">
        <f>+'Purchased Power Model '!E37</f>
        <v>6.7000000000000004E-2</v>
      </c>
      <c r="F37" s="53">
        <f>+'Purchased Power Model '!F37</f>
        <v>30</v>
      </c>
      <c r="G37" s="53">
        <f>+'Purchased Power Model '!G37</f>
        <v>1</v>
      </c>
      <c r="H37" s="17">
        <v>526</v>
      </c>
      <c r="I37" s="456">
        <f t="shared" si="0"/>
        <v>29388436.369273264</v>
      </c>
      <c r="J37" s="457">
        <f t="shared" si="1"/>
        <v>-4206571.630726736</v>
      </c>
      <c r="K37" s="5">
        <f t="shared" si="2"/>
        <v>-0.12521418749853358</v>
      </c>
    </row>
    <row r="38" spans="1:11" x14ac:dyDescent="0.2">
      <c r="A38" s="453">
        <v>38687</v>
      </c>
      <c r="B38" s="459">
        <v>31002545</v>
      </c>
      <c r="C38" s="455">
        <f>+'Purchased Power Model '!C38</f>
        <v>641.1</v>
      </c>
      <c r="D38" s="455">
        <f>+'Purchased Power Model '!D38</f>
        <v>0</v>
      </c>
      <c r="E38" s="443">
        <f>+'Purchased Power Model '!E38</f>
        <v>6.7000000000000004E-2</v>
      </c>
      <c r="F38" s="53">
        <f>+'Purchased Power Model '!F38</f>
        <v>31</v>
      </c>
      <c r="G38" s="53">
        <f>+'Purchased Power Model '!G38</f>
        <v>0</v>
      </c>
      <c r="H38" s="17">
        <v>528</v>
      </c>
      <c r="I38" s="456">
        <f t="shared" si="0"/>
        <v>31206985.515347585</v>
      </c>
      <c r="J38" s="457">
        <f t="shared" si="1"/>
        <v>204440.51534758508</v>
      </c>
      <c r="K38" s="5">
        <f t="shared" si="2"/>
        <v>6.594313961888777E-3</v>
      </c>
    </row>
    <row r="39" spans="1:11" x14ac:dyDescent="0.2">
      <c r="A39" s="453">
        <v>38718</v>
      </c>
      <c r="B39" s="27">
        <v>36089373</v>
      </c>
      <c r="C39" s="455">
        <f>+'Purchased Power Model '!C39</f>
        <v>558.20000000000005</v>
      </c>
      <c r="D39" s="455">
        <f>+'Purchased Power Model '!D39</f>
        <v>0</v>
      </c>
      <c r="E39" s="443">
        <f>+'Purchased Power Model '!E39</f>
        <v>6.7000000000000004E-2</v>
      </c>
      <c r="F39" s="53">
        <f>+'Purchased Power Model '!F39</f>
        <v>31</v>
      </c>
      <c r="G39" s="53">
        <f>+'Purchased Power Model '!G39</f>
        <v>0</v>
      </c>
      <c r="H39" s="17">
        <v>529</v>
      </c>
      <c r="I39" s="456">
        <f t="shared" si="0"/>
        <v>30324651.989145137</v>
      </c>
      <c r="J39" s="457">
        <f t="shared" si="1"/>
        <v>-5764721.0108548626</v>
      </c>
      <c r="K39" s="5">
        <f t="shared" si="2"/>
        <v>-0.15973458477249972</v>
      </c>
    </row>
    <row r="40" spans="1:11" x14ac:dyDescent="0.2">
      <c r="A40" s="453">
        <v>38749</v>
      </c>
      <c r="B40" s="27">
        <v>33765775</v>
      </c>
      <c r="C40" s="455">
        <f>+'Purchased Power Model '!C40</f>
        <v>608.79999999999995</v>
      </c>
      <c r="D40" s="455">
        <f>+'Purchased Power Model '!D40</f>
        <v>0</v>
      </c>
      <c r="E40" s="443">
        <f>+'Purchased Power Model '!E40</f>
        <v>6.7000000000000004E-2</v>
      </c>
      <c r="F40" s="53">
        <f>+'Purchased Power Model '!F40</f>
        <v>28</v>
      </c>
      <c r="G40" s="53">
        <f>+'Purchased Power Model '!G40</f>
        <v>0</v>
      </c>
      <c r="H40" s="17">
        <v>529</v>
      </c>
      <c r="I40" s="456">
        <f t="shared" si="0"/>
        <v>33072764.910948552</v>
      </c>
      <c r="J40" s="457">
        <f t="shared" si="1"/>
        <v>-693010.08905144781</v>
      </c>
      <c r="K40" s="5">
        <f t="shared" si="2"/>
        <v>-2.0524039180248279E-2</v>
      </c>
    </row>
    <row r="41" spans="1:11" x14ac:dyDescent="0.2">
      <c r="A41" s="453">
        <v>38777</v>
      </c>
      <c r="B41" s="27">
        <v>33429399</v>
      </c>
      <c r="C41" s="455">
        <f>+'Purchased Power Model '!C41</f>
        <v>534</v>
      </c>
      <c r="D41" s="455">
        <f>+'Purchased Power Model '!D41</f>
        <v>0</v>
      </c>
      <c r="E41" s="443">
        <f>+'Purchased Power Model '!E41</f>
        <v>6.7000000000000004E-2</v>
      </c>
      <c r="F41" s="53">
        <f>+'Purchased Power Model '!F41</f>
        <v>31</v>
      </c>
      <c r="G41" s="53">
        <f>+'Purchased Power Model '!G41</f>
        <v>1</v>
      </c>
      <c r="H41" s="17">
        <v>530</v>
      </c>
      <c r="I41" s="456">
        <f t="shared" si="0"/>
        <v>30094090.143336937</v>
      </c>
      <c r="J41" s="457">
        <f t="shared" si="1"/>
        <v>-3335308.8566630632</v>
      </c>
      <c r="K41" s="5">
        <f t="shared" si="2"/>
        <v>-9.9771726577048636E-2</v>
      </c>
    </row>
    <row r="42" spans="1:11" x14ac:dyDescent="0.2">
      <c r="A42" s="453">
        <v>38808</v>
      </c>
      <c r="B42" s="27">
        <v>29947160</v>
      </c>
      <c r="C42" s="455">
        <f>+'Purchased Power Model '!C42</f>
        <v>323.60000000000002</v>
      </c>
      <c r="D42" s="455">
        <f>+'Purchased Power Model '!D42</f>
        <v>0</v>
      </c>
      <c r="E42" s="443">
        <f>+'Purchased Power Model '!E42</f>
        <v>6.3E-2</v>
      </c>
      <c r="F42" s="53">
        <f>+'Purchased Power Model '!F42</f>
        <v>30</v>
      </c>
      <c r="G42" s="53">
        <f>+'Purchased Power Model '!G42</f>
        <v>1</v>
      </c>
      <c r="H42" s="17">
        <v>518</v>
      </c>
      <c r="I42" s="456">
        <f t="shared" si="0"/>
        <v>28458479.92662568</v>
      </c>
      <c r="J42" s="457">
        <f t="shared" si="1"/>
        <v>-1488680.0733743198</v>
      </c>
      <c r="K42" s="5">
        <f t="shared" si="2"/>
        <v>-4.9710225389463299E-2</v>
      </c>
    </row>
    <row r="43" spans="1:11" x14ac:dyDescent="0.2">
      <c r="A43" s="453">
        <v>38838</v>
      </c>
      <c r="B43" s="27">
        <v>27235513</v>
      </c>
      <c r="C43" s="455">
        <f>+'Purchased Power Model '!C43</f>
        <v>172.6</v>
      </c>
      <c r="D43" s="455">
        <f>+'Purchased Power Model '!D43</f>
        <v>12.8</v>
      </c>
      <c r="E43" s="443">
        <f>+'Purchased Power Model '!E43</f>
        <v>6.3E-2</v>
      </c>
      <c r="F43" s="53">
        <f>+'Purchased Power Model '!F43</f>
        <v>31</v>
      </c>
      <c r="G43" s="53">
        <f>+'Purchased Power Model '!G43</f>
        <v>1</v>
      </c>
      <c r="H43" s="17">
        <v>532</v>
      </c>
      <c r="I43" s="456">
        <f t="shared" si="0"/>
        <v>26462930.512782671</v>
      </c>
      <c r="J43" s="457">
        <f t="shared" si="1"/>
        <v>-772582.48721732944</v>
      </c>
      <c r="K43" s="5">
        <f t="shared" si="2"/>
        <v>-2.836673159845858E-2</v>
      </c>
    </row>
    <row r="44" spans="1:11" x14ac:dyDescent="0.2">
      <c r="A44" s="453">
        <v>38869</v>
      </c>
      <c r="B44" s="27">
        <v>26536703</v>
      </c>
      <c r="C44" s="455">
        <f>+'Purchased Power Model '!C44</f>
        <v>22.6</v>
      </c>
      <c r="D44" s="455">
        <f>+'Purchased Power Model '!D44</f>
        <v>36.200000000000003</v>
      </c>
      <c r="E44" s="443">
        <f>+'Purchased Power Model '!E44</f>
        <v>6.3E-2</v>
      </c>
      <c r="F44" s="53">
        <f>+'Purchased Power Model '!F44</f>
        <v>30</v>
      </c>
      <c r="G44" s="53">
        <f>+'Purchased Power Model '!G44</f>
        <v>0</v>
      </c>
      <c r="H44" s="17">
        <v>529</v>
      </c>
      <c r="I44" s="456">
        <f t="shared" si="0"/>
        <v>26212340.47063012</v>
      </c>
      <c r="J44" s="457">
        <f t="shared" si="1"/>
        <v>-324362.52936987951</v>
      </c>
      <c r="K44" s="5">
        <f t="shared" si="2"/>
        <v>-1.2223166132201107E-2</v>
      </c>
    </row>
    <row r="45" spans="1:11" x14ac:dyDescent="0.2">
      <c r="A45" s="453">
        <v>38899</v>
      </c>
      <c r="B45" s="27">
        <v>28103154</v>
      </c>
      <c r="C45" s="455">
        <f>+'Purchased Power Model '!C45</f>
        <v>1.7</v>
      </c>
      <c r="D45" s="455">
        <f>+'Purchased Power Model '!D45</f>
        <v>107.6</v>
      </c>
      <c r="E45" s="443">
        <f>+'Purchased Power Model '!E45</f>
        <v>6.6000000000000003E-2</v>
      </c>
      <c r="F45" s="53">
        <f>+'Purchased Power Model '!F45</f>
        <v>31</v>
      </c>
      <c r="G45" s="53">
        <f>+'Purchased Power Model '!G45</f>
        <v>0</v>
      </c>
      <c r="H45" s="17">
        <v>520</v>
      </c>
      <c r="I45" s="456">
        <f t="shared" si="0"/>
        <v>27294786.132321768</v>
      </c>
      <c r="J45" s="457">
        <f t="shared" si="1"/>
        <v>-808367.86767823249</v>
      </c>
      <c r="K45" s="5">
        <f t="shared" si="2"/>
        <v>-2.8764311211411805E-2</v>
      </c>
    </row>
    <row r="46" spans="1:11" x14ac:dyDescent="0.2">
      <c r="A46" s="453">
        <v>38930</v>
      </c>
      <c r="B46" s="27">
        <v>29283938</v>
      </c>
      <c r="C46" s="455">
        <f>+'Purchased Power Model '!C46</f>
        <v>4.4000000000000004</v>
      </c>
      <c r="D46" s="455">
        <f>+'Purchased Power Model '!D46</f>
        <v>82.1</v>
      </c>
      <c r="E46" s="443">
        <f>+'Purchased Power Model '!E46</f>
        <v>6.6000000000000003E-2</v>
      </c>
      <c r="F46" s="53">
        <f>+'Purchased Power Model '!F46</f>
        <v>31</v>
      </c>
      <c r="G46" s="53">
        <f>+'Purchased Power Model '!G46</f>
        <v>0</v>
      </c>
      <c r="H46" s="17">
        <v>521</v>
      </c>
      <c r="I46" s="456">
        <f t="shared" si="0"/>
        <v>26630010.957683049</v>
      </c>
      <c r="J46" s="457">
        <f t="shared" si="1"/>
        <v>-2653927.0423169509</v>
      </c>
      <c r="K46" s="5">
        <f t="shared" si="2"/>
        <v>-9.0627395889068985E-2</v>
      </c>
    </row>
    <row r="47" spans="1:11" x14ac:dyDescent="0.2">
      <c r="A47" s="453">
        <v>38961</v>
      </c>
      <c r="B47" s="27">
        <v>27098995</v>
      </c>
      <c r="C47" s="455">
        <f>+'Purchased Power Model '!C47</f>
        <v>70.7</v>
      </c>
      <c r="D47" s="455">
        <f>+'Purchased Power Model '!D47</f>
        <v>5.0999999999999996</v>
      </c>
      <c r="E47" s="443">
        <f>+'Purchased Power Model '!E47</f>
        <v>6.6000000000000003E-2</v>
      </c>
      <c r="F47" s="53">
        <f>+'Purchased Power Model '!F47</f>
        <v>30</v>
      </c>
      <c r="G47" s="53">
        <f>+'Purchased Power Model '!G47</f>
        <v>1</v>
      </c>
      <c r="H47" s="17">
        <v>517</v>
      </c>
      <c r="I47" s="456">
        <f t="shared" si="0"/>
        <v>26005057.003950808</v>
      </c>
      <c r="J47" s="457">
        <f t="shared" si="1"/>
        <v>-1093937.9960491918</v>
      </c>
      <c r="K47" s="5">
        <f t="shared" si="2"/>
        <v>-4.0368212771329411E-2</v>
      </c>
    </row>
    <row r="48" spans="1:11" x14ac:dyDescent="0.2">
      <c r="A48" s="453">
        <v>38991</v>
      </c>
      <c r="B48" s="27">
        <v>27332663</v>
      </c>
      <c r="C48" s="455">
        <f>+'Purchased Power Model '!C48</f>
        <v>274.60000000000002</v>
      </c>
      <c r="D48" s="455">
        <f>+'Purchased Power Model '!D48</f>
        <v>0</v>
      </c>
      <c r="E48" s="443">
        <f>+'Purchased Power Model '!E48</f>
        <v>6.7000000000000004E-2</v>
      </c>
      <c r="F48" s="53">
        <f>+'Purchased Power Model '!F48</f>
        <v>31</v>
      </c>
      <c r="G48" s="53">
        <f>+'Purchased Power Model '!G48</f>
        <v>1</v>
      </c>
      <c r="H48" s="17">
        <v>520</v>
      </c>
      <c r="I48" s="456">
        <f t="shared" si="0"/>
        <v>27333205.744097926</v>
      </c>
      <c r="J48" s="457">
        <f t="shared" si="1"/>
        <v>542.7440979257226</v>
      </c>
      <c r="K48" s="5">
        <f t="shared" si="2"/>
        <v>1.9856978367812995E-5</v>
      </c>
    </row>
    <row r="49" spans="1:11" x14ac:dyDescent="0.2">
      <c r="A49" s="453">
        <v>39022</v>
      </c>
      <c r="B49" s="27">
        <v>29112228</v>
      </c>
      <c r="C49" s="455">
        <f>+'Purchased Power Model '!C49</f>
        <v>367.5</v>
      </c>
      <c r="D49" s="455">
        <f>+'Purchased Power Model '!D49</f>
        <v>0</v>
      </c>
      <c r="E49" s="443">
        <f>+'Purchased Power Model '!E49</f>
        <v>6.7000000000000004E-2</v>
      </c>
      <c r="F49" s="53">
        <f>+'Purchased Power Model '!F49</f>
        <v>30</v>
      </c>
      <c r="G49" s="53">
        <f>+'Purchased Power Model '!G49</f>
        <v>1</v>
      </c>
      <c r="H49" s="17">
        <v>522</v>
      </c>
      <c r="I49" s="456">
        <f t="shared" si="0"/>
        <v>29058492.589873079</v>
      </c>
      <c r="J49" s="457">
        <f t="shared" si="1"/>
        <v>-53735.410126920789</v>
      </c>
      <c r="K49" s="5">
        <f t="shared" si="2"/>
        <v>-1.8458020501529733E-3</v>
      </c>
    </row>
    <row r="50" spans="1:11" x14ac:dyDescent="0.2">
      <c r="A50" s="453">
        <v>39052</v>
      </c>
      <c r="B50" s="27">
        <v>29151692</v>
      </c>
      <c r="C50" s="455">
        <f>+'Purchased Power Model '!C50</f>
        <v>471.5</v>
      </c>
      <c r="D50" s="455">
        <f>+'Purchased Power Model '!D50</f>
        <v>0</v>
      </c>
      <c r="E50" s="443">
        <f>+'Purchased Power Model '!E50</f>
        <v>6.7000000000000004E-2</v>
      </c>
      <c r="F50" s="53">
        <f>+'Purchased Power Model '!F50</f>
        <v>31</v>
      </c>
      <c r="G50" s="53">
        <f>+'Purchased Power Model '!G50</f>
        <v>0</v>
      </c>
      <c r="H50" s="17">
        <v>522</v>
      </c>
      <c r="I50" s="456">
        <f t="shared" si="0"/>
        <v>29401873.741596863</v>
      </c>
      <c r="J50" s="457">
        <f t="shared" si="1"/>
        <v>250181.74159686267</v>
      </c>
      <c r="K50" s="5">
        <f t="shared" si="2"/>
        <v>8.5820658916423327E-3</v>
      </c>
    </row>
    <row r="51" spans="1:11" x14ac:dyDescent="0.2">
      <c r="A51" s="453">
        <v>39083</v>
      </c>
      <c r="B51" s="27">
        <v>33465918</v>
      </c>
      <c r="C51" s="455">
        <f>+'Purchased Power Model '!C51</f>
        <v>573.1</v>
      </c>
      <c r="D51" s="455">
        <f>+'Purchased Power Model '!D51</f>
        <v>0</v>
      </c>
      <c r="E51" s="443">
        <f>+'Purchased Power Model '!E51</f>
        <v>6.2E-2</v>
      </c>
      <c r="F51" s="53">
        <f>+'Purchased Power Model '!F51</f>
        <v>31</v>
      </c>
      <c r="G51" s="53">
        <f>+'Purchased Power Model '!G51</f>
        <v>0</v>
      </c>
      <c r="H51" s="17">
        <v>524</v>
      </c>
      <c r="I51" s="456">
        <f t="shared" si="0"/>
        <v>30317275.747429378</v>
      </c>
      <c r="J51" s="457">
        <f t="shared" si="1"/>
        <v>-3148642.2525706217</v>
      </c>
      <c r="K51" s="5">
        <f t="shared" si="2"/>
        <v>-9.4085040564870256E-2</v>
      </c>
    </row>
    <row r="52" spans="1:11" x14ac:dyDescent="0.2">
      <c r="A52" s="453">
        <v>39114</v>
      </c>
      <c r="B52" s="27">
        <v>35336054</v>
      </c>
      <c r="C52" s="455">
        <f>+'Purchased Power Model '!C52</f>
        <v>693.5</v>
      </c>
      <c r="D52" s="455">
        <f>+'Purchased Power Model '!D52</f>
        <v>0</v>
      </c>
      <c r="E52" s="443">
        <f>+'Purchased Power Model '!E52</f>
        <v>6.2E-2</v>
      </c>
      <c r="F52" s="53">
        <f>+'Purchased Power Model '!F52</f>
        <v>28</v>
      </c>
      <c r="G52" s="53">
        <f>+'Purchased Power Model '!G52</f>
        <v>0</v>
      </c>
      <c r="H52" s="17">
        <v>525</v>
      </c>
      <c r="I52" s="456">
        <f t="shared" si="0"/>
        <v>33808294.34026935</v>
      </c>
      <c r="J52" s="457">
        <f t="shared" si="1"/>
        <v>-1527759.6597306505</v>
      </c>
      <c r="K52" s="5">
        <f t="shared" si="2"/>
        <v>-4.3235151829082288E-2</v>
      </c>
    </row>
    <row r="53" spans="1:11" x14ac:dyDescent="0.2">
      <c r="A53" s="453">
        <v>39142</v>
      </c>
      <c r="B53" s="27">
        <v>34240683</v>
      </c>
      <c r="C53" s="455">
        <f>+'Purchased Power Model '!C53</f>
        <v>477.9</v>
      </c>
      <c r="D53" s="455">
        <f>+'Purchased Power Model '!D53</f>
        <v>0</v>
      </c>
      <c r="E53" s="443">
        <f>+'Purchased Power Model '!E53</f>
        <v>6.2E-2</v>
      </c>
      <c r="F53" s="53">
        <f>+'Purchased Power Model '!F53</f>
        <v>31</v>
      </c>
      <c r="G53" s="53">
        <f>+'Purchased Power Model '!G53</f>
        <v>1</v>
      </c>
      <c r="H53" s="17">
        <v>526</v>
      </c>
      <c r="I53" s="456">
        <f t="shared" si="0"/>
        <v>29331036.213317506</v>
      </c>
      <c r="J53" s="457">
        <f t="shared" si="1"/>
        <v>-4909646.786682494</v>
      </c>
      <c r="K53" s="5">
        <f t="shared" si="2"/>
        <v>-0.14338635671147371</v>
      </c>
    </row>
    <row r="54" spans="1:11" x14ac:dyDescent="0.2">
      <c r="A54" s="453">
        <v>39173</v>
      </c>
      <c r="B54" s="27">
        <v>33142335</v>
      </c>
      <c r="C54" s="455">
        <f>+'Purchased Power Model '!C54</f>
        <v>280.39999999999998</v>
      </c>
      <c r="D54" s="455">
        <f>+'Purchased Power Model '!D54</f>
        <v>0</v>
      </c>
      <c r="E54" s="443">
        <f>+'Purchased Power Model '!E54</f>
        <v>5.9000000000000004E-2</v>
      </c>
      <c r="F54" s="53">
        <f>+'Purchased Power Model '!F54</f>
        <v>30</v>
      </c>
      <c r="G54" s="53">
        <f>+'Purchased Power Model '!G54</f>
        <v>1</v>
      </c>
      <c r="H54" s="17">
        <v>525</v>
      </c>
      <c r="I54" s="456">
        <f t="shared" si="0"/>
        <v>27865917.606784079</v>
      </c>
      <c r="J54" s="457">
        <f t="shared" si="1"/>
        <v>-5276417.3932159208</v>
      </c>
      <c r="K54" s="5">
        <f t="shared" si="2"/>
        <v>-0.15920475709439064</v>
      </c>
    </row>
    <row r="55" spans="1:11" x14ac:dyDescent="0.2">
      <c r="A55" s="453">
        <v>39203</v>
      </c>
      <c r="B55" s="27">
        <v>26518433</v>
      </c>
      <c r="C55" s="455">
        <f>+'Purchased Power Model '!C55</f>
        <v>72.8</v>
      </c>
      <c r="D55" s="455">
        <f>+'Purchased Power Model '!D55</f>
        <v>4.5</v>
      </c>
      <c r="E55" s="443">
        <f>+'Purchased Power Model '!E55</f>
        <v>5.9000000000000004E-2</v>
      </c>
      <c r="F55" s="53">
        <f>+'Purchased Power Model '!F55</f>
        <v>31</v>
      </c>
      <c r="G55" s="53">
        <f>+'Purchased Power Model '!G55</f>
        <v>1</v>
      </c>
      <c r="H55" s="17">
        <v>528</v>
      </c>
      <c r="I55" s="456">
        <f t="shared" si="0"/>
        <v>25042223.285491109</v>
      </c>
      <c r="J55" s="457">
        <f t="shared" si="1"/>
        <v>-1476209.7145088911</v>
      </c>
      <c r="K55" s="5">
        <f t="shared" si="2"/>
        <v>-5.5667305625068081E-2</v>
      </c>
    </row>
    <row r="56" spans="1:11" x14ac:dyDescent="0.2">
      <c r="A56" s="453">
        <v>39234</v>
      </c>
      <c r="B56" s="27">
        <v>26047050</v>
      </c>
      <c r="C56" s="455">
        <f>+'Purchased Power Model '!C56</f>
        <v>6.2</v>
      </c>
      <c r="D56" s="455">
        <f>+'Purchased Power Model '!D56</f>
        <v>32.799999999999997</v>
      </c>
      <c r="E56" s="443">
        <f>+'Purchased Power Model '!E56</f>
        <v>5.9000000000000004E-2</v>
      </c>
      <c r="F56" s="53">
        <f>+'Purchased Power Model '!F56</f>
        <v>30</v>
      </c>
      <c r="G56" s="53">
        <f>+'Purchased Power Model '!G56</f>
        <v>0</v>
      </c>
      <c r="H56" s="17">
        <v>530</v>
      </c>
      <c r="I56" s="456">
        <f t="shared" si="0"/>
        <v>25812551.57462189</v>
      </c>
      <c r="J56" s="457">
        <f t="shared" si="1"/>
        <v>-234498.42537811026</v>
      </c>
      <c r="K56" s="5">
        <f t="shared" si="2"/>
        <v>-9.0028784594842898E-3</v>
      </c>
    </row>
    <row r="57" spans="1:11" x14ac:dyDescent="0.2">
      <c r="A57" s="453">
        <v>39264</v>
      </c>
      <c r="B57" s="27">
        <v>27882022</v>
      </c>
      <c r="C57" s="455">
        <f>+'Purchased Power Model '!C57</f>
        <v>8.6999999999999993</v>
      </c>
      <c r="D57" s="455">
        <f>+'Purchased Power Model '!D57</f>
        <v>41.6</v>
      </c>
      <c r="E57" s="443">
        <f>+'Purchased Power Model '!E57</f>
        <v>6.4000000000000001E-2</v>
      </c>
      <c r="F57" s="53">
        <f>+'Purchased Power Model '!F57</f>
        <v>31</v>
      </c>
      <c r="G57" s="53">
        <f>+'Purchased Power Model '!G57</f>
        <v>0</v>
      </c>
      <c r="H57" s="17">
        <v>514</v>
      </c>
      <c r="I57" s="456">
        <f t="shared" si="0"/>
        <v>25507931.92941124</v>
      </c>
      <c r="J57" s="457">
        <f t="shared" si="1"/>
        <v>-2374090.0705887601</v>
      </c>
      <c r="K57" s="5">
        <f t="shared" si="2"/>
        <v>-8.5147700930325643E-2</v>
      </c>
    </row>
    <row r="58" spans="1:11" x14ac:dyDescent="0.2">
      <c r="A58" s="453">
        <v>39295</v>
      </c>
      <c r="B58" s="27">
        <v>29951980</v>
      </c>
      <c r="C58" s="455">
        <f>+'Purchased Power Model '!C58</f>
        <v>4</v>
      </c>
      <c r="D58" s="455">
        <f>+'Purchased Power Model '!D58</f>
        <v>87.8</v>
      </c>
      <c r="E58" s="443">
        <f>+'Purchased Power Model '!E58</f>
        <v>6.4000000000000001E-2</v>
      </c>
      <c r="F58" s="53">
        <f>+'Purchased Power Model '!F58</f>
        <v>31</v>
      </c>
      <c r="G58" s="53">
        <f>+'Purchased Power Model '!G58</f>
        <v>0</v>
      </c>
      <c r="H58" s="17">
        <v>515</v>
      </c>
      <c r="I58" s="456">
        <f t="shared" si="0"/>
        <v>26714389.146614075</v>
      </c>
      <c r="J58" s="457">
        <f t="shared" si="1"/>
        <v>-3237590.8533859253</v>
      </c>
      <c r="K58" s="5">
        <f t="shared" si="2"/>
        <v>-0.10809271551950574</v>
      </c>
    </row>
    <row r="59" spans="1:11" x14ac:dyDescent="0.2">
      <c r="A59" s="453">
        <v>39326</v>
      </c>
      <c r="B59" s="27">
        <v>27635468</v>
      </c>
      <c r="C59" s="455">
        <f>+'Purchased Power Model '!C59</f>
        <v>20.100000000000001</v>
      </c>
      <c r="D59" s="455">
        <f>+'Purchased Power Model '!D59</f>
        <v>12.3</v>
      </c>
      <c r="E59" s="443">
        <f>+'Purchased Power Model '!E59</f>
        <v>6.4000000000000001E-2</v>
      </c>
      <c r="F59" s="53">
        <f>+'Purchased Power Model '!F59</f>
        <v>30</v>
      </c>
      <c r="G59" s="53">
        <f>+'Purchased Power Model '!G59</f>
        <v>1</v>
      </c>
      <c r="H59" s="17">
        <v>520</v>
      </c>
      <c r="I59" s="456">
        <f t="shared" si="0"/>
        <v>25595933.973295603</v>
      </c>
      <c r="J59" s="457">
        <f t="shared" si="1"/>
        <v>-2039534.0267043971</v>
      </c>
      <c r="K59" s="5">
        <f t="shared" si="2"/>
        <v>-7.380132034327759E-2</v>
      </c>
    </row>
    <row r="60" spans="1:11" x14ac:dyDescent="0.2">
      <c r="A60" s="453">
        <v>39356</v>
      </c>
      <c r="B60" s="27">
        <v>26870323</v>
      </c>
      <c r="C60" s="455">
        <f>+'Purchased Power Model '!C60</f>
        <v>101.5</v>
      </c>
      <c r="D60" s="455">
        <f>+'Purchased Power Model '!D60</f>
        <v>0</v>
      </c>
      <c r="E60" s="443">
        <f>+'Purchased Power Model '!E60</f>
        <v>6.0999999999999999E-2</v>
      </c>
      <c r="F60" s="53">
        <f>+'Purchased Power Model '!F60</f>
        <v>31</v>
      </c>
      <c r="G60" s="53">
        <f>+'Purchased Power Model '!G60</f>
        <v>1</v>
      </c>
      <c r="H60" s="17">
        <v>521</v>
      </c>
      <c r="I60" s="456">
        <f t="shared" si="0"/>
        <v>25291687.705979384</v>
      </c>
      <c r="J60" s="457">
        <f t="shared" si="1"/>
        <v>-1578635.2940206155</v>
      </c>
      <c r="K60" s="5">
        <f t="shared" si="2"/>
        <v>-5.8750142081307154E-2</v>
      </c>
    </row>
    <row r="61" spans="1:11" x14ac:dyDescent="0.2">
      <c r="A61" s="453">
        <v>39387</v>
      </c>
      <c r="B61" s="27">
        <v>28419439</v>
      </c>
      <c r="C61" s="455">
        <f>+'Purchased Power Model '!C61</f>
        <v>314.10000000000002</v>
      </c>
      <c r="D61" s="455">
        <f>+'Purchased Power Model '!D61</f>
        <v>0</v>
      </c>
      <c r="E61" s="443">
        <f>+'Purchased Power Model '!E61</f>
        <v>6.0999999999999999E-2</v>
      </c>
      <c r="F61" s="53">
        <f>+'Purchased Power Model '!F61</f>
        <v>30</v>
      </c>
      <c r="G61" s="53">
        <f>+'Purchased Power Model '!G61</f>
        <v>1</v>
      </c>
      <c r="H61" s="17">
        <v>522</v>
      </c>
      <c r="I61" s="456">
        <f t="shared" si="0"/>
        <v>28290983.274148177</v>
      </c>
      <c r="J61" s="457">
        <f t="shared" si="1"/>
        <v>-128455.72585182264</v>
      </c>
      <c r="K61" s="5">
        <f t="shared" si="2"/>
        <v>-4.5199951291023952E-3</v>
      </c>
    </row>
    <row r="62" spans="1:11" x14ac:dyDescent="0.2">
      <c r="A62" s="453">
        <v>39417</v>
      </c>
      <c r="B62" s="27">
        <v>29635015</v>
      </c>
      <c r="C62" s="455">
        <f>+'Purchased Power Model '!C62</f>
        <v>337.8</v>
      </c>
      <c r="D62" s="455">
        <f>+'Purchased Power Model '!D62</f>
        <v>0</v>
      </c>
      <c r="E62" s="443">
        <f>+'Purchased Power Model '!E62</f>
        <v>6.0999999999999999E-2</v>
      </c>
      <c r="F62" s="53">
        <f>+'Purchased Power Model '!F62</f>
        <v>31</v>
      </c>
      <c r="G62" s="53">
        <f>+'Purchased Power Model '!G62</f>
        <v>0</v>
      </c>
      <c r="H62" s="17">
        <v>524</v>
      </c>
      <c r="I62" s="456">
        <f t="shared" si="0"/>
        <v>27779703.60374824</v>
      </c>
      <c r="J62" s="457">
        <f t="shared" si="1"/>
        <v>-1855311.3962517604</v>
      </c>
      <c r="K62" s="5">
        <f t="shared" si="2"/>
        <v>-6.2605380704270283E-2</v>
      </c>
    </row>
    <row r="63" spans="1:11" x14ac:dyDescent="0.2">
      <c r="A63" s="453">
        <v>39448</v>
      </c>
      <c r="B63" s="17">
        <v>36162351</v>
      </c>
      <c r="C63" s="458">
        <f>+'Purchased Power Model '!C63</f>
        <v>432.8</v>
      </c>
      <c r="D63" s="458">
        <f>+'Purchased Power Model '!D63</f>
        <v>0</v>
      </c>
      <c r="E63" s="443">
        <f>+'Purchased Power Model '!E63</f>
        <v>6.6000000000000003E-2</v>
      </c>
      <c r="F63" s="53">
        <f>+'Purchased Power Model '!F63</f>
        <v>31</v>
      </c>
      <c r="G63" s="53">
        <f>+'Purchased Power Model '!G63</f>
        <v>0</v>
      </c>
      <c r="H63" s="17">
        <v>523</v>
      </c>
      <c r="I63" s="456">
        <f t="shared" si="0"/>
        <v>28956783.760176294</v>
      </c>
      <c r="J63" s="457">
        <f t="shared" si="1"/>
        <v>-7205567.2398237064</v>
      </c>
      <c r="K63" s="5">
        <f t="shared" si="2"/>
        <v>-0.19925605057657081</v>
      </c>
    </row>
    <row r="64" spans="1:11" x14ac:dyDescent="0.2">
      <c r="A64" s="453">
        <v>39479</v>
      </c>
      <c r="B64" s="17">
        <v>33275078</v>
      </c>
      <c r="C64" s="458">
        <f>+'Purchased Power Model '!C64</f>
        <v>317.60000000000002</v>
      </c>
      <c r="D64" s="458">
        <f>+'Purchased Power Model '!D64</f>
        <v>0</v>
      </c>
      <c r="E64" s="443">
        <f>+'Purchased Power Model '!E64</f>
        <v>6.6000000000000003E-2</v>
      </c>
      <c r="F64" s="53">
        <f>+'Purchased Power Model '!F64</f>
        <v>29</v>
      </c>
      <c r="G64" s="53">
        <f>+'Purchased Power Model '!G64</f>
        <v>0</v>
      </c>
      <c r="H64" s="17">
        <v>524</v>
      </c>
      <c r="I64" s="456">
        <f t="shared" si="0"/>
        <v>29203709.787227988</v>
      </c>
      <c r="J64" s="457">
        <f t="shared" si="1"/>
        <v>-4071368.2127720118</v>
      </c>
      <c r="K64" s="5">
        <f t="shared" si="2"/>
        <v>-0.12235488111468926</v>
      </c>
    </row>
    <row r="65" spans="1:17" x14ac:dyDescent="0.2">
      <c r="A65" s="453">
        <v>39508</v>
      </c>
      <c r="B65" s="17">
        <v>31871980</v>
      </c>
      <c r="C65" s="458">
        <f>+'Purchased Power Model '!C65</f>
        <v>430</v>
      </c>
      <c r="D65" s="458">
        <f>+'Purchased Power Model '!D65</f>
        <v>0</v>
      </c>
      <c r="E65" s="443">
        <f>+'Purchased Power Model '!E65</f>
        <v>6.6000000000000003E-2</v>
      </c>
      <c r="F65" s="53">
        <f>+'Purchased Power Model '!F65</f>
        <v>31</v>
      </c>
      <c r="G65" s="53">
        <f>+'Purchased Power Model '!G65</f>
        <v>1</v>
      </c>
      <c r="H65" s="17">
        <v>525</v>
      </c>
      <c r="I65" s="456">
        <f t="shared" si="0"/>
        <v>28953989.555631451</v>
      </c>
      <c r="J65" s="457">
        <f t="shared" si="1"/>
        <v>-2917990.4443685487</v>
      </c>
      <c r="K65" s="5">
        <f t="shared" si="2"/>
        <v>-9.1553472497427166E-2</v>
      </c>
    </row>
    <row r="66" spans="1:17" x14ac:dyDescent="0.2">
      <c r="A66" s="453">
        <v>39539</v>
      </c>
      <c r="B66" s="17">
        <v>33186256</v>
      </c>
      <c r="C66" s="458">
        <f>+'Purchased Power Model '!C66</f>
        <v>144.6</v>
      </c>
      <c r="D66" s="458">
        <f>+'Purchased Power Model '!D66</f>
        <v>0</v>
      </c>
      <c r="E66" s="443">
        <f>+'Purchased Power Model '!E66</f>
        <v>7.400000000000001E-2</v>
      </c>
      <c r="F66" s="53">
        <f>+'Purchased Power Model '!F66</f>
        <v>30</v>
      </c>
      <c r="G66" s="53">
        <f>+'Purchased Power Model '!G66</f>
        <v>1</v>
      </c>
      <c r="H66" s="17">
        <v>526</v>
      </c>
      <c r="I66" s="456">
        <f t="shared" si="0"/>
        <v>26918437.354403708</v>
      </c>
      <c r="J66" s="457">
        <f t="shared" si="1"/>
        <v>-6267818.6455962919</v>
      </c>
      <c r="K66" s="5">
        <f t="shared" si="2"/>
        <v>-0.18886790500248934</v>
      </c>
    </row>
    <row r="67" spans="1:17" x14ac:dyDescent="0.2">
      <c r="A67" s="453">
        <v>39569</v>
      </c>
      <c r="B67" s="17">
        <v>24969219</v>
      </c>
      <c r="C67" s="458">
        <f>+'Purchased Power Model '!C67</f>
        <v>151</v>
      </c>
      <c r="D67" s="458">
        <f>+'Purchased Power Model '!D67</f>
        <v>0</v>
      </c>
      <c r="E67" s="443">
        <f>+'Purchased Power Model '!E67</f>
        <v>7.400000000000001E-2</v>
      </c>
      <c r="F67" s="53">
        <f>+'Purchased Power Model '!F67</f>
        <v>31</v>
      </c>
      <c r="G67" s="53">
        <f>+'Purchased Power Model '!G67</f>
        <v>1</v>
      </c>
      <c r="H67" s="17">
        <v>528</v>
      </c>
      <c r="I67" s="456">
        <f t="shared" si="0"/>
        <v>26250034.937481418</v>
      </c>
      <c r="J67" s="457">
        <f t="shared" si="1"/>
        <v>1280815.9374814183</v>
      </c>
      <c r="K67" s="5">
        <f t="shared" si="2"/>
        <v>5.1295794933811034E-2</v>
      </c>
    </row>
    <row r="68" spans="1:17" x14ac:dyDescent="0.2">
      <c r="A68" s="453">
        <v>39600</v>
      </c>
      <c r="B68" s="17">
        <v>25615398</v>
      </c>
      <c r="C68" s="458">
        <f>+'Purchased Power Model '!C68</f>
        <v>15.5</v>
      </c>
      <c r="D68" s="458">
        <f>+'Purchased Power Model '!D68</f>
        <v>23.6</v>
      </c>
      <c r="E68" s="443">
        <f>+'Purchased Power Model '!E68</f>
        <v>7.400000000000001E-2</v>
      </c>
      <c r="F68" s="53">
        <f>+'Purchased Power Model '!F68</f>
        <v>30</v>
      </c>
      <c r="G68" s="53">
        <f>+'Purchased Power Model '!G68</f>
        <v>0</v>
      </c>
      <c r="H68" s="17">
        <v>530</v>
      </c>
      <c r="I68" s="456">
        <f t="shared" ref="I68:I131" si="3">$N$18+C68*$N$19+D68*$N$20+E68*$N$21+F68*$N$22+G68*$N$23</f>
        <v>26159212.748784732</v>
      </c>
      <c r="J68" s="457">
        <f t="shared" ref="J68:J131" si="4">I68-B68</f>
        <v>543814.74878473207</v>
      </c>
      <c r="K68" s="5">
        <f t="shared" ref="K68:K131" si="5">J68/B68</f>
        <v>2.1229994114662285E-2</v>
      </c>
    </row>
    <row r="69" spans="1:17" x14ac:dyDescent="0.2">
      <c r="A69" s="453">
        <v>39630</v>
      </c>
      <c r="B69" s="17">
        <v>27378180</v>
      </c>
      <c r="C69" s="458">
        <f>+'Purchased Power Model '!C69</f>
        <v>1</v>
      </c>
      <c r="D69" s="458">
        <f>+'Purchased Power Model '!D69</f>
        <v>61.4</v>
      </c>
      <c r="E69" s="443">
        <f>+'Purchased Power Model '!E69</f>
        <v>6.8000000000000005E-2</v>
      </c>
      <c r="F69" s="53">
        <f>+'Purchased Power Model '!F69</f>
        <v>31</v>
      </c>
      <c r="G69" s="53">
        <f>+'Purchased Power Model '!G69</f>
        <v>0</v>
      </c>
      <c r="H69" s="17">
        <v>533</v>
      </c>
      <c r="I69" s="456">
        <f t="shared" si="3"/>
        <v>26097239.68652989</v>
      </c>
      <c r="J69" s="457">
        <f t="shared" si="4"/>
        <v>-1280940.3134701103</v>
      </c>
      <c r="K69" s="5">
        <f t="shared" si="5"/>
        <v>-4.6786905246079556E-2</v>
      </c>
    </row>
    <row r="70" spans="1:17" x14ac:dyDescent="0.2">
      <c r="A70" s="453">
        <v>39661</v>
      </c>
      <c r="B70" s="17">
        <v>28971090</v>
      </c>
      <c r="C70" s="458">
        <f>+'Purchased Power Model '!C70</f>
        <v>13.8</v>
      </c>
      <c r="D70" s="458">
        <f>+'Purchased Power Model '!D70</f>
        <v>29.9</v>
      </c>
      <c r="E70" s="443">
        <f>+'Purchased Power Model '!E70</f>
        <v>6.8000000000000005E-2</v>
      </c>
      <c r="F70" s="53">
        <f>+'Purchased Power Model '!F70</f>
        <v>31</v>
      </c>
      <c r="G70" s="53">
        <f>+'Purchased Power Model '!G70</f>
        <v>0</v>
      </c>
      <c r="H70" s="17">
        <v>530</v>
      </c>
      <c r="I70" s="456">
        <f t="shared" si="3"/>
        <v>25376782.979538776</v>
      </c>
      <c r="J70" s="457">
        <f t="shared" si="4"/>
        <v>-3594307.020461224</v>
      </c>
      <c r="K70" s="5">
        <f t="shared" si="5"/>
        <v>-0.12406530166663471</v>
      </c>
    </row>
    <row r="71" spans="1:17" x14ac:dyDescent="0.2">
      <c r="A71" s="453">
        <v>39692</v>
      </c>
      <c r="B71" s="17">
        <v>26602363</v>
      </c>
      <c r="C71" s="458">
        <f>+'Purchased Power Model '!C71</f>
        <v>51.6</v>
      </c>
      <c r="D71" s="458">
        <f>+'Purchased Power Model '!D71</f>
        <v>15.1</v>
      </c>
      <c r="E71" s="443">
        <f>+'Purchased Power Model '!E71</f>
        <v>6.8000000000000005E-2</v>
      </c>
      <c r="F71" s="53">
        <f>+'Purchased Power Model '!F71</f>
        <v>30</v>
      </c>
      <c r="G71" s="53">
        <f>+'Purchased Power Model '!G71</f>
        <v>1</v>
      </c>
      <c r="H71" s="17">
        <v>532</v>
      </c>
      <c r="I71" s="456">
        <f t="shared" si="3"/>
        <v>26140119.48547985</v>
      </c>
      <c r="J71" s="457">
        <f t="shared" si="4"/>
        <v>-462243.51452014968</v>
      </c>
      <c r="K71" s="5">
        <f t="shared" si="5"/>
        <v>-1.7376032141210526E-2</v>
      </c>
    </row>
    <row r="72" spans="1:17" x14ac:dyDescent="0.2">
      <c r="A72" s="453">
        <v>39722</v>
      </c>
      <c r="B72" s="17">
        <v>26492711</v>
      </c>
      <c r="C72" s="458">
        <f>+'Purchased Power Model '!C72</f>
        <v>203.1</v>
      </c>
      <c r="D72" s="458">
        <f>+'Purchased Power Model '!D72</f>
        <v>0</v>
      </c>
      <c r="E72" s="443">
        <f>+'Purchased Power Model '!E72</f>
        <v>0.08</v>
      </c>
      <c r="F72" s="53">
        <f>+'Purchased Power Model '!F72</f>
        <v>31</v>
      </c>
      <c r="G72" s="53">
        <f>+'Purchased Power Model '!G72</f>
        <v>1</v>
      </c>
      <c r="H72" s="17">
        <v>543</v>
      </c>
      <c r="I72" s="456">
        <f t="shared" si="3"/>
        <v>27003707.901166961</v>
      </c>
      <c r="J72" s="457">
        <f t="shared" si="4"/>
        <v>510996.9011669606</v>
      </c>
      <c r="K72" s="5">
        <f t="shared" si="5"/>
        <v>1.9288207279615915E-2</v>
      </c>
    </row>
    <row r="73" spans="1:17" x14ac:dyDescent="0.2">
      <c r="A73" s="453">
        <v>39753</v>
      </c>
      <c r="B73" s="17">
        <v>27491261</v>
      </c>
      <c r="C73" s="458">
        <f>+'Purchased Power Model '!C73</f>
        <v>268.8</v>
      </c>
      <c r="D73" s="458">
        <f>+'Purchased Power Model '!D73</f>
        <v>0</v>
      </c>
      <c r="E73" s="443">
        <f>+'Purchased Power Model '!E73</f>
        <v>0.08</v>
      </c>
      <c r="F73" s="53">
        <f>+'Purchased Power Model '!F73</f>
        <v>30</v>
      </c>
      <c r="G73" s="53">
        <f>+'Purchased Power Model '!G73</f>
        <v>1</v>
      </c>
      <c r="H73" s="17">
        <v>543</v>
      </c>
      <c r="I73" s="456">
        <f t="shared" si="3"/>
        <v>28439495.688887756</v>
      </c>
      <c r="J73" s="457">
        <f t="shared" si="4"/>
        <v>948234.68888775632</v>
      </c>
      <c r="K73" s="5">
        <f t="shared" si="5"/>
        <v>3.4492222415252481E-2</v>
      </c>
    </row>
    <row r="74" spans="1:17" x14ac:dyDescent="0.2">
      <c r="A74" s="453">
        <v>39783</v>
      </c>
      <c r="B74" s="17">
        <v>30616263</v>
      </c>
      <c r="C74" s="458">
        <f>+'Purchased Power Model '!C74</f>
        <v>378.9</v>
      </c>
      <c r="D74" s="458">
        <f>+'Purchased Power Model '!D74</f>
        <v>0</v>
      </c>
      <c r="E74" s="443">
        <f>+'Purchased Power Model '!E74</f>
        <v>0.08</v>
      </c>
      <c r="F74" s="53">
        <f>+'Purchased Power Model '!F74</f>
        <v>31</v>
      </c>
      <c r="G74" s="53">
        <f>+'Purchased Power Model '!G74</f>
        <v>0</v>
      </c>
      <c r="H74" s="17">
        <v>543</v>
      </c>
      <c r="I74" s="456">
        <f t="shared" si="3"/>
        <v>28847801.261719324</v>
      </c>
      <c r="J74" s="457">
        <f t="shared" si="4"/>
        <v>-1768461.7382806763</v>
      </c>
      <c r="K74" s="5">
        <f t="shared" si="5"/>
        <v>-5.7762168370472787E-2</v>
      </c>
    </row>
    <row r="75" spans="1:17" s="14" customFormat="1" x14ac:dyDescent="0.2">
      <c r="A75" s="453">
        <v>39814</v>
      </c>
      <c r="B75" s="17">
        <v>36093357</v>
      </c>
      <c r="C75" s="458">
        <f>+'Purchased Power Model '!C75</f>
        <v>684.3</v>
      </c>
      <c r="D75" s="458">
        <f>+'Purchased Power Model '!D75</f>
        <v>0</v>
      </c>
      <c r="E75" s="443">
        <f>+'Purchased Power Model '!E75</f>
        <v>8.3000000000000004E-2</v>
      </c>
      <c r="F75" s="53">
        <f>+'Purchased Power Model '!F75</f>
        <v>31</v>
      </c>
      <c r="G75" s="53">
        <f>+'Purchased Power Model '!G75</f>
        <v>0</v>
      </c>
      <c r="H75" s="17">
        <v>543</v>
      </c>
      <c r="I75" s="456">
        <f t="shared" si="3"/>
        <v>32197856.929866709</v>
      </c>
      <c r="J75" s="457">
        <f t="shared" si="4"/>
        <v>-3895500.0701332912</v>
      </c>
      <c r="K75" s="5">
        <f t="shared" si="5"/>
        <v>-0.10792844982896135</v>
      </c>
      <c r="L75" s="11"/>
      <c r="M75" s="11"/>
      <c r="N75" s="11"/>
      <c r="O75" s="11"/>
      <c r="P75" s="11"/>
      <c r="Q75" s="11"/>
    </row>
    <row r="76" spans="1:17" x14ac:dyDescent="0.2">
      <c r="A76" s="453">
        <v>39845</v>
      </c>
      <c r="B76" s="17">
        <v>35456866</v>
      </c>
      <c r="C76" s="458">
        <f>+'Purchased Power Model '!C76</f>
        <v>595.29999999999995</v>
      </c>
      <c r="D76" s="458">
        <f>+'Purchased Power Model '!D76</f>
        <v>0</v>
      </c>
      <c r="E76" s="443">
        <f>+'Purchased Power Model '!E76</f>
        <v>8.3000000000000004E-2</v>
      </c>
      <c r="F76" s="53">
        <f>+'Purchased Power Model '!F76</f>
        <v>28</v>
      </c>
      <c r="G76" s="53">
        <f>+'Purchased Power Model '!G76</f>
        <v>0</v>
      </c>
      <c r="H76" s="17">
        <v>544</v>
      </c>
      <c r="I76" s="456">
        <f t="shared" si="3"/>
        <v>33460158.509597011</v>
      </c>
      <c r="J76" s="457">
        <f t="shared" si="4"/>
        <v>-1996707.4904029891</v>
      </c>
      <c r="K76" s="5">
        <f t="shared" si="5"/>
        <v>-5.6313704950770017E-2</v>
      </c>
    </row>
    <row r="77" spans="1:17" x14ac:dyDescent="0.2">
      <c r="A77" s="453">
        <v>39873</v>
      </c>
      <c r="B77" s="17">
        <v>31646160</v>
      </c>
      <c r="C77" s="458">
        <f>+'Purchased Power Model '!C77</f>
        <v>442.2</v>
      </c>
      <c r="D77" s="458">
        <f>+'Purchased Power Model '!D77</f>
        <v>0</v>
      </c>
      <c r="E77" s="443">
        <f>+'Purchased Power Model '!E77</f>
        <v>8.3000000000000004E-2</v>
      </c>
      <c r="F77" s="53">
        <f>+'Purchased Power Model '!F77</f>
        <v>31</v>
      </c>
      <c r="G77" s="53">
        <f>+'Purchased Power Model '!G77</f>
        <v>1</v>
      </c>
      <c r="H77" s="17">
        <v>544</v>
      </c>
      <c r="I77" s="456">
        <f t="shared" si="3"/>
        <v>29648109.615306847</v>
      </c>
      <c r="J77" s="457">
        <f t="shared" si="4"/>
        <v>-1998050.3846931532</v>
      </c>
      <c r="K77" s="5">
        <f t="shared" si="5"/>
        <v>-6.3137214268434244E-2</v>
      </c>
    </row>
    <row r="78" spans="1:17" x14ac:dyDescent="0.2">
      <c r="A78" s="453">
        <v>39904</v>
      </c>
      <c r="B78" s="17">
        <v>28531933</v>
      </c>
      <c r="C78" s="458">
        <f>+'Purchased Power Model '!C78</f>
        <v>313.8</v>
      </c>
      <c r="D78" s="458">
        <f>+'Purchased Power Model '!D78</f>
        <v>0</v>
      </c>
      <c r="E78" s="443">
        <f>+'Purchased Power Model '!E78</f>
        <v>8.8000000000000009E-2</v>
      </c>
      <c r="F78" s="53">
        <f>+'Purchased Power Model '!F78</f>
        <v>30</v>
      </c>
      <c r="G78" s="53">
        <f>+'Purchased Power Model '!G78</f>
        <v>1</v>
      </c>
      <c r="H78" s="17">
        <v>544</v>
      </c>
      <c r="I78" s="456">
        <f t="shared" si="3"/>
        <v>29183985.732855853</v>
      </c>
      <c r="J78" s="457">
        <f t="shared" si="4"/>
        <v>652052.73285585269</v>
      </c>
      <c r="K78" s="5">
        <f t="shared" si="5"/>
        <v>2.2853436984302911E-2</v>
      </c>
    </row>
    <row r="79" spans="1:17" x14ac:dyDescent="0.2">
      <c r="A79" s="453">
        <v>39934</v>
      </c>
      <c r="B79" s="17">
        <v>28009980</v>
      </c>
      <c r="C79" s="458">
        <f>+'Purchased Power Model '!C79</f>
        <v>170.1</v>
      </c>
      <c r="D79" s="458">
        <f>+'Purchased Power Model '!D79</f>
        <v>0</v>
      </c>
      <c r="E79" s="443">
        <f>+'Purchased Power Model '!E79</f>
        <v>8.8000000000000009E-2</v>
      </c>
      <c r="F79" s="53">
        <f>+'Purchased Power Model '!F79</f>
        <v>31</v>
      </c>
      <c r="G79" s="53">
        <f>+'Purchased Power Model '!G79</f>
        <v>1</v>
      </c>
      <c r="H79" s="17">
        <v>546</v>
      </c>
      <c r="I79" s="456">
        <f t="shared" si="3"/>
        <v>26918016.822773285</v>
      </c>
      <c r="J79" s="457">
        <f t="shared" si="4"/>
        <v>-1091963.1772267148</v>
      </c>
      <c r="K79" s="5">
        <f t="shared" si="5"/>
        <v>-3.8984789608086649E-2</v>
      </c>
    </row>
    <row r="80" spans="1:17" x14ac:dyDescent="0.2">
      <c r="A80" s="453">
        <v>39965</v>
      </c>
      <c r="B80" s="17">
        <v>25073792</v>
      </c>
      <c r="C80" s="458">
        <f>+'Purchased Power Model '!C80</f>
        <v>57.9</v>
      </c>
      <c r="D80" s="458">
        <f>+'Purchased Power Model '!D80</f>
        <v>26.3</v>
      </c>
      <c r="E80" s="443">
        <f>+'Purchased Power Model '!E80</f>
        <v>8.8000000000000009E-2</v>
      </c>
      <c r="F80" s="53">
        <f>+'Purchased Power Model '!F80</f>
        <v>30</v>
      </c>
      <c r="G80" s="53">
        <f>+'Purchased Power Model '!G80</f>
        <v>0</v>
      </c>
      <c r="H80" s="17">
        <v>548</v>
      </c>
      <c r="I80" s="456">
        <f t="shared" si="3"/>
        <v>27148615.340970602</v>
      </c>
      <c r="J80" s="457">
        <f t="shared" si="4"/>
        <v>2074823.3409706019</v>
      </c>
      <c r="K80" s="5">
        <f t="shared" si="5"/>
        <v>8.274868599733945E-2</v>
      </c>
    </row>
    <row r="81" spans="1:17" x14ac:dyDescent="0.2">
      <c r="A81" s="453">
        <v>39995</v>
      </c>
      <c r="B81" s="17">
        <v>26726887</v>
      </c>
      <c r="C81" s="458">
        <f>+'Purchased Power Model '!C81</f>
        <v>16.8</v>
      </c>
      <c r="D81" s="458">
        <f>+'Purchased Power Model '!D81</f>
        <v>25.6</v>
      </c>
      <c r="E81" s="443">
        <f>+'Purchased Power Model '!E81</f>
        <v>9.5000000000000001E-2</v>
      </c>
      <c r="F81" s="53">
        <f>+'Purchased Power Model '!F81</f>
        <v>31</v>
      </c>
      <c r="G81" s="53">
        <f>+'Purchased Power Model '!G81</f>
        <v>0</v>
      </c>
      <c r="H81" s="17">
        <v>550</v>
      </c>
      <c r="I81" s="456">
        <f t="shared" si="3"/>
        <v>26187963.288946442</v>
      </c>
      <c r="J81" s="457">
        <f t="shared" si="4"/>
        <v>-538923.71105355769</v>
      </c>
      <c r="K81" s="5">
        <f t="shared" si="5"/>
        <v>-2.0164103326120911E-2</v>
      </c>
    </row>
    <row r="82" spans="1:17" x14ac:dyDescent="0.2">
      <c r="A82" s="453">
        <v>40026</v>
      </c>
      <c r="B82" s="17">
        <v>26947368</v>
      </c>
      <c r="C82" s="458">
        <f>+'Purchased Power Model '!C82</f>
        <v>13.1</v>
      </c>
      <c r="D82" s="458">
        <f>+'Purchased Power Model '!D82</f>
        <v>77.7</v>
      </c>
      <c r="E82" s="443">
        <f>+'Purchased Power Model '!E82</f>
        <v>9.5000000000000001E-2</v>
      </c>
      <c r="F82" s="53">
        <f>+'Purchased Power Model '!F82</f>
        <v>31</v>
      </c>
      <c r="G82" s="53">
        <f>+'Purchased Power Model '!G82</f>
        <v>0</v>
      </c>
      <c r="H82" s="17">
        <v>551</v>
      </c>
      <c r="I82" s="456">
        <f t="shared" si="3"/>
        <v>27565523.542483203</v>
      </c>
      <c r="J82" s="457">
        <f t="shared" si="4"/>
        <v>618155.54248320311</v>
      </c>
      <c r="K82" s="5">
        <f t="shared" si="5"/>
        <v>2.2939366192765213E-2</v>
      </c>
    </row>
    <row r="83" spans="1:17" x14ac:dyDescent="0.2">
      <c r="A83" s="453">
        <v>40057</v>
      </c>
      <c r="B83" s="17">
        <v>27865737</v>
      </c>
      <c r="C83" s="458">
        <f>+'Purchased Power Model '!C83</f>
        <v>64.8</v>
      </c>
      <c r="D83" s="458">
        <f>+'Purchased Power Model '!D83</f>
        <v>9</v>
      </c>
      <c r="E83" s="443">
        <f>+'Purchased Power Model '!E83</f>
        <v>9.5000000000000001E-2</v>
      </c>
      <c r="F83" s="53">
        <f>+'Purchased Power Model '!F83</f>
        <v>30</v>
      </c>
      <c r="G83" s="53">
        <f>+'Purchased Power Model '!G83</f>
        <v>1</v>
      </c>
      <c r="H83" s="17">
        <v>545</v>
      </c>
      <c r="I83" s="456">
        <f t="shared" si="3"/>
        <v>27010908.138352741</v>
      </c>
      <c r="J83" s="457">
        <f t="shared" si="4"/>
        <v>-854828.86164725944</v>
      </c>
      <c r="K83" s="5">
        <f t="shared" si="5"/>
        <v>-3.067670026625384E-2</v>
      </c>
    </row>
    <row r="84" spans="1:17" x14ac:dyDescent="0.2">
      <c r="A84" s="453">
        <v>40087</v>
      </c>
      <c r="B84" s="17">
        <v>27561545</v>
      </c>
      <c r="C84" s="458">
        <f>+'Purchased Power Model '!C84</f>
        <v>287.89999999999998</v>
      </c>
      <c r="D84" s="458">
        <f>+'Purchased Power Model '!D84</f>
        <v>0</v>
      </c>
      <c r="E84" s="443">
        <f>+'Purchased Power Model '!E84</f>
        <v>0.1</v>
      </c>
      <c r="F84" s="53">
        <f>+'Purchased Power Model '!F84</f>
        <v>31</v>
      </c>
      <c r="G84" s="53">
        <f>+'Purchased Power Model '!G84</f>
        <v>1</v>
      </c>
      <c r="H84" s="17">
        <v>546</v>
      </c>
      <c r="I84" s="456">
        <f t="shared" si="3"/>
        <v>28570112.279171541</v>
      </c>
      <c r="J84" s="457">
        <f t="shared" si="4"/>
        <v>1008567.2791715413</v>
      </c>
      <c r="K84" s="5">
        <f t="shared" si="5"/>
        <v>3.6593278031820831E-2</v>
      </c>
    </row>
    <row r="85" spans="1:17" x14ac:dyDescent="0.2">
      <c r="A85" s="453">
        <v>40118</v>
      </c>
      <c r="B85" s="17">
        <v>27322370</v>
      </c>
      <c r="C85" s="458">
        <f>+'Purchased Power Model '!C85</f>
        <v>347.4</v>
      </c>
      <c r="D85" s="458">
        <f>+'Purchased Power Model '!D85</f>
        <v>0</v>
      </c>
      <c r="E85" s="443">
        <f>+'Purchased Power Model '!E85</f>
        <v>0.1</v>
      </c>
      <c r="F85" s="53">
        <f>+'Purchased Power Model '!F85</f>
        <v>30</v>
      </c>
      <c r="G85" s="53">
        <f>+'Purchased Power Model '!G85</f>
        <v>1</v>
      </c>
      <c r="H85" s="17">
        <v>524</v>
      </c>
      <c r="I85" s="456">
        <f t="shared" si="3"/>
        <v>29939911.311012294</v>
      </c>
      <c r="J85" s="457">
        <f t="shared" si="4"/>
        <v>2617541.3110122941</v>
      </c>
      <c r="K85" s="5">
        <f t="shared" si="5"/>
        <v>9.5802132502132653E-2</v>
      </c>
    </row>
    <row r="86" spans="1:17" s="31" customFormat="1" x14ac:dyDescent="0.2">
      <c r="A86" s="453">
        <v>40148</v>
      </c>
      <c r="B86" s="17">
        <v>28548306</v>
      </c>
      <c r="C86" s="458">
        <f>+'Purchased Power Model '!C86</f>
        <v>619.1</v>
      </c>
      <c r="D86" s="458">
        <f>+'Purchased Power Model '!D86</f>
        <v>0</v>
      </c>
      <c r="E86" s="443">
        <f>+'Purchased Power Model '!E86</f>
        <v>0.1</v>
      </c>
      <c r="F86" s="53">
        <f>+'Purchased Power Model '!F86</f>
        <v>31</v>
      </c>
      <c r="G86" s="53">
        <f>+'Purchased Power Model '!G86</f>
        <v>0</v>
      </c>
      <c r="H86" s="17">
        <v>507</v>
      </c>
      <c r="I86" s="456">
        <f t="shared" si="3"/>
        <v>32068181.875813887</v>
      </c>
      <c r="J86" s="457">
        <f t="shared" si="4"/>
        <v>3519875.8758138865</v>
      </c>
      <c r="K86" s="5">
        <f t="shared" si="5"/>
        <v>0.12329543741803407</v>
      </c>
      <c r="L86" s="27"/>
      <c r="M86" s="27"/>
      <c r="N86" s="27"/>
      <c r="O86" s="27"/>
      <c r="P86" s="27"/>
      <c r="Q86" s="27"/>
    </row>
    <row r="87" spans="1:17" x14ac:dyDescent="0.2">
      <c r="A87" s="453">
        <v>40179</v>
      </c>
      <c r="B87" s="459">
        <v>36972449</v>
      </c>
      <c r="C87" s="458">
        <f>+'Purchased Power Model '!C87</f>
        <v>699.9</v>
      </c>
      <c r="D87" s="458">
        <f>+'Purchased Power Model '!D87</f>
        <v>0</v>
      </c>
      <c r="E87" s="443">
        <f>+'Purchased Power Model '!E87</f>
        <v>0.10300000000000001</v>
      </c>
      <c r="F87" s="53">
        <f>+'Purchased Power Model '!F87</f>
        <v>31</v>
      </c>
      <c r="G87" s="53">
        <f>+'Purchased Power Model '!G87</f>
        <v>0</v>
      </c>
      <c r="H87" s="17">
        <v>508</v>
      </c>
      <c r="I87" s="456">
        <f t="shared" si="3"/>
        <v>33027741.645468287</v>
      </c>
      <c r="J87" s="457">
        <f t="shared" si="4"/>
        <v>-3944707.3545317128</v>
      </c>
      <c r="K87" s="5">
        <f t="shared" si="5"/>
        <v>-0.10669315831720297</v>
      </c>
    </row>
    <row r="88" spans="1:17" x14ac:dyDescent="0.2">
      <c r="A88" s="453">
        <v>40210</v>
      </c>
      <c r="B88" s="459">
        <v>33008442</v>
      </c>
      <c r="C88" s="458">
        <f>+'Purchased Power Model '!C88</f>
        <v>583.79999999999995</v>
      </c>
      <c r="D88" s="458">
        <f>+'Purchased Power Model '!D88</f>
        <v>0</v>
      </c>
      <c r="E88" s="443">
        <f>+'Purchased Power Model '!E88</f>
        <v>0.10300000000000001</v>
      </c>
      <c r="F88" s="53">
        <f>+'Purchased Power Model '!F88</f>
        <v>28</v>
      </c>
      <c r="G88" s="53">
        <f>+'Purchased Power Model '!G88</f>
        <v>0</v>
      </c>
      <c r="H88" s="17">
        <v>506</v>
      </c>
      <c r="I88" s="456">
        <f t="shared" si="3"/>
        <v>34001608.501916483</v>
      </c>
      <c r="J88" s="457">
        <f t="shared" si="4"/>
        <v>993166.50191648304</v>
      </c>
      <c r="K88" s="5">
        <f t="shared" si="5"/>
        <v>3.0088257480207124E-2</v>
      </c>
    </row>
    <row r="89" spans="1:17" x14ac:dyDescent="0.2">
      <c r="A89" s="453">
        <v>40238</v>
      </c>
      <c r="B89" s="459">
        <v>33147432</v>
      </c>
      <c r="C89" s="458">
        <f>+'Purchased Power Model '!C89</f>
        <v>411</v>
      </c>
      <c r="D89" s="458">
        <f>+'Purchased Power Model '!D89</f>
        <v>0</v>
      </c>
      <c r="E89" s="443">
        <f>+'Purchased Power Model '!E89</f>
        <v>0.10300000000000001</v>
      </c>
      <c r="F89" s="53">
        <f>+'Purchased Power Model '!F89</f>
        <v>31</v>
      </c>
      <c r="G89" s="53">
        <f>+'Purchased Power Model '!G89</f>
        <v>1</v>
      </c>
      <c r="H89" s="17">
        <v>508</v>
      </c>
      <c r="I89" s="456">
        <f t="shared" si="3"/>
        <v>29979885.657491356</v>
      </c>
      <c r="J89" s="457">
        <f t="shared" si="4"/>
        <v>-3167546.3425086439</v>
      </c>
      <c r="K89" s="5">
        <f t="shared" si="5"/>
        <v>-9.5559328472523714E-2</v>
      </c>
    </row>
    <row r="90" spans="1:17" x14ac:dyDescent="0.2">
      <c r="A90" s="453">
        <v>40269</v>
      </c>
      <c r="B90" s="459">
        <v>29422410</v>
      </c>
      <c r="C90" s="458">
        <f>+'Purchased Power Model '!C90</f>
        <v>244</v>
      </c>
      <c r="D90" s="458">
        <f>+'Purchased Power Model '!D90</f>
        <v>0</v>
      </c>
      <c r="E90" s="443">
        <f>+'Purchased Power Model '!E90</f>
        <v>9.9000000000000005E-2</v>
      </c>
      <c r="F90" s="53">
        <f>+'Purchased Power Model '!F90</f>
        <v>30</v>
      </c>
      <c r="G90" s="53">
        <f>+'Purchased Power Model '!G90</f>
        <v>1</v>
      </c>
      <c r="H90" s="17">
        <v>509</v>
      </c>
      <c r="I90" s="456">
        <f t="shared" si="3"/>
        <v>28806196.73194037</v>
      </c>
      <c r="J90" s="457">
        <f t="shared" si="4"/>
        <v>-616213.26805962995</v>
      </c>
      <c r="K90" s="5">
        <f t="shared" si="5"/>
        <v>-2.094367076183188E-2</v>
      </c>
    </row>
    <row r="91" spans="1:17" x14ac:dyDescent="0.2">
      <c r="A91" s="453">
        <v>40299</v>
      </c>
      <c r="B91" s="459">
        <v>25425541</v>
      </c>
      <c r="C91" s="458">
        <f>+'Purchased Power Model '!C91</f>
        <v>121.7</v>
      </c>
      <c r="D91" s="458">
        <f>+'Purchased Power Model '!D91</f>
        <v>23.2</v>
      </c>
      <c r="E91" s="443">
        <f>+'Purchased Power Model '!E91</f>
        <v>9.9000000000000005E-2</v>
      </c>
      <c r="F91" s="53">
        <f>+'Purchased Power Model '!F91</f>
        <v>31</v>
      </c>
      <c r="G91" s="53">
        <f>+'Purchased Power Model '!G91</f>
        <v>1</v>
      </c>
      <c r="H91" s="17">
        <v>509</v>
      </c>
      <c r="I91" s="456">
        <f t="shared" si="3"/>
        <v>27398955.594609834</v>
      </c>
      <c r="J91" s="457">
        <f t="shared" si="4"/>
        <v>1973414.5946098343</v>
      </c>
      <c r="K91" s="5">
        <f t="shared" si="5"/>
        <v>7.7615441677714322E-2</v>
      </c>
    </row>
    <row r="92" spans="1:17" x14ac:dyDescent="0.2">
      <c r="A92" s="453">
        <v>40330</v>
      </c>
      <c r="B92" s="459">
        <v>27254989</v>
      </c>
      <c r="C92" s="458">
        <f>+'Purchased Power Model '!C92</f>
        <v>19.399999999999999</v>
      </c>
      <c r="D92" s="458">
        <f>+'Purchased Power Model '!D92</f>
        <v>46.6</v>
      </c>
      <c r="E92" s="443">
        <f>+'Purchased Power Model '!E92</f>
        <v>9.9000000000000005E-2</v>
      </c>
      <c r="F92" s="53">
        <f>+'Purchased Power Model '!F92</f>
        <v>30</v>
      </c>
      <c r="G92" s="53">
        <f>+'Purchased Power Model '!G92</f>
        <v>0</v>
      </c>
      <c r="H92" s="17">
        <v>510</v>
      </c>
      <c r="I92" s="456">
        <f t="shared" si="3"/>
        <v>27656053.238824677</v>
      </c>
      <c r="J92" s="457">
        <f t="shared" si="4"/>
        <v>401064.23882467672</v>
      </c>
      <c r="K92" s="5">
        <f t="shared" si="5"/>
        <v>1.4715259610806547E-2</v>
      </c>
    </row>
    <row r="93" spans="1:17" x14ac:dyDescent="0.2">
      <c r="A93" s="453">
        <v>40360</v>
      </c>
      <c r="B93" s="459">
        <v>27961321</v>
      </c>
      <c r="C93" s="458">
        <f>+'Purchased Power Model '!C93</f>
        <v>3.5</v>
      </c>
      <c r="D93" s="458">
        <f>+'Purchased Power Model '!D93</f>
        <v>124</v>
      </c>
      <c r="E93" s="443">
        <f>+'Purchased Power Model '!E93</f>
        <v>0.10099999999999999</v>
      </c>
      <c r="F93" s="53">
        <f>+'Purchased Power Model '!F93</f>
        <v>31</v>
      </c>
      <c r="G93" s="53">
        <f>+'Purchased Power Model '!G93</f>
        <v>0</v>
      </c>
      <c r="H93" s="17">
        <v>510</v>
      </c>
      <c r="I93" s="456">
        <f t="shared" si="3"/>
        <v>28921702.558923312</v>
      </c>
      <c r="J93" s="457">
        <f t="shared" si="4"/>
        <v>960381.55892331153</v>
      </c>
      <c r="K93" s="5">
        <f t="shared" si="5"/>
        <v>3.4346787797447466E-2</v>
      </c>
    </row>
    <row r="94" spans="1:17" x14ac:dyDescent="0.2">
      <c r="A94" s="453">
        <v>40391</v>
      </c>
      <c r="B94" s="459">
        <v>29923295</v>
      </c>
      <c r="C94" s="458">
        <f>+'Purchased Power Model '!C94</f>
        <v>3.2</v>
      </c>
      <c r="D94" s="458">
        <f>+'Purchased Power Model '!D94</f>
        <v>96.8</v>
      </c>
      <c r="E94" s="443">
        <f>+'Purchased Power Model '!E94</f>
        <v>0.10099999999999999</v>
      </c>
      <c r="F94" s="53">
        <f>+'Purchased Power Model '!F94</f>
        <v>31</v>
      </c>
      <c r="G94" s="53">
        <f>+'Purchased Power Model '!G94</f>
        <v>0</v>
      </c>
      <c r="H94" s="17">
        <v>512</v>
      </c>
      <c r="I94" s="456">
        <f t="shared" si="3"/>
        <v>28178763.193550855</v>
      </c>
      <c r="J94" s="457">
        <f t="shared" si="4"/>
        <v>-1744531.8064491451</v>
      </c>
      <c r="K94" s="5">
        <f t="shared" si="5"/>
        <v>-5.8300123915135185E-2</v>
      </c>
    </row>
    <row r="95" spans="1:17" x14ac:dyDescent="0.2">
      <c r="A95" s="453">
        <v>40422</v>
      </c>
      <c r="B95" s="459">
        <v>28913713</v>
      </c>
      <c r="C95" s="458">
        <f>+'Purchased Power Model '!C95</f>
        <v>85.5</v>
      </c>
      <c r="D95" s="458">
        <f>+'Purchased Power Model '!D95</f>
        <v>18.5</v>
      </c>
      <c r="E95" s="443">
        <f>+'Purchased Power Model '!E95</f>
        <v>0.10099999999999999</v>
      </c>
      <c r="F95" s="53">
        <f>+'Purchased Power Model '!F95</f>
        <v>30</v>
      </c>
      <c r="G95" s="53">
        <f>+'Purchased Power Model '!G95</f>
        <v>1</v>
      </c>
      <c r="H95" s="17">
        <v>512</v>
      </c>
      <c r="I95" s="456">
        <f t="shared" si="3"/>
        <v>27688747.278770711</v>
      </c>
      <c r="J95" s="457">
        <f t="shared" si="4"/>
        <v>-1224965.7212292887</v>
      </c>
      <c r="K95" s="5">
        <f t="shared" si="5"/>
        <v>-4.2366254421536548E-2</v>
      </c>
    </row>
    <row r="96" spans="1:17" x14ac:dyDescent="0.2">
      <c r="A96" s="453">
        <v>40452</v>
      </c>
      <c r="B96" s="459">
        <v>26962766</v>
      </c>
      <c r="C96" s="458">
        <f>+'Purchased Power Model '!C96</f>
        <v>247.8</v>
      </c>
      <c r="D96" s="458">
        <f>+'Purchased Power Model '!D96</f>
        <v>0</v>
      </c>
      <c r="E96" s="443">
        <f>+'Purchased Power Model '!E96</f>
        <v>9.3000000000000013E-2</v>
      </c>
      <c r="F96" s="53">
        <f>+'Purchased Power Model '!F96</f>
        <v>31</v>
      </c>
      <c r="G96" s="53">
        <f>+'Purchased Power Model '!G96</f>
        <v>1</v>
      </c>
      <c r="H96" s="17">
        <v>514</v>
      </c>
      <c r="I96" s="456">
        <f t="shared" si="3"/>
        <v>27910967.063600585</v>
      </c>
      <c r="J96" s="457">
        <f t="shared" si="4"/>
        <v>948201.06360058486</v>
      </c>
      <c r="K96" s="5">
        <f t="shared" si="5"/>
        <v>3.5167054581884696E-2</v>
      </c>
    </row>
    <row r="97" spans="1:11" x14ac:dyDescent="0.2">
      <c r="A97" s="453">
        <v>40483</v>
      </c>
      <c r="B97" s="459">
        <v>27407704</v>
      </c>
      <c r="C97" s="458">
        <f>+'Purchased Power Model '!C97</f>
        <v>389.2</v>
      </c>
      <c r="D97" s="458">
        <f>+'Purchased Power Model '!D97</f>
        <v>0</v>
      </c>
      <c r="E97" s="443">
        <f>+'Purchased Power Model '!E97</f>
        <v>9.3000000000000013E-2</v>
      </c>
      <c r="F97" s="53">
        <f>+'Purchased Power Model '!F97</f>
        <v>30</v>
      </c>
      <c r="G97" s="53">
        <f>+'Purchased Power Model '!G97</f>
        <v>1</v>
      </c>
      <c r="H97" s="17">
        <v>515</v>
      </c>
      <c r="I97" s="456">
        <f t="shared" si="3"/>
        <v>30152456.273921195</v>
      </c>
      <c r="J97" s="457">
        <f t="shared" si="4"/>
        <v>2744752.2739211954</v>
      </c>
      <c r="K97" s="5">
        <f t="shared" si="5"/>
        <v>0.10014528301681876</v>
      </c>
    </row>
    <row r="98" spans="1:11" x14ac:dyDescent="0.2">
      <c r="A98" s="453">
        <v>40513</v>
      </c>
      <c r="B98" s="459">
        <v>28834162</v>
      </c>
      <c r="C98" s="458">
        <f>+'Purchased Power Model '!C98</f>
        <v>628.70000000000005</v>
      </c>
      <c r="D98" s="458">
        <f>+'Purchased Power Model '!D98</f>
        <v>0</v>
      </c>
      <c r="E98" s="443">
        <f>+'Purchased Power Model '!E98</f>
        <v>9.3000000000000013E-2</v>
      </c>
      <c r="F98" s="53">
        <f>+'Purchased Power Model '!F98</f>
        <v>31</v>
      </c>
      <c r="G98" s="53">
        <f>+'Purchased Power Model '!G98</f>
        <v>0</v>
      </c>
      <c r="H98" s="17">
        <v>518</v>
      </c>
      <c r="I98" s="456">
        <f t="shared" si="3"/>
        <v>31938011.042055495</v>
      </c>
      <c r="J98" s="457">
        <f t="shared" si="4"/>
        <v>3103849.0420554951</v>
      </c>
      <c r="K98" s="5">
        <f t="shared" si="5"/>
        <v>0.10764484995456067</v>
      </c>
    </row>
    <row r="99" spans="1:11" x14ac:dyDescent="0.2">
      <c r="A99" s="453">
        <v>40544</v>
      </c>
      <c r="B99" s="27">
        <v>35867354</v>
      </c>
      <c r="C99" s="458">
        <f>+'Purchased Power Model '!C99</f>
        <v>760.9</v>
      </c>
      <c r="D99" s="458">
        <f>+'Purchased Power Model '!D99</f>
        <v>0</v>
      </c>
      <c r="E99" s="443">
        <f>+'Purchased Power Model '!E99</f>
        <v>8.8000000000000009E-2</v>
      </c>
      <c r="F99" s="53">
        <f>+'Purchased Power Model '!F99</f>
        <v>31</v>
      </c>
      <c r="G99" s="53">
        <f>+'Purchased Power Model '!G99</f>
        <v>0</v>
      </c>
      <c r="H99" s="170">
        <v>521</v>
      </c>
      <c r="I99" s="456">
        <f t="shared" si="3"/>
        <v>33179099.488199167</v>
      </c>
      <c r="J99" s="457">
        <f t="shared" si="4"/>
        <v>-2688254.511800833</v>
      </c>
      <c r="K99" s="5">
        <f t="shared" si="5"/>
        <v>-7.4949897664623746E-2</v>
      </c>
    </row>
    <row r="100" spans="1:11" x14ac:dyDescent="0.2">
      <c r="A100" s="453">
        <v>40575</v>
      </c>
      <c r="B100" s="27">
        <v>34706133</v>
      </c>
      <c r="C100" s="458">
        <f>+'Purchased Power Model '!C100</f>
        <v>634.19999999999993</v>
      </c>
      <c r="D100" s="458">
        <f>+'Purchased Power Model '!D100</f>
        <v>0</v>
      </c>
      <c r="E100" s="443">
        <f>+'Purchased Power Model '!E100</f>
        <v>8.8000000000000009E-2</v>
      </c>
      <c r="F100" s="53">
        <f>+'Purchased Power Model '!F100</f>
        <v>28</v>
      </c>
      <c r="G100" s="53">
        <f>+'Purchased Power Model '!G100</f>
        <v>0</v>
      </c>
      <c r="H100" s="170">
        <v>522</v>
      </c>
      <c r="I100" s="456">
        <f t="shared" si="3"/>
        <v>34040146.858787946</v>
      </c>
      <c r="J100" s="457">
        <f t="shared" si="4"/>
        <v>-665986.1412120536</v>
      </c>
      <c r="K100" s="5">
        <f t="shared" si="5"/>
        <v>-1.9189292601744297E-2</v>
      </c>
    </row>
    <row r="101" spans="1:11" x14ac:dyDescent="0.2">
      <c r="A101" s="453">
        <v>40603</v>
      </c>
      <c r="B101" s="27">
        <v>34195997</v>
      </c>
      <c r="C101" s="458">
        <f>+'Purchased Power Model '!C101</f>
        <v>559.80000000000007</v>
      </c>
      <c r="D101" s="458">
        <f>+'Purchased Power Model '!D101</f>
        <v>0</v>
      </c>
      <c r="E101" s="443">
        <f>+'Purchased Power Model '!E101</f>
        <v>8.8000000000000009E-2</v>
      </c>
      <c r="F101" s="53">
        <f>+'Purchased Power Model '!F101</f>
        <v>31</v>
      </c>
      <c r="G101" s="53">
        <f>+'Purchased Power Model '!G101</f>
        <v>1</v>
      </c>
      <c r="H101" s="170">
        <v>523</v>
      </c>
      <c r="I101" s="456">
        <f t="shared" si="3"/>
        <v>31065729.43026536</v>
      </c>
      <c r="J101" s="457">
        <f t="shared" si="4"/>
        <v>-3130267.5697346404</v>
      </c>
      <c r="K101" s="5">
        <f t="shared" si="5"/>
        <v>-9.1539005858920872E-2</v>
      </c>
    </row>
    <row r="102" spans="1:11" x14ac:dyDescent="0.2">
      <c r="A102" s="453">
        <v>40634</v>
      </c>
      <c r="B102" s="27">
        <v>30758731</v>
      </c>
      <c r="C102" s="458">
        <f>+'Purchased Power Model '!C102</f>
        <v>350.79999999999995</v>
      </c>
      <c r="D102" s="458">
        <f>+'Purchased Power Model '!D102</f>
        <v>0</v>
      </c>
      <c r="E102" s="443">
        <f>+'Purchased Power Model '!E102</f>
        <v>9.0999999999999998E-2</v>
      </c>
      <c r="F102" s="53">
        <f>+'Purchased Power Model '!F102</f>
        <v>30</v>
      </c>
      <c r="G102" s="53">
        <f>+'Purchased Power Model '!G102</f>
        <v>1</v>
      </c>
      <c r="H102" s="170">
        <v>524</v>
      </c>
      <c r="I102" s="456">
        <f t="shared" si="3"/>
        <v>29677366.872260947</v>
      </c>
      <c r="J102" s="457">
        <f t="shared" si="4"/>
        <v>-1081364.1277390532</v>
      </c>
      <c r="K102" s="5">
        <f t="shared" si="5"/>
        <v>-3.5156330985795653E-2</v>
      </c>
    </row>
    <row r="103" spans="1:11" x14ac:dyDescent="0.2">
      <c r="A103" s="453">
        <v>40664</v>
      </c>
      <c r="B103" s="27">
        <v>27997717</v>
      </c>
      <c r="C103" s="458">
        <f>+'Purchased Power Model '!C103</f>
        <v>157.69999999999996</v>
      </c>
      <c r="D103" s="458">
        <f>+'Purchased Power Model '!D103</f>
        <v>2.8</v>
      </c>
      <c r="E103" s="443">
        <f>+'Purchased Power Model '!E103</f>
        <v>9.0999999999999998E-2</v>
      </c>
      <c r="F103" s="53">
        <f>+'Purchased Power Model '!F103</f>
        <v>31</v>
      </c>
      <c r="G103" s="53">
        <f>+'Purchased Power Model '!G103</f>
        <v>1</v>
      </c>
      <c r="H103" s="170">
        <v>524</v>
      </c>
      <c r="I103" s="456">
        <f t="shared" si="3"/>
        <v>26961766.945379511</v>
      </c>
      <c r="J103" s="457">
        <f t="shared" si="4"/>
        <v>-1035950.0546204895</v>
      </c>
      <c r="K103" s="5">
        <f t="shared" si="5"/>
        <v>-3.7001233158421076E-2</v>
      </c>
    </row>
    <row r="104" spans="1:11" x14ac:dyDescent="0.2">
      <c r="A104" s="453">
        <v>40695</v>
      </c>
      <c r="B104" s="27">
        <v>26350046</v>
      </c>
      <c r="C104" s="458">
        <f>+'Purchased Power Model '!C104</f>
        <v>26.699999999999996</v>
      </c>
      <c r="D104" s="458">
        <f>+'Purchased Power Model '!D104</f>
        <v>36.900000000000006</v>
      </c>
      <c r="E104" s="443">
        <f>+'Purchased Power Model '!E104</f>
        <v>9.0999999999999998E-2</v>
      </c>
      <c r="F104" s="53">
        <f>+'Purchased Power Model '!F104</f>
        <v>30</v>
      </c>
      <c r="G104" s="53">
        <f>+'Purchased Power Model '!G104</f>
        <v>0</v>
      </c>
      <c r="H104" s="170">
        <v>520</v>
      </c>
      <c r="I104" s="456">
        <f t="shared" si="3"/>
        <v>27204403.674047869</v>
      </c>
      <c r="J104" s="457">
        <f t="shared" si="4"/>
        <v>854357.6740478687</v>
      </c>
      <c r="K104" s="5">
        <f t="shared" si="5"/>
        <v>3.2423384537843644E-2</v>
      </c>
    </row>
    <row r="105" spans="1:11" x14ac:dyDescent="0.2">
      <c r="A105" s="453">
        <v>40725</v>
      </c>
      <c r="B105" s="27">
        <v>27247765</v>
      </c>
      <c r="C105" s="458">
        <f>+'Purchased Power Model '!C105</f>
        <v>0.2</v>
      </c>
      <c r="D105" s="458">
        <f>+'Purchased Power Model '!D105</f>
        <v>141.19999999999999</v>
      </c>
      <c r="E105" s="443">
        <f>+'Purchased Power Model '!E105</f>
        <v>7.2999999999999995E-2</v>
      </c>
      <c r="F105" s="53">
        <f>+'Purchased Power Model '!F105</f>
        <v>31</v>
      </c>
      <c r="G105" s="53">
        <f>+'Purchased Power Model '!G105</f>
        <v>0</v>
      </c>
      <c r="H105" s="170">
        <v>520</v>
      </c>
      <c r="I105" s="456">
        <f t="shared" si="3"/>
        <v>28424972.410996012</v>
      </c>
      <c r="J105" s="457">
        <f t="shared" si="4"/>
        <v>1177207.4109960124</v>
      </c>
      <c r="K105" s="5">
        <f t="shared" si="5"/>
        <v>4.3203815468755416E-2</v>
      </c>
    </row>
    <row r="106" spans="1:11" x14ac:dyDescent="0.2">
      <c r="A106" s="453">
        <v>40756</v>
      </c>
      <c r="B106" s="27">
        <v>30637032</v>
      </c>
      <c r="C106" s="458">
        <f>+'Purchased Power Model '!C106</f>
        <v>3.7</v>
      </c>
      <c r="D106" s="458">
        <f>+'Purchased Power Model '!D106</f>
        <v>80.499999999999957</v>
      </c>
      <c r="E106" s="443">
        <f>+'Purchased Power Model '!E106</f>
        <v>7.2999999999999995E-2</v>
      </c>
      <c r="F106" s="53">
        <f>+'Purchased Power Model '!F106</f>
        <v>31</v>
      </c>
      <c r="G106" s="53">
        <f>+'Purchased Power Model '!G106</f>
        <v>0</v>
      </c>
      <c r="H106" s="170">
        <v>520</v>
      </c>
      <c r="I106" s="456">
        <f t="shared" si="3"/>
        <v>26811393.094345652</v>
      </c>
      <c r="J106" s="457">
        <f t="shared" si="4"/>
        <v>-3825638.9056543484</v>
      </c>
      <c r="K106" s="5">
        <f t="shared" si="5"/>
        <v>-0.12486976237301148</v>
      </c>
    </row>
    <row r="107" spans="1:11" x14ac:dyDescent="0.2">
      <c r="A107" s="453">
        <v>40787</v>
      </c>
      <c r="B107" s="27">
        <v>28868459</v>
      </c>
      <c r="C107" s="458">
        <f>+'Purchased Power Model '!C107</f>
        <v>48.900000000000006</v>
      </c>
      <c r="D107" s="458">
        <f>+'Purchased Power Model '!D107</f>
        <v>34.6</v>
      </c>
      <c r="E107" s="443">
        <f>+'Purchased Power Model '!E107</f>
        <v>7.2999999999999995E-2</v>
      </c>
      <c r="F107" s="53">
        <f>+'Purchased Power Model '!F107</f>
        <v>30</v>
      </c>
      <c r="G107" s="53">
        <f>+'Purchased Power Model '!G107</f>
        <v>1</v>
      </c>
      <c r="H107" s="170">
        <v>520</v>
      </c>
      <c r="I107" s="456">
        <f t="shared" si="3"/>
        <v>26807677.438550349</v>
      </c>
      <c r="J107" s="457">
        <f t="shared" si="4"/>
        <v>-2060781.5614496507</v>
      </c>
      <c r="K107" s="5">
        <f t="shared" si="5"/>
        <v>-7.1385229168264605E-2</v>
      </c>
    </row>
    <row r="108" spans="1:11" x14ac:dyDescent="0.2">
      <c r="A108" s="453">
        <v>40817</v>
      </c>
      <c r="B108" s="27">
        <v>25351951</v>
      </c>
      <c r="C108" s="458">
        <f>+'Purchased Power Model '!C108</f>
        <v>225.29999999999998</v>
      </c>
      <c r="D108" s="458">
        <f>+'Purchased Power Model '!D108</f>
        <v>0</v>
      </c>
      <c r="E108" s="443">
        <f>+'Purchased Power Model '!E108</f>
        <v>7.400000000000001E-2</v>
      </c>
      <c r="F108" s="53">
        <f>+'Purchased Power Model '!F108</f>
        <v>31</v>
      </c>
      <c r="G108" s="53">
        <f>+'Purchased Power Model '!G108</f>
        <v>1</v>
      </c>
      <c r="H108" s="170">
        <v>522</v>
      </c>
      <c r="I108" s="456">
        <f t="shared" si="3"/>
        <v>27040835.673269622</v>
      </c>
      <c r="J108" s="457">
        <f t="shared" si="4"/>
        <v>1688884.673269622</v>
      </c>
      <c r="K108" s="5">
        <f t="shared" si="5"/>
        <v>6.6617542502729749E-2</v>
      </c>
    </row>
    <row r="109" spans="1:11" x14ac:dyDescent="0.2">
      <c r="A109" s="453">
        <v>40848</v>
      </c>
      <c r="B109" s="27">
        <v>28367772</v>
      </c>
      <c r="C109" s="458">
        <f>+'Purchased Power Model '!C109</f>
        <v>349.69999999999993</v>
      </c>
      <c r="D109" s="458">
        <f>+'Purchased Power Model '!D109</f>
        <v>0</v>
      </c>
      <c r="E109" s="443">
        <f>+'Purchased Power Model '!E109</f>
        <v>7.400000000000001E-2</v>
      </c>
      <c r="F109" s="53">
        <f>+'Purchased Power Model '!F109</f>
        <v>30</v>
      </c>
      <c r="G109" s="53">
        <f>+'Purchased Power Model '!G109</f>
        <v>1</v>
      </c>
      <c r="H109" s="170">
        <v>522</v>
      </c>
      <c r="I109" s="456">
        <f t="shared" si="3"/>
        <v>29101387.972306255</v>
      </c>
      <c r="J109" s="457">
        <f t="shared" si="4"/>
        <v>733615.97230625525</v>
      </c>
      <c r="K109" s="5">
        <f t="shared" si="5"/>
        <v>2.5860894972867636E-2</v>
      </c>
    </row>
    <row r="110" spans="1:11" x14ac:dyDescent="0.2">
      <c r="A110" s="453">
        <v>40878</v>
      </c>
      <c r="B110" s="27">
        <v>29185418</v>
      </c>
      <c r="C110" s="458">
        <f>+'Purchased Power Model '!C110</f>
        <v>531.20000000000005</v>
      </c>
      <c r="D110" s="458">
        <f>+'Purchased Power Model '!D110</f>
        <v>0</v>
      </c>
      <c r="E110" s="443">
        <f>+'Purchased Power Model '!E110</f>
        <v>7.400000000000001E-2</v>
      </c>
      <c r="F110" s="53">
        <f>+'Purchased Power Model '!F110</f>
        <v>31</v>
      </c>
      <c r="G110" s="53">
        <f>+'Purchased Power Model '!G110</f>
        <v>0</v>
      </c>
      <c r="H110" s="170">
        <v>523</v>
      </c>
      <c r="I110" s="456">
        <f t="shared" si="3"/>
        <v>30269628.572530523</v>
      </c>
      <c r="J110" s="457">
        <f t="shared" si="4"/>
        <v>1084210.5725305229</v>
      </c>
      <c r="K110" s="5">
        <f t="shared" si="5"/>
        <v>3.7149050684507003E-2</v>
      </c>
    </row>
    <row r="111" spans="1:11" x14ac:dyDescent="0.2">
      <c r="A111" s="453">
        <v>40909</v>
      </c>
      <c r="B111" s="27">
        <v>28235023</v>
      </c>
      <c r="C111" s="458">
        <f>+'Purchased Power Model '!C111</f>
        <v>611</v>
      </c>
      <c r="D111" s="458">
        <f>+'Purchased Power Model '!D111</f>
        <v>0</v>
      </c>
      <c r="E111" s="443">
        <f>+'Purchased Power Model '!E111</f>
        <v>7.9000000000000001E-2</v>
      </c>
      <c r="F111" s="53">
        <f>+'Purchased Power Model '!F111</f>
        <v>31</v>
      </c>
      <c r="G111" s="53">
        <f>+'Purchased Power Model '!G111</f>
        <v>0</v>
      </c>
      <c r="H111" s="170">
        <v>522</v>
      </c>
      <c r="I111" s="456">
        <f t="shared" si="3"/>
        <v>31284929.843575254</v>
      </c>
      <c r="J111" s="457">
        <f t="shared" si="4"/>
        <v>3049906.8435752541</v>
      </c>
      <c r="K111" s="5">
        <f t="shared" si="5"/>
        <v>0.1080185712466129</v>
      </c>
    </row>
    <row r="112" spans="1:11" x14ac:dyDescent="0.2">
      <c r="A112" s="453">
        <v>40940</v>
      </c>
      <c r="B112" s="27">
        <v>35079314</v>
      </c>
      <c r="C112" s="458">
        <f>+'Purchased Power Model '!C112</f>
        <v>536.20000000000005</v>
      </c>
      <c r="D112" s="458">
        <f>+'Purchased Power Model '!D112</f>
        <v>0</v>
      </c>
      <c r="E112" s="443">
        <f>+'Purchased Power Model '!E112</f>
        <v>7.9000000000000001E-2</v>
      </c>
      <c r="F112" s="53">
        <f>+'Purchased Power Model '!F112</f>
        <v>29</v>
      </c>
      <c r="G112" s="53">
        <f>+'Purchased Power Model '!G112</f>
        <v>0</v>
      </c>
      <c r="H112" s="170">
        <v>513</v>
      </c>
      <c r="I112" s="456">
        <f t="shared" si="3"/>
        <v>31961847.118619449</v>
      </c>
      <c r="J112" s="457">
        <f t="shared" si="4"/>
        <v>-3117466.8813805506</v>
      </c>
      <c r="K112" s="5">
        <f t="shared" si="5"/>
        <v>-8.8869094799874093E-2</v>
      </c>
    </row>
    <row r="113" spans="1:11" x14ac:dyDescent="0.2">
      <c r="A113" s="453">
        <v>40969</v>
      </c>
      <c r="B113" s="27">
        <v>30413589</v>
      </c>
      <c r="C113" s="458">
        <f>+'Purchased Power Model '!C113</f>
        <v>399.39999999999992</v>
      </c>
      <c r="D113" s="458">
        <f>+'Purchased Power Model '!D113</f>
        <v>0</v>
      </c>
      <c r="E113" s="443">
        <f>+'Purchased Power Model '!E113</f>
        <v>7.9000000000000001E-2</v>
      </c>
      <c r="F113" s="53">
        <f>+'Purchased Power Model '!F113</f>
        <v>31</v>
      </c>
      <c r="G113" s="53">
        <f>+'Purchased Power Model '!G113</f>
        <v>1</v>
      </c>
      <c r="H113" s="170">
        <v>512</v>
      </c>
      <c r="I113" s="456">
        <f t="shared" si="3"/>
        <v>29059804.634554282</v>
      </c>
      <c r="J113" s="457">
        <f t="shared" si="4"/>
        <v>-1353784.3654457182</v>
      </c>
      <c r="K113" s="5">
        <f t="shared" si="5"/>
        <v>-4.4512483069516003E-2</v>
      </c>
    </row>
    <row r="114" spans="1:11" x14ac:dyDescent="0.2">
      <c r="A114" s="453">
        <v>41000</v>
      </c>
      <c r="B114" s="27">
        <v>29345737</v>
      </c>
      <c r="C114" s="458">
        <f>+'Purchased Power Model '!C114</f>
        <v>336.89999999999992</v>
      </c>
      <c r="D114" s="458">
        <f>+'Purchased Power Model '!D114</f>
        <v>0</v>
      </c>
      <c r="E114" s="443">
        <f>+'Purchased Power Model '!E114</f>
        <v>8.4000000000000005E-2</v>
      </c>
      <c r="F114" s="53">
        <f>+'Purchased Power Model '!F114</f>
        <v>30</v>
      </c>
      <c r="G114" s="53">
        <f>+'Purchased Power Model '!G114</f>
        <v>1</v>
      </c>
      <c r="H114" s="170">
        <v>508</v>
      </c>
      <c r="I114" s="456">
        <f t="shared" si="3"/>
        <v>29297077.367021758</v>
      </c>
      <c r="J114" s="457">
        <f t="shared" si="4"/>
        <v>-48659.632978241891</v>
      </c>
      <c r="K114" s="5">
        <f t="shared" si="5"/>
        <v>-1.658149971774159E-3</v>
      </c>
    </row>
    <row r="115" spans="1:11" x14ac:dyDescent="0.2">
      <c r="A115" s="453">
        <v>41030</v>
      </c>
      <c r="B115" s="27">
        <v>26730719</v>
      </c>
      <c r="C115" s="458">
        <f>+'Purchased Power Model '!C115</f>
        <v>109.30000000000001</v>
      </c>
      <c r="D115" s="458">
        <f>+'Purchased Power Model '!D115</f>
        <v>21.8</v>
      </c>
      <c r="E115" s="443">
        <f>+'Purchased Power Model '!E115</f>
        <v>8.4000000000000005E-2</v>
      </c>
      <c r="F115" s="53">
        <f>+'Purchased Power Model '!F115</f>
        <v>31</v>
      </c>
      <c r="G115" s="53">
        <f>+'Purchased Power Model '!G115</f>
        <v>1</v>
      </c>
      <c r="H115" s="170">
        <v>497</v>
      </c>
      <c r="I115" s="456">
        <f t="shared" si="3"/>
        <v>26731016.534154378</v>
      </c>
      <c r="J115" s="457">
        <f t="shared" si="4"/>
        <v>297.53415437787771</v>
      </c>
      <c r="K115" s="5">
        <f t="shared" si="5"/>
        <v>1.1130795036896603E-5</v>
      </c>
    </row>
    <row r="116" spans="1:11" x14ac:dyDescent="0.2">
      <c r="A116" s="453">
        <v>41061</v>
      </c>
      <c r="B116" s="27">
        <v>25449891</v>
      </c>
      <c r="C116" s="458">
        <f>+'Purchased Power Model '!C116</f>
        <v>28.2</v>
      </c>
      <c r="D116" s="458">
        <f>+'Purchased Power Model '!D116</f>
        <v>64.3</v>
      </c>
      <c r="E116" s="443">
        <f>+'Purchased Power Model '!E116</f>
        <v>8.4000000000000005E-2</v>
      </c>
      <c r="F116" s="53">
        <f>+'Purchased Power Model '!F116</f>
        <v>30</v>
      </c>
      <c r="G116" s="53">
        <f>+'Purchased Power Model '!G116</f>
        <v>0</v>
      </c>
      <c r="H116" s="170">
        <v>496</v>
      </c>
      <c r="I116" s="456">
        <f t="shared" si="3"/>
        <v>27733207.396270547</v>
      </c>
      <c r="J116" s="457">
        <f t="shared" si="4"/>
        <v>2283316.3962705471</v>
      </c>
      <c r="K116" s="5">
        <f t="shared" si="5"/>
        <v>8.9718120846590158E-2</v>
      </c>
    </row>
    <row r="117" spans="1:11" x14ac:dyDescent="0.2">
      <c r="A117" s="453">
        <v>41091</v>
      </c>
      <c r="B117" s="27">
        <v>28494354</v>
      </c>
      <c r="C117" s="458">
        <f>+'Purchased Power Model '!C117</f>
        <v>0</v>
      </c>
      <c r="D117" s="458">
        <f>+'Purchased Power Model '!D117</f>
        <v>155.30000000000001</v>
      </c>
      <c r="E117" s="443">
        <f>+'Purchased Power Model '!E117</f>
        <v>8.900000000000001E-2</v>
      </c>
      <c r="F117" s="53">
        <f>+'Purchased Power Model '!F117</f>
        <v>31</v>
      </c>
      <c r="G117" s="53">
        <f>+'Purchased Power Model '!G117</f>
        <v>0</v>
      </c>
      <c r="H117" s="170">
        <v>495</v>
      </c>
      <c r="I117" s="456">
        <f t="shared" si="3"/>
        <v>29337393.993578598</v>
      </c>
      <c r="J117" s="457">
        <f t="shared" si="4"/>
        <v>843039.9935785979</v>
      </c>
      <c r="K117" s="5">
        <f t="shared" si="5"/>
        <v>2.9586211836162276E-2</v>
      </c>
    </row>
    <row r="118" spans="1:11" x14ac:dyDescent="0.2">
      <c r="A118" s="453">
        <v>41122</v>
      </c>
      <c r="B118" s="27">
        <v>28711488</v>
      </c>
      <c r="C118" s="458">
        <f>+'Purchased Power Model '!C118</f>
        <v>4.4000000000000004</v>
      </c>
      <c r="D118" s="458">
        <f>+'Purchased Power Model '!D118</f>
        <v>102.79999999999998</v>
      </c>
      <c r="E118" s="443">
        <f>+'Purchased Power Model '!E118</f>
        <v>8.900000000000001E-2</v>
      </c>
      <c r="F118" s="53">
        <f>+'Purchased Power Model '!F118</f>
        <v>31</v>
      </c>
      <c r="G118" s="53">
        <f>+'Purchased Power Model '!G118</f>
        <v>0</v>
      </c>
      <c r="H118" s="170">
        <v>496</v>
      </c>
      <c r="I118" s="456">
        <f t="shared" si="3"/>
        <v>27956405.460490942</v>
      </c>
      <c r="J118" s="457">
        <f t="shared" si="4"/>
        <v>-755082.539509058</v>
      </c>
      <c r="K118" s="5">
        <f t="shared" si="5"/>
        <v>-2.6298969231725571E-2</v>
      </c>
    </row>
    <row r="119" spans="1:11" x14ac:dyDescent="0.2">
      <c r="A119" s="453">
        <v>41153</v>
      </c>
      <c r="B119" s="27">
        <v>30540135</v>
      </c>
      <c r="C119" s="458">
        <f>+'Purchased Power Model '!C119</f>
        <v>84</v>
      </c>
      <c r="D119" s="458">
        <f>+'Purchased Power Model '!D119</f>
        <v>24.400000000000002</v>
      </c>
      <c r="E119" s="443">
        <f>+'Purchased Power Model '!E119</f>
        <v>8.900000000000001E-2</v>
      </c>
      <c r="F119" s="53">
        <f>+'Purchased Power Model '!F119</f>
        <v>30</v>
      </c>
      <c r="G119" s="53">
        <f>+'Purchased Power Model '!G119</f>
        <v>1</v>
      </c>
      <c r="H119" s="170">
        <v>497</v>
      </c>
      <c r="I119" s="456">
        <f t="shared" si="3"/>
        <v>27434932.851120647</v>
      </c>
      <c r="J119" s="457">
        <f t="shared" si="4"/>
        <v>-3105202.148879353</v>
      </c>
      <c r="K119" s="5">
        <f t="shared" si="5"/>
        <v>-0.10167611075980355</v>
      </c>
    </row>
    <row r="120" spans="1:11" x14ac:dyDescent="0.2">
      <c r="A120" s="453">
        <v>41183</v>
      </c>
      <c r="B120" s="27">
        <v>24133158</v>
      </c>
      <c r="C120" s="458">
        <f>+'Purchased Power Model '!C120</f>
        <v>228.99999999999994</v>
      </c>
      <c r="D120" s="458">
        <f>+'Purchased Power Model '!D120</f>
        <v>0</v>
      </c>
      <c r="E120" s="443">
        <f>+'Purchased Power Model '!E120</f>
        <v>9.1999999999999998E-2</v>
      </c>
      <c r="F120" s="53">
        <f>+'Purchased Power Model '!F120</f>
        <v>31</v>
      </c>
      <c r="G120" s="53">
        <f>+'Purchased Power Model '!G120</f>
        <v>1</v>
      </c>
      <c r="H120" s="170">
        <v>499</v>
      </c>
      <c r="I120" s="456">
        <f t="shared" si="3"/>
        <v>27677679.701859489</v>
      </c>
      <c r="J120" s="457">
        <f t="shared" si="4"/>
        <v>3544521.7018594891</v>
      </c>
      <c r="K120" s="5">
        <f t="shared" si="5"/>
        <v>0.14687351327412224</v>
      </c>
    </row>
    <row r="121" spans="1:11" x14ac:dyDescent="0.2">
      <c r="A121" s="453">
        <v>41214</v>
      </c>
      <c r="B121" s="27">
        <v>26089243</v>
      </c>
      <c r="C121" s="458">
        <f>+'Purchased Power Model '!C121</f>
        <v>427.89999999999992</v>
      </c>
      <c r="D121" s="458">
        <f>+'Purchased Power Model '!D121</f>
        <v>0</v>
      </c>
      <c r="E121" s="443">
        <f>+'Purchased Power Model '!E121</f>
        <v>9.1999999999999998E-2</v>
      </c>
      <c r="F121" s="53">
        <f>+'Purchased Power Model '!F121</f>
        <v>30</v>
      </c>
      <c r="G121" s="53">
        <f>+'Purchased Power Model '!G121</f>
        <v>1</v>
      </c>
      <c r="H121" s="170">
        <v>501</v>
      </c>
      <c r="I121" s="456">
        <f t="shared" si="3"/>
        <v>30531161.406228844</v>
      </c>
      <c r="J121" s="457">
        <f t="shared" si="4"/>
        <v>4441918.4062288441</v>
      </c>
      <c r="K121" s="5">
        <f t="shared" si="5"/>
        <v>0.1702586160215091</v>
      </c>
    </row>
    <row r="122" spans="1:11" x14ac:dyDescent="0.2">
      <c r="A122" s="453">
        <v>41244</v>
      </c>
      <c r="B122" s="27">
        <v>25119856</v>
      </c>
      <c r="C122" s="458">
        <f>+'Purchased Power Model '!C122</f>
        <v>451.09999999999997</v>
      </c>
      <c r="D122" s="458">
        <f>+'Purchased Power Model '!D122</f>
        <v>0</v>
      </c>
      <c r="E122" s="443">
        <f>+'Purchased Power Model '!E122</f>
        <v>9.1999999999999998E-2</v>
      </c>
      <c r="F122" s="53">
        <f>+'Purchased Power Model '!F122</f>
        <v>31</v>
      </c>
      <c r="G122" s="53">
        <f>+'Purchased Power Model '!G122</f>
        <v>0</v>
      </c>
      <c r="H122" s="170">
        <v>500</v>
      </c>
      <c r="I122" s="456">
        <f t="shared" si="3"/>
        <v>30014560.061967619</v>
      </c>
      <c r="J122" s="457">
        <f t="shared" si="4"/>
        <v>4894704.0619676188</v>
      </c>
      <c r="K122" s="5">
        <f t="shared" si="5"/>
        <v>0.1948539857062723</v>
      </c>
    </row>
    <row r="123" spans="1:11" x14ac:dyDescent="0.2">
      <c r="A123" s="453">
        <v>41275</v>
      </c>
      <c r="B123" s="27">
        <v>34418610</v>
      </c>
      <c r="C123" s="458">
        <f>+'Purchased Power Model '!C123</f>
        <v>615.40000000000009</v>
      </c>
      <c r="D123" s="458">
        <f>+'Purchased Power Model '!D123</f>
        <v>0</v>
      </c>
      <c r="E123" s="443">
        <f>+'Purchased Power Model '!E123</f>
        <v>8.8000000000000009E-2</v>
      </c>
      <c r="F123" s="53">
        <f>+'Purchased Power Model '!F123</f>
        <v>31</v>
      </c>
      <c r="G123" s="53">
        <f>+'Purchased Power Model '!G123</f>
        <v>0</v>
      </c>
      <c r="H123" s="170">
        <v>501</v>
      </c>
      <c r="I123" s="456">
        <f t="shared" si="3"/>
        <v>31630492.394562788</v>
      </c>
      <c r="J123" s="457">
        <f t="shared" si="4"/>
        <v>-2788117.6054372117</v>
      </c>
      <c r="K123" s="5">
        <f t="shared" si="5"/>
        <v>-8.1006107028645594E-2</v>
      </c>
    </row>
    <row r="124" spans="1:11" x14ac:dyDescent="0.2">
      <c r="A124" s="453">
        <v>41306</v>
      </c>
      <c r="B124" s="27">
        <v>32211539</v>
      </c>
      <c r="C124" s="458">
        <f>+'Purchased Power Model '!C124</f>
        <v>611.5</v>
      </c>
      <c r="D124" s="458">
        <f>+'Purchased Power Model '!D124</f>
        <v>0</v>
      </c>
      <c r="E124" s="443">
        <f>+'Purchased Power Model '!E124</f>
        <v>8.8000000000000009E-2</v>
      </c>
      <c r="F124" s="53">
        <f>+'Purchased Power Model '!F124</f>
        <v>28</v>
      </c>
      <c r="G124" s="53">
        <f>+'Purchased Power Model '!G124</f>
        <v>0</v>
      </c>
      <c r="H124" s="170">
        <v>502</v>
      </c>
      <c r="I124" s="456">
        <f t="shared" si="3"/>
        <v>33798542.865485229</v>
      </c>
      <c r="J124" s="457">
        <f t="shared" si="4"/>
        <v>1587003.8654852286</v>
      </c>
      <c r="K124" s="5">
        <f t="shared" si="5"/>
        <v>4.9268178881028586E-2</v>
      </c>
    </row>
    <row r="125" spans="1:11" x14ac:dyDescent="0.2">
      <c r="A125" s="453">
        <v>41334</v>
      </c>
      <c r="B125" s="27">
        <v>30830480</v>
      </c>
      <c r="C125" s="458">
        <f>+'Purchased Power Model '!C125</f>
        <v>545</v>
      </c>
      <c r="D125" s="458">
        <f>+'Purchased Power Model '!D125</f>
        <v>0</v>
      </c>
      <c r="E125" s="443">
        <f>+'Purchased Power Model '!E125</f>
        <v>8.8000000000000009E-2</v>
      </c>
      <c r="F125" s="53">
        <f>+'Purchased Power Model '!F125</f>
        <v>31</v>
      </c>
      <c r="G125" s="53">
        <f>+'Purchased Power Model '!G125</f>
        <v>1</v>
      </c>
      <c r="H125" s="170">
        <v>500</v>
      </c>
      <c r="I125" s="456">
        <f t="shared" si="3"/>
        <v>30908207.883971073</v>
      </c>
      <c r="J125" s="457">
        <f t="shared" si="4"/>
        <v>77727.883971072733</v>
      </c>
      <c r="K125" s="5">
        <f t="shared" si="5"/>
        <v>2.5211376524488988E-3</v>
      </c>
    </row>
    <row r="126" spans="1:11" x14ac:dyDescent="0.2">
      <c r="A126" s="453">
        <v>41365</v>
      </c>
      <c r="B126" s="27">
        <v>29348080</v>
      </c>
      <c r="C126" s="458">
        <f>+'Purchased Power Model '!C126</f>
        <v>366.49999999999994</v>
      </c>
      <c r="D126" s="458">
        <f>+'Purchased Power Model '!D126</f>
        <v>0</v>
      </c>
      <c r="E126" s="443">
        <f>+'Purchased Power Model '!E126</f>
        <v>7.400000000000001E-2</v>
      </c>
      <c r="F126" s="53">
        <f>+'Purchased Power Model '!F126</f>
        <v>30</v>
      </c>
      <c r="G126" s="53">
        <f>+'Purchased Power Model '!G126</f>
        <v>1</v>
      </c>
      <c r="H126" s="170">
        <v>500</v>
      </c>
      <c r="I126" s="456">
        <f t="shared" si="3"/>
        <v>29280196.214045715</v>
      </c>
      <c r="J126" s="457">
        <f t="shared" si="4"/>
        <v>-67883.785954285413</v>
      </c>
      <c r="K126" s="5">
        <f t="shared" si="5"/>
        <v>-2.3130571388072204E-3</v>
      </c>
    </row>
    <row r="127" spans="1:11" x14ac:dyDescent="0.2">
      <c r="A127" s="453">
        <v>41395</v>
      </c>
      <c r="B127" s="27">
        <v>25907262</v>
      </c>
      <c r="C127" s="458">
        <f>+'Purchased Power Model '!C127</f>
        <v>133.4</v>
      </c>
      <c r="D127" s="458">
        <f>+'Purchased Power Model '!D127</f>
        <v>3</v>
      </c>
      <c r="E127" s="443">
        <f>+'Purchased Power Model '!E127</f>
        <v>7.400000000000001E-2</v>
      </c>
      <c r="F127" s="53">
        <f>+'Purchased Power Model '!F127</f>
        <v>31</v>
      </c>
      <c r="G127" s="53">
        <f>+'Purchased Power Model '!G127</f>
        <v>1</v>
      </c>
      <c r="H127" s="170">
        <v>499</v>
      </c>
      <c r="I127" s="456">
        <f t="shared" si="3"/>
        <v>26144301.689739153</v>
      </c>
      <c r="J127" s="457">
        <f t="shared" si="4"/>
        <v>237039.68973915279</v>
      </c>
      <c r="K127" s="5">
        <f t="shared" si="5"/>
        <v>9.1495461673700915E-3</v>
      </c>
    </row>
    <row r="128" spans="1:11" x14ac:dyDescent="0.2">
      <c r="A128" s="453">
        <v>41426</v>
      </c>
      <c r="B128" s="27">
        <v>24483469</v>
      </c>
      <c r="C128" s="458">
        <f>+'Purchased Power Model '!C128</f>
        <v>42.900000000000006</v>
      </c>
      <c r="D128" s="458">
        <f>+'Purchased Power Model '!D128</f>
        <v>32.200000000000003</v>
      </c>
      <c r="E128" s="443">
        <f>+'Purchased Power Model '!E128</f>
        <v>7.400000000000001E-2</v>
      </c>
      <c r="F128" s="53">
        <f>+'Purchased Power Model '!F128</f>
        <v>30</v>
      </c>
      <c r="G128" s="53">
        <f>+'Purchased Power Model '!G128</f>
        <v>0</v>
      </c>
      <c r="H128" s="170">
        <v>499</v>
      </c>
      <c r="I128" s="456">
        <f t="shared" si="3"/>
        <v>26684730.86995269</v>
      </c>
      <c r="J128" s="457">
        <f t="shared" si="4"/>
        <v>2201261.8699526899</v>
      </c>
      <c r="K128" s="5">
        <f t="shared" si="5"/>
        <v>8.9908087369183265E-2</v>
      </c>
    </row>
    <row r="129" spans="1:11" x14ac:dyDescent="0.2">
      <c r="A129" s="453">
        <v>41456</v>
      </c>
      <c r="B129" s="27">
        <v>26137250</v>
      </c>
      <c r="C129" s="458">
        <f>+'Purchased Power Model '!C129</f>
        <v>4.4000000000000004</v>
      </c>
      <c r="D129" s="458">
        <f>+'Purchased Power Model '!D129</f>
        <v>109.99999999999999</v>
      </c>
      <c r="E129" s="443">
        <f>+'Purchased Power Model '!E129</f>
        <v>6.2E-2</v>
      </c>
      <c r="F129" s="53">
        <f>+'Purchased Power Model '!F129</f>
        <v>31</v>
      </c>
      <c r="G129" s="53">
        <f>+'Purchased Power Model '!G129</f>
        <v>0</v>
      </c>
      <c r="H129" s="170">
        <v>497</v>
      </c>
      <c r="I129" s="456">
        <f t="shared" si="3"/>
        <v>27256025.210687108</v>
      </c>
      <c r="J129" s="457">
        <f t="shared" si="4"/>
        <v>1118775.2106871083</v>
      </c>
      <c r="K129" s="5">
        <f t="shared" si="5"/>
        <v>4.2803860799705717E-2</v>
      </c>
    </row>
    <row r="130" spans="1:11" x14ac:dyDescent="0.2">
      <c r="A130" s="453">
        <v>41487</v>
      </c>
      <c r="B130" s="27">
        <v>27890707</v>
      </c>
      <c r="C130" s="458">
        <f>+'Purchased Power Model '!C130</f>
        <v>11</v>
      </c>
      <c r="D130" s="458">
        <f>+'Purchased Power Model '!D130</f>
        <v>57.899999999999991</v>
      </c>
      <c r="E130" s="443">
        <f>+'Purchased Power Model '!E130</f>
        <v>6.2E-2</v>
      </c>
      <c r="F130" s="53">
        <f>+'Purchased Power Model '!F130</f>
        <v>31</v>
      </c>
      <c r="G130" s="53">
        <f>+'Purchased Power Model '!G130</f>
        <v>0</v>
      </c>
      <c r="H130" s="170">
        <v>497</v>
      </c>
      <c r="I130" s="456">
        <f t="shared" si="3"/>
        <v>25909330.665545844</v>
      </c>
      <c r="J130" s="457">
        <f t="shared" si="4"/>
        <v>-1981376.3344541565</v>
      </c>
      <c r="K130" s="5">
        <f t="shared" si="5"/>
        <v>-7.1040735340776998E-2</v>
      </c>
    </row>
    <row r="131" spans="1:11" x14ac:dyDescent="0.2">
      <c r="A131" s="453">
        <v>41518</v>
      </c>
      <c r="B131" s="27">
        <v>26942611</v>
      </c>
      <c r="C131" s="458">
        <f>+'Purchased Power Model '!C131</f>
        <v>96.600000000000009</v>
      </c>
      <c r="D131" s="458">
        <f>+'Purchased Power Model '!D131</f>
        <v>15.700000000000001</v>
      </c>
      <c r="E131" s="443">
        <f>+'Purchased Power Model '!E131</f>
        <v>6.2E-2</v>
      </c>
      <c r="F131" s="53">
        <f>+'Purchased Power Model '!F131</f>
        <v>30</v>
      </c>
      <c r="G131" s="53">
        <f>+'Purchased Power Model '!G131</f>
        <v>1</v>
      </c>
      <c r="H131" s="170">
        <v>498</v>
      </c>
      <c r="I131" s="456">
        <f t="shared" si="3"/>
        <v>26436233.520092536</v>
      </c>
      <c r="J131" s="457">
        <f t="shared" si="4"/>
        <v>-506377.47990746424</v>
      </c>
      <c r="K131" s="5">
        <f t="shared" si="5"/>
        <v>-1.8794669896969683E-2</v>
      </c>
    </row>
    <row r="132" spans="1:11" x14ac:dyDescent="0.2">
      <c r="A132" s="453">
        <v>41548</v>
      </c>
      <c r="B132" s="27">
        <v>24270122</v>
      </c>
      <c r="C132" s="458">
        <f>+'Purchased Power Model '!C132</f>
        <v>221</v>
      </c>
      <c r="D132" s="458">
        <f>+'Purchased Power Model '!D132</f>
        <v>3</v>
      </c>
      <c r="E132" s="443">
        <f>+'Purchased Power Model '!E132</f>
        <v>7.5999999999999998E-2</v>
      </c>
      <c r="F132" s="53">
        <f>+'Purchased Power Model '!F132</f>
        <v>31</v>
      </c>
      <c r="G132" s="53">
        <f>+'Purchased Power Model '!G132</f>
        <v>1</v>
      </c>
      <c r="H132" s="170">
        <v>499</v>
      </c>
      <c r="I132" s="456">
        <f t="shared" ref="I132:I195" si="6">$N$18+C132*$N$19+D132*$N$20+E132*$N$21+F132*$N$22+G132*$N$23</f>
        <v>27143043.799350679</v>
      </c>
      <c r="J132" s="457">
        <f t="shared" ref="J132:J133" si="7">I132-B132</f>
        <v>2872921.7993506789</v>
      </c>
      <c r="K132" s="5">
        <f t="shared" ref="K132:K133" si="8">J132/B132</f>
        <v>0.11837277947554936</v>
      </c>
    </row>
    <row r="133" spans="1:11" x14ac:dyDescent="0.2">
      <c r="A133" s="453">
        <v>41579</v>
      </c>
      <c r="B133" s="27">
        <v>27065074</v>
      </c>
      <c r="C133" s="458">
        <f>+'Purchased Power Model '!C133</f>
        <v>458.6</v>
      </c>
      <c r="D133" s="458">
        <f>+'Purchased Power Model '!D133</f>
        <v>0</v>
      </c>
      <c r="E133" s="443">
        <f>+'Purchased Power Model '!E133</f>
        <v>7.5999999999999998E-2</v>
      </c>
      <c r="F133" s="53">
        <f>+'Purchased Power Model '!F133</f>
        <v>30</v>
      </c>
      <c r="G133" s="53">
        <f>+'Purchased Power Model '!G133</f>
        <v>1</v>
      </c>
      <c r="H133" s="170">
        <v>500</v>
      </c>
      <c r="I133" s="456">
        <f t="shared" si="6"/>
        <v>30326833.388408888</v>
      </c>
      <c r="J133" s="457">
        <f t="shared" si="7"/>
        <v>3261759.3884088881</v>
      </c>
      <c r="K133" s="5">
        <f t="shared" si="8"/>
        <v>0.12051544320214636</v>
      </c>
    </row>
    <row r="134" spans="1:11" x14ac:dyDescent="0.2">
      <c r="A134" s="453">
        <v>41609</v>
      </c>
      <c r="B134" s="27">
        <v>27618464</v>
      </c>
      <c r="C134" s="458">
        <f>+'Purchased Power Model '!C134</f>
        <v>472.8</v>
      </c>
      <c r="D134" s="458">
        <f ca="1">+'Purchased Power Model '!D134</f>
        <v>0</v>
      </c>
      <c r="E134" s="443">
        <f>+'Purchased Power Model '!E134</f>
        <v>7.5999999999999998E-2</v>
      </c>
      <c r="F134" s="53">
        <f>+'Purchased Power Model '!F134</f>
        <v>31</v>
      </c>
      <c r="G134" s="53">
        <f>+'Purchased Power Model '!G134</f>
        <v>0</v>
      </c>
      <c r="H134" s="170">
        <v>500</v>
      </c>
      <c r="I134" s="456">
        <f t="shared" ca="1" si="6"/>
        <v>29714441.914644383</v>
      </c>
      <c r="J134" s="457">
        <f t="shared" ref="J134" ca="1" si="9">I134-B134</f>
        <v>2095977.9146443829</v>
      </c>
      <c r="K134" s="5">
        <f t="shared" ref="K134" ca="1" si="10">J134/B134</f>
        <v>7.5890459174137379E-2</v>
      </c>
    </row>
    <row r="135" spans="1:11" x14ac:dyDescent="0.2">
      <c r="A135" s="453">
        <v>41640</v>
      </c>
      <c r="B135" s="27">
        <v>33854237</v>
      </c>
      <c r="C135" s="458">
        <f>+'Purchased Power Model '!C135</f>
        <v>771.3</v>
      </c>
      <c r="D135" s="458">
        <f>+'Purchased Power Model '!D135</f>
        <v>0</v>
      </c>
      <c r="E135" s="443">
        <f>+'Purchased Power Model '!E135</f>
        <v>7.6999999999999999E-2</v>
      </c>
      <c r="F135" s="53">
        <f>+'Purchased Power Model '!F135</f>
        <v>31</v>
      </c>
      <c r="G135" s="53">
        <f>+'Purchased Power Model '!G135</f>
        <v>0</v>
      </c>
      <c r="H135" s="170">
        <v>500</v>
      </c>
      <c r="I135" s="456">
        <f t="shared" si="6"/>
        <v>32924673.634392992</v>
      </c>
      <c r="J135" s="457"/>
      <c r="K135" s="5"/>
    </row>
    <row r="136" spans="1:11" x14ac:dyDescent="0.2">
      <c r="A136" s="453">
        <v>41671</v>
      </c>
      <c r="B136" s="27">
        <v>32529286</v>
      </c>
      <c r="C136" s="458">
        <f>+'Purchased Power Model '!C136</f>
        <v>690.84999999999991</v>
      </c>
      <c r="D136" s="458">
        <f>+'Purchased Power Model '!D136</f>
        <v>0</v>
      </c>
      <c r="E136" s="443">
        <f>+'Purchased Power Model '!E136</f>
        <v>7.6999999999999999E-2</v>
      </c>
      <c r="F136" s="53">
        <f>+'Purchased Power Model '!F136</f>
        <v>28</v>
      </c>
      <c r="G136" s="53">
        <f>+'Purchased Power Model '!G136</f>
        <v>0</v>
      </c>
      <c r="H136" s="170">
        <v>502</v>
      </c>
      <c r="I136" s="456">
        <f t="shared" si="6"/>
        <v>34277975.837151408</v>
      </c>
      <c r="J136" s="457"/>
      <c r="K136" s="5"/>
    </row>
    <row r="137" spans="1:11" x14ac:dyDescent="0.2">
      <c r="A137" s="453">
        <v>41699</v>
      </c>
      <c r="B137" s="27">
        <v>31366719</v>
      </c>
      <c r="C137" s="458">
        <f>+'Purchased Power Model '!C137</f>
        <v>677.95</v>
      </c>
      <c r="D137" s="458">
        <f>+'Purchased Power Model '!D137</f>
        <v>0</v>
      </c>
      <c r="E137" s="443">
        <f>+'Purchased Power Model '!E137</f>
        <v>7.6999999999999999E-2</v>
      </c>
      <c r="F137" s="53">
        <f>+'Purchased Power Model '!F137</f>
        <v>31</v>
      </c>
      <c r="G137" s="53">
        <f>+'Purchased Power Model '!G137</f>
        <v>1</v>
      </c>
      <c r="H137" s="170">
        <v>502</v>
      </c>
      <c r="I137" s="456">
        <f t="shared" si="6"/>
        <v>31958124.293567911</v>
      </c>
      <c r="J137" s="457"/>
      <c r="K137" s="5"/>
    </row>
    <row r="138" spans="1:11" x14ac:dyDescent="0.2">
      <c r="A138" s="453">
        <v>41730</v>
      </c>
      <c r="B138" s="27">
        <v>31958118</v>
      </c>
      <c r="C138" s="458">
        <f>+'Purchased Power Model '!C138</f>
        <v>371.2999999999999</v>
      </c>
      <c r="D138" s="458">
        <f>+'Purchased Power Model '!D138</f>
        <v>0</v>
      </c>
      <c r="E138" s="443">
        <f>+'Purchased Power Model '!E138</f>
        <v>6.7000000000000004E-2</v>
      </c>
      <c r="F138" s="53">
        <f>+'Purchased Power Model '!F138</f>
        <v>30</v>
      </c>
      <c r="G138" s="53">
        <f>+'Purchased Power Model '!G138</f>
        <v>1</v>
      </c>
      <c r="H138" s="170">
        <v>502</v>
      </c>
      <c r="I138" s="456">
        <f t="shared" si="6"/>
        <v>29098937.311218906</v>
      </c>
      <c r="J138" s="457"/>
      <c r="K138" s="5"/>
    </row>
    <row r="139" spans="1:11" x14ac:dyDescent="0.2">
      <c r="A139" s="453">
        <v>41760</v>
      </c>
      <c r="B139" s="27">
        <v>24352112</v>
      </c>
      <c r="C139" s="458">
        <f>+'Purchased Power Model '!C139</f>
        <v>160.49999999999994</v>
      </c>
      <c r="D139" s="458">
        <f>+'Purchased Power Model '!D139</f>
        <v>1.3</v>
      </c>
      <c r="E139" s="443">
        <f>+'Purchased Power Model '!E139</f>
        <v>6.7000000000000004E-2</v>
      </c>
      <c r="F139" s="53">
        <f>+'Purchased Power Model '!F139</f>
        <v>31</v>
      </c>
      <c r="G139" s="53">
        <f>+'Purchased Power Model '!G139</f>
        <v>1</v>
      </c>
      <c r="H139" s="170">
        <v>503</v>
      </c>
      <c r="I139" s="456">
        <f t="shared" si="6"/>
        <v>26154155.29356005</v>
      </c>
      <c r="J139" s="457"/>
      <c r="K139" s="5"/>
    </row>
    <row r="140" spans="1:11" x14ac:dyDescent="0.2">
      <c r="A140" s="453">
        <v>41791</v>
      </c>
      <c r="B140" s="27">
        <v>25649882</v>
      </c>
      <c r="C140" s="458">
        <f>+'Purchased Power Model '!C140</f>
        <v>26.9</v>
      </c>
      <c r="D140" s="458">
        <f>+'Purchased Power Model '!D140</f>
        <v>40.1</v>
      </c>
      <c r="E140" s="443">
        <f>+'Purchased Power Model '!E140</f>
        <v>6.7000000000000004E-2</v>
      </c>
      <c r="F140" s="53">
        <f>+'Purchased Power Model '!F140</f>
        <v>30</v>
      </c>
      <c r="G140" s="53">
        <f>+'Purchased Power Model '!G140</f>
        <v>0</v>
      </c>
      <c r="H140" s="170">
        <v>504</v>
      </c>
      <c r="I140" s="456">
        <f t="shared" si="6"/>
        <v>26496943.137890916</v>
      </c>
      <c r="J140" s="457"/>
      <c r="K140" s="5"/>
    </row>
    <row r="141" spans="1:11" x14ac:dyDescent="0.2">
      <c r="A141" s="453">
        <v>41821</v>
      </c>
      <c r="B141" s="27">
        <v>25344904</v>
      </c>
      <c r="C141" s="458">
        <f>+'Purchased Power Model '!C141</f>
        <v>9.5999999999999979</v>
      </c>
      <c r="D141" s="458">
        <f>+'Purchased Power Model '!D141</f>
        <v>54.599999999999994</v>
      </c>
      <c r="E141" s="443">
        <f>+'Purchased Power Model '!E141</f>
        <v>7.5999999999999998E-2</v>
      </c>
      <c r="F141" s="53">
        <f>+'Purchased Power Model '!F141</f>
        <v>31</v>
      </c>
      <c r="G141" s="53">
        <f>+'Purchased Power Model '!G141</f>
        <v>0</v>
      </c>
      <c r="H141" s="170">
        <v>504</v>
      </c>
      <c r="I141" s="456">
        <f t="shared" si="6"/>
        <v>26269375.283131897</v>
      </c>
      <c r="J141" s="457"/>
      <c r="K141" s="5"/>
    </row>
    <row r="142" spans="1:11" x14ac:dyDescent="0.2">
      <c r="A142" s="453">
        <v>41852</v>
      </c>
      <c r="B142" s="27">
        <v>26211243</v>
      </c>
      <c r="C142" s="458">
        <f>+'Purchased Power Model '!C142</f>
        <v>12.7</v>
      </c>
      <c r="D142" s="458">
        <f>+'Purchased Power Model '!D142</f>
        <v>58</v>
      </c>
      <c r="E142" s="443">
        <f>+'Purchased Power Model '!E142</f>
        <v>7.5999999999999998E-2</v>
      </c>
      <c r="F142" s="53">
        <f>+'Purchased Power Model '!F142</f>
        <v>31</v>
      </c>
      <c r="G142" s="53">
        <f>+'Purchased Power Model '!G142</f>
        <v>0</v>
      </c>
      <c r="H142" s="170">
        <v>505</v>
      </c>
      <c r="I142" s="456">
        <f t="shared" si="6"/>
        <v>26394837.956203885</v>
      </c>
      <c r="J142" s="457"/>
      <c r="K142" s="5"/>
    </row>
    <row r="143" spans="1:11" x14ac:dyDescent="0.2">
      <c r="A143" s="453">
        <v>41883</v>
      </c>
      <c r="B143" s="27">
        <v>26381349</v>
      </c>
      <c r="C143" s="458">
        <f>+'Purchased Power Model '!C143</f>
        <v>77.400000000000006</v>
      </c>
      <c r="D143" s="458">
        <f>+'Purchased Power Model '!D143</f>
        <v>22.5</v>
      </c>
      <c r="E143" s="443">
        <f>+'Purchased Power Model '!E143</f>
        <v>7.5999999999999998E-2</v>
      </c>
      <c r="F143" s="53">
        <f>+'Purchased Power Model '!F143</f>
        <v>30</v>
      </c>
      <c r="G143" s="53">
        <f>+'Purchased Power Model '!G143</f>
        <v>1</v>
      </c>
      <c r="H143" s="170">
        <v>504</v>
      </c>
      <c r="I143" s="456">
        <f t="shared" si="6"/>
        <v>26881511.777873252</v>
      </c>
      <c r="J143" s="457"/>
      <c r="K143" s="5"/>
    </row>
    <row r="144" spans="1:11" x14ac:dyDescent="0.2">
      <c r="A144" s="453">
        <v>41913</v>
      </c>
      <c r="B144" s="27">
        <v>23993234</v>
      </c>
      <c r="C144" s="458">
        <f>+'Purchased Power Model '!C144</f>
        <v>216.29999999999998</v>
      </c>
      <c r="D144" s="458">
        <f>+'Purchased Power Model '!D144</f>
        <v>0.5</v>
      </c>
      <c r="E144" s="443">
        <f>+'Purchased Power Model '!E144</f>
        <v>7.400000000000001E-2</v>
      </c>
      <c r="F144" s="53">
        <f>+'Purchased Power Model '!F144</f>
        <v>31</v>
      </c>
      <c r="G144" s="53">
        <f>+'Purchased Power Model '!G144</f>
        <v>1</v>
      </c>
      <c r="H144" s="170">
        <v>504</v>
      </c>
      <c r="I144" s="456">
        <f t="shared" si="6"/>
        <v>26958643.822462209</v>
      </c>
      <c r="J144" s="457"/>
      <c r="K144" s="5"/>
    </row>
    <row r="145" spans="1:11" x14ac:dyDescent="0.2">
      <c r="A145" s="453">
        <v>41944</v>
      </c>
      <c r="B145" s="27">
        <v>26707258</v>
      </c>
      <c r="C145" s="458">
        <f>+'Purchased Power Model '!C145</f>
        <v>407.30000000000013</v>
      </c>
      <c r="D145" s="458">
        <f>+'Purchased Power Model '!D145</f>
        <v>0</v>
      </c>
      <c r="E145" s="443">
        <f>+'Purchased Power Model '!E145</f>
        <v>6.8000000000000005E-2</v>
      </c>
      <c r="F145" s="53">
        <f>+'Purchased Power Model '!F145</f>
        <v>30</v>
      </c>
      <c r="G145" s="53">
        <f>+'Purchased Power Model '!G145</f>
        <v>1</v>
      </c>
      <c r="H145" s="170">
        <v>504</v>
      </c>
      <c r="I145" s="456">
        <f t="shared" si="6"/>
        <v>29515290.253788497</v>
      </c>
      <c r="J145" s="457"/>
      <c r="K145" s="5"/>
    </row>
    <row r="146" spans="1:11" x14ac:dyDescent="0.2">
      <c r="A146" s="453">
        <v>41974</v>
      </c>
      <c r="B146" s="27">
        <v>28057772</v>
      </c>
      <c r="C146" s="458">
        <f>+'Purchased Power Model '!C146</f>
        <v>551.79999999999995</v>
      </c>
      <c r="D146" s="458">
        <f>+'Purchased Power Model '!D146</f>
        <v>0</v>
      </c>
      <c r="E146" s="443">
        <f>+'Purchased Power Model '!E146</f>
        <v>6.6000000000000003E-2</v>
      </c>
      <c r="F146" s="53">
        <f>+'Purchased Power Model '!F146</f>
        <v>31</v>
      </c>
      <c r="G146" s="53">
        <f>+'Purchased Power Model '!G146</f>
        <v>0</v>
      </c>
      <c r="H146" s="170">
        <v>505</v>
      </c>
      <c r="I146" s="456">
        <f t="shared" si="6"/>
        <v>30223342.139164127</v>
      </c>
      <c r="J146" s="457"/>
      <c r="K146" s="5"/>
    </row>
    <row r="147" spans="1:11" x14ac:dyDescent="0.2">
      <c r="A147" s="453">
        <v>42005</v>
      </c>
      <c r="B147" s="27">
        <v>32217752</v>
      </c>
      <c r="C147" s="458">
        <f>+'Purchased Power Model '!C147</f>
        <v>775.6</v>
      </c>
      <c r="D147" s="458">
        <f>+'Purchased Power Model '!D147</f>
        <v>0</v>
      </c>
      <c r="E147" s="443">
        <f>+'Purchased Power Model '!E147</f>
        <v>6.7000000000000004E-2</v>
      </c>
      <c r="F147" s="53">
        <f>+'Purchased Power Model '!F147</f>
        <v>31</v>
      </c>
      <c r="G147" s="53">
        <f>+'Purchased Power Model '!G147</f>
        <v>0</v>
      </c>
      <c r="H147" s="170"/>
      <c r="I147" s="456">
        <f t="shared" si="6"/>
        <v>32638515.784035504</v>
      </c>
      <c r="J147" s="457"/>
      <c r="K147" s="5"/>
    </row>
    <row r="148" spans="1:11" x14ac:dyDescent="0.2">
      <c r="A148" s="453">
        <v>42036</v>
      </c>
      <c r="B148" s="27">
        <v>32535339</v>
      </c>
      <c r="C148" s="458">
        <f>+'Purchased Power Model '!C148</f>
        <v>809.4</v>
      </c>
      <c r="D148" s="458">
        <f>+'Purchased Power Model '!D148</f>
        <v>0</v>
      </c>
      <c r="E148" s="443">
        <f>+'Purchased Power Model '!E148</f>
        <v>6.8000000000000005E-2</v>
      </c>
      <c r="F148" s="53">
        <f>+'Purchased Power Model '!F148</f>
        <v>28</v>
      </c>
      <c r="G148" s="53">
        <f>+'Purchased Power Model '!G148</f>
        <v>0</v>
      </c>
      <c r="H148" s="170"/>
      <c r="I148" s="456">
        <f t="shared" si="6"/>
        <v>35241012.888655931</v>
      </c>
      <c r="J148" s="457"/>
      <c r="K148" s="5"/>
    </row>
    <row r="149" spans="1:11" x14ac:dyDescent="0.2">
      <c r="A149" s="453">
        <v>42064</v>
      </c>
      <c r="B149" s="27">
        <v>33926555</v>
      </c>
      <c r="C149" s="458">
        <f>+'Purchased Power Model '!C149</f>
        <v>611.6</v>
      </c>
      <c r="D149" s="458">
        <f>+'Purchased Power Model '!D149</f>
        <v>0</v>
      </c>
      <c r="E149" s="443">
        <f>+'Purchased Power Model '!E149</f>
        <v>7.2000000000000008E-2</v>
      </c>
      <c r="F149" s="53">
        <f>+'Purchased Power Model '!F149</f>
        <v>31</v>
      </c>
      <c r="G149" s="53">
        <f>+'Purchased Power Model '!G149</f>
        <v>1</v>
      </c>
      <c r="H149" s="170"/>
      <c r="I149" s="456">
        <f t="shared" si="6"/>
        <v>31085976.04939197</v>
      </c>
      <c r="J149" s="457"/>
      <c r="K149" s="5"/>
    </row>
    <row r="150" spans="1:11" x14ac:dyDescent="0.2">
      <c r="A150" s="453">
        <v>42095</v>
      </c>
      <c r="B150" s="27">
        <v>29318167</v>
      </c>
      <c r="C150" s="458">
        <f>+'Purchased Power Model '!C150</f>
        <v>335.6</v>
      </c>
      <c r="D150" s="458">
        <f>+'Purchased Power Model '!D150</f>
        <v>0</v>
      </c>
      <c r="E150" s="443">
        <f>+'Purchased Power Model '!E150</f>
        <v>7.5999999999999998E-2</v>
      </c>
      <c r="F150" s="53">
        <f>+'Purchased Power Model '!F150</f>
        <v>30</v>
      </c>
      <c r="G150" s="53">
        <f>+'Purchased Power Model '!G150</f>
        <v>1</v>
      </c>
      <c r="H150" s="170"/>
      <c r="I150" s="456">
        <f t="shared" si="6"/>
        <v>29017701.618530717</v>
      </c>
      <c r="J150" s="457"/>
      <c r="K150" s="5"/>
    </row>
    <row r="151" spans="1:11" x14ac:dyDescent="0.2">
      <c r="A151" s="453">
        <v>42125</v>
      </c>
      <c r="B151" s="27">
        <v>24833182</v>
      </c>
      <c r="C151" s="458">
        <f>+'Purchased Power Model '!C151</f>
        <v>120.5</v>
      </c>
      <c r="D151" s="458">
        <f>+'Purchased Power Model '!D151</f>
        <v>1.8</v>
      </c>
      <c r="E151" s="443">
        <f>+'Purchased Power Model '!E151</f>
        <v>7.8E-2</v>
      </c>
      <c r="F151" s="53">
        <f>+'Purchased Power Model '!F151</f>
        <v>31</v>
      </c>
      <c r="G151" s="53">
        <f>+'Purchased Power Model '!G151</f>
        <v>1</v>
      </c>
      <c r="H151" s="170"/>
      <c r="I151" s="456">
        <f t="shared" si="6"/>
        <v>26107136.333473526</v>
      </c>
      <c r="J151" s="457"/>
      <c r="K151" s="5"/>
    </row>
    <row r="152" spans="1:11" x14ac:dyDescent="0.2">
      <c r="A152" s="453">
        <v>42156</v>
      </c>
      <c r="B152" s="27">
        <v>25010871</v>
      </c>
      <c r="C152" s="458">
        <f>+'Purchased Power Model '!C152</f>
        <v>50.2</v>
      </c>
      <c r="D152" s="458">
        <f>+'Purchased Power Model '!D152</f>
        <v>13.1</v>
      </c>
      <c r="E152" s="443">
        <f>+'Purchased Power Model '!E152</f>
        <v>7.8E-2</v>
      </c>
      <c r="F152" s="53">
        <f>+'Purchased Power Model '!F152</f>
        <v>30</v>
      </c>
      <c r="G152" s="53">
        <f>+'Purchased Power Model '!G152</f>
        <v>0</v>
      </c>
      <c r="H152" s="170"/>
      <c r="I152" s="456">
        <f t="shared" si="6"/>
        <v>26375742.760370936</v>
      </c>
      <c r="J152" s="457"/>
      <c r="K152" s="5"/>
    </row>
    <row r="153" spans="1:11" x14ac:dyDescent="0.2">
      <c r="A153" s="453">
        <v>42186</v>
      </c>
      <c r="B153" s="27">
        <v>24151786</v>
      </c>
      <c r="C153" s="458">
        <f>+'Purchased Power Model '!C153</f>
        <v>6.8</v>
      </c>
      <c r="D153" s="458">
        <f>+'Purchased Power Model '!D153</f>
        <v>71.5</v>
      </c>
      <c r="E153" s="443">
        <f>+'Purchased Power Model '!E153</f>
        <v>7.8E-2</v>
      </c>
      <c r="F153" s="53">
        <f>+'Purchased Power Model '!F153</f>
        <v>31</v>
      </c>
      <c r="G153" s="53">
        <f>+'Purchased Power Model '!G153</f>
        <v>0</v>
      </c>
      <c r="H153" s="170"/>
      <c r="I153" s="456">
        <f t="shared" si="6"/>
        <v>26765580.578542203</v>
      </c>
      <c r="J153" s="457"/>
      <c r="K153" s="5"/>
    </row>
    <row r="154" spans="1:11" x14ac:dyDescent="0.2">
      <c r="A154" s="453">
        <v>42217</v>
      </c>
      <c r="B154" s="27">
        <v>27253392</v>
      </c>
      <c r="C154" s="458">
        <f>+'Purchased Power Model '!C154</f>
        <v>4.9000000000000004</v>
      </c>
      <c r="D154" s="458">
        <f>+'Purchased Power Model '!D154</f>
        <v>62</v>
      </c>
      <c r="E154" s="443">
        <f>+'Purchased Power Model '!E154</f>
        <v>0.08</v>
      </c>
      <c r="F154" s="53">
        <f>+'Purchased Power Model '!F154</f>
        <v>31</v>
      </c>
      <c r="G154" s="53">
        <f>+'Purchased Power Model '!G154</f>
        <v>0</v>
      </c>
      <c r="H154" s="170"/>
      <c r="I154" s="456">
        <f t="shared" si="6"/>
        <v>26553375.771760553</v>
      </c>
      <c r="J154" s="457"/>
      <c r="K154" s="5"/>
    </row>
    <row r="155" spans="1:11" x14ac:dyDescent="0.2">
      <c r="A155" s="453">
        <v>42248</v>
      </c>
      <c r="B155" s="27">
        <v>26501631</v>
      </c>
      <c r="C155" s="458">
        <f>+'Purchased Power Model '!C155</f>
        <v>37</v>
      </c>
      <c r="D155" s="458">
        <f>+'Purchased Power Model '!D155</f>
        <v>48.6</v>
      </c>
      <c r="E155" s="443">
        <f>+'Purchased Power Model '!E155</f>
        <v>8.3000000000000004E-2</v>
      </c>
      <c r="F155" s="53">
        <f>+'Purchased Power Model '!F155</f>
        <v>30</v>
      </c>
      <c r="G155" s="53">
        <f>+'Purchased Power Model '!G155</f>
        <v>1</v>
      </c>
      <c r="H155" s="170"/>
      <c r="I155" s="456">
        <f t="shared" si="6"/>
        <v>27393697.64970072</v>
      </c>
      <c r="J155" s="457"/>
      <c r="K155" s="5"/>
    </row>
    <row r="156" spans="1:11" x14ac:dyDescent="0.2">
      <c r="A156" s="453">
        <v>42278</v>
      </c>
      <c r="B156" s="27">
        <v>25192956</v>
      </c>
      <c r="C156" s="458">
        <f>+'Purchased Power Model '!C156</f>
        <v>248.1</v>
      </c>
      <c r="D156" s="458">
        <f>+'Purchased Power Model '!D156</f>
        <v>0</v>
      </c>
      <c r="E156" s="443">
        <f>+'Purchased Power Model '!E156</f>
        <v>8.1000000000000003E-2</v>
      </c>
      <c r="F156" s="53">
        <f>+'Purchased Power Model '!F156</f>
        <v>31</v>
      </c>
      <c r="G156" s="53">
        <f>+'Purchased Power Model '!G156</f>
        <v>1</v>
      </c>
      <c r="H156" s="170"/>
      <c r="I156" s="456">
        <f t="shared" si="6"/>
        <v>27515850.973239832</v>
      </c>
      <c r="J156" s="457"/>
      <c r="K156" s="5"/>
    </row>
    <row r="157" spans="1:11" x14ac:dyDescent="0.2">
      <c r="A157" s="453">
        <v>42309</v>
      </c>
      <c r="B157" s="27">
        <v>25503262</v>
      </c>
      <c r="C157" s="458">
        <f>+'Purchased Power Model '!C157</f>
        <v>345.6</v>
      </c>
      <c r="D157" s="458">
        <f>+'Purchased Power Model '!D157</f>
        <v>0</v>
      </c>
      <c r="E157" s="443">
        <f>+'Purchased Power Model '!E157</f>
        <v>7.8E-2</v>
      </c>
      <c r="F157" s="53">
        <f>+'Purchased Power Model '!F157</f>
        <v>30</v>
      </c>
      <c r="G157" s="53">
        <f>+'Purchased Power Model '!G157</f>
        <v>1</v>
      </c>
      <c r="H157" s="170"/>
      <c r="I157" s="456">
        <f t="shared" si="6"/>
        <v>29190519.9448695</v>
      </c>
      <c r="J157" s="457"/>
      <c r="K157" s="5"/>
    </row>
    <row r="158" spans="1:11" x14ac:dyDescent="0.2">
      <c r="A158" s="453">
        <v>42339</v>
      </c>
      <c r="B158" s="27">
        <v>26905925</v>
      </c>
      <c r="C158" s="458">
        <f>+'Purchased Power Model '!C158</f>
        <v>415</v>
      </c>
      <c r="D158" s="458">
        <f>+'Purchased Power Model '!D158</f>
        <v>0</v>
      </c>
      <c r="E158" s="443">
        <f>+'Purchased Power Model '!E158</f>
        <v>7.0000000000000007E-2</v>
      </c>
      <c r="F158" s="53">
        <f>+'Purchased Power Model '!F158</f>
        <v>31</v>
      </c>
      <c r="G158" s="53">
        <f>+'Purchased Power Model '!G158</f>
        <v>0</v>
      </c>
      <c r="H158" s="170"/>
      <c r="I158" s="456">
        <f t="shared" si="6"/>
        <v>28900101.8689401</v>
      </c>
      <c r="J158" s="457"/>
      <c r="K158" s="5"/>
    </row>
    <row r="159" spans="1:11" x14ac:dyDescent="0.2">
      <c r="A159" s="453">
        <v>42370</v>
      </c>
      <c r="B159" s="27">
        <v>28752206</v>
      </c>
      <c r="C159" s="458">
        <f>+'Purchased Power Model '!C159</f>
        <v>689.4</v>
      </c>
      <c r="D159" s="458">
        <f>+'Purchased Power Model '!D159</f>
        <v>0</v>
      </c>
      <c r="E159" s="443">
        <f>+'Purchased Power Model '!E159</f>
        <v>6.4000000000000001E-2</v>
      </c>
      <c r="F159" s="53">
        <f>+'Purchased Power Model '!F159</f>
        <v>31</v>
      </c>
      <c r="G159" s="53">
        <f>+'Purchased Power Model '!G159</f>
        <v>0</v>
      </c>
      <c r="H159" s="170"/>
      <c r="I159" s="456">
        <f t="shared" si="6"/>
        <v>31621481.93667914</v>
      </c>
      <c r="J159" s="457"/>
      <c r="K159" s="5"/>
    </row>
    <row r="160" spans="1:11" x14ac:dyDescent="0.2">
      <c r="A160" s="453">
        <v>42401</v>
      </c>
      <c r="B160" s="27">
        <v>31972288</v>
      </c>
      <c r="C160" s="458">
        <f>+'Purchased Power Model '!C160</f>
        <v>623.20000000000005</v>
      </c>
      <c r="D160" s="458">
        <f>+'Purchased Power Model '!D160</f>
        <v>0</v>
      </c>
      <c r="E160" s="443">
        <f>+'Purchased Power Model '!E160</f>
        <v>6.0999999999999999E-2</v>
      </c>
      <c r="F160" s="53">
        <f>+'Purchased Power Model '!F160</f>
        <v>29</v>
      </c>
      <c r="G160" s="53">
        <f>+'Purchased Power Model '!G160</f>
        <v>0</v>
      </c>
      <c r="H160" s="170"/>
      <c r="I160" s="456">
        <f t="shared" si="6"/>
        <v>32290354.728468195</v>
      </c>
      <c r="J160" s="457"/>
      <c r="K160" s="5"/>
    </row>
    <row r="161" spans="1:11" x14ac:dyDescent="0.2">
      <c r="A161" s="453">
        <v>42430</v>
      </c>
      <c r="B161" s="27">
        <v>28455318</v>
      </c>
      <c r="C161" s="458">
        <f>+'Purchased Power Model '!C161</f>
        <v>531.20000000000005</v>
      </c>
      <c r="D161" s="458">
        <f>+'Purchased Power Model '!D161</f>
        <v>0</v>
      </c>
      <c r="E161" s="443">
        <f>+'Purchased Power Model '!E161</f>
        <v>6.0999999999999999E-2</v>
      </c>
      <c r="F161" s="53">
        <f>+'Purchased Power Model '!F161</f>
        <v>31</v>
      </c>
      <c r="G161" s="53">
        <f>+'Purchased Power Model '!G161</f>
        <v>1</v>
      </c>
      <c r="H161" s="170"/>
      <c r="I161" s="456">
        <f t="shared" si="6"/>
        <v>29865134.222374924</v>
      </c>
      <c r="J161" s="457"/>
      <c r="K161" s="5"/>
    </row>
    <row r="162" spans="1:11" x14ac:dyDescent="0.2">
      <c r="A162" s="453">
        <v>42461</v>
      </c>
      <c r="B162" s="27">
        <v>30612618</v>
      </c>
      <c r="C162" s="458">
        <f>+'Purchased Power Model '!C162</f>
        <v>421.9</v>
      </c>
      <c r="D162" s="458">
        <f>+'Purchased Power Model '!D162</f>
        <v>0</v>
      </c>
      <c r="E162" s="443">
        <f>+'Purchased Power Model '!E162</f>
        <v>6.0999999999999999E-2</v>
      </c>
      <c r="F162" s="53">
        <f>+'Purchased Power Model '!F162</f>
        <v>30</v>
      </c>
      <c r="G162" s="53">
        <f>+'Purchased Power Model '!G162</f>
        <v>1</v>
      </c>
      <c r="H162" s="170"/>
      <c r="I162" s="456">
        <f t="shared" si="6"/>
        <v>29438336.158643026</v>
      </c>
      <c r="J162" s="457"/>
      <c r="K162" s="5"/>
    </row>
    <row r="163" spans="1:11" x14ac:dyDescent="0.2">
      <c r="A163" s="453">
        <v>42491</v>
      </c>
      <c r="B163" s="27">
        <v>25278796</v>
      </c>
      <c r="C163" s="458">
        <f>+'Purchased Power Model '!C163</f>
        <v>164.3</v>
      </c>
      <c r="D163" s="458">
        <f>+'Purchased Power Model '!D163</f>
        <v>19.399999999999999</v>
      </c>
      <c r="E163" s="443">
        <f>+'Purchased Power Model '!E163</f>
        <v>5.7999999999999996E-2</v>
      </c>
      <c r="F163" s="53">
        <f>+'Purchased Power Model '!F163</f>
        <v>31</v>
      </c>
      <c r="G163" s="53">
        <f>+'Purchased Power Model '!G163</f>
        <v>1</v>
      </c>
      <c r="H163" s="170"/>
      <c r="I163" s="456">
        <f t="shared" si="6"/>
        <v>26388125.882688463</v>
      </c>
      <c r="J163" s="457"/>
      <c r="K163" s="5"/>
    </row>
    <row r="164" spans="1:11" x14ac:dyDescent="0.2">
      <c r="A164" s="453">
        <v>42522</v>
      </c>
      <c r="B164" s="27">
        <v>25140214</v>
      </c>
      <c r="C164" s="458">
        <f>+'Purchased Power Model '!C164</f>
        <v>39.1</v>
      </c>
      <c r="D164" s="458">
        <f>+'Purchased Power Model '!D164</f>
        <v>43.8</v>
      </c>
      <c r="E164" s="443">
        <f>+'Purchased Power Model '!E164</f>
        <v>6.5000000000000002E-2</v>
      </c>
      <c r="F164" s="53">
        <f>+'Purchased Power Model '!F164</f>
        <v>30</v>
      </c>
      <c r="G164" s="53">
        <f>+'Purchased Power Model '!G164</f>
        <v>0</v>
      </c>
      <c r="H164" s="170"/>
      <c r="I164" s="456">
        <f t="shared" si="6"/>
        <v>26661034.393343043</v>
      </c>
      <c r="J164" s="457"/>
      <c r="K164" s="5"/>
    </row>
    <row r="165" spans="1:11" x14ac:dyDescent="0.2">
      <c r="A165" s="453">
        <v>42552</v>
      </c>
      <c r="B165" s="27">
        <v>24193707</v>
      </c>
      <c r="C165" s="458">
        <f>+'Purchased Power Model '!C165</f>
        <v>2.4</v>
      </c>
      <c r="D165" s="458">
        <f>+'Purchased Power Model '!D165</f>
        <v>120.7</v>
      </c>
      <c r="E165" s="443">
        <f>+'Purchased Power Model '!E165</f>
        <v>6.5000000000000002E-2</v>
      </c>
      <c r="F165" s="53">
        <f>+'Purchased Power Model '!F165</f>
        <v>31</v>
      </c>
      <c r="G165" s="53">
        <f>+'Purchased Power Model '!G165</f>
        <v>0</v>
      </c>
      <c r="H165" s="170"/>
      <c r="I165" s="456">
        <f t="shared" si="6"/>
        <v>27625318.953003079</v>
      </c>
      <c r="J165" s="457"/>
      <c r="K165" s="5"/>
    </row>
    <row r="166" spans="1:11" x14ac:dyDescent="0.2">
      <c r="A166" s="453">
        <v>42583</v>
      </c>
      <c r="B166" s="27">
        <v>29331955</v>
      </c>
      <c r="C166" s="458">
        <f>+'Purchased Power Model '!C166</f>
        <v>1.4</v>
      </c>
      <c r="D166" s="458">
        <f>+'Purchased Power Model '!D166</f>
        <v>135.6</v>
      </c>
      <c r="E166" s="443">
        <f>+'Purchased Power Model '!E166</f>
        <v>6.9000000000000006E-2</v>
      </c>
      <c r="F166" s="53">
        <f>+'Purchased Power Model '!F166</f>
        <v>31</v>
      </c>
      <c r="G166" s="53">
        <f>+'Purchased Power Model '!G166</f>
        <v>0</v>
      </c>
      <c r="H166" s="170"/>
      <c r="I166" s="456">
        <f t="shared" si="6"/>
        <v>28152674.008643448</v>
      </c>
      <c r="J166" s="457"/>
      <c r="K166" s="5"/>
    </row>
    <row r="167" spans="1:11" x14ac:dyDescent="0.2">
      <c r="A167" s="453">
        <v>42614</v>
      </c>
      <c r="B167" s="27">
        <v>29606432</v>
      </c>
      <c r="C167" s="458">
        <f>+'Purchased Power Model '!C167</f>
        <v>50.8</v>
      </c>
      <c r="D167" s="458">
        <f>+'Purchased Power Model '!D167</f>
        <v>35.299999999999997</v>
      </c>
      <c r="E167" s="443">
        <f>+'Purchased Power Model '!E167</f>
        <v>6.4000000000000001E-2</v>
      </c>
      <c r="F167" s="53">
        <f>+'Purchased Power Model '!F167</f>
        <v>30</v>
      </c>
      <c r="G167" s="53">
        <f>+'Purchased Power Model '!G167</f>
        <v>1</v>
      </c>
      <c r="H167" s="170"/>
      <c r="I167" s="456">
        <f t="shared" si="6"/>
        <v>26548205.568389338</v>
      </c>
      <c r="J167" s="457"/>
      <c r="K167" s="5"/>
    </row>
    <row r="168" spans="1:11" x14ac:dyDescent="0.2">
      <c r="A168" s="453">
        <v>42644</v>
      </c>
      <c r="B168" s="27">
        <v>24879420</v>
      </c>
      <c r="C168" s="458">
        <f>+'Purchased Power Model '!C168</f>
        <v>204</v>
      </c>
      <c r="D168" s="458">
        <f>+'Purchased Power Model '!D168</f>
        <v>0.3</v>
      </c>
      <c r="E168" s="443">
        <f>+'Purchased Power Model '!E168</f>
        <v>0.06</v>
      </c>
      <c r="F168" s="53">
        <f>+'Purchased Power Model '!F168</f>
        <v>31</v>
      </c>
      <c r="G168" s="53">
        <f>+'Purchased Power Model '!G168</f>
        <v>1</v>
      </c>
      <c r="H168" s="170"/>
      <c r="I168" s="456">
        <f t="shared" si="6"/>
        <v>26357597.390205599</v>
      </c>
      <c r="J168" s="457"/>
      <c r="K168" s="5"/>
    </row>
    <row r="169" spans="1:11" x14ac:dyDescent="0.2">
      <c r="A169" s="453">
        <v>42675</v>
      </c>
      <c r="B169" s="27">
        <v>25950999</v>
      </c>
      <c r="C169" s="458">
        <f>+'Purchased Power Model '!C169</f>
        <v>298.5</v>
      </c>
      <c r="D169" s="458">
        <f>+'Purchased Power Model '!D169</f>
        <v>0</v>
      </c>
      <c r="E169" s="443">
        <f>+'Purchased Power Model '!E169</f>
        <v>5.4000000000000006E-2</v>
      </c>
      <c r="F169" s="53">
        <f>+'Purchased Power Model '!F169</f>
        <v>30</v>
      </c>
      <c r="G169" s="53">
        <f>+'Purchased Power Model '!G169</f>
        <v>1</v>
      </c>
      <c r="H169" s="170"/>
      <c r="I169" s="456">
        <f t="shared" si="6"/>
        <v>27892600.077780593</v>
      </c>
      <c r="J169" s="457"/>
      <c r="K169" s="5"/>
    </row>
    <row r="170" spans="1:11" x14ac:dyDescent="0.2">
      <c r="A170" s="453">
        <v>42705</v>
      </c>
      <c r="B170" s="27">
        <v>25994246</v>
      </c>
      <c r="C170" s="458">
        <f>+'Purchased Power Model '!C170</f>
        <v>483.4</v>
      </c>
      <c r="D170" s="458">
        <f>+'Purchased Power Model '!D170</f>
        <v>0</v>
      </c>
      <c r="E170" s="443">
        <f>+'Purchased Power Model '!E170</f>
        <v>5.2000000000000005E-2</v>
      </c>
      <c r="F170" s="53">
        <f>+'Purchased Power Model '!F170</f>
        <v>31</v>
      </c>
      <c r="G170" s="53">
        <f>+'Purchased Power Model '!G170</f>
        <v>0</v>
      </c>
      <c r="H170" s="170"/>
      <c r="I170" s="456">
        <f t="shared" si="6"/>
        <v>29030643.211148731</v>
      </c>
      <c r="J170" s="457"/>
      <c r="K170" s="5"/>
    </row>
    <row r="171" spans="1:11" x14ac:dyDescent="0.2">
      <c r="A171" s="453">
        <v>42736</v>
      </c>
      <c r="B171" s="27">
        <v>30674025</v>
      </c>
      <c r="C171" s="458">
        <f>+'Purchased Power Model '!C171</f>
        <v>584</v>
      </c>
      <c r="D171" s="458">
        <f ca="1">+'Purchased Power Model '!D171</f>
        <v>0</v>
      </c>
      <c r="E171" s="443">
        <f>+'Purchased Power Model '!E171</f>
        <v>5.2999999999999999E-2</v>
      </c>
      <c r="F171" s="53">
        <f>+'Purchased Power Model '!F171</f>
        <v>31</v>
      </c>
      <c r="G171" s="53">
        <f>+'Purchased Power Model '!G171</f>
        <v>0</v>
      </c>
      <c r="H171" s="170"/>
      <c r="I171" s="456">
        <f t="shared" ca="1" si="6"/>
        <v>30134556.416597418</v>
      </c>
      <c r="J171" s="457"/>
      <c r="K171" s="5"/>
    </row>
    <row r="172" spans="1:11" x14ac:dyDescent="0.2">
      <c r="A172" s="453">
        <v>42767</v>
      </c>
      <c r="B172" s="27">
        <v>32790752</v>
      </c>
      <c r="C172" s="458">
        <f>+'Purchased Power Model '!C172</f>
        <v>506</v>
      </c>
      <c r="D172" s="458">
        <f ca="1">+'Purchased Power Model '!D172</f>
        <v>0</v>
      </c>
      <c r="E172" s="443">
        <f>+'Purchased Power Model '!E172</f>
        <v>5.9000000000000004E-2</v>
      </c>
      <c r="F172" s="53">
        <f>+'Purchased Power Model '!F172</f>
        <v>28</v>
      </c>
      <c r="G172" s="53">
        <f>+'Purchased Power Model '!G172</f>
        <v>0</v>
      </c>
      <c r="H172" s="170"/>
      <c r="I172" s="456">
        <f t="shared" ca="1" si="6"/>
        <v>31713089.368614949</v>
      </c>
      <c r="J172" s="457"/>
      <c r="K172" s="5"/>
    </row>
    <row r="173" spans="1:11" x14ac:dyDescent="0.2">
      <c r="A173" s="453">
        <v>42795</v>
      </c>
      <c r="B173" s="27">
        <v>27101528</v>
      </c>
      <c r="C173" s="458">
        <f>+'Purchased Power Model '!C173</f>
        <v>561</v>
      </c>
      <c r="D173" s="458">
        <f ca="1">+'Purchased Power Model '!D173</f>
        <v>0</v>
      </c>
      <c r="E173" s="443">
        <f>+'Purchased Power Model '!E173</f>
        <v>6.2E-2</v>
      </c>
      <c r="F173" s="53">
        <f>+'Purchased Power Model '!F173</f>
        <v>31</v>
      </c>
      <c r="G173" s="53">
        <f>+'Purchased Power Model '!G173</f>
        <v>1</v>
      </c>
      <c r="H173" s="170"/>
      <c r="I173" s="456">
        <f t="shared" ca="1" si="6"/>
        <v>30215498.409064472</v>
      </c>
      <c r="J173" s="457"/>
      <c r="K173" s="5"/>
    </row>
    <row r="174" spans="1:11" x14ac:dyDescent="0.2">
      <c r="A174" s="460">
        <v>42826</v>
      </c>
      <c r="B174" s="435"/>
      <c r="C174" s="461">
        <f>+'Purchased Power Model '!C174</f>
        <v>410.06381244743028</v>
      </c>
      <c r="D174" s="461">
        <f ca="1">+'Purchased Power Model '!D174</f>
        <v>0</v>
      </c>
      <c r="E174" s="437">
        <f>+'Purchased Power Model '!E174</f>
        <v>6.7312499999999997E-2</v>
      </c>
      <c r="F174" s="462">
        <f>+'Purchased Power Model '!F174</f>
        <v>30</v>
      </c>
      <c r="G174" s="462">
        <f>+'Purchased Power Model '!G174</f>
        <v>1</v>
      </c>
      <c r="H174" s="463"/>
      <c r="I174" s="464">
        <f t="shared" ca="1" si="6"/>
        <v>29521886.678823944</v>
      </c>
      <c r="J174" s="36"/>
      <c r="K174" s="5"/>
    </row>
    <row r="175" spans="1:11" x14ac:dyDescent="0.2">
      <c r="A175" s="460">
        <v>42856</v>
      </c>
      <c r="B175" s="435"/>
      <c r="C175" s="461">
        <f>+'Purchased Power Model '!C175</f>
        <v>159.69064798557193</v>
      </c>
      <c r="D175" s="461">
        <f ca="1">+'Purchased Power Model '!D175</f>
        <v>14.000793761762511</v>
      </c>
      <c r="E175" s="437">
        <f>+'Purchased Power Model '!E175</f>
        <v>6.7312499999999997E-2</v>
      </c>
      <c r="F175" s="462">
        <f>+'Purchased Power Model '!F175</f>
        <v>31</v>
      </c>
      <c r="G175" s="462">
        <f>+'Purchased Power Model '!G175</f>
        <v>1</v>
      </c>
      <c r="H175" s="463"/>
      <c r="I175" s="464">
        <f t="shared" ca="1" si="6"/>
        <v>26501331.577777006</v>
      </c>
      <c r="J175" s="36"/>
      <c r="K175" s="5"/>
    </row>
    <row r="176" spans="1:11" x14ac:dyDescent="0.2">
      <c r="A176" s="460">
        <v>42887</v>
      </c>
      <c r="B176" s="435"/>
      <c r="C176" s="461">
        <f>+'Purchased Power Model '!C176</f>
        <v>38.003069605817792</v>
      </c>
      <c r="D176" s="461">
        <f ca="1">+'Purchased Power Model '!D176</f>
        <v>31.610039523979275</v>
      </c>
      <c r="E176" s="437">
        <f>+'Purchased Power Model '!E176</f>
        <v>6.7312499999999997E-2</v>
      </c>
      <c r="F176" s="462">
        <f>+'Purchased Power Model '!F176</f>
        <v>30</v>
      </c>
      <c r="G176" s="462">
        <f>+'Purchased Power Model '!G176</f>
        <v>0</v>
      </c>
      <c r="H176" s="463"/>
      <c r="I176" s="464">
        <f t="shared" ca="1" si="6"/>
        <v>26394591.903827813</v>
      </c>
      <c r="J176" s="36"/>
      <c r="K176" s="5"/>
    </row>
    <row r="177" spans="1:11" x14ac:dyDescent="0.2">
      <c r="A177" s="460">
        <v>42917</v>
      </c>
      <c r="B177" s="435"/>
      <c r="C177" s="461">
        <f>+'Purchased Power Model '!C177</f>
        <v>2.3326692341166928</v>
      </c>
      <c r="D177" s="461">
        <f ca="1">+'Purchased Power Model '!D177</f>
        <v>87.108031290965727</v>
      </c>
      <c r="E177" s="437">
        <f>+'Purchased Power Model '!E177</f>
        <v>6.6562659999999996E-2</v>
      </c>
      <c r="F177" s="462">
        <f>+'Purchased Power Model '!F177</f>
        <v>31</v>
      </c>
      <c r="G177" s="462">
        <f>+'Purchased Power Model '!G177</f>
        <v>0</v>
      </c>
      <c r="H177" s="463"/>
      <c r="I177" s="464">
        <f t="shared" ca="1" si="6"/>
        <v>26762884.897509538</v>
      </c>
      <c r="J177" s="36"/>
      <c r="K177" s="5"/>
    </row>
    <row r="178" spans="1:11" x14ac:dyDescent="0.2">
      <c r="A178" s="460">
        <v>42948</v>
      </c>
      <c r="B178" s="435"/>
      <c r="C178" s="461">
        <f>+'Purchased Power Model '!C178</f>
        <v>1.3607237199014042</v>
      </c>
      <c r="D178" s="461">
        <f ca="1">+'Purchased Power Model '!D178</f>
        <v>97.861218252319404</v>
      </c>
      <c r="E178" s="437">
        <f>+'Purchased Power Model '!E178</f>
        <v>6.6562659999999996E-2</v>
      </c>
      <c r="F178" s="462">
        <f>+'Purchased Power Model '!F178</f>
        <v>31</v>
      </c>
      <c r="G178" s="462">
        <f>+'Purchased Power Model '!G178</f>
        <v>0</v>
      </c>
      <c r="H178" s="463"/>
      <c r="I178" s="464">
        <f t="shared" ca="1" si="6"/>
        <v>27044989.809773035</v>
      </c>
      <c r="J178" s="36"/>
      <c r="K178" s="5"/>
    </row>
    <row r="179" spans="1:11" x14ac:dyDescent="0.2">
      <c r="A179" s="460">
        <v>42979</v>
      </c>
      <c r="B179" s="435"/>
      <c r="C179" s="461">
        <f>+'Purchased Power Model '!C179</f>
        <v>49.374832122136667</v>
      </c>
      <c r="D179" s="461">
        <f ca="1">+'Purchased Power Model '!D179</f>
        <v>25.475671123207043</v>
      </c>
      <c r="E179" s="437">
        <f>+'Purchased Power Model '!E179</f>
        <v>6.6562659999999996E-2</v>
      </c>
      <c r="F179" s="462">
        <f>+'Purchased Power Model '!F179</f>
        <v>30</v>
      </c>
      <c r="G179" s="462">
        <f>+'Purchased Power Model '!G179</f>
        <v>1</v>
      </c>
      <c r="H179" s="463"/>
      <c r="I179" s="464">
        <f t="shared" ca="1" si="6"/>
        <v>26350909.985682894</v>
      </c>
      <c r="J179" s="36"/>
      <c r="K179" s="5"/>
    </row>
    <row r="180" spans="1:11" x14ac:dyDescent="0.2">
      <c r="A180" s="460">
        <v>43009</v>
      </c>
      <c r="B180" s="435"/>
      <c r="C180" s="461">
        <f>+'Purchased Power Model '!C180</f>
        <v>198.27688489991891</v>
      </c>
      <c r="D180" s="461">
        <f ca="1">+'Purchased Power Model '!D180</f>
        <v>0.21650712002725533</v>
      </c>
      <c r="E180" s="437">
        <f>+'Purchased Power Model '!E180</f>
        <v>6.5937659999999995E-2</v>
      </c>
      <c r="F180" s="462">
        <f>+'Purchased Power Model '!F180</f>
        <v>31</v>
      </c>
      <c r="G180" s="462">
        <f>+'Purchased Power Model '!G180</f>
        <v>1</v>
      </c>
      <c r="H180" s="463"/>
      <c r="I180" s="464">
        <f t="shared" ca="1" si="6"/>
        <v>26491498.898828976</v>
      </c>
      <c r="J180" s="36"/>
      <c r="K180" s="5"/>
    </row>
    <row r="181" spans="1:11" x14ac:dyDescent="0.2">
      <c r="A181" s="460">
        <v>43040</v>
      </c>
      <c r="B181" s="435"/>
      <c r="C181" s="461">
        <f>+'Purchased Power Model '!C181</f>
        <v>290.12573599326367</v>
      </c>
      <c r="D181" s="461">
        <f ca="1">+'Purchased Power Model '!D181</f>
        <v>0</v>
      </c>
      <c r="E181" s="437">
        <f>+'Purchased Power Model '!E181</f>
        <v>6.5937659999999995E-2</v>
      </c>
      <c r="F181" s="462">
        <f>+'Purchased Power Model '!F181</f>
        <v>30</v>
      </c>
      <c r="G181" s="462">
        <f>+'Purchased Power Model '!G181</f>
        <v>1</v>
      </c>
      <c r="H181" s="463"/>
      <c r="I181" s="464">
        <f t="shared" ca="1" si="6"/>
        <v>28199709.75296684</v>
      </c>
      <c r="J181" s="36"/>
      <c r="K181" s="5"/>
    </row>
    <row r="182" spans="1:11" x14ac:dyDescent="0.2">
      <c r="A182" s="460">
        <v>43070</v>
      </c>
      <c r="B182" s="435"/>
      <c r="C182" s="461">
        <f>+'Purchased Power Model '!C182</f>
        <v>469.83846157167056</v>
      </c>
      <c r="D182" s="461">
        <f ca="1">+'Purchased Power Model '!D182</f>
        <v>0</v>
      </c>
      <c r="E182" s="437">
        <f>+'Purchased Power Model '!E182</f>
        <v>6.5937659999999995E-2</v>
      </c>
      <c r="F182" s="462">
        <f>+'Purchased Power Model '!F182</f>
        <v>31</v>
      </c>
      <c r="G182" s="462">
        <f>+'Purchased Power Model '!G182</f>
        <v>0</v>
      </c>
      <c r="H182" s="463"/>
      <c r="I182" s="464">
        <f t="shared" ca="1" si="6"/>
        <v>29348927.770046398</v>
      </c>
      <c r="J182" s="36"/>
      <c r="K182" s="5"/>
    </row>
    <row r="183" spans="1:11" x14ac:dyDescent="0.2">
      <c r="A183" s="460">
        <v>43101</v>
      </c>
      <c r="B183" s="435"/>
      <c r="C183" s="461">
        <f>+'Purchased Power Model '!C183</f>
        <v>607.71046849740094</v>
      </c>
      <c r="D183" s="461">
        <f ca="1">+'Purchased Power Model '!D183</f>
        <v>0</v>
      </c>
      <c r="E183" s="437">
        <f>+'Purchased Power Model '!E183</f>
        <v>6.6219020000000003E-2</v>
      </c>
      <c r="F183" s="462">
        <f>+'Purchased Power Model '!F183</f>
        <v>31</v>
      </c>
      <c r="G183" s="462">
        <f>+'Purchased Power Model '!G183</f>
        <v>0</v>
      </c>
      <c r="H183" s="463"/>
      <c r="I183" s="464">
        <f t="shared" ca="1" si="6"/>
        <v>30825686.501541048</v>
      </c>
      <c r="J183" s="36"/>
      <c r="K183" s="5"/>
    </row>
    <row r="184" spans="1:11" x14ac:dyDescent="0.2">
      <c r="A184" s="460">
        <v>43132</v>
      </c>
      <c r="B184" s="435"/>
      <c r="C184" s="461">
        <f>+'Purchased Power Model '!C184</f>
        <v>526.54365934877546</v>
      </c>
      <c r="D184" s="461">
        <f ca="1">+'Purchased Power Model '!D184</f>
        <v>0</v>
      </c>
      <c r="E184" s="437">
        <f>+'Purchased Power Model '!E184</f>
        <v>6.6219020000000003E-2</v>
      </c>
      <c r="F184" s="462">
        <f>+'Purchased Power Model '!F184</f>
        <v>28</v>
      </c>
      <c r="G184" s="462">
        <f>+'Purchased Power Model '!G184</f>
        <v>0</v>
      </c>
      <c r="H184" s="463"/>
      <c r="I184" s="464">
        <f t="shared" ca="1" si="6"/>
        <v>32171359.455279917</v>
      </c>
      <c r="J184" s="36"/>
      <c r="K184" s="5"/>
    </row>
    <row r="185" spans="1:11" x14ac:dyDescent="0.2">
      <c r="A185" s="460">
        <v>43160</v>
      </c>
      <c r="B185" s="435"/>
      <c r="C185" s="461">
        <f>+'Purchased Power Model '!C185</f>
        <v>583.77666579972936</v>
      </c>
      <c r="D185" s="461">
        <f ca="1">+'Purchased Power Model '!D185</f>
        <v>0</v>
      </c>
      <c r="E185" s="437">
        <f>+'Purchased Power Model '!E185</f>
        <v>6.6219020000000003E-2</v>
      </c>
      <c r="F185" s="462">
        <f>+'Purchased Power Model '!F185</f>
        <v>31</v>
      </c>
      <c r="G185" s="462">
        <f>+'Purchased Power Model '!G185</f>
        <v>1</v>
      </c>
      <c r="H185" s="463"/>
      <c r="I185" s="464">
        <f t="shared" ca="1" si="6"/>
        <v>30597957.886184342</v>
      </c>
      <c r="J185" s="36"/>
      <c r="K185" s="5"/>
    </row>
    <row r="186" spans="1:11" x14ac:dyDescent="0.2">
      <c r="A186" s="460">
        <v>43191</v>
      </c>
      <c r="B186" s="435"/>
      <c r="C186" s="461">
        <f>+'Purchased Power Model '!C186</f>
        <v>426.71245132920933</v>
      </c>
      <c r="D186" s="461">
        <f ca="1">+'Purchased Power Model '!D186</f>
        <v>0</v>
      </c>
      <c r="E186" s="437">
        <f>+'Purchased Power Model '!E186</f>
        <v>6.5531039999999999E-2</v>
      </c>
      <c r="F186" s="462">
        <f>+'Purchased Power Model '!F186</f>
        <v>30</v>
      </c>
      <c r="G186" s="462">
        <f>+'Purchased Power Model '!G186</f>
        <v>1</v>
      </c>
      <c r="H186" s="463"/>
      <c r="I186" s="464">
        <f t="shared" ca="1" si="6"/>
        <v>29639952.954900142</v>
      </c>
      <c r="J186" s="36"/>
      <c r="K186" s="5"/>
    </row>
    <row r="187" spans="1:11" x14ac:dyDescent="0.2">
      <c r="A187" s="460">
        <v>43221</v>
      </c>
      <c r="B187" s="435"/>
      <c r="C187" s="461">
        <f>+'Purchased Power Model '!C187</f>
        <v>166.17410702391345</v>
      </c>
      <c r="D187" s="461">
        <f ca="1">+'Purchased Power Model '!D187</f>
        <v>14.136286176978922</v>
      </c>
      <c r="E187" s="437">
        <f>+'Purchased Power Model '!E187</f>
        <v>6.5531039999999999E-2</v>
      </c>
      <c r="F187" s="462">
        <f>+'Purchased Power Model '!F187</f>
        <v>31</v>
      </c>
      <c r="G187" s="462">
        <f>+'Purchased Power Model '!G187</f>
        <v>1</v>
      </c>
      <c r="H187" s="463"/>
      <c r="I187" s="464">
        <f t="shared" ca="1" si="6"/>
        <v>26514891.23736345</v>
      </c>
      <c r="J187" s="36"/>
      <c r="K187" s="5"/>
    </row>
    <row r="188" spans="1:11" x14ac:dyDescent="0.2">
      <c r="A188" s="460">
        <v>43252</v>
      </c>
      <c r="B188" s="435"/>
      <c r="C188" s="461">
        <f>+'Purchased Power Model '!C188</f>
        <v>39.545998689196693</v>
      </c>
      <c r="D188" s="461">
        <f ca="1">+'Purchased Power Model '!D188</f>
        <v>31.915945079983338</v>
      </c>
      <c r="E188" s="437">
        <f>+'Purchased Power Model '!E188</f>
        <v>6.5531039999999999E-2</v>
      </c>
      <c r="F188" s="462">
        <f>+'Purchased Power Model '!F188</f>
        <v>30</v>
      </c>
      <c r="G188" s="462">
        <f>+'Purchased Power Model '!G188</f>
        <v>0</v>
      </c>
      <c r="H188" s="463"/>
      <c r="I188" s="464">
        <f t="shared" ca="1" si="6"/>
        <v>26360202.435933467</v>
      </c>
      <c r="J188" s="36"/>
      <c r="K188" s="5"/>
    </row>
    <row r="189" spans="1:11" x14ac:dyDescent="0.2">
      <c r="A189" s="460">
        <v>43282</v>
      </c>
      <c r="B189" s="435"/>
      <c r="C189" s="461">
        <f>+'Purchased Power Model '!C189</f>
        <v>2.4273758786207686</v>
      </c>
      <c r="D189" s="461">
        <f ca="1">+'Purchased Power Model '!D189</f>
        <v>87.951017606255462</v>
      </c>
      <c r="E189" s="437">
        <f>+'Purchased Power Model '!E189</f>
        <v>6.4656290000000005E-2</v>
      </c>
      <c r="F189" s="462">
        <f>+'Purchased Power Model '!F189</f>
        <v>31</v>
      </c>
      <c r="G189" s="462">
        <f>+'Purchased Power Model '!G189</f>
        <v>0</v>
      </c>
      <c r="H189" s="463"/>
      <c r="I189" s="464">
        <f t="shared" ca="1" si="6"/>
        <v>26723542.176561169</v>
      </c>
      <c r="J189" s="36"/>
      <c r="K189" s="5"/>
    </row>
    <row r="190" spans="1:11" x14ac:dyDescent="0.2">
      <c r="A190" s="460">
        <v>43313</v>
      </c>
      <c r="B190" s="435"/>
      <c r="C190" s="461">
        <f>+'Purchased Power Model '!C190</f>
        <v>1.4159692625287819</v>
      </c>
      <c r="D190" s="461">
        <f ca="1">+'Purchased Power Model '!D190</f>
        <v>98.80826832981144</v>
      </c>
      <c r="E190" s="437">
        <f>+'Purchased Power Model '!E190</f>
        <v>6.4656290000000005E-2</v>
      </c>
      <c r="F190" s="462">
        <f>+'Purchased Power Model '!F190</f>
        <v>31</v>
      </c>
      <c r="G190" s="462">
        <f>+'Purchased Power Model '!G190</f>
        <v>0</v>
      </c>
      <c r="H190" s="463"/>
      <c r="I190" s="464">
        <f t="shared" ca="1" si="6"/>
        <v>27008057.266677015</v>
      </c>
      <c r="J190" s="36"/>
      <c r="K190" s="5"/>
    </row>
    <row r="191" spans="1:11" x14ac:dyDescent="0.2">
      <c r="A191" s="460">
        <v>43344</v>
      </c>
      <c r="B191" s="435"/>
      <c r="C191" s="461">
        <f>+'Purchased Power Model '!C191</f>
        <v>51.379456097472939</v>
      </c>
      <c r="D191" s="461">
        <f ca="1">+'Purchased Power Model '!D191</f>
        <v>25.722211445739998</v>
      </c>
      <c r="E191" s="437">
        <f>+'Purchased Power Model '!E191</f>
        <v>6.4656290000000005E-2</v>
      </c>
      <c r="F191" s="462">
        <f>+'Purchased Power Model '!F191</f>
        <v>30</v>
      </c>
      <c r="G191" s="462">
        <f>+'Purchased Power Model '!G191</f>
        <v>1</v>
      </c>
      <c r="H191" s="463"/>
      <c r="I191" s="464">
        <f t="shared" ca="1" si="6"/>
        <v>26315673.901334871</v>
      </c>
      <c r="J191" s="36"/>
      <c r="K191" s="5"/>
    </row>
    <row r="192" spans="1:11" x14ac:dyDescent="0.2">
      <c r="A192" s="460">
        <v>43374</v>
      </c>
      <c r="B192" s="435"/>
      <c r="C192" s="461">
        <f>+'Purchased Power Model '!C192</f>
        <v>206.32694968276536</v>
      </c>
      <c r="D192" s="461">
        <f ca="1">+'Purchased Power Model '!D192</f>
        <v>0.21860236356152973</v>
      </c>
      <c r="E192" s="437">
        <f>+'Purchased Power Model '!E192</f>
        <v>6.3593549999999999E-2</v>
      </c>
      <c r="F192" s="462">
        <f>+'Purchased Power Model '!F192</f>
        <v>31</v>
      </c>
      <c r="G192" s="462">
        <f>+'Purchased Power Model '!G192</f>
        <v>1</v>
      </c>
      <c r="H192" s="463"/>
      <c r="I192" s="464">
        <f t="shared" ca="1" si="6"/>
        <v>26499428.82658615</v>
      </c>
      <c r="J192" s="36"/>
      <c r="K192" s="5"/>
    </row>
    <row r="193" spans="1:11" x14ac:dyDescent="0.2">
      <c r="A193" s="460">
        <v>43405</v>
      </c>
      <c r="B193" s="435"/>
      <c r="C193" s="461">
        <f>+'Purchased Power Model '!C193</f>
        <v>301.90487490345811</v>
      </c>
      <c r="D193" s="461">
        <f ca="1">+'Purchased Power Model '!D193</f>
        <v>0</v>
      </c>
      <c r="E193" s="437">
        <f>+'Purchased Power Model '!E193</f>
        <v>6.3593549999999999E-2</v>
      </c>
      <c r="F193" s="462">
        <f>+'Purchased Power Model '!F193</f>
        <v>30</v>
      </c>
      <c r="G193" s="462">
        <f>+'Purchased Power Model '!G193</f>
        <v>1</v>
      </c>
      <c r="H193" s="463"/>
      <c r="I193" s="464">
        <f t="shared" ca="1" si="6"/>
        <v>28247272.52993365</v>
      </c>
      <c r="J193" s="36"/>
      <c r="K193" s="5"/>
    </row>
    <row r="194" spans="1:11" x14ac:dyDescent="0.2">
      <c r="A194" s="460">
        <v>43435</v>
      </c>
      <c r="B194" s="435"/>
      <c r="C194" s="461">
        <f>+'Purchased Power Model '!C194</f>
        <v>488.91395821886647</v>
      </c>
      <c r="D194" s="461">
        <f ca="1">+'Purchased Power Model '!D194</f>
        <v>0</v>
      </c>
      <c r="E194" s="437">
        <f>+'Purchased Power Model '!E194</f>
        <v>6.3593549999999999E-2</v>
      </c>
      <c r="F194" s="462">
        <f>+'Purchased Power Model '!F194</f>
        <v>31</v>
      </c>
      <c r="G194" s="462">
        <f>+'Purchased Power Model '!G194</f>
        <v>0</v>
      </c>
      <c r="H194" s="463"/>
      <c r="I194" s="464">
        <f t="shared" ca="1" si="6"/>
        <v>29474148.219516501</v>
      </c>
      <c r="J194" s="36"/>
      <c r="K194" s="5"/>
    </row>
    <row r="195" spans="1:11" x14ac:dyDescent="0.2">
      <c r="A195" s="460">
        <v>43466</v>
      </c>
      <c r="B195" s="435"/>
      <c r="C195" s="461">
        <f>+'Purchased Power Model '!C195</f>
        <v>606.22673842566678</v>
      </c>
      <c r="D195" s="461">
        <f ca="1">+'Purchased Power Model '!D195</f>
        <v>0</v>
      </c>
      <c r="E195" s="437">
        <f>+'Purchased Power Model '!E195</f>
        <v>6.2343830000000003E-2</v>
      </c>
      <c r="F195" s="462">
        <f>+'Purchased Power Model '!F195</f>
        <v>31</v>
      </c>
      <c r="G195" s="462">
        <f>+'Purchased Power Model '!G195</f>
        <v>0</v>
      </c>
      <c r="H195" s="463"/>
      <c r="I195" s="464">
        <f t="shared" ca="1" si="6"/>
        <v>30681267.69474417</v>
      </c>
      <c r="J195" s="36"/>
      <c r="K195" s="5"/>
    </row>
    <row r="196" spans="1:11" x14ac:dyDescent="0.2">
      <c r="A196" s="460">
        <v>43497</v>
      </c>
      <c r="B196" s="435"/>
      <c r="C196" s="461">
        <f>+'Purchased Power Model '!C196</f>
        <v>525.25809870443049</v>
      </c>
      <c r="D196" s="461">
        <f ca="1">+'Purchased Power Model '!D196</f>
        <v>0</v>
      </c>
      <c r="E196" s="437">
        <f>+'Purchased Power Model '!E196</f>
        <v>6.2343830000000003E-2</v>
      </c>
      <c r="F196" s="462">
        <f>+'Purchased Power Model '!F196</f>
        <v>28</v>
      </c>
      <c r="G196" s="462">
        <f>+'Purchased Power Model '!G196</f>
        <v>0</v>
      </c>
      <c r="H196" s="463"/>
      <c r="I196" s="464">
        <f t="shared" ref="I196:I206" ca="1" si="11">$N$18+C196*$N$19+D196*$N$20+E196*$N$21+F196*$N$22+G196*$N$23</f>
        <v>32029049.834606729</v>
      </c>
      <c r="J196" s="36"/>
      <c r="K196" s="5"/>
    </row>
    <row r="197" spans="1:11" x14ac:dyDescent="0.2">
      <c r="A197" s="460">
        <v>43525</v>
      </c>
      <c r="B197" s="435"/>
      <c r="C197" s="461">
        <f>+'Purchased Power Model '!C197</f>
        <v>582.35137030273825</v>
      </c>
      <c r="D197" s="461">
        <f ca="1">+'Purchased Power Model '!D197</f>
        <v>0</v>
      </c>
      <c r="E197" s="437">
        <f>+'Purchased Power Model '!E197</f>
        <v>6.2343830000000003E-2</v>
      </c>
      <c r="F197" s="462">
        <f>+'Purchased Power Model '!F197</f>
        <v>31</v>
      </c>
      <c r="G197" s="462">
        <f>+'Purchased Power Model '!G197</f>
        <v>1</v>
      </c>
      <c r="H197" s="463"/>
      <c r="I197" s="464">
        <f t="shared" ca="1" si="11"/>
        <v>30454161.018885471</v>
      </c>
      <c r="J197" s="36"/>
      <c r="K197" s="5"/>
    </row>
    <row r="198" spans="1:11" x14ac:dyDescent="0.2">
      <c r="A198" s="460">
        <v>43556</v>
      </c>
      <c r="B198" s="435"/>
      <c r="C198" s="461">
        <f>+'Purchased Power Model '!C198</f>
        <v>425.67062939452069</v>
      </c>
      <c r="D198" s="461">
        <f ca="1">+'Purchased Power Model '!D198</f>
        <v>0</v>
      </c>
      <c r="E198" s="437">
        <f>+'Purchased Power Model '!E198</f>
        <v>6.0906349999999998E-2</v>
      </c>
      <c r="F198" s="462">
        <f>+'Purchased Power Model '!F198</f>
        <v>30</v>
      </c>
      <c r="G198" s="462">
        <f>+'Purchased Power Model '!G198</f>
        <v>1</v>
      </c>
      <c r="H198" s="463"/>
      <c r="I198" s="464">
        <f t="shared" ca="1" si="11"/>
        <v>29475359.807862211</v>
      </c>
      <c r="J198" s="36"/>
      <c r="K198" s="5"/>
    </row>
    <row r="199" spans="1:11" x14ac:dyDescent="0.2">
      <c r="A199" s="460">
        <v>43586</v>
      </c>
      <c r="B199" s="435"/>
      <c r="C199" s="461">
        <f>+'Purchased Power Model '!C199</f>
        <v>165.76839158454547</v>
      </c>
      <c r="D199" s="461">
        <f ca="1">+'Purchased Power Model '!D199</f>
        <v>14.271778592195387</v>
      </c>
      <c r="E199" s="437">
        <f>+'Purchased Power Model '!E199</f>
        <v>6.0906349999999998E-2</v>
      </c>
      <c r="F199" s="462">
        <f>+'Purchased Power Model '!F199</f>
        <v>31</v>
      </c>
      <c r="G199" s="462">
        <f>+'Purchased Power Model '!G199</f>
        <v>1</v>
      </c>
      <c r="H199" s="463"/>
      <c r="I199" s="464">
        <f t="shared" ca="1" si="11"/>
        <v>26360753.320190392</v>
      </c>
      <c r="J199" s="36"/>
      <c r="K199" s="5"/>
    </row>
    <row r="200" spans="1:11" x14ac:dyDescent="0.2">
      <c r="A200" s="460">
        <v>43617</v>
      </c>
      <c r="B200" s="435"/>
      <c r="C200" s="461">
        <f>+'Purchased Power Model '!C200</f>
        <v>39.449446810442659</v>
      </c>
      <c r="D200" s="461">
        <f ca="1">+'Purchased Power Model '!D200</f>
        <v>32.221850635987522</v>
      </c>
      <c r="E200" s="437">
        <f>+'Purchased Power Model '!E200</f>
        <v>6.0906349999999998E-2</v>
      </c>
      <c r="F200" s="462">
        <f>+'Purchased Power Model '!F200</f>
        <v>30</v>
      </c>
      <c r="G200" s="462">
        <f>+'Purchased Power Model '!G200</f>
        <v>0</v>
      </c>
      <c r="H200" s="463"/>
      <c r="I200" s="464">
        <f t="shared" ca="1" si="11"/>
        <v>26213989.704802919</v>
      </c>
      <c r="J200" s="36"/>
      <c r="K200" s="5"/>
    </row>
    <row r="201" spans="1:11" x14ac:dyDescent="0.2">
      <c r="A201" s="460">
        <v>43647</v>
      </c>
      <c r="B201" s="435"/>
      <c r="C201" s="461">
        <f>+'Purchased Power Model '!C201</f>
        <v>2.4214494205898305</v>
      </c>
      <c r="D201" s="461">
        <f ca="1">+'Purchased Power Model '!D201</f>
        <v>88.794003921545524</v>
      </c>
      <c r="E201" s="437">
        <f>+'Purchased Power Model '!E201</f>
        <v>5.928129E-2</v>
      </c>
      <c r="F201" s="462">
        <f>+'Purchased Power Model '!F201</f>
        <v>31</v>
      </c>
      <c r="G201" s="462">
        <f>+'Purchased Power Model '!G201</f>
        <v>0</v>
      </c>
      <c r="H201" s="463"/>
      <c r="I201" s="464">
        <f t="shared" ca="1" si="11"/>
        <v>26567996.142920844</v>
      </c>
      <c r="J201" s="36"/>
      <c r="K201" s="5"/>
    </row>
    <row r="202" spans="1:11" x14ac:dyDescent="0.2">
      <c r="A202" s="460">
        <v>43678</v>
      </c>
      <c r="B202" s="435"/>
      <c r="C202" s="461">
        <f>+'Purchased Power Model '!C202</f>
        <v>1.4125121620107346</v>
      </c>
      <c r="D202" s="461">
        <f ca="1">+'Purchased Power Model '!D202</f>
        <v>99.755318407303832</v>
      </c>
      <c r="E202" s="437">
        <f>+'Purchased Power Model '!E202</f>
        <v>5.928129E-2</v>
      </c>
      <c r="F202" s="462">
        <f>+'Purchased Power Model '!F202</f>
        <v>31</v>
      </c>
      <c r="G202" s="462">
        <f>+'Purchased Power Model '!G202</f>
        <v>0</v>
      </c>
      <c r="H202" s="463"/>
      <c r="I202" s="464">
        <f t="shared" ca="1" si="11"/>
        <v>26855367.691348493</v>
      </c>
      <c r="J202" s="36"/>
      <c r="K202" s="5"/>
    </row>
    <row r="203" spans="1:11" x14ac:dyDescent="0.2">
      <c r="A203" s="460">
        <v>43709</v>
      </c>
      <c r="B203" s="435"/>
      <c r="C203" s="461">
        <f>+'Purchased Power Model '!C203</f>
        <v>51.254012735818087</v>
      </c>
      <c r="D203" s="461">
        <f ca="1">+'Purchased Power Model '!D203</f>
        <v>25.968751768273048</v>
      </c>
      <c r="E203" s="437">
        <f>+'Purchased Power Model '!E203</f>
        <v>5.928129E-2</v>
      </c>
      <c r="F203" s="462">
        <f>+'Purchased Power Model '!F203</f>
        <v>30</v>
      </c>
      <c r="G203" s="462">
        <f>+'Purchased Power Model '!G203</f>
        <v>1</v>
      </c>
      <c r="H203" s="463"/>
      <c r="I203" s="464">
        <f t="shared" ca="1" si="11"/>
        <v>26142634.530057456</v>
      </c>
      <c r="J203" s="36"/>
      <c r="K203" s="5"/>
    </row>
    <row r="204" spans="1:11" x14ac:dyDescent="0.2">
      <c r="A204" s="460">
        <v>43739</v>
      </c>
      <c r="B204" s="435"/>
      <c r="C204" s="461">
        <f>+'Purchased Power Model '!C204</f>
        <v>205.82320075013561</v>
      </c>
      <c r="D204" s="461">
        <f ca="1">+'Purchased Power Model '!D204</f>
        <v>0.22069760709580494</v>
      </c>
      <c r="E204" s="437">
        <f>+'Purchased Power Model '!E204</f>
        <v>5.7468579999999998E-2</v>
      </c>
      <c r="F204" s="462">
        <f>+'Purchased Power Model '!F204</f>
        <v>31</v>
      </c>
      <c r="G204" s="462">
        <f>+'Purchased Power Model '!G204</f>
        <v>1</v>
      </c>
      <c r="H204" s="463"/>
      <c r="I204" s="464">
        <f t="shared" ca="1" si="11"/>
        <v>26290821.630306728</v>
      </c>
      <c r="J204" s="36"/>
      <c r="K204" s="5"/>
    </row>
    <row r="205" spans="1:11" x14ac:dyDescent="0.2">
      <c r="A205" s="460">
        <v>43770</v>
      </c>
      <c r="B205" s="435"/>
      <c r="C205" s="461">
        <f>+'Purchased Power Model '!C205</f>
        <v>301.1677716858602</v>
      </c>
      <c r="D205" s="461">
        <f ca="1">+'Purchased Power Model '!D205</f>
        <v>0</v>
      </c>
      <c r="E205" s="437">
        <f>+'Purchased Power Model '!E205</f>
        <v>5.7468579999999998E-2</v>
      </c>
      <c r="F205" s="462">
        <f>+'Purchased Power Model '!F205</f>
        <v>30</v>
      </c>
      <c r="G205" s="462">
        <f>+'Purchased Power Model '!G205</f>
        <v>1</v>
      </c>
      <c r="H205" s="463"/>
      <c r="I205" s="464">
        <f t="shared" ca="1" si="11"/>
        <v>28036124.679445725</v>
      </c>
      <c r="J205" s="36"/>
      <c r="K205" s="5"/>
    </row>
    <row r="206" spans="1:11" x14ac:dyDescent="0.2">
      <c r="A206" s="460">
        <v>43800</v>
      </c>
      <c r="B206" s="435"/>
      <c r="C206" s="461">
        <f>+'Purchased Power Model '!C206</f>
        <v>487.72027079713502</v>
      </c>
      <c r="D206" s="461">
        <f ca="1">+'Purchased Power Model '!D206</f>
        <v>0</v>
      </c>
      <c r="E206" s="437">
        <f>+'Purchased Power Model '!E206</f>
        <v>5.7468579999999998E-2</v>
      </c>
      <c r="F206" s="462">
        <f>+'Purchased Power Model '!F206</f>
        <v>31</v>
      </c>
      <c r="G206" s="462">
        <f>+'Purchased Power Model '!G206</f>
        <v>0</v>
      </c>
      <c r="H206" s="463"/>
      <c r="I206" s="464">
        <f t="shared" ca="1" si="11"/>
        <v>29258140.784579352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55" t="s">
        <v>60</v>
      </c>
      <c r="I208" s="43">
        <f ca="1">SUM(I3:I206)</f>
        <v>5828573320.0067968</v>
      </c>
    </row>
    <row r="209" spans="1:11" x14ac:dyDescent="0.2">
      <c r="A209" s="3"/>
      <c r="C209" s="23"/>
      <c r="D209" s="23"/>
      <c r="F209" s="164"/>
      <c r="G209" s="164"/>
      <c r="H209"/>
      <c r="I209" s="164"/>
      <c r="J209" s="36"/>
      <c r="K209" s="5" t="s">
        <v>196</v>
      </c>
    </row>
    <row r="210" spans="1:11" x14ac:dyDescent="0.2">
      <c r="A210" s="16">
        <v>2003</v>
      </c>
      <c r="B210" s="6">
        <f>SUM(B3:B14)</f>
        <v>281244125.5</v>
      </c>
      <c r="C210" s="96"/>
      <c r="D210" s="23" t="s">
        <v>195</v>
      </c>
      <c r="E210" s="97" t="s">
        <v>107</v>
      </c>
      <c r="F210" s="164"/>
      <c r="G210" s="164"/>
      <c r="H210"/>
      <c r="I210" s="6">
        <f>SUM(I3:I14)</f>
        <v>340018572.01623565</v>
      </c>
      <c r="J210" s="36">
        <f>I210-B210</f>
        <v>58774446.51623565</v>
      </c>
      <c r="K210" s="5">
        <f>J210/B210</f>
        <v>0.20898017482763617</v>
      </c>
    </row>
    <row r="211" spans="1:11" x14ac:dyDescent="0.2">
      <c r="A211">
        <v>2004</v>
      </c>
      <c r="B211" s="6">
        <f>SUM(B15:B26)</f>
        <v>360631980</v>
      </c>
      <c r="C211" s="96">
        <f>+B211-B210</f>
        <v>79387854.5</v>
      </c>
      <c r="D211" s="98">
        <f>+C211/B210</f>
        <v>0.28227382299581577</v>
      </c>
      <c r="E211" s="98">
        <f>RATE(1,0,-B$210,B211)</f>
        <v>0.28227382299581583</v>
      </c>
      <c r="F211" s="164"/>
      <c r="G211" s="164"/>
      <c r="H211"/>
      <c r="I211" s="6">
        <f>SUM(I15:I26)</f>
        <v>337255480.23265195</v>
      </c>
      <c r="J211" s="36">
        <f t="shared" ref="J211:J226" si="12">I211-B211</f>
        <v>-23376499.767348051</v>
      </c>
      <c r="K211" s="5">
        <f t="shared" ref="K211:K226" si="13">J211/B211</f>
        <v>-6.4820928436097242E-2</v>
      </c>
    </row>
    <row r="212" spans="1:11" x14ac:dyDescent="0.2">
      <c r="A212" s="16">
        <v>2005</v>
      </c>
      <c r="B212" s="6">
        <f>SUM(B27:B38)</f>
        <v>361962669</v>
      </c>
      <c r="C212" s="96">
        <f t="shared" ref="C212:C226" si="14">+B212-B211</f>
        <v>1330689</v>
      </c>
      <c r="D212" s="98">
        <f t="shared" ref="D212:D226" si="15">+C212/B211</f>
        <v>3.6898807476807797E-3</v>
      </c>
      <c r="E212" s="98">
        <f>RATE(2,0,-B$210,B212)</f>
        <v>0.13446254256742349</v>
      </c>
      <c r="F212" s="164"/>
      <c r="G212" s="164"/>
      <c r="H212"/>
      <c r="I212" s="6">
        <f>SUM(I27:I38)</f>
        <v>347613857.50732726</v>
      </c>
      <c r="J212" s="36">
        <f t="shared" si="12"/>
        <v>-14348811.492672741</v>
      </c>
      <c r="K212" s="5">
        <f t="shared" si="13"/>
        <v>-3.9641688830271998E-2</v>
      </c>
    </row>
    <row r="213" spans="1:11" x14ac:dyDescent="0.2">
      <c r="A213">
        <v>2006</v>
      </c>
      <c r="B213" s="6">
        <f>SUM(B39:B50)</f>
        <v>357086593</v>
      </c>
      <c r="C213" s="96">
        <f t="shared" si="14"/>
        <v>-4876076</v>
      </c>
      <c r="D213" s="98">
        <f t="shared" si="15"/>
        <v>-1.347121241389675E-2</v>
      </c>
      <c r="E213" s="98">
        <f>RATE(3,0,-B$210,B213)</f>
        <v>8.2837684740281109E-2</v>
      </c>
      <c r="F213" s="164"/>
      <c r="G213" s="164"/>
      <c r="H213"/>
      <c r="I213" s="6">
        <f>SUM(I39:I50)</f>
        <v>340348684.12299263</v>
      </c>
      <c r="J213" s="36">
        <f t="shared" si="12"/>
        <v>-16737908.877007365</v>
      </c>
      <c r="K213" s="5">
        <f t="shared" si="13"/>
        <v>-4.6873529292675978E-2</v>
      </c>
    </row>
    <row r="214" spans="1:11" x14ac:dyDescent="0.2">
      <c r="A214" s="16">
        <v>2007</v>
      </c>
      <c r="B214" s="6">
        <f>SUM(B51:B62)</f>
        <v>359144720</v>
      </c>
      <c r="C214" s="96">
        <f t="shared" si="14"/>
        <v>2058127</v>
      </c>
      <c r="D214" s="98">
        <f t="shared" si="15"/>
        <v>5.7636636052589068E-3</v>
      </c>
      <c r="E214" s="98">
        <f>RATE(4,0,-B$210,B214)</f>
        <v>6.3032412269245441E-2</v>
      </c>
      <c r="F214" s="164"/>
      <c r="G214" s="164"/>
      <c r="H214"/>
      <c r="I214" s="6">
        <f>SUM(I51:I62)</f>
        <v>331357928.40111005</v>
      </c>
      <c r="J214" s="36">
        <f t="shared" si="12"/>
        <v>-27786791.598889947</v>
      </c>
      <c r="K214" s="5">
        <f t="shared" si="13"/>
        <v>-7.7369344588693795E-2</v>
      </c>
    </row>
    <row r="215" spans="1:11" x14ac:dyDescent="0.2">
      <c r="A215">
        <v>2008</v>
      </c>
      <c r="B215" s="6">
        <f>SUM(B63:B74)</f>
        <v>352632150</v>
      </c>
      <c r="C215" s="96">
        <f t="shared" si="14"/>
        <v>-6512570</v>
      </c>
      <c r="D215" s="98">
        <f t="shared" si="15"/>
        <v>-1.8133553515696958E-2</v>
      </c>
      <c r="E215" s="98">
        <f>RATE(5,0,-B$210,B215)</f>
        <v>4.6279434631659205E-2</v>
      </c>
      <c r="F215" s="164"/>
      <c r="G215" s="164"/>
      <c r="H215"/>
      <c r="I215" s="6">
        <f>SUM(I63:I74)</f>
        <v>328347315.14702821</v>
      </c>
      <c r="J215" s="36">
        <f t="shared" si="12"/>
        <v>-24284834.852971792</v>
      </c>
      <c r="K215" s="5">
        <f t="shared" si="13"/>
        <v>-6.8867330596407025E-2</v>
      </c>
    </row>
    <row r="216" spans="1:11" x14ac:dyDescent="0.2">
      <c r="A216" s="16">
        <v>2009</v>
      </c>
      <c r="B216" s="6">
        <f>SUM(B75:B86)</f>
        <v>349784301</v>
      </c>
      <c r="C216" s="96">
        <f t="shared" si="14"/>
        <v>-2847849</v>
      </c>
      <c r="D216" s="98">
        <f t="shared" si="15"/>
        <v>-8.0759766232318866E-3</v>
      </c>
      <c r="E216" s="98">
        <f>RATE(6,0,-B$210,B216)</f>
        <v>3.7017636058502966E-2</v>
      </c>
      <c r="F216" s="164"/>
      <c r="G216" s="164"/>
      <c r="H216"/>
      <c r="I216" s="6">
        <f>SUM(I75:I86)</f>
        <v>349899343.38715041</v>
      </c>
      <c r="J216" s="36">
        <f t="shared" si="12"/>
        <v>115042.38715040684</v>
      </c>
      <c r="K216" s="5">
        <f t="shared" si="13"/>
        <v>3.2889522720577113E-4</v>
      </c>
    </row>
    <row r="217" spans="1:11" x14ac:dyDescent="0.2">
      <c r="A217">
        <v>2010</v>
      </c>
      <c r="B217" s="6">
        <f>SUM(B87:B98)</f>
        <v>355234224</v>
      </c>
      <c r="C217" s="96">
        <f t="shared" si="14"/>
        <v>5449923</v>
      </c>
      <c r="D217" s="98">
        <f t="shared" si="15"/>
        <v>1.5580810757999114E-2</v>
      </c>
      <c r="E217" s="98">
        <f>RATE(7,0,-B$210,B217)</f>
        <v>3.3927749416083189E-2</v>
      </c>
      <c r="F217" s="164"/>
      <c r="G217" s="164"/>
      <c r="H217"/>
      <c r="I217" s="6">
        <f>SUM(I87:I98)</f>
        <v>355661088.78107315</v>
      </c>
      <c r="J217" s="36">
        <f t="shared" si="12"/>
        <v>426864.78107315302</v>
      </c>
      <c r="K217" s="5">
        <f t="shared" si="13"/>
        <v>1.2016431757801383E-3</v>
      </c>
    </row>
    <row r="218" spans="1:11" x14ac:dyDescent="0.2">
      <c r="A218">
        <v>2011</v>
      </c>
      <c r="B218" s="6">
        <f>SUM(B99:B110)</f>
        <v>359534375</v>
      </c>
      <c r="C218" s="96">
        <f t="shared" si="14"/>
        <v>4300151</v>
      </c>
      <c r="D218" s="98">
        <f t="shared" si="15"/>
        <v>1.2105114624316153E-2</v>
      </c>
      <c r="E218" s="98">
        <f>RATE(8,0,-B$210,B218)</f>
        <v>3.117439358182483E-2</v>
      </c>
      <c r="F218" s="164"/>
      <c r="G218" s="164"/>
      <c r="H218"/>
      <c r="I218" s="6">
        <f>SUM(I99:I110)</f>
        <v>350584408.4309392</v>
      </c>
      <c r="J218" s="36">
        <f t="shared" si="12"/>
        <v>-8949966.5690608025</v>
      </c>
      <c r="K218" s="5">
        <f t="shared" si="13"/>
        <v>-2.4893215201080014E-2</v>
      </c>
    </row>
    <row r="219" spans="1:11" x14ac:dyDescent="0.2">
      <c r="A219">
        <v>2012</v>
      </c>
      <c r="B219" s="6">
        <f>SUM(B111:B122)</f>
        <v>338342507</v>
      </c>
      <c r="C219" s="96">
        <f t="shared" si="14"/>
        <v>-21191868</v>
      </c>
      <c r="D219" s="98">
        <f t="shared" si="15"/>
        <v>-5.894253644036123E-2</v>
      </c>
      <c r="E219" s="98">
        <f>RATE(9,0,-B$210,B219)</f>
        <v>2.0749635884770568E-2</v>
      </c>
      <c r="F219" s="164"/>
      <c r="G219" s="164"/>
      <c r="H219"/>
      <c r="I219" s="6">
        <f>SUM(I111:I122)</f>
        <v>349020016.36944175</v>
      </c>
      <c r="J219" s="36">
        <f t="shared" si="12"/>
        <v>10677509.369441748</v>
      </c>
      <c r="K219" s="5">
        <f t="shared" si="13"/>
        <v>3.1558285313059251E-2</v>
      </c>
    </row>
    <row r="220" spans="1:11" x14ac:dyDescent="0.2">
      <c r="A220">
        <v>2013</v>
      </c>
      <c r="B220" s="6">
        <f>SUM(B123:B134)</f>
        <v>337123668</v>
      </c>
      <c r="C220" s="96">
        <f t="shared" si="14"/>
        <v>-1218839</v>
      </c>
      <c r="D220" s="98">
        <f t="shared" si="15"/>
        <v>-3.6023821269374231E-3</v>
      </c>
      <c r="E220" s="98">
        <f>RATE(10,0,-B$210,B220)</f>
        <v>1.8287888641059839E-2</v>
      </c>
      <c r="F220" s="164"/>
      <c r="G220" s="164"/>
      <c r="H220"/>
      <c r="I220" s="6">
        <f ca="1">SUM(I123:I134)</f>
        <v>345232380.41648608</v>
      </c>
      <c r="J220" s="36">
        <f t="shared" ca="1" si="12"/>
        <v>8108712.4164860845</v>
      </c>
      <c r="K220" s="5">
        <f t="shared" ca="1" si="13"/>
        <v>2.4052634644702798E-2</v>
      </c>
    </row>
    <row r="221" spans="1:11" x14ac:dyDescent="0.2">
      <c r="A221">
        <v>2014</v>
      </c>
      <c r="B221" s="6">
        <f>SUM(B135:B146)</f>
        <v>336406114</v>
      </c>
      <c r="C221" s="96">
        <f t="shared" ref="C221" si="16">+B221-B220</f>
        <v>-717554</v>
      </c>
      <c r="D221" s="98">
        <f t="shared" ref="D221" si="17">+C221/B220</f>
        <v>-2.1284592810018902E-3</v>
      </c>
      <c r="E221" s="98">
        <f>RATE(10,0,-B$210,B221)</f>
        <v>1.8070942336539185E-2</v>
      </c>
      <c r="F221" s="92"/>
      <c r="G221" s="164"/>
      <c r="H221"/>
      <c r="I221" s="6">
        <f>SUM(I135:I146)</f>
        <v>347153810.74040604</v>
      </c>
      <c r="J221" s="36">
        <f t="shared" si="12"/>
        <v>10747696.740406036</v>
      </c>
      <c r="K221" s="5">
        <f t="shared" si="13"/>
        <v>3.1948577309168752E-2</v>
      </c>
    </row>
    <row r="222" spans="1:11" x14ac:dyDescent="0.2">
      <c r="A222">
        <v>2015</v>
      </c>
      <c r="B222" s="6">
        <f>SUM(B147:B158)</f>
        <v>333350818</v>
      </c>
      <c r="C222" s="96">
        <f t="shared" si="14"/>
        <v>-3055296</v>
      </c>
      <c r="D222" s="98">
        <f t="shared" si="15"/>
        <v>-9.0821654923905447E-3</v>
      </c>
      <c r="E222" s="98">
        <f>RATE(12,0,-B$210,B222)</f>
        <v>1.4265154656031176E-2</v>
      </c>
      <c r="F222" s="92"/>
      <c r="G222" s="164"/>
      <c r="H222"/>
      <c r="I222" s="6">
        <f>SUM(I147:I158)</f>
        <v>346785212.22151154</v>
      </c>
      <c r="J222" s="36">
        <f t="shared" si="12"/>
        <v>13434394.221511543</v>
      </c>
      <c r="K222" s="5">
        <f t="shared" si="13"/>
        <v>4.0301068712276393E-2</v>
      </c>
    </row>
    <row r="223" spans="1:11" x14ac:dyDescent="0.2">
      <c r="A223">
        <v>2016</v>
      </c>
      <c r="B223" s="6">
        <f>SUM(B159:B170)</f>
        <v>330168199</v>
      </c>
      <c r="C223" s="96">
        <f t="shared" si="14"/>
        <v>-3182619</v>
      </c>
      <c r="D223" s="98">
        <f t="shared" si="15"/>
        <v>-9.5473562029777283E-3</v>
      </c>
      <c r="E223" s="98">
        <f>RATE(13,0,-B$210,B223)</f>
        <v>1.2413270813541268E-2</v>
      </c>
      <c r="F223" s="92"/>
      <c r="G223" s="164"/>
      <c r="H223"/>
      <c r="I223" s="6">
        <f>SUM(I159:I170)</f>
        <v>341871506.5313676</v>
      </c>
      <c r="J223" s="36">
        <f t="shared" si="12"/>
        <v>11703307.5313676</v>
      </c>
      <c r="K223" s="5">
        <f t="shared" si="13"/>
        <v>3.5446501409930158E-2</v>
      </c>
    </row>
    <row r="224" spans="1:11" x14ac:dyDescent="0.2">
      <c r="A224">
        <v>2017</v>
      </c>
      <c r="B224" s="6">
        <f t="shared" ref="B224:B226" ca="1" si="18">+I224</f>
        <v>338679875.4695133</v>
      </c>
      <c r="C224" s="96">
        <f t="shared" ca="1" si="14"/>
        <v>8511676.4695132971</v>
      </c>
      <c r="D224" s="98">
        <f t="shared" ca="1" si="15"/>
        <v>2.5779819180929951E-2</v>
      </c>
      <c r="E224" s="98">
        <f ca="1">RATE(14,0,-B$210,B224)</f>
        <v>1.3362221011457861E-2</v>
      </c>
      <c r="F224" s="92"/>
      <c r="G224" s="164"/>
      <c r="H224"/>
      <c r="I224" s="6">
        <f ca="1">SUM(I171:I182)</f>
        <v>338679875.4695133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340378173.39181173</v>
      </c>
      <c r="C225" s="96">
        <f t="shared" ca="1" si="14"/>
        <v>1698297.9222984314</v>
      </c>
      <c r="D225" s="98">
        <f t="shared" ca="1" si="15"/>
        <v>5.0144636434157003E-3</v>
      </c>
      <c r="E225" s="98">
        <f ca="1">RATE(15,0,-B$210,B225)</f>
        <v>1.2803553034680297E-2</v>
      </c>
      <c r="F225" s="92"/>
      <c r="G225" s="164"/>
      <c r="H225"/>
      <c r="I225" s="6">
        <f ca="1">SUM(I183:I194)</f>
        <v>340378173.39181173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338365666.83975053</v>
      </c>
      <c r="C226" s="96">
        <f t="shared" ca="1" si="14"/>
        <v>-2012506.5520612001</v>
      </c>
      <c r="D226" s="98">
        <f t="shared" ca="1" si="15"/>
        <v>-5.9125605264488852E-3</v>
      </c>
      <c r="E226" s="98">
        <f ca="1">RATE(16,0,-B$210,B226)</f>
        <v>1.162354058824714E-2</v>
      </c>
      <c r="F226" s="92"/>
      <c r="G226" s="164"/>
      <c r="H226"/>
      <c r="I226" s="6">
        <f ca="1">SUM(I195:I206)</f>
        <v>338365666.83975053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90"/>
      <c r="D227" s="164"/>
      <c r="F227" s="164"/>
      <c r="G227" s="164"/>
      <c r="H227"/>
      <c r="J227" s="164"/>
      <c r="K227" s="164"/>
    </row>
    <row r="228" spans="1:11" x14ac:dyDescent="0.2">
      <c r="A228" t="s">
        <v>9</v>
      </c>
      <c r="B228" s="6">
        <f ca="1">SUM(B210:B226)</f>
        <v>5830070159.2010746</v>
      </c>
      <c r="C228" s="90"/>
      <c r="D228" s="164"/>
      <c r="F228" s="164"/>
      <c r="G228" s="164"/>
      <c r="H228"/>
      <c r="I228" s="6">
        <f ca="1">SUM(I210:I226)</f>
        <v>5828573320.0067959</v>
      </c>
      <c r="J228" s="168">
        <f ca="1">I228-B228</f>
        <v>-1496839.194278717</v>
      </c>
      <c r="K228" s="164"/>
    </row>
    <row r="229" spans="1:11" x14ac:dyDescent="0.2">
      <c r="C229" s="164"/>
      <c r="D229" s="164"/>
      <c r="F229" s="164"/>
      <c r="G229" s="164"/>
      <c r="H229"/>
      <c r="I229" s="164"/>
      <c r="J229" s="54"/>
      <c r="K229" s="164"/>
    </row>
    <row r="230" spans="1:11" x14ac:dyDescent="0.2">
      <c r="C230" s="164"/>
      <c r="D230" s="164"/>
      <c r="F230" s="164"/>
      <c r="G230" s="164"/>
      <c r="H230"/>
      <c r="I230" s="6">
        <f ca="1">SUM(I210:I226)</f>
        <v>5828573320.0067959</v>
      </c>
      <c r="J230" s="168">
        <f ca="1">I208-I230</f>
        <v>0</v>
      </c>
      <c r="K230" s="164"/>
    </row>
    <row r="231" spans="1:11" x14ac:dyDescent="0.2">
      <c r="C231" s="164"/>
      <c r="D231" s="164"/>
      <c r="F231" s="164"/>
      <c r="G231" s="164"/>
      <c r="H231"/>
      <c r="I231" s="23"/>
      <c r="J231" s="169" t="s">
        <v>69</v>
      </c>
      <c r="K231" s="18"/>
    </row>
    <row r="243" spans="9:11" x14ac:dyDescent="0.2">
      <c r="I243" s="11"/>
      <c r="J243" s="11"/>
      <c r="K243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5703125" style="6" bestFit="1" customWidth="1"/>
    <col min="15" max="15" width="22.85546875" style="6" bestFit="1" customWidth="1"/>
    <col min="16" max="16" width="21.85546875" style="6" bestFit="1" customWidth="1"/>
    <col min="17" max="17" width="9.7109375" style="6" bestFit="1" customWidth="1"/>
    <col min="18" max="18" width="14.7109375" bestFit="1" customWidth="1"/>
    <col min="19" max="19" width="14.28515625" bestFit="1" customWidth="1"/>
    <col min="20" max="20" width="14.7109375" bestFit="1" customWidth="1"/>
    <col min="21" max="21" width="14.2851562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64"/>
      <c r="M2" t="s">
        <v>18</v>
      </c>
      <c r="N2"/>
      <c r="O2"/>
      <c r="P2"/>
      <c r="Q2"/>
    </row>
    <row r="3" spans="1:18" ht="13.5" thickBot="1" x14ac:dyDescent="0.25">
      <c r="A3" s="453">
        <v>37622</v>
      </c>
      <c r="B3" s="454">
        <v>8229409</v>
      </c>
      <c r="C3" s="455">
        <f>+'Purchased Power Model '!C3</f>
        <v>786</v>
      </c>
      <c r="D3" s="455">
        <f>+'Purchased Power Model '!D3</f>
        <v>0</v>
      </c>
      <c r="E3" s="443">
        <f>+'Purchased Power Model '!E3</f>
        <v>5.2000000000000005E-2</v>
      </c>
      <c r="F3" s="53">
        <f>+'Purchased Power Model '!F3</f>
        <v>31</v>
      </c>
      <c r="G3" s="53">
        <f>+'Purchased Power Model '!G3</f>
        <v>0</v>
      </c>
      <c r="H3" s="17">
        <v>5</v>
      </c>
      <c r="I3" s="456">
        <f>$N$18+C3*$N$19+D3*$N$20+E3*$N$21+F3*$N$22+G3*$N$23</f>
        <v>6029375.3633827008</v>
      </c>
      <c r="J3" s="457">
        <f>I3-B3</f>
        <v>-2200033.6366172992</v>
      </c>
      <c r="K3" s="5">
        <f>J3/B3</f>
        <v>-0.26733798704345585</v>
      </c>
      <c r="M3"/>
      <c r="N3"/>
      <c r="O3"/>
      <c r="P3"/>
      <c r="Q3"/>
    </row>
    <row r="4" spans="1:18" x14ac:dyDescent="0.2">
      <c r="A4" s="453">
        <v>37653</v>
      </c>
      <c r="B4" s="454">
        <v>9779589</v>
      </c>
      <c r="C4" s="455">
        <f>+'Purchased Power Model '!C4</f>
        <v>686.5</v>
      </c>
      <c r="D4" s="455">
        <f>+'Purchased Power Model '!D4</f>
        <v>0</v>
      </c>
      <c r="E4" s="443">
        <f>+'Purchased Power Model '!E4</f>
        <v>5.2000000000000005E-2</v>
      </c>
      <c r="F4" s="53">
        <f>+'Purchased Power Model '!F4</f>
        <v>28</v>
      </c>
      <c r="G4" s="53">
        <f>+'Purchased Power Model '!G4</f>
        <v>0</v>
      </c>
      <c r="H4" s="17">
        <v>5</v>
      </c>
      <c r="I4" s="456">
        <f t="shared" ref="I4:I67" si="0">$N$18+C4*$N$19+D4*$N$20+E4*$N$21+F4*$N$22+G4*$N$23</f>
        <v>6891786.5611147229</v>
      </c>
      <c r="J4" s="457">
        <f t="shared" ref="J4:J67" si="1">I4-B4</f>
        <v>-2887802.4388852771</v>
      </c>
      <c r="K4" s="5">
        <f t="shared" ref="K4:K67" si="2">J4/B4</f>
        <v>-0.2952887323675133</v>
      </c>
      <c r="M4" s="49" t="s">
        <v>19</v>
      </c>
      <c r="N4" s="49"/>
      <c r="O4"/>
      <c r="P4"/>
      <c r="Q4"/>
    </row>
    <row r="5" spans="1:18" x14ac:dyDescent="0.2">
      <c r="A5" s="453">
        <v>37681</v>
      </c>
      <c r="B5" s="454">
        <v>7995083</v>
      </c>
      <c r="C5" s="455">
        <f>+'Purchased Power Model '!C5</f>
        <v>572.5</v>
      </c>
      <c r="D5" s="455">
        <f>+'Purchased Power Model '!D5</f>
        <v>0</v>
      </c>
      <c r="E5" s="443">
        <f>+'Purchased Power Model '!E5</f>
        <v>5.2000000000000005E-2</v>
      </c>
      <c r="F5" s="53">
        <f>+'Purchased Power Model '!F5</f>
        <v>31</v>
      </c>
      <c r="G5" s="53">
        <f>+'Purchased Power Model '!G5</f>
        <v>1</v>
      </c>
      <c r="H5" s="17">
        <v>5</v>
      </c>
      <c r="I5" s="456">
        <f t="shared" si="0"/>
        <v>5946249.5320124039</v>
      </c>
      <c r="J5" s="457">
        <f t="shared" si="1"/>
        <v>-2048833.4679875961</v>
      </c>
      <c r="K5" s="5">
        <f t="shared" si="2"/>
        <v>-0.25626168833864466</v>
      </c>
      <c r="M5" s="35" t="s">
        <v>20</v>
      </c>
      <c r="N5" s="466">
        <v>0.37273654930037053</v>
      </c>
      <c r="O5"/>
      <c r="P5"/>
      <c r="Q5"/>
    </row>
    <row r="6" spans="1:18" x14ac:dyDescent="0.2">
      <c r="A6" s="453">
        <v>37712</v>
      </c>
      <c r="B6" s="454">
        <v>6998857.7618016768</v>
      </c>
      <c r="C6" s="455">
        <f>+'Purchased Power Model '!C6</f>
        <v>403.9</v>
      </c>
      <c r="D6" s="455">
        <f>+'Purchased Power Model '!D6</f>
        <v>0</v>
      </c>
      <c r="E6" s="443">
        <f>+'Purchased Power Model '!E6</f>
        <v>5.5999999999999994E-2</v>
      </c>
      <c r="F6" s="53">
        <f>+'Purchased Power Model '!F6</f>
        <v>30</v>
      </c>
      <c r="G6" s="53">
        <f>+'Purchased Power Model '!G6</f>
        <v>1</v>
      </c>
      <c r="H6" s="17">
        <v>5</v>
      </c>
      <c r="I6" s="456">
        <f t="shared" si="0"/>
        <v>6594498.6279145069</v>
      </c>
      <c r="J6" s="457">
        <f t="shared" si="1"/>
        <v>-404359.13388716988</v>
      </c>
      <c r="K6" s="5">
        <f t="shared" si="2"/>
        <v>-5.7775018102822248E-2</v>
      </c>
      <c r="M6" s="35" t="s">
        <v>21</v>
      </c>
      <c r="N6" s="466">
        <v>0.13893253518434756</v>
      </c>
      <c r="O6"/>
      <c r="P6"/>
      <c r="Q6"/>
    </row>
    <row r="7" spans="1:18" x14ac:dyDescent="0.2">
      <c r="A7" s="453">
        <v>37742</v>
      </c>
      <c r="B7" s="454">
        <v>6912468.2381983213</v>
      </c>
      <c r="C7" s="455">
        <f>+'Purchased Power Model '!C7</f>
        <v>192</v>
      </c>
      <c r="D7" s="455">
        <f>+'Purchased Power Model '!D7</f>
        <v>0</v>
      </c>
      <c r="E7" s="443">
        <f>+'Purchased Power Model '!E7</f>
        <v>5.5999999999999994E-2</v>
      </c>
      <c r="F7" s="53">
        <f>+'Purchased Power Model '!F7</f>
        <v>31</v>
      </c>
      <c r="G7" s="53">
        <f>+'Purchased Power Model '!G7</f>
        <v>1</v>
      </c>
      <c r="H7" s="17">
        <v>5</v>
      </c>
      <c r="I7" s="456">
        <f t="shared" si="0"/>
        <v>6981731.4599953527</v>
      </c>
      <c r="J7" s="457">
        <f t="shared" si="1"/>
        <v>69263.22179703135</v>
      </c>
      <c r="K7" s="5">
        <f t="shared" si="2"/>
        <v>1.002004196045091E-2</v>
      </c>
      <c r="M7" s="35" t="s">
        <v>22</v>
      </c>
      <c r="N7" s="466">
        <v>0.11283958170508536</v>
      </c>
      <c r="O7"/>
      <c r="P7"/>
      <c r="Q7"/>
    </row>
    <row r="8" spans="1:18" x14ac:dyDescent="0.2">
      <c r="A8" s="453">
        <v>37773</v>
      </c>
      <c r="B8" s="454">
        <v>13464334</v>
      </c>
      <c r="C8" s="455">
        <f>+'Purchased Power Model '!C8</f>
        <v>55.1</v>
      </c>
      <c r="D8" s="455">
        <f>+'Purchased Power Model '!D8</f>
        <v>31</v>
      </c>
      <c r="E8" s="443">
        <f>+'Purchased Power Model '!E8</f>
        <v>5.5999999999999994E-2</v>
      </c>
      <c r="F8" s="53">
        <f>+'Purchased Power Model '!F8</f>
        <v>30</v>
      </c>
      <c r="G8" s="53">
        <f>+'Purchased Power Model '!G8</f>
        <v>0</v>
      </c>
      <c r="H8" s="17">
        <v>5</v>
      </c>
      <c r="I8" s="456">
        <f t="shared" si="0"/>
        <v>7959772.3892983207</v>
      </c>
      <c r="J8" s="457">
        <f t="shared" si="1"/>
        <v>-5504561.6107016793</v>
      </c>
      <c r="K8" s="5">
        <f t="shared" si="2"/>
        <v>-0.40882539089580511</v>
      </c>
      <c r="M8" s="35" t="s">
        <v>23</v>
      </c>
      <c r="N8" s="59">
        <v>1369056.1706525423</v>
      </c>
      <c r="O8"/>
      <c r="P8"/>
      <c r="Q8"/>
    </row>
    <row r="9" spans="1:18" ht="13.5" thickBot="1" x14ac:dyDescent="0.25">
      <c r="A9" s="453">
        <v>37803</v>
      </c>
      <c r="B9" s="454">
        <v>9650306</v>
      </c>
      <c r="C9" s="455">
        <f>+'Purchased Power Model '!C9</f>
        <v>5.7</v>
      </c>
      <c r="D9" s="455">
        <f>+'Purchased Power Model '!D9</f>
        <v>59.1</v>
      </c>
      <c r="E9" s="443">
        <f>+'Purchased Power Model '!E9</f>
        <v>5.0999999999999997E-2</v>
      </c>
      <c r="F9" s="53">
        <f>+'Purchased Power Model '!F9</f>
        <v>31</v>
      </c>
      <c r="G9" s="53">
        <f>+'Purchased Power Model '!G9</f>
        <v>0</v>
      </c>
      <c r="H9" s="17">
        <v>5</v>
      </c>
      <c r="I9" s="456">
        <f t="shared" si="0"/>
        <v>7673665.280059211</v>
      </c>
      <c r="J9" s="457">
        <f t="shared" si="1"/>
        <v>-1976640.719940789</v>
      </c>
      <c r="K9" s="5">
        <f t="shared" si="2"/>
        <v>-0.20482674020293129</v>
      </c>
      <c r="M9" s="47" t="s">
        <v>24</v>
      </c>
      <c r="N9" s="60">
        <v>171</v>
      </c>
      <c r="O9"/>
      <c r="P9"/>
      <c r="Q9"/>
    </row>
    <row r="10" spans="1:18" x14ac:dyDescent="0.2">
      <c r="A10" s="453">
        <v>37834</v>
      </c>
      <c r="B10" s="454">
        <v>8699071</v>
      </c>
      <c r="C10" s="455">
        <f>+'Purchased Power Model '!C10</f>
        <v>10.4</v>
      </c>
      <c r="D10" s="455">
        <f>+'Purchased Power Model '!D10</f>
        <v>106.5</v>
      </c>
      <c r="E10" s="443">
        <f>+'Purchased Power Model '!E10</f>
        <v>5.0999999999999997E-2</v>
      </c>
      <c r="F10" s="53">
        <f>+'Purchased Power Model '!F10</f>
        <v>31</v>
      </c>
      <c r="G10" s="53">
        <f>+'Purchased Power Model '!G10</f>
        <v>0</v>
      </c>
      <c r="H10" s="17">
        <v>5</v>
      </c>
      <c r="I10" s="456">
        <f t="shared" si="0"/>
        <v>7254089.1962201633</v>
      </c>
      <c r="J10" s="457">
        <f t="shared" si="1"/>
        <v>-1444981.8037798367</v>
      </c>
      <c r="K10" s="5">
        <f t="shared" si="2"/>
        <v>-0.16610759974022934</v>
      </c>
      <c r="M10"/>
      <c r="N10"/>
      <c r="O10"/>
      <c r="P10"/>
      <c r="Q10"/>
    </row>
    <row r="11" spans="1:18" ht="13.5" thickBot="1" x14ac:dyDescent="0.25">
      <c r="A11" s="453">
        <v>37865</v>
      </c>
      <c r="B11" s="454">
        <v>11567404</v>
      </c>
      <c r="C11" s="455">
        <f>+'Purchased Power Model '!C11</f>
        <v>55.2</v>
      </c>
      <c r="D11" s="455">
        <f>+'Purchased Power Model '!D11</f>
        <v>12.1</v>
      </c>
      <c r="E11" s="443">
        <f>+'Purchased Power Model '!E11</f>
        <v>5.0999999999999997E-2</v>
      </c>
      <c r="F11" s="53">
        <f>+'Purchased Power Model '!F11</f>
        <v>30</v>
      </c>
      <c r="G11" s="53">
        <f>+'Purchased Power Model '!G11</f>
        <v>1</v>
      </c>
      <c r="H11" s="17">
        <v>5</v>
      </c>
      <c r="I11" s="456">
        <f t="shared" si="0"/>
        <v>7465825.8698393591</v>
      </c>
      <c r="J11" s="457">
        <f t="shared" si="1"/>
        <v>-4101578.1301606409</v>
      </c>
      <c r="K11" s="5">
        <f t="shared" si="2"/>
        <v>-0.35458069331378422</v>
      </c>
      <c r="M11" t="s">
        <v>25</v>
      </c>
      <c r="N11"/>
      <c r="O11"/>
      <c r="P11"/>
      <c r="Q11"/>
    </row>
    <row r="12" spans="1:18" x14ac:dyDescent="0.2">
      <c r="A12" s="453">
        <v>37895</v>
      </c>
      <c r="B12" s="454">
        <v>4595061</v>
      </c>
      <c r="C12" s="455">
        <f>+'Purchased Power Model '!C12</f>
        <v>289.7</v>
      </c>
      <c r="D12" s="455">
        <f>+'Purchased Power Model '!D12</f>
        <v>0</v>
      </c>
      <c r="E12" s="443">
        <f>+'Purchased Power Model '!E12</f>
        <v>4.8000000000000001E-2</v>
      </c>
      <c r="F12" s="53">
        <f>+'Purchased Power Model '!F12</f>
        <v>31</v>
      </c>
      <c r="G12" s="53">
        <f>+'Purchased Power Model '!G12</f>
        <v>1</v>
      </c>
      <c r="H12" s="17">
        <v>5</v>
      </c>
      <c r="I12" s="456">
        <f t="shared" si="0"/>
        <v>6736926.4179757638</v>
      </c>
      <c r="J12" s="457">
        <f t="shared" si="1"/>
        <v>2141865.4179757638</v>
      </c>
      <c r="K12" s="5">
        <f t="shared" si="2"/>
        <v>0.46612339161020144</v>
      </c>
      <c r="M12" s="48"/>
      <c r="N12" s="48" t="s">
        <v>29</v>
      </c>
      <c r="O12" s="48" t="s">
        <v>30</v>
      </c>
      <c r="P12" s="48" t="s">
        <v>31</v>
      </c>
      <c r="Q12" s="48" t="s">
        <v>32</v>
      </c>
      <c r="R12" s="48" t="s">
        <v>33</v>
      </c>
    </row>
    <row r="13" spans="1:18" x14ac:dyDescent="0.2">
      <c r="A13" s="453">
        <v>37926</v>
      </c>
      <c r="B13" s="454">
        <v>4221034</v>
      </c>
      <c r="C13" s="455">
        <f>+'Purchased Power Model '!C13</f>
        <v>387.6</v>
      </c>
      <c r="D13" s="455">
        <f>+'Purchased Power Model '!D13</f>
        <v>0</v>
      </c>
      <c r="E13" s="443">
        <f>+'Purchased Power Model '!E13</f>
        <v>4.8000000000000001E-2</v>
      </c>
      <c r="F13" s="53">
        <f>+'Purchased Power Model '!F13</f>
        <v>30</v>
      </c>
      <c r="G13" s="53">
        <f>+'Purchased Power Model '!G13</f>
        <v>1</v>
      </c>
      <c r="H13" s="17">
        <v>5</v>
      </c>
      <c r="I13" s="456">
        <f t="shared" si="0"/>
        <v>6663551.7266907562</v>
      </c>
      <c r="J13" s="457">
        <f t="shared" si="1"/>
        <v>2442517.7266907562</v>
      </c>
      <c r="K13" s="5">
        <f t="shared" si="2"/>
        <v>0.5786538859177055</v>
      </c>
      <c r="M13" s="35" t="s">
        <v>26</v>
      </c>
      <c r="N13" s="59">
        <v>5</v>
      </c>
      <c r="O13" s="59">
        <v>49899162791682.75</v>
      </c>
      <c r="P13" s="59">
        <v>9979832558336.5508</v>
      </c>
      <c r="Q13" s="59">
        <v>5.3245231627292213</v>
      </c>
      <c r="R13" s="59">
        <v>1.4554438024003214E-4</v>
      </c>
    </row>
    <row r="14" spans="1:18" x14ac:dyDescent="0.2">
      <c r="A14" s="453">
        <v>37956</v>
      </c>
      <c r="B14" s="454">
        <v>4059474</v>
      </c>
      <c r="C14" s="455">
        <f>+'Purchased Power Model '!C14</f>
        <v>548.20000000000005</v>
      </c>
      <c r="D14" s="455">
        <f>+'Purchased Power Model '!D14</f>
        <v>0</v>
      </c>
      <c r="E14" s="443">
        <f>+'Purchased Power Model '!E14</f>
        <v>4.8000000000000001E-2</v>
      </c>
      <c r="F14" s="53">
        <f>+'Purchased Power Model '!F14</f>
        <v>31</v>
      </c>
      <c r="G14" s="53">
        <f>+'Purchased Power Model '!G14</f>
        <v>0</v>
      </c>
      <c r="H14" s="17">
        <v>5</v>
      </c>
      <c r="I14" s="456">
        <f t="shared" si="0"/>
        <v>6696160.8779792823</v>
      </c>
      <c r="J14" s="457">
        <f t="shared" si="1"/>
        <v>2636686.8779792823</v>
      </c>
      <c r="K14" s="5">
        <f t="shared" si="2"/>
        <v>0.64951441442395796</v>
      </c>
      <c r="M14" s="35" t="s">
        <v>27</v>
      </c>
      <c r="N14" s="59">
        <v>165</v>
      </c>
      <c r="O14" s="59">
        <v>309261941736297.5</v>
      </c>
      <c r="P14" s="59">
        <v>1874314798401.803</v>
      </c>
      <c r="Q14" s="59"/>
      <c r="R14" s="59"/>
    </row>
    <row r="15" spans="1:18" ht="13.5" thickBot="1" x14ac:dyDescent="0.25">
      <c r="A15" s="453">
        <v>37987</v>
      </c>
      <c r="B15" s="454">
        <v>3965865</v>
      </c>
      <c r="C15" s="455">
        <f>+'Purchased Power Model '!C15</f>
        <v>828.8</v>
      </c>
      <c r="D15" s="455">
        <f>+'Purchased Power Model '!D15</f>
        <v>0</v>
      </c>
      <c r="E15" s="443">
        <f>+'Purchased Power Model '!E15</f>
        <v>5.0999999999999997E-2</v>
      </c>
      <c r="F15" s="53">
        <f>+'Purchased Power Model '!F15</f>
        <v>31</v>
      </c>
      <c r="G15" s="53">
        <f>+'Purchased Power Model '!G15</f>
        <v>0</v>
      </c>
      <c r="H15" s="17">
        <v>5</v>
      </c>
      <c r="I15" s="456">
        <f t="shared" si="0"/>
        <v>5914563.014870666</v>
      </c>
      <c r="J15" s="457">
        <f t="shared" si="1"/>
        <v>1948698.014870666</v>
      </c>
      <c r="K15" s="5">
        <f t="shared" si="2"/>
        <v>0.49136771293795073</v>
      </c>
      <c r="M15" s="47" t="s">
        <v>9</v>
      </c>
      <c r="N15" s="60">
        <v>170</v>
      </c>
      <c r="O15" s="60">
        <v>359161104527980.25</v>
      </c>
      <c r="P15" s="60"/>
      <c r="Q15" s="60"/>
      <c r="R15" s="60"/>
    </row>
    <row r="16" spans="1:18" ht="13.5" thickBot="1" x14ac:dyDescent="0.25">
      <c r="A16" s="453">
        <v>38018</v>
      </c>
      <c r="B16" s="454">
        <v>4712592</v>
      </c>
      <c r="C16" s="455">
        <f>+'Purchased Power Model '!C16</f>
        <v>615.6</v>
      </c>
      <c r="D16" s="455">
        <f>+'Purchased Power Model '!D16</f>
        <v>0</v>
      </c>
      <c r="E16" s="443">
        <f>+'Purchased Power Model '!E16</f>
        <v>5.0999999999999997E-2</v>
      </c>
      <c r="F16" s="53">
        <f>+'Purchased Power Model '!F16</f>
        <v>29</v>
      </c>
      <c r="G16" s="53">
        <f>+'Purchased Power Model '!G16</f>
        <v>0</v>
      </c>
      <c r="H16" s="17">
        <v>5</v>
      </c>
      <c r="I16" s="456">
        <f t="shared" si="0"/>
        <v>6893848.540945366</v>
      </c>
      <c r="J16" s="457">
        <f t="shared" si="1"/>
        <v>2181256.540945366</v>
      </c>
      <c r="K16" s="5">
        <f t="shared" si="2"/>
        <v>0.46285707333572818</v>
      </c>
      <c r="M16"/>
      <c r="N16"/>
      <c r="O16"/>
      <c r="P16"/>
      <c r="Q16"/>
    </row>
    <row r="17" spans="1:21" x14ac:dyDescent="0.2">
      <c r="A17" s="453">
        <v>38047</v>
      </c>
      <c r="B17" s="454">
        <v>4424709</v>
      </c>
      <c r="C17" s="455">
        <f>+'Purchased Power Model '!C17</f>
        <v>487.1</v>
      </c>
      <c r="D17" s="455">
        <f>+'Purchased Power Model '!D17</f>
        <v>0</v>
      </c>
      <c r="E17" s="443">
        <f>+'Purchased Power Model '!E17</f>
        <v>5.0999999999999997E-2</v>
      </c>
      <c r="F17" s="53">
        <f>+'Purchased Power Model '!F17</f>
        <v>31</v>
      </c>
      <c r="G17" s="53">
        <f>+'Purchased Power Model '!G17</f>
        <v>1</v>
      </c>
      <c r="H17" s="17">
        <v>5</v>
      </c>
      <c r="I17" s="456">
        <f t="shared" si="0"/>
        <v>6184389.9348163912</v>
      </c>
      <c r="J17" s="457">
        <f t="shared" si="1"/>
        <v>1759680.9348163912</v>
      </c>
      <c r="K17" s="5">
        <f t="shared" si="2"/>
        <v>0.39769416131465168</v>
      </c>
      <c r="M17" s="48"/>
      <c r="N17" s="48" t="s">
        <v>34</v>
      </c>
      <c r="O17" s="48" t="s">
        <v>23</v>
      </c>
      <c r="P17" s="48" t="s">
        <v>35</v>
      </c>
      <c r="Q17" s="48" t="s">
        <v>36</v>
      </c>
      <c r="R17" s="48" t="s">
        <v>37</v>
      </c>
      <c r="S17" s="48" t="s">
        <v>38</v>
      </c>
      <c r="T17" s="48" t="s">
        <v>39</v>
      </c>
      <c r="U17" s="48" t="s">
        <v>40</v>
      </c>
    </row>
    <row r="18" spans="1:21" x14ac:dyDescent="0.2">
      <c r="A18" s="453">
        <v>38078</v>
      </c>
      <c r="B18" s="454">
        <v>4715043</v>
      </c>
      <c r="C18" s="455">
        <f>+'Purchased Power Model '!C18</f>
        <v>345</v>
      </c>
      <c r="D18" s="455">
        <f>+'Purchased Power Model '!D18</f>
        <v>0</v>
      </c>
      <c r="E18" s="443">
        <f>+'Purchased Power Model '!E18</f>
        <v>5.2999999999999999E-2</v>
      </c>
      <c r="F18" s="53">
        <f>+'Purchased Power Model '!F18</f>
        <v>30</v>
      </c>
      <c r="G18" s="53">
        <f>+'Purchased Power Model '!G18</f>
        <v>1</v>
      </c>
      <c r="H18" s="17">
        <v>5</v>
      </c>
      <c r="I18" s="456">
        <f t="shared" si="0"/>
        <v>6765725.0014227964</v>
      </c>
      <c r="J18" s="457">
        <f t="shared" si="1"/>
        <v>2050682.0014227964</v>
      </c>
      <c r="K18" s="5">
        <f t="shared" si="2"/>
        <v>0.43492328732162067</v>
      </c>
      <c r="M18" s="35" t="s">
        <v>28</v>
      </c>
      <c r="N18" s="59">
        <v>14431388.41023778</v>
      </c>
      <c r="O18" s="59">
        <v>4065987.8931562584</v>
      </c>
      <c r="P18" s="59">
        <v>3.5492944862251643</v>
      </c>
      <c r="Q18" s="59">
        <v>5.0334217317266766E-4</v>
      </c>
      <c r="R18" s="59">
        <v>6403316.3825868741</v>
      </c>
      <c r="S18" s="59">
        <v>22459460.437888686</v>
      </c>
      <c r="T18" s="59">
        <v>6403316.3825868741</v>
      </c>
      <c r="U18" s="59">
        <v>22459460.437888686</v>
      </c>
    </row>
    <row r="19" spans="1:21" x14ac:dyDescent="0.2">
      <c r="A19" s="453">
        <v>38108</v>
      </c>
      <c r="B19" s="454">
        <v>4535525</v>
      </c>
      <c r="C19" s="455">
        <f>+'Purchased Power Model '!C19</f>
        <v>177.5</v>
      </c>
      <c r="D19" s="455">
        <f>+'Purchased Power Model '!D19</f>
        <v>0</v>
      </c>
      <c r="E19" s="443">
        <f>+'Purchased Power Model '!E19</f>
        <v>5.2999999999999999E-2</v>
      </c>
      <c r="F19" s="53">
        <f>+'Purchased Power Model '!F19</f>
        <v>31</v>
      </c>
      <c r="G19" s="53">
        <f>+'Purchased Power Model '!G19</f>
        <v>1</v>
      </c>
      <c r="H19" s="17">
        <v>5</v>
      </c>
      <c r="I19" s="456">
        <f t="shared" si="0"/>
        <v>7030718.3470884217</v>
      </c>
      <c r="J19" s="457">
        <f t="shared" si="1"/>
        <v>2495193.3470884217</v>
      </c>
      <c r="K19" s="5">
        <f t="shared" si="2"/>
        <v>0.55014432664099999</v>
      </c>
      <c r="M19" s="35" t="s">
        <v>3</v>
      </c>
      <c r="N19" s="59">
        <v>-2753.1415859284034</v>
      </c>
      <c r="O19" s="59">
        <v>632.12903311167531</v>
      </c>
      <c r="P19" s="59">
        <v>-4.3553474713477032</v>
      </c>
      <c r="Q19" s="59">
        <v>2.3260017636007317E-5</v>
      </c>
      <c r="R19" s="59">
        <v>-4001.2459930102732</v>
      </c>
      <c r="S19" s="59">
        <v>-1505.0371788465334</v>
      </c>
      <c r="T19" s="59">
        <v>-4001.2459930102732</v>
      </c>
      <c r="U19" s="59">
        <v>-1505.0371788465334</v>
      </c>
    </row>
    <row r="20" spans="1:21" x14ac:dyDescent="0.2">
      <c r="A20" s="453">
        <v>38139</v>
      </c>
      <c r="B20" s="454">
        <v>4710606</v>
      </c>
      <c r="C20" s="455">
        <f>+'Purchased Power Model '!C20</f>
        <v>73.2</v>
      </c>
      <c r="D20" s="455">
        <f>+'Purchased Power Model '!D20</f>
        <v>15.6</v>
      </c>
      <c r="E20" s="443">
        <f>+'Purchased Power Model '!E20</f>
        <v>5.2999999999999999E-2</v>
      </c>
      <c r="F20" s="53">
        <f>+'Purchased Power Model '!F20</f>
        <v>30</v>
      </c>
      <c r="G20" s="53">
        <f>+'Purchased Power Model '!G20</f>
        <v>0</v>
      </c>
      <c r="H20" s="17">
        <v>6</v>
      </c>
      <c r="I20" s="456">
        <f t="shared" si="0"/>
        <v>8051120.7700388944</v>
      </c>
      <c r="J20" s="457">
        <f t="shared" si="1"/>
        <v>3340514.7700388944</v>
      </c>
      <c r="K20" s="5">
        <f t="shared" si="2"/>
        <v>0.70914756403717361</v>
      </c>
      <c r="M20" s="35" t="s">
        <v>4</v>
      </c>
      <c r="N20" s="59">
        <v>-8578.8252823878793</v>
      </c>
      <c r="O20" s="59">
        <v>4868.0468410868789</v>
      </c>
      <c r="P20" s="59">
        <v>-1.7622725422404732</v>
      </c>
      <c r="Q20" s="59">
        <v>7.9874930545946882E-2</v>
      </c>
      <c r="R20" s="59">
        <v>-18190.519094856892</v>
      </c>
      <c r="S20" s="59">
        <v>1032.8685300811339</v>
      </c>
      <c r="T20" s="59">
        <v>-18190.519094856892</v>
      </c>
      <c r="U20" s="59">
        <v>1032.8685300811339</v>
      </c>
    </row>
    <row r="21" spans="1:21" x14ac:dyDescent="0.2">
      <c r="A21" s="453">
        <v>38169</v>
      </c>
      <c r="B21" s="454">
        <v>4855687</v>
      </c>
      <c r="C21" s="455">
        <f>+'Purchased Power Model '!C21</f>
        <v>2</v>
      </c>
      <c r="D21" s="455">
        <f>+'Purchased Power Model '!D21</f>
        <v>69.3</v>
      </c>
      <c r="E21" s="443">
        <f>+'Purchased Power Model '!E21</f>
        <v>5.2999999999999999E-2</v>
      </c>
      <c r="F21" s="53">
        <f>+'Purchased Power Model '!F21</f>
        <v>31</v>
      </c>
      <c r="G21" s="53">
        <f>+'Purchased Power Model '!G21</f>
        <v>0</v>
      </c>
      <c r="H21" s="17">
        <v>6</v>
      </c>
      <c r="I21" s="456">
        <f t="shared" si="0"/>
        <v>7590303.6633153856</v>
      </c>
      <c r="J21" s="457">
        <f t="shared" si="1"/>
        <v>2734616.6633153856</v>
      </c>
      <c r="K21" s="5">
        <f t="shared" si="2"/>
        <v>0.56317811739417833</v>
      </c>
      <c r="M21" s="35" t="s">
        <v>217</v>
      </c>
      <c r="N21" s="59">
        <v>-3022111.3657020708</v>
      </c>
      <c r="O21" s="59">
        <v>7326569.0570803378</v>
      </c>
      <c r="P21" s="59">
        <v>-0.41248657347759882</v>
      </c>
      <c r="Q21" s="59">
        <v>0.68051826902732793</v>
      </c>
      <c r="R21" s="59">
        <v>-17488023.62402441</v>
      </c>
      <c r="S21" s="59">
        <v>11443800.892620267</v>
      </c>
      <c r="T21" s="59">
        <v>-17488023.62402441</v>
      </c>
      <c r="U21" s="59">
        <v>11443800.892620267</v>
      </c>
    </row>
    <row r="22" spans="1:21" x14ac:dyDescent="0.2">
      <c r="A22" s="453">
        <v>38200</v>
      </c>
      <c r="B22" s="454">
        <v>7779324</v>
      </c>
      <c r="C22" s="455">
        <f>+'Purchased Power Model '!C22</f>
        <v>19.600000000000001</v>
      </c>
      <c r="D22" s="455">
        <f>+'Purchased Power Model '!D22</f>
        <v>53.6</v>
      </c>
      <c r="E22" s="443">
        <f>+'Purchased Power Model '!E22</f>
        <v>5.2999999999999999E-2</v>
      </c>
      <c r="F22" s="53">
        <f>+'Purchased Power Model '!F22</f>
        <v>31</v>
      </c>
      <c r="G22" s="53">
        <f>+'Purchased Power Model '!G22</f>
        <v>0</v>
      </c>
      <c r="H22" s="17">
        <v>6</v>
      </c>
      <c r="I22" s="456">
        <f t="shared" si="0"/>
        <v>7676535.9283365365</v>
      </c>
      <c r="J22" s="457">
        <f t="shared" si="1"/>
        <v>-102788.07166346349</v>
      </c>
      <c r="K22" s="5">
        <f t="shared" si="2"/>
        <v>-1.3212982472958252E-2</v>
      </c>
      <c r="M22" s="35" t="s">
        <v>5</v>
      </c>
      <c r="N22" s="59">
        <v>-196157.86997738216</v>
      </c>
      <c r="O22" s="59">
        <v>132862.16766224429</v>
      </c>
      <c r="P22" s="59">
        <v>-1.4764012467118941</v>
      </c>
      <c r="Q22" s="59">
        <v>0.14174214407685526</v>
      </c>
      <c r="R22" s="59">
        <v>-458486.9963227018</v>
      </c>
      <c r="S22" s="59">
        <v>66171.256367937458</v>
      </c>
      <c r="T22" s="59">
        <v>-458486.9963227018</v>
      </c>
      <c r="U22" s="59">
        <v>66171.256367937458</v>
      </c>
    </row>
    <row r="23" spans="1:21" ht="13.5" thickBot="1" x14ac:dyDescent="0.25">
      <c r="A23" s="453">
        <v>38231</v>
      </c>
      <c r="B23" s="454">
        <v>7343101</v>
      </c>
      <c r="C23" s="455">
        <f>+'Purchased Power Model '!C23</f>
        <v>41.7</v>
      </c>
      <c r="D23" s="455">
        <f>+'Purchased Power Model '!D23</f>
        <v>26.7</v>
      </c>
      <c r="E23" s="443">
        <f>+'Purchased Power Model '!E23</f>
        <v>5.2999999999999999E-2</v>
      </c>
      <c r="F23" s="53">
        <f>+'Purchased Power Model '!F23</f>
        <v>30</v>
      </c>
      <c r="G23" s="53">
        <f>+'Purchased Power Model '!G23</f>
        <v>1</v>
      </c>
      <c r="H23" s="17">
        <v>6</v>
      </c>
      <c r="I23" s="456">
        <f t="shared" si="0"/>
        <v>7371698.2093951236</v>
      </c>
      <c r="J23" s="457">
        <f t="shared" si="1"/>
        <v>28597.209395123646</v>
      </c>
      <c r="K23" s="5">
        <f t="shared" si="2"/>
        <v>3.8944322562257617E-3</v>
      </c>
      <c r="M23" s="47" t="s">
        <v>17</v>
      </c>
      <c r="N23" s="60">
        <v>-670921.55996601039</v>
      </c>
      <c r="O23" s="60">
        <v>267179.19168825768</v>
      </c>
      <c r="P23" s="60">
        <v>-2.5111295371715765</v>
      </c>
      <c r="Q23" s="60">
        <v>1.2996416163062031E-2</v>
      </c>
      <c r="R23" s="60">
        <v>-1198452.3474465057</v>
      </c>
      <c r="S23" s="60">
        <v>-143390.7724855151</v>
      </c>
      <c r="T23" s="60">
        <v>-1198452.3474465057</v>
      </c>
      <c r="U23" s="60">
        <v>-143390.7724855151</v>
      </c>
    </row>
    <row r="24" spans="1:21" x14ac:dyDescent="0.2">
      <c r="A24" s="453">
        <v>38261</v>
      </c>
      <c r="B24" s="454">
        <v>3756788</v>
      </c>
      <c r="C24" s="455">
        <f>+'Purchased Power Model '!C24</f>
        <v>235</v>
      </c>
      <c r="D24" s="455">
        <f>+'Purchased Power Model '!D24</f>
        <v>0</v>
      </c>
      <c r="E24" s="443">
        <f>+'Purchased Power Model '!E24</f>
        <v>5.7999999999999996E-2</v>
      </c>
      <c r="F24" s="53">
        <f>+'Purchased Power Model '!F24</f>
        <v>31</v>
      </c>
      <c r="G24" s="53">
        <f>+'Purchased Power Model '!G24</f>
        <v>1</v>
      </c>
      <c r="H24" s="17">
        <v>6</v>
      </c>
      <c r="I24" s="456">
        <f t="shared" si="0"/>
        <v>6857302.1490690289</v>
      </c>
      <c r="J24" s="457">
        <f t="shared" si="1"/>
        <v>3100514.1490690289</v>
      </c>
      <c r="K24" s="5">
        <f t="shared" si="2"/>
        <v>0.82530985221125841</v>
      </c>
      <c r="M24"/>
      <c r="N24"/>
      <c r="O24"/>
      <c r="P24"/>
      <c r="Q24"/>
    </row>
    <row r="25" spans="1:21" x14ac:dyDescent="0.2">
      <c r="A25" s="453">
        <v>38292</v>
      </c>
      <c r="B25" s="454">
        <v>8659336</v>
      </c>
      <c r="C25" s="455">
        <f>+'Purchased Power Model '!C25</f>
        <v>385.7</v>
      </c>
      <c r="D25" s="455">
        <f>+'Purchased Power Model '!D25</f>
        <v>0</v>
      </c>
      <c r="E25" s="443">
        <f>+'Purchased Power Model '!E25</f>
        <v>5.7999999999999996E-2</v>
      </c>
      <c r="F25" s="53">
        <f>+'Purchased Power Model '!F25</f>
        <v>30</v>
      </c>
      <c r="G25" s="53">
        <f>+'Purchased Power Model '!G25</f>
        <v>1</v>
      </c>
      <c r="H25" s="17">
        <v>7</v>
      </c>
      <c r="I25" s="456">
        <f t="shared" si="0"/>
        <v>6638561.5820470005</v>
      </c>
      <c r="J25" s="457">
        <f t="shared" si="1"/>
        <v>-2020774.4179529995</v>
      </c>
      <c r="K25" s="5">
        <f t="shared" si="2"/>
        <v>-0.23336366875624176</v>
      </c>
      <c r="M25"/>
      <c r="N25"/>
      <c r="O25"/>
      <c r="P25"/>
      <c r="Q25"/>
    </row>
    <row r="26" spans="1:21" x14ac:dyDescent="0.2">
      <c r="A26" s="453">
        <v>38322</v>
      </c>
      <c r="B26" s="454">
        <v>6217492</v>
      </c>
      <c r="C26" s="455">
        <f>+'Purchased Power Model '!C26</f>
        <v>627.5</v>
      </c>
      <c r="D26" s="455">
        <f>+'Purchased Power Model '!D26</f>
        <v>0</v>
      </c>
      <c r="E26" s="443">
        <f>+'Purchased Power Model '!E26</f>
        <v>5.7999999999999996E-2</v>
      </c>
      <c r="F26" s="53">
        <f>+'Purchased Power Model '!F26</f>
        <v>31</v>
      </c>
      <c r="G26" s="53">
        <f>+'Purchased Power Model '!G26</f>
        <v>0</v>
      </c>
      <c r="H26" s="17">
        <v>7</v>
      </c>
      <c r="I26" s="456">
        <f t="shared" si="0"/>
        <v>6447615.6365581397</v>
      </c>
      <c r="J26" s="457">
        <f t="shared" si="1"/>
        <v>230123.6365581397</v>
      </c>
      <c r="K26" s="5">
        <f t="shared" si="2"/>
        <v>3.7012293149414538E-2</v>
      </c>
      <c r="M26"/>
      <c r="N26"/>
      <c r="O26"/>
      <c r="P26"/>
      <c r="Q26"/>
    </row>
    <row r="27" spans="1:21" x14ac:dyDescent="0.2">
      <c r="A27" s="453">
        <v>38353</v>
      </c>
      <c r="B27" s="454">
        <v>6020518</v>
      </c>
      <c r="C27" s="455">
        <f>+'Purchased Power Model '!C27</f>
        <v>745.5</v>
      </c>
      <c r="D27" s="455">
        <f>+'Purchased Power Model '!D27</f>
        <v>0</v>
      </c>
      <c r="E27" s="443">
        <f>+'Purchased Power Model '!E27</f>
        <v>7.2000000000000008E-2</v>
      </c>
      <c r="F27" s="53">
        <f>+'Purchased Power Model '!F27</f>
        <v>31</v>
      </c>
      <c r="G27" s="53">
        <f>+'Purchased Power Model '!G27</f>
        <v>0</v>
      </c>
      <c r="H27" s="17">
        <v>7</v>
      </c>
      <c r="I27" s="456">
        <f t="shared" si="0"/>
        <v>6080435.3702987581</v>
      </c>
      <c r="J27" s="457">
        <f t="shared" si="1"/>
        <v>59917.370298758149</v>
      </c>
      <c r="K27" s="5">
        <f t="shared" si="2"/>
        <v>9.9521951929648165E-3</v>
      </c>
      <c r="M27"/>
      <c r="N27"/>
      <c r="O27"/>
      <c r="P27"/>
      <c r="Q27"/>
    </row>
    <row r="28" spans="1:21" x14ac:dyDescent="0.2">
      <c r="A28" s="453">
        <v>38384</v>
      </c>
      <c r="B28" s="454">
        <v>5932546</v>
      </c>
      <c r="C28" s="455">
        <f>+'Purchased Power Model '!C28</f>
        <v>589.5</v>
      </c>
      <c r="D28" s="455">
        <f>+'Purchased Power Model '!D28</f>
        <v>0</v>
      </c>
      <c r="E28" s="443">
        <f>+'Purchased Power Model '!E28</f>
        <v>7.2000000000000008E-2</v>
      </c>
      <c r="F28" s="53">
        <f>+'Purchased Power Model '!F28</f>
        <v>28</v>
      </c>
      <c r="G28" s="53">
        <f>+'Purchased Power Model '!G28</f>
        <v>0</v>
      </c>
      <c r="H28" s="17">
        <v>7</v>
      </c>
      <c r="I28" s="456">
        <f t="shared" si="0"/>
        <v>7098399.0676357355</v>
      </c>
      <c r="J28" s="457">
        <f t="shared" si="1"/>
        <v>1165853.0676357355</v>
      </c>
      <c r="K28" s="5">
        <f t="shared" si="2"/>
        <v>0.19651816734935312</v>
      </c>
    </row>
    <row r="29" spans="1:21" x14ac:dyDescent="0.2">
      <c r="A29" s="453">
        <v>38412</v>
      </c>
      <c r="B29" s="454">
        <v>5206627</v>
      </c>
      <c r="C29" s="455">
        <f>+'Purchased Power Model '!C29</f>
        <v>578.29999999999995</v>
      </c>
      <c r="D29" s="455">
        <f>+'Purchased Power Model '!D29</f>
        <v>0</v>
      </c>
      <c r="E29" s="443">
        <f>+'Purchased Power Model '!E29</f>
        <v>7.2000000000000008E-2</v>
      </c>
      <c r="F29" s="53">
        <f>+'Purchased Power Model '!F29</f>
        <v>31</v>
      </c>
      <c r="G29" s="53">
        <f>+'Purchased Power Model '!G29</f>
        <v>1</v>
      </c>
      <c r="H29" s="17">
        <v>7</v>
      </c>
      <c r="I29" s="456">
        <f t="shared" si="0"/>
        <v>5869839.0834999764</v>
      </c>
      <c r="J29" s="457">
        <f t="shared" si="1"/>
        <v>663212.08349997643</v>
      </c>
      <c r="K29" s="5">
        <f t="shared" si="2"/>
        <v>0.12737845125068042</v>
      </c>
    </row>
    <row r="30" spans="1:21" x14ac:dyDescent="0.2">
      <c r="A30" s="453">
        <v>38443</v>
      </c>
      <c r="B30" s="454">
        <v>5609943</v>
      </c>
      <c r="C30" s="455">
        <f>+'Purchased Power Model '!C30</f>
        <v>325.3</v>
      </c>
      <c r="D30" s="455">
        <f>+'Purchased Power Model '!D30</f>
        <v>0</v>
      </c>
      <c r="E30" s="443">
        <f>+'Purchased Power Model '!E30</f>
        <v>6.3E-2</v>
      </c>
      <c r="F30" s="53">
        <f>+'Purchased Power Model '!F30</f>
        <v>30</v>
      </c>
      <c r="G30" s="53">
        <f>+'Purchased Power Model '!G30</f>
        <v>1</v>
      </c>
      <c r="H30" s="17">
        <v>7</v>
      </c>
      <c r="I30" s="456">
        <f t="shared" si="0"/>
        <v>6789740.7770085651</v>
      </c>
      <c r="J30" s="457">
        <f t="shared" si="1"/>
        <v>1179797.7770085651</v>
      </c>
      <c r="K30" s="5">
        <f t="shared" si="2"/>
        <v>0.2103047708343142</v>
      </c>
    </row>
    <row r="31" spans="1:21" x14ac:dyDescent="0.2">
      <c r="A31" s="453">
        <v>38473</v>
      </c>
      <c r="B31" s="454">
        <v>5261262</v>
      </c>
      <c r="C31" s="455">
        <f>+'Purchased Power Model '!C31</f>
        <v>216.1</v>
      </c>
      <c r="D31" s="455">
        <f>+'Purchased Power Model '!D31</f>
        <v>0.3</v>
      </c>
      <c r="E31" s="443">
        <f>+'Purchased Power Model '!E31</f>
        <v>6.3E-2</v>
      </c>
      <c r="F31" s="53">
        <f>+'Purchased Power Model '!F31</f>
        <v>31</v>
      </c>
      <c r="G31" s="53">
        <f>+'Purchased Power Model '!G31</f>
        <v>1</v>
      </c>
      <c r="H31" s="17">
        <v>7</v>
      </c>
      <c r="I31" s="456">
        <f t="shared" si="0"/>
        <v>6891652.3206298491</v>
      </c>
      <c r="J31" s="457">
        <f t="shared" si="1"/>
        <v>1630390.3206298491</v>
      </c>
      <c r="K31" s="5">
        <f t="shared" si="2"/>
        <v>0.30988578797821686</v>
      </c>
    </row>
    <row r="32" spans="1:21" x14ac:dyDescent="0.2">
      <c r="A32" s="453">
        <v>38504</v>
      </c>
      <c r="B32" s="454">
        <v>5408132</v>
      </c>
      <c r="C32" s="455">
        <f>+'Purchased Power Model '!C32</f>
        <v>13.7</v>
      </c>
      <c r="D32" s="455">
        <f>+'Purchased Power Model '!D32</f>
        <v>89.9</v>
      </c>
      <c r="E32" s="443">
        <f>+'Purchased Power Model '!E32</f>
        <v>6.3E-2</v>
      </c>
      <c r="F32" s="53">
        <f>+'Purchased Power Model '!F32</f>
        <v>30</v>
      </c>
      <c r="G32" s="53">
        <f>+'Purchased Power Model '!G32</f>
        <v>0</v>
      </c>
      <c r="H32" s="17">
        <v>7</v>
      </c>
      <c r="I32" s="456">
        <f t="shared" si="0"/>
        <v>7547304.8622631961</v>
      </c>
      <c r="J32" s="457">
        <f t="shared" si="1"/>
        <v>2139172.8622631961</v>
      </c>
      <c r="K32" s="5">
        <f t="shared" si="2"/>
        <v>0.39554745747019415</v>
      </c>
    </row>
    <row r="33" spans="1:11" x14ac:dyDescent="0.2">
      <c r="A33" s="453">
        <v>38534</v>
      </c>
      <c r="B33" s="454">
        <v>6003912</v>
      </c>
      <c r="C33" s="455">
        <f>+'Purchased Power Model '!C33</f>
        <v>2.2000000000000002</v>
      </c>
      <c r="D33" s="455">
        <f>+'Purchased Power Model '!D33</f>
        <v>153</v>
      </c>
      <c r="E33" s="443">
        <f>+'Purchased Power Model '!E33</f>
        <v>5.7000000000000002E-2</v>
      </c>
      <c r="F33" s="53">
        <f>+'Purchased Power Model '!F33</f>
        <v>31</v>
      </c>
      <c r="G33" s="53">
        <f>+'Purchased Power Model '!G33</f>
        <v>0</v>
      </c>
      <c r="H33" s="17">
        <v>7</v>
      </c>
      <c r="I33" s="456">
        <f t="shared" si="0"/>
        <v>6859616.913399525</v>
      </c>
      <c r="J33" s="457">
        <f t="shared" si="1"/>
        <v>855704.91339952499</v>
      </c>
      <c r="K33" s="5">
        <f t="shared" si="2"/>
        <v>0.14252455955375845</v>
      </c>
    </row>
    <row r="34" spans="1:11" x14ac:dyDescent="0.2">
      <c r="A34" s="453">
        <v>38565</v>
      </c>
      <c r="B34" s="454">
        <v>4771393</v>
      </c>
      <c r="C34" s="455">
        <f>+'Purchased Power Model '!C34</f>
        <v>0</v>
      </c>
      <c r="D34" s="455">
        <f>+'Purchased Power Model '!D34</f>
        <v>108</v>
      </c>
      <c r="E34" s="443">
        <f>+'Purchased Power Model '!E34</f>
        <v>5.7000000000000002E-2</v>
      </c>
      <c r="F34" s="53">
        <f>+'Purchased Power Model '!F34</f>
        <v>31</v>
      </c>
      <c r="G34" s="53">
        <f>+'Purchased Power Model '!G34</f>
        <v>0</v>
      </c>
      <c r="H34" s="17">
        <v>7</v>
      </c>
      <c r="I34" s="456">
        <f t="shared" si="0"/>
        <v>7251720.9625960235</v>
      </c>
      <c r="J34" s="457">
        <f t="shared" si="1"/>
        <v>2480327.9625960235</v>
      </c>
      <c r="K34" s="5">
        <f t="shared" si="2"/>
        <v>0.5198330891201004</v>
      </c>
    </row>
    <row r="35" spans="1:11" x14ac:dyDescent="0.2">
      <c r="A35" s="453">
        <v>38596</v>
      </c>
      <c r="B35" s="454">
        <v>4712005</v>
      </c>
      <c r="C35" s="455">
        <f>+'Purchased Power Model '!C35</f>
        <v>36.700000000000003</v>
      </c>
      <c r="D35" s="455">
        <f>+'Purchased Power Model '!D35</f>
        <v>32.799999999999997</v>
      </c>
      <c r="E35" s="443">
        <f>+'Purchased Power Model '!E35</f>
        <v>5.7000000000000002E-2</v>
      </c>
      <c r="F35" s="53">
        <f>+'Purchased Power Model '!F35</f>
        <v>30</v>
      </c>
      <c r="G35" s="53">
        <f>+'Purchased Power Model '!G35</f>
        <v>1</v>
      </c>
      <c r="H35" s="17">
        <v>8</v>
      </c>
      <c r="I35" s="456">
        <f t="shared" si="0"/>
        <v>7321044.6376393922</v>
      </c>
      <c r="J35" s="457">
        <f t="shared" si="1"/>
        <v>2609039.6376393922</v>
      </c>
      <c r="K35" s="5">
        <f t="shared" si="2"/>
        <v>0.55370052401035064</v>
      </c>
    </row>
    <row r="36" spans="1:11" x14ac:dyDescent="0.2">
      <c r="A36" s="453">
        <v>38626</v>
      </c>
      <c r="B36" s="454">
        <v>6089306</v>
      </c>
      <c r="C36" s="455">
        <f>+'Purchased Power Model '!C36</f>
        <v>223.8</v>
      </c>
      <c r="D36" s="455">
        <f>+'Purchased Power Model '!D36</f>
        <v>0.5</v>
      </c>
      <c r="E36" s="443">
        <f>+'Purchased Power Model '!E36</f>
        <v>6.7000000000000004E-2</v>
      </c>
      <c r="F36" s="53">
        <f>+'Purchased Power Model '!F36</f>
        <v>31</v>
      </c>
      <c r="G36" s="53">
        <f>+'Purchased Power Model '!G36</f>
        <v>1</v>
      </c>
      <c r="H36" s="17">
        <v>8</v>
      </c>
      <c r="I36" s="456">
        <f t="shared" si="0"/>
        <v>6856648.9198989151</v>
      </c>
      <c r="J36" s="457">
        <f t="shared" si="1"/>
        <v>767342.9198989151</v>
      </c>
      <c r="K36" s="5">
        <f t="shared" si="2"/>
        <v>0.12601483976973979</v>
      </c>
    </row>
    <row r="37" spans="1:11" x14ac:dyDescent="0.2">
      <c r="A37" s="453">
        <v>38657</v>
      </c>
      <c r="B37" s="454">
        <v>5939258</v>
      </c>
      <c r="C37" s="455">
        <f>+'Purchased Power Model '!C37</f>
        <v>398.5</v>
      </c>
      <c r="D37" s="455">
        <f>+'Purchased Power Model '!D37</f>
        <v>0</v>
      </c>
      <c r="E37" s="443">
        <f>+'Purchased Power Model '!E37</f>
        <v>6.7000000000000004E-2</v>
      </c>
      <c r="F37" s="53">
        <f>+'Purchased Power Model '!F37</f>
        <v>30</v>
      </c>
      <c r="G37" s="53">
        <f>+'Purchased Power Model '!G37</f>
        <v>1</v>
      </c>
      <c r="H37" s="17">
        <v>8</v>
      </c>
      <c r="I37" s="456">
        <f t="shared" si="0"/>
        <v>6576122.3674557991</v>
      </c>
      <c r="J37" s="457">
        <f t="shared" si="1"/>
        <v>636864.36745579913</v>
      </c>
      <c r="K37" s="5">
        <f t="shared" si="2"/>
        <v>0.10722961815361433</v>
      </c>
    </row>
    <row r="38" spans="1:11" x14ac:dyDescent="0.2">
      <c r="A38" s="453">
        <v>38687</v>
      </c>
      <c r="B38" s="454">
        <v>6062059</v>
      </c>
      <c r="C38" s="455">
        <f>+'Purchased Power Model '!C38</f>
        <v>641.1</v>
      </c>
      <c r="D38" s="455">
        <f>+'Purchased Power Model '!D38</f>
        <v>0</v>
      </c>
      <c r="E38" s="443">
        <f>+'Purchased Power Model '!E38</f>
        <v>6.7000000000000004E-2</v>
      </c>
      <c r="F38" s="53">
        <f>+'Purchased Power Model '!F38</f>
        <v>31</v>
      </c>
      <c r="G38" s="53">
        <f>+'Purchased Power Model '!G38</f>
        <v>0</v>
      </c>
      <c r="H38" s="17">
        <v>8</v>
      </c>
      <c r="I38" s="456">
        <f t="shared" si="0"/>
        <v>6382973.9086981956</v>
      </c>
      <c r="J38" s="457">
        <f t="shared" si="1"/>
        <v>320914.90869819559</v>
      </c>
      <c r="K38" s="5">
        <f t="shared" si="2"/>
        <v>5.293826877933646E-2</v>
      </c>
    </row>
    <row r="39" spans="1:11" x14ac:dyDescent="0.2">
      <c r="A39" s="453">
        <v>38718</v>
      </c>
      <c r="B39" s="96">
        <v>6150389</v>
      </c>
      <c r="C39" s="455">
        <f>+'Purchased Power Model '!C39</f>
        <v>558.20000000000005</v>
      </c>
      <c r="D39" s="455">
        <f>+'Purchased Power Model '!D39</f>
        <v>0</v>
      </c>
      <c r="E39" s="443">
        <f>+'Purchased Power Model '!E39</f>
        <v>6.7000000000000004E-2</v>
      </c>
      <c r="F39" s="53">
        <f>+'Purchased Power Model '!F39</f>
        <v>31</v>
      </c>
      <c r="G39" s="53">
        <f>+'Purchased Power Model '!G39</f>
        <v>0</v>
      </c>
      <c r="H39" s="17">
        <v>8</v>
      </c>
      <c r="I39" s="456">
        <f t="shared" si="0"/>
        <v>6611209.3461716603</v>
      </c>
      <c r="J39" s="457">
        <f t="shared" si="1"/>
        <v>460820.34617166035</v>
      </c>
      <c r="K39" s="5">
        <f t="shared" si="2"/>
        <v>7.4925398405151347E-2</v>
      </c>
    </row>
    <row r="40" spans="1:11" x14ac:dyDescent="0.2">
      <c r="A40" s="453">
        <v>38749</v>
      </c>
      <c r="B40" s="96">
        <v>7134398</v>
      </c>
      <c r="C40" s="455">
        <f>+'Purchased Power Model '!C40</f>
        <v>608.79999999999995</v>
      </c>
      <c r="D40" s="455">
        <f>+'Purchased Power Model '!D40</f>
        <v>0</v>
      </c>
      <c r="E40" s="443">
        <f>+'Purchased Power Model '!E40</f>
        <v>6.7000000000000004E-2</v>
      </c>
      <c r="F40" s="53">
        <f>+'Purchased Power Model '!F40</f>
        <v>28</v>
      </c>
      <c r="G40" s="53">
        <f>+'Purchased Power Model '!G40</f>
        <v>0</v>
      </c>
      <c r="H40" s="17">
        <v>9</v>
      </c>
      <c r="I40" s="456">
        <f t="shared" si="0"/>
        <v>7060373.99185583</v>
      </c>
      <c r="J40" s="457">
        <f t="shared" si="1"/>
        <v>-74024.008144170046</v>
      </c>
      <c r="K40" s="5">
        <f t="shared" si="2"/>
        <v>-1.037564881356073E-2</v>
      </c>
    </row>
    <row r="41" spans="1:11" x14ac:dyDescent="0.2">
      <c r="A41" s="453">
        <v>38777</v>
      </c>
      <c r="B41" s="96">
        <v>6002687</v>
      </c>
      <c r="C41" s="455">
        <f>+'Purchased Power Model '!C41</f>
        <v>534</v>
      </c>
      <c r="D41" s="455">
        <f>+'Purchased Power Model '!D41</f>
        <v>0</v>
      </c>
      <c r="E41" s="443">
        <f>+'Purchased Power Model '!E41</f>
        <v>6.7000000000000004E-2</v>
      </c>
      <c r="F41" s="53">
        <f>+'Purchased Power Model '!F41</f>
        <v>31</v>
      </c>
      <c r="G41" s="53">
        <f>+'Purchased Power Model '!G41</f>
        <v>1</v>
      </c>
      <c r="H41" s="17">
        <v>9</v>
      </c>
      <c r="I41" s="456">
        <f t="shared" si="0"/>
        <v>6006913.8125851182</v>
      </c>
      <c r="J41" s="457">
        <f t="shared" si="1"/>
        <v>4226.8125851182267</v>
      </c>
      <c r="K41" s="5">
        <f t="shared" si="2"/>
        <v>7.0415342081275043E-4</v>
      </c>
    </row>
    <row r="42" spans="1:11" x14ac:dyDescent="0.2">
      <c r="A42" s="453">
        <v>38808</v>
      </c>
      <c r="B42" s="96">
        <v>6280632</v>
      </c>
      <c r="C42" s="455">
        <f>+'Purchased Power Model '!C42</f>
        <v>323.60000000000002</v>
      </c>
      <c r="D42" s="455">
        <f>+'Purchased Power Model '!D42</f>
        <v>0</v>
      </c>
      <c r="E42" s="443">
        <f>+'Purchased Power Model '!E42</f>
        <v>6.3E-2</v>
      </c>
      <c r="F42" s="53">
        <f>+'Purchased Power Model '!F42</f>
        <v>30</v>
      </c>
      <c r="G42" s="53">
        <f>+'Purchased Power Model '!G42</f>
        <v>1</v>
      </c>
      <c r="H42" s="17">
        <v>9</v>
      </c>
      <c r="I42" s="456">
        <f t="shared" si="0"/>
        <v>6794421.1177046429</v>
      </c>
      <c r="J42" s="457">
        <f t="shared" si="1"/>
        <v>513789.11770464294</v>
      </c>
      <c r="K42" s="5">
        <f t="shared" si="2"/>
        <v>8.1805321137210868E-2</v>
      </c>
    </row>
    <row r="43" spans="1:11" x14ac:dyDescent="0.2">
      <c r="A43" s="453">
        <v>38838</v>
      </c>
      <c r="B43" s="96">
        <v>6707382</v>
      </c>
      <c r="C43" s="455">
        <f>+'Purchased Power Model '!C43</f>
        <v>172.6</v>
      </c>
      <c r="D43" s="455">
        <f>+'Purchased Power Model '!D43</f>
        <v>12.8</v>
      </c>
      <c r="E43" s="443">
        <f>+'Purchased Power Model '!E43</f>
        <v>6.3E-2</v>
      </c>
      <c r="F43" s="53">
        <f>+'Purchased Power Model '!F43</f>
        <v>31</v>
      </c>
      <c r="G43" s="53">
        <f>+'Purchased Power Model '!G43</f>
        <v>1</v>
      </c>
      <c r="H43" s="17">
        <v>9</v>
      </c>
      <c r="I43" s="456">
        <f t="shared" si="0"/>
        <v>6904178.6635878859</v>
      </c>
      <c r="J43" s="457">
        <f t="shared" si="1"/>
        <v>196796.66358788591</v>
      </c>
      <c r="K43" s="5">
        <f t="shared" si="2"/>
        <v>2.9340309466180086E-2</v>
      </c>
    </row>
    <row r="44" spans="1:11" x14ac:dyDescent="0.2">
      <c r="A44" s="453">
        <v>38869</v>
      </c>
      <c r="B44" s="96">
        <v>7015587</v>
      </c>
      <c r="C44" s="455">
        <f>+'Purchased Power Model '!C44</f>
        <v>22.6</v>
      </c>
      <c r="D44" s="455">
        <f>+'Purchased Power Model '!D44</f>
        <v>36.200000000000003</v>
      </c>
      <c r="E44" s="443">
        <f>+'Purchased Power Model '!E44</f>
        <v>6.3E-2</v>
      </c>
      <c r="F44" s="53">
        <f>+'Purchased Power Model '!F44</f>
        <v>30</v>
      </c>
      <c r="G44" s="53">
        <f>+'Purchased Power Model '!G44</f>
        <v>0</v>
      </c>
      <c r="H44" s="17">
        <v>9</v>
      </c>
      <c r="I44" s="456">
        <f t="shared" si="0"/>
        <v>7983484.819812662</v>
      </c>
      <c r="J44" s="457">
        <f t="shared" si="1"/>
        <v>967897.81981266197</v>
      </c>
      <c r="K44" s="5">
        <f t="shared" si="2"/>
        <v>0.13796391090476989</v>
      </c>
    </row>
    <row r="45" spans="1:11" x14ac:dyDescent="0.2">
      <c r="A45" s="453">
        <v>38899</v>
      </c>
      <c r="B45" s="96">
        <v>7531984</v>
      </c>
      <c r="C45" s="455">
        <f>+'Purchased Power Model '!C45</f>
        <v>1.7</v>
      </c>
      <c r="D45" s="455">
        <f>+'Purchased Power Model '!D45</f>
        <v>107.6</v>
      </c>
      <c r="E45" s="443">
        <f>+'Purchased Power Model '!E45</f>
        <v>6.6000000000000003E-2</v>
      </c>
      <c r="F45" s="53">
        <f>+'Purchased Power Model '!F45</f>
        <v>31</v>
      </c>
      <c r="G45" s="53">
        <f>+'Purchased Power Model '!G45</f>
        <v>0</v>
      </c>
      <c r="H45" s="17">
        <v>9</v>
      </c>
      <c r="I45" s="456">
        <f t="shared" si="0"/>
        <v>7223273.1497215834</v>
      </c>
      <c r="J45" s="457">
        <f t="shared" si="1"/>
        <v>-308710.85027841665</v>
      </c>
      <c r="K45" s="5">
        <f t="shared" si="2"/>
        <v>-4.098665773565327E-2</v>
      </c>
    </row>
    <row r="46" spans="1:11" x14ac:dyDescent="0.2">
      <c r="A46" s="453">
        <v>38930</v>
      </c>
      <c r="B46" s="96">
        <v>8281927</v>
      </c>
      <c r="C46" s="455">
        <f>+'Purchased Power Model '!C46</f>
        <v>4.4000000000000004</v>
      </c>
      <c r="D46" s="455">
        <f>+'Purchased Power Model '!D46</f>
        <v>82.1</v>
      </c>
      <c r="E46" s="443">
        <f>+'Purchased Power Model '!E46</f>
        <v>6.6000000000000003E-2</v>
      </c>
      <c r="F46" s="53">
        <f>+'Purchased Power Model '!F46</f>
        <v>31</v>
      </c>
      <c r="G46" s="53">
        <f>+'Purchased Power Model '!G46</f>
        <v>0</v>
      </c>
      <c r="H46" s="17">
        <v>9</v>
      </c>
      <c r="I46" s="456">
        <f t="shared" si="0"/>
        <v>7434599.712140467</v>
      </c>
      <c r="J46" s="457">
        <f t="shared" si="1"/>
        <v>-847327.28785953298</v>
      </c>
      <c r="K46" s="5">
        <f t="shared" si="2"/>
        <v>-0.10231040286391475</v>
      </c>
    </row>
    <row r="47" spans="1:11" x14ac:dyDescent="0.2">
      <c r="A47" s="453">
        <v>38961</v>
      </c>
      <c r="B47" s="96">
        <v>7868182</v>
      </c>
      <c r="C47" s="455">
        <f>+'Purchased Power Model '!C47</f>
        <v>70.7</v>
      </c>
      <c r="D47" s="455">
        <f>+'Purchased Power Model '!D47</f>
        <v>5.0999999999999996</v>
      </c>
      <c r="E47" s="443">
        <f>+'Purchased Power Model '!E47</f>
        <v>6.6000000000000003E-2</v>
      </c>
      <c r="F47" s="53">
        <f>+'Purchased Power Model '!F47</f>
        <v>30</v>
      </c>
      <c r="G47" s="53">
        <f>+'Purchased Power Model '!G47</f>
        <v>1</v>
      </c>
      <c r="H47" s="17">
        <v>10</v>
      </c>
      <c r="I47" s="456">
        <f t="shared" si="0"/>
        <v>7437872.2817486525</v>
      </c>
      <c r="J47" s="457">
        <f t="shared" si="1"/>
        <v>-430309.71825134754</v>
      </c>
      <c r="K47" s="5">
        <f t="shared" si="2"/>
        <v>-5.4689853164472751E-2</v>
      </c>
    </row>
    <row r="48" spans="1:11" x14ac:dyDescent="0.2">
      <c r="A48" s="453">
        <v>38991</v>
      </c>
      <c r="B48" s="96">
        <v>7173982</v>
      </c>
      <c r="C48" s="455">
        <f>+'Purchased Power Model '!C48</f>
        <v>274.60000000000002</v>
      </c>
      <c r="D48" s="455">
        <f>+'Purchased Power Model '!D48</f>
        <v>0</v>
      </c>
      <c r="E48" s="443">
        <f>+'Purchased Power Model '!E48</f>
        <v>6.7000000000000004E-2</v>
      </c>
      <c r="F48" s="53">
        <f>+'Purchased Power Model '!F48</f>
        <v>31</v>
      </c>
      <c r="G48" s="53">
        <f>+'Purchased Power Model '!G48</f>
        <v>1</v>
      </c>
      <c r="H48" s="17">
        <v>9</v>
      </c>
      <c r="I48" s="456">
        <f t="shared" si="0"/>
        <v>6721078.7399749449</v>
      </c>
      <c r="J48" s="457">
        <f t="shared" si="1"/>
        <v>-452903.26002505515</v>
      </c>
      <c r="K48" s="5">
        <f t="shared" si="2"/>
        <v>-6.3131362752939041E-2</v>
      </c>
    </row>
    <row r="49" spans="1:11" x14ac:dyDescent="0.2">
      <c r="A49" s="453">
        <v>39022</v>
      </c>
      <c r="B49" s="96">
        <v>2527936</v>
      </c>
      <c r="C49" s="455">
        <f>+'Purchased Power Model '!C49</f>
        <v>367.5</v>
      </c>
      <c r="D49" s="455">
        <f>+'Purchased Power Model '!D49</f>
        <v>0</v>
      </c>
      <c r="E49" s="443">
        <f>+'Purchased Power Model '!E49</f>
        <v>6.7000000000000004E-2</v>
      </c>
      <c r="F49" s="53">
        <f>+'Purchased Power Model '!F49</f>
        <v>30</v>
      </c>
      <c r="G49" s="53">
        <f>+'Purchased Power Model '!G49</f>
        <v>1</v>
      </c>
      <c r="H49" s="17">
        <v>9</v>
      </c>
      <c r="I49" s="456">
        <f t="shared" si="0"/>
        <v>6661469.7566195782</v>
      </c>
      <c r="J49" s="457">
        <f t="shared" si="1"/>
        <v>4133533.7566195782</v>
      </c>
      <c r="K49" s="5">
        <f t="shared" si="2"/>
        <v>1.635141774403932</v>
      </c>
    </row>
    <row r="50" spans="1:11" x14ac:dyDescent="0.2">
      <c r="A50" s="453">
        <v>39052</v>
      </c>
      <c r="B50" s="96">
        <v>7843678</v>
      </c>
      <c r="C50" s="455">
        <f>+'Purchased Power Model '!C50</f>
        <v>471.5</v>
      </c>
      <c r="D50" s="455">
        <f>+'Purchased Power Model '!D50</f>
        <v>0</v>
      </c>
      <c r="E50" s="443">
        <f>+'Purchased Power Model '!E50</f>
        <v>6.7000000000000004E-2</v>
      </c>
      <c r="F50" s="53">
        <f>+'Purchased Power Model '!F50</f>
        <v>31</v>
      </c>
      <c r="G50" s="53">
        <f>+'Purchased Power Model '!G50</f>
        <v>0</v>
      </c>
      <c r="H50" s="17">
        <v>9</v>
      </c>
      <c r="I50" s="456">
        <f t="shared" si="0"/>
        <v>6849906.721671652</v>
      </c>
      <c r="J50" s="457">
        <f t="shared" si="1"/>
        <v>-993771.27832834795</v>
      </c>
      <c r="K50" s="5">
        <f t="shared" si="2"/>
        <v>-0.12669710285510802</v>
      </c>
    </row>
    <row r="51" spans="1:11" x14ac:dyDescent="0.2">
      <c r="A51" s="453">
        <v>39083</v>
      </c>
      <c r="B51" s="96">
        <v>11402139</v>
      </c>
      <c r="C51" s="455">
        <f>+'Purchased Power Model '!C51</f>
        <v>573.1</v>
      </c>
      <c r="D51" s="455">
        <f>+'Purchased Power Model '!D51</f>
        <v>0</v>
      </c>
      <c r="E51" s="443">
        <f>+'Purchased Power Model '!E51</f>
        <v>6.2E-2</v>
      </c>
      <c r="F51" s="53">
        <f>+'Purchased Power Model '!F51</f>
        <v>31</v>
      </c>
      <c r="G51" s="53">
        <f>+'Purchased Power Model '!G51</f>
        <v>0</v>
      </c>
      <c r="H51" s="17">
        <v>9</v>
      </c>
      <c r="I51" s="456">
        <f t="shared" si="0"/>
        <v>6585298.0933698379</v>
      </c>
      <c r="J51" s="457">
        <f t="shared" si="1"/>
        <v>-4816840.9066301621</v>
      </c>
      <c r="K51" s="5">
        <f t="shared" si="2"/>
        <v>-0.42245063900994034</v>
      </c>
    </row>
    <row r="52" spans="1:11" x14ac:dyDescent="0.2">
      <c r="A52" s="453">
        <v>39114</v>
      </c>
      <c r="B52" s="96">
        <v>7839057</v>
      </c>
      <c r="C52" s="455">
        <f>+'Purchased Power Model '!C52</f>
        <v>693.5</v>
      </c>
      <c r="D52" s="455">
        <f>+'Purchased Power Model '!D52</f>
        <v>0</v>
      </c>
      <c r="E52" s="443">
        <f>+'Purchased Power Model '!E52</f>
        <v>6.2E-2</v>
      </c>
      <c r="F52" s="53">
        <f>+'Purchased Power Model '!F52</f>
        <v>28</v>
      </c>
      <c r="G52" s="53">
        <f>+'Purchased Power Model '!G52</f>
        <v>0</v>
      </c>
      <c r="H52" s="17">
        <v>9</v>
      </c>
      <c r="I52" s="456">
        <f t="shared" si="0"/>
        <v>6842293.456356205</v>
      </c>
      <c r="J52" s="457">
        <f t="shared" si="1"/>
        <v>-996763.54364379495</v>
      </c>
      <c r="K52" s="5">
        <f t="shared" si="2"/>
        <v>-0.12715350119839605</v>
      </c>
    </row>
    <row r="53" spans="1:11" x14ac:dyDescent="0.2">
      <c r="A53" s="453">
        <v>39142</v>
      </c>
      <c r="B53" s="96">
        <v>7255977</v>
      </c>
      <c r="C53" s="455">
        <f>+'Purchased Power Model '!C53</f>
        <v>477.9</v>
      </c>
      <c r="D53" s="455">
        <f>+'Purchased Power Model '!D53</f>
        <v>0</v>
      </c>
      <c r="E53" s="443">
        <f>+'Purchased Power Model '!E53</f>
        <v>6.2E-2</v>
      </c>
      <c r="F53" s="53">
        <f>+'Purchased Power Model '!F53</f>
        <v>31</v>
      </c>
      <c r="G53" s="53">
        <f>+'Purchased Power Model '!G53</f>
        <v>1</v>
      </c>
      <c r="H53" s="17">
        <v>9</v>
      </c>
      <c r="I53" s="456">
        <f t="shared" si="0"/>
        <v>6176475.6123842103</v>
      </c>
      <c r="J53" s="457">
        <f t="shared" si="1"/>
        <v>-1079501.3876157897</v>
      </c>
      <c r="K53" s="5">
        <f t="shared" si="2"/>
        <v>-0.14877409170616027</v>
      </c>
    </row>
    <row r="54" spans="1:11" x14ac:dyDescent="0.2">
      <c r="A54" s="453">
        <v>39173</v>
      </c>
      <c r="B54" s="96">
        <v>8929951</v>
      </c>
      <c r="C54" s="455">
        <f>+'Purchased Power Model '!C54</f>
        <v>280.39999999999998</v>
      </c>
      <c r="D54" s="455">
        <f>+'Purchased Power Model '!D54</f>
        <v>0</v>
      </c>
      <c r="E54" s="443">
        <f>+'Purchased Power Model '!E54</f>
        <v>5.9000000000000004E-2</v>
      </c>
      <c r="F54" s="53">
        <f>+'Purchased Power Model '!F54</f>
        <v>30</v>
      </c>
      <c r="G54" s="53">
        <f>+'Purchased Power Model '!G54</f>
        <v>1</v>
      </c>
      <c r="H54" s="17">
        <v>9</v>
      </c>
      <c r="I54" s="456">
        <f t="shared" si="0"/>
        <v>6925445.2796795592</v>
      </c>
      <c r="J54" s="457">
        <f t="shared" si="1"/>
        <v>-2004505.7203204408</v>
      </c>
      <c r="K54" s="5">
        <f t="shared" si="2"/>
        <v>-0.22446995737383563</v>
      </c>
    </row>
    <row r="55" spans="1:11" x14ac:dyDescent="0.2">
      <c r="A55" s="453">
        <v>39203</v>
      </c>
      <c r="B55" s="96">
        <v>7508485</v>
      </c>
      <c r="C55" s="455">
        <f>+'Purchased Power Model '!C55</f>
        <v>72.8</v>
      </c>
      <c r="D55" s="455">
        <f>+'Purchased Power Model '!D55</f>
        <v>4.5</v>
      </c>
      <c r="E55" s="443">
        <f>+'Purchased Power Model '!E55</f>
        <v>5.9000000000000004E-2</v>
      </c>
      <c r="F55" s="53">
        <f>+'Purchased Power Model '!F55</f>
        <v>31</v>
      </c>
      <c r="G55" s="53">
        <f>+'Purchased Power Model '!G55</f>
        <v>1</v>
      </c>
      <c r="H55" s="17">
        <v>9</v>
      </c>
      <c r="I55" s="456">
        <f t="shared" si="0"/>
        <v>7262234.889170167</v>
      </c>
      <c r="J55" s="457">
        <f t="shared" si="1"/>
        <v>-246250.11082983296</v>
      </c>
      <c r="K55" s="5">
        <f t="shared" si="2"/>
        <v>-3.2796244625890973E-2</v>
      </c>
    </row>
    <row r="56" spans="1:11" x14ac:dyDescent="0.2">
      <c r="A56" s="453">
        <v>39234</v>
      </c>
      <c r="B56" s="96">
        <v>8191968</v>
      </c>
      <c r="C56" s="455">
        <f>+'Purchased Power Model '!C56</f>
        <v>6.2</v>
      </c>
      <c r="D56" s="455">
        <f>+'Purchased Power Model '!D56</f>
        <v>32.799999999999997</v>
      </c>
      <c r="E56" s="443">
        <f>+'Purchased Power Model '!E56</f>
        <v>5.9000000000000004E-2</v>
      </c>
      <c r="F56" s="53">
        <f>+'Purchased Power Model '!F56</f>
        <v>30</v>
      </c>
      <c r="G56" s="53">
        <f>+'Purchased Power Model '!G56</f>
        <v>0</v>
      </c>
      <c r="H56" s="17">
        <v>9</v>
      </c>
      <c r="I56" s="456">
        <f t="shared" si="0"/>
        <v>8069892.7932448136</v>
      </c>
      <c r="J56" s="457">
        <f t="shared" si="1"/>
        <v>-122075.20675518643</v>
      </c>
      <c r="K56" s="5">
        <f t="shared" si="2"/>
        <v>-1.4901816847329779E-2</v>
      </c>
    </row>
    <row r="57" spans="1:11" x14ac:dyDescent="0.2">
      <c r="A57" s="453">
        <v>39264</v>
      </c>
      <c r="B57" s="96">
        <v>8759508</v>
      </c>
      <c r="C57" s="455">
        <f>+'Purchased Power Model '!C57</f>
        <v>8.6999999999999993</v>
      </c>
      <c r="D57" s="455">
        <f>+'Purchased Power Model '!D57</f>
        <v>41.6</v>
      </c>
      <c r="E57" s="443">
        <f>+'Purchased Power Model '!E57</f>
        <v>6.4000000000000001E-2</v>
      </c>
      <c r="F57" s="53">
        <f>+'Purchased Power Model '!F57</f>
        <v>31</v>
      </c>
      <c r="G57" s="53">
        <f>+'Purchased Power Model '!G57</f>
        <v>0</v>
      </c>
      <c r="H57" s="17">
        <v>9</v>
      </c>
      <c r="I57" s="456">
        <f t="shared" si="0"/>
        <v>7776247.8499890883</v>
      </c>
      <c r="J57" s="457">
        <f t="shared" si="1"/>
        <v>-983260.15001091175</v>
      </c>
      <c r="K57" s="5">
        <f t="shared" si="2"/>
        <v>-0.11225061384850744</v>
      </c>
    </row>
    <row r="58" spans="1:11" x14ac:dyDescent="0.2">
      <c r="A58" s="453">
        <v>39295</v>
      </c>
      <c r="B58" s="96">
        <v>8784825</v>
      </c>
      <c r="C58" s="455">
        <f>+'Purchased Power Model '!C58</f>
        <v>4</v>
      </c>
      <c r="D58" s="455">
        <f>+'Purchased Power Model '!D58</f>
        <v>87.8</v>
      </c>
      <c r="E58" s="443">
        <f>+'Purchased Power Model '!E58</f>
        <v>6.4000000000000001E-2</v>
      </c>
      <c r="F58" s="53">
        <f>+'Purchased Power Model '!F58</f>
        <v>31</v>
      </c>
      <c r="G58" s="53">
        <f>+'Purchased Power Model '!G58</f>
        <v>0</v>
      </c>
      <c r="H58" s="17">
        <v>9</v>
      </c>
      <c r="I58" s="456">
        <f t="shared" si="0"/>
        <v>7392845.8873966318</v>
      </c>
      <c r="J58" s="457">
        <f t="shared" si="1"/>
        <v>-1391979.1126033682</v>
      </c>
      <c r="K58" s="5">
        <f t="shared" si="2"/>
        <v>-0.15845268546651392</v>
      </c>
    </row>
    <row r="59" spans="1:11" x14ac:dyDescent="0.2">
      <c r="A59" s="453">
        <v>39326</v>
      </c>
      <c r="B59" s="96">
        <v>9224371</v>
      </c>
      <c r="C59" s="455">
        <f>+'Purchased Power Model '!C59</f>
        <v>20.100000000000001</v>
      </c>
      <c r="D59" s="455">
        <f>+'Purchased Power Model '!D59</f>
        <v>12.3</v>
      </c>
      <c r="E59" s="443">
        <f>+'Purchased Power Model '!E59</f>
        <v>6.4000000000000001E-2</v>
      </c>
      <c r="F59" s="53">
        <f>+'Purchased Power Model '!F59</f>
        <v>30</v>
      </c>
      <c r="G59" s="53">
        <f>+'Purchased Power Model '!G59</f>
        <v>1</v>
      </c>
      <c r="H59" s="17">
        <v>9</v>
      </c>
      <c r="I59" s="456">
        <f t="shared" si="0"/>
        <v>7521457.9266948421</v>
      </c>
      <c r="J59" s="457">
        <f t="shared" si="1"/>
        <v>-1702913.0733051579</v>
      </c>
      <c r="K59" s="5">
        <f t="shared" si="2"/>
        <v>-0.1846102106371435</v>
      </c>
    </row>
    <row r="60" spans="1:11" x14ac:dyDescent="0.2">
      <c r="A60" s="453">
        <v>39356</v>
      </c>
      <c r="B60" s="96">
        <v>8687502</v>
      </c>
      <c r="C60" s="455">
        <f>+'Purchased Power Model '!C60</f>
        <v>101.5</v>
      </c>
      <c r="D60" s="455">
        <f>+'Purchased Power Model '!D60</f>
        <v>0</v>
      </c>
      <c r="E60" s="443">
        <f>+'Purchased Power Model '!E60</f>
        <v>6.0999999999999999E-2</v>
      </c>
      <c r="F60" s="53">
        <f>+'Purchased Power Model '!F60</f>
        <v>31</v>
      </c>
      <c r="G60" s="53">
        <f>+'Purchased Power Model '!G60</f>
        <v>1</v>
      </c>
      <c r="H60" s="17">
        <v>9</v>
      </c>
      <c r="I60" s="456">
        <f t="shared" si="0"/>
        <v>7215780.2166933632</v>
      </c>
      <c r="J60" s="457">
        <f t="shared" si="1"/>
        <v>-1471721.7833066368</v>
      </c>
      <c r="K60" s="5">
        <f t="shared" si="2"/>
        <v>-0.16940678497761921</v>
      </c>
    </row>
    <row r="61" spans="1:11" x14ac:dyDescent="0.2">
      <c r="A61" s="453">
        <v>39387</v>
      </c>
      <c r="B61" s="96">
        <v>8832509</v>
      </c>
      <c r="C61" s="455">
        <f>+'Purchased Power Model '!C61</f>
        <v>314.10000000000002</v>
      </c>
      <c r="D61" s="455">
        <f>+'Purchased Power Model '!D61</f>
        <v>0</v>
      </c>
      <c r="E61" s="443">
        <f>+'Purchased Power Model '!E61</f>
        <v>6.0999999999999999E-2</v>
      </c>
      <c r="F61" s="53">
        <f>+'Purchased Power Model '!F61</f>
        <v>30</v>
      </c>
      <c r="G61" s="53">
        <f>+'Purchased Power Model '!G61</f>
        <v>1</v>
      </c>
      <c r="H61" s="17">
        <v>9</v>
      </c>
      <c r="I61" s="456">
        <f t="shared" si="0"/>
        <v>6826620.1855023671</v>
      </c>
      <c r="J61" s="457">
        <f t="shared" si="1"/>
        <v>-2005888.8144976329</v>
      </c>
      <c r="K61" s="5">
        <f t="shared" si="2"/>
        <v>-0.22710294600295713</v>
      </c>
    </row>
    <row r="62" spans="1:11" x14ac:dyDescent="0.2">
      <c r="A62" s="453">
        <v>39417</v>
      </c>
      <c r="B62" s="96">
        <v>8453705</v>
      </c>
      <c r="C62" s="455">
        <f>+'Purchased Power Model '!C62</f>
        <v>337.8</v>
      </c>
      <c r="D62" s="455">
        <f>+'Purchased Power Model '!D62</f>
        <v>0</v>
      </c>
      <c r="E62" s="443">
        <f>+'Purchased Power Model '!E62</f>
        <v>6.0999999999999999E-2</v>
      </c>
      <c r="F62" s="53">
        <f>+'Purchased Power Model '!F62</f>
        <v>31</v>
      </c>
      <c r="G62" s="53">
        <f>+'Purchased Power Model '!G62</f>
        <v>0</v>
      </c>
      <c r="H62" s="17">
        <v>9</v>
      </c>
      <c r="I62" s="456">
        <f t="shared" si="0"/>
        <v>7236134.4199044928</v>
      </c>
      <c r="J62" s="457">
        <f t="shared" si="1"/>
        <v>-1217570.5800955072</v>
      </c>
      <c r="K62" s="5">
        <f t="shared" si="2"/>
        <v>-0.14402804215376658</v>
      </c>
    </row>
    <row r="63" spans="1:11" x14ac:dyDescent="0.2">
      <c r="A63" s="453">
        <v>39448</v>
      </c>
      <c r="B63" s="171">
        <v>8872502</v>
      </c>
      <c r="C63" s="458">
        <f>+'Purchased Power Model '!C63</f>
        <v>432.8</v>
      </c>
      <c r="D63" s="458">
        <f>+'Purchased Power Model '!D63</f>
        <v>0</v>
      </c>
      <c r="E63" s="443">
        <f>+'Purchased Power Model '!E63</f>
        <v>6.6000000000000003E-2</v>
      </c>
      <c r="F63" s="53">
        <f>+'Purchased Power Model '!F63</f>
        <v>31</v>
      </c>
      <c r="G63" s="53">
        <f>+'Purchased Power Model '!G63</f>
        <v>0</v>
      </c>
      <c r="H63" s="17">
        <v>9</v>
      </c>
      <c r="I63" s="456">
        <f t="shared" si="0"/>
        <v>6959475.4124127831</v>
      </c>
      <c r="J63" s="457">
        <f t="shared" si="1"/>
        <v>-1913026.5875872169</v>
      </c>
      <c r="K63" s="5">
        <f t="shared" si="2"/>
        <v>-0.21561297902071105</v>
      </c>
    </row>
    <row r="64" spans="1:11" x14ac:dyDescent="0.2">
      <c r="A64" s="453">
        <v>39479</v>
      </c>
      <c r="B64" s="171">
        <v>9386946</v>
      </c>
      <c r="C64" s="458">
        <f>+'Purchased Power Model '!C64</f>
        <v>317.60000000000002</v>
      </c>
      <c r="D64" s="458">
        <f>+'Purchased Power Model '!D64</f>
        <v>0</v>
      </c>
      <c r="E64" s="443">
        <f>+'Purchased Power Model '!E64</f>
        <v>6.6000000000000003E-2</v>
      </c>
      <c r="F64" s="53">
        <f>+'Purchased Power Model '!F64</f>
        <v>29</v>
      </c>
      <c r="G64" s="53">
        <f>+'Purchased Power Model '!G64</f>
        <v>0</v>
      </c>
      <c r="H64" s="17">
        <v>9</v>
      </c>
      <c r="I64" s="456">
        <f t="shared" si="0"/>
        <v>7668953.0630664993</v>
      </c>
      <c r="J64" s="457">
        <f t="shared" si="1"/>
        <v>-1717992.9369335007</v>
      </c>
      <c r="K64" s="5">
        <f t="shared" si="2"/>
        <v>-0.18301936933838767</v>
      </c>
    </row>
    <row r="65" spans="1:17" x14ac:dyDescent="0.2">
      <c r="A65" s="453">
        <v>39508</v>
      </c>
      <c r="B65" s="171">
        <v>7792760.1255280245</v>
      </c>
      <c r="C65" s="458">
        <f>+'Purchased Power Model '!C65</f>
        <v>430</v>
      </c>
      <c r="D65" s="458">
        <f>+'Purchased Power Model '!D65</f>
        <v>0</v>
      </c>
      <c r="E65" s="443">
        <f>+'Purchased Power Model '!E65</f>
        <v>6.6000000000000003E-2</v>
      </c>
      <c r="F65" s="53">
        <f>+'Purchased Power Model '!F65</f>
        <v>31</v>
      </c>
      <c r="G65" s="53">
        <f>+'Purchased Power Model '!G65</f>
        <v>1</v>
      </c>
      <c r="H65" s="17">
        <v>9</v>
      </c>
      <c r="I65" s="456">
        <f t="shared" si="0"/>
        <v>6296262.6488873726</v>
      </c>
      <c r="J65" s="457">
        <f t="shared" si="1"/>
        <v>-1496497.4766406519</v>
      </c>
      <c r="K65" s="5">
        <f t="shared" si="2"/>
        <v>-0.19203689739381677</v>
      </c>
    </row>
    <row r="66" spans="1:17" x14ac:dyDescent="0.2">
      <c r="A66" s="453">
        <v>39539</v>
      </c>
      <c r="B66" s="171">
        <v>8704234.279269319</v>
      </c>
      <c r="C66" s="458">
        <f>+'Purchased Power Model '!C66</f>
        <v>144.6</v>
      </c>
      <c r="D66" s="458">
        <f>+'Purchased Power Model '!D66</f>
        <v>0</v>
      </c>
      <c r="E66" s="443">
        <f>+'Purchased Power Model '!E66</f>
        <v>7.400000000000001E-2</v>
      </c>
      <c r="F66" s="53">
        <f>+'Purchased Power Model '!F66</f>
        <v>30</v>
      </c>
      <c r="G66" s="53">
        <f>+'Purchased Power Model '!G66</f>
        <v>1</v>
      </c>
      <c r="H66" s="17">
        <v>9</v>
      </c>
      <c r="I66" s="456">
        <f t="shared" si="0"/>
        <v>7253990.2365631033</v>
      </c>
      <c r="J66" s="457">
        <f t="shared" si="1"/>
        <v>-1450244.0427062158</v>
      </c>
      <c r="K66" s="5">
        <f t="shared" si="2"/>
        <v>-0.16661362690572676</v>
      </c>
    </row>
    <row r="67" spans="1:17" x14ac:dyDescent="0.2">
      <c r="A67" s="453">
        <v>39569</v>
      </c>
      <c r="B67" s="171">
        <v>8210467.2029812597</v>
      </c>
      <c r="C67" s="458">
        <f>+'Purchased Power Model '!C67</f>
        <v>151</v>
      </c>
      <c r="D67" s="458">
        <f>+'Purchased Power Model '!D67</f>
        <v>0</v>
      </c>
      <c r="E67" s="443">
        <f>+'Purchased Power Model '!E67</f>
        <v>7.400000000000001E-2</v>
      </c>
      <c r="F67" s="53">
        <f>+'Purchased Power Model '!F67</f>
        <v>31</v>
      </c>
      <c r="G67" s="53">
        <f>+'Purchased Power Model '!G67</f>
        <v>1</v>
      </c>
      <c r="H67" s="17">
        <v>9</v>
      </c>
      <c r="I67" s="456">
        <f t="shared" si="0"/>
        <v>7040212.2604357796</v>
      </c>
      <c r="J67" s="457">
        <f t="shared" si="1"/>
        <v>-1170254.9425454801</v>
      </c>
      <c r="K67" s="5">
        <f t="shared" si="2"/>
        <v>-0.14253207687384159</v>
      </c>
    </row>
    <row r="68" spans="1:17" x14ac:dyDescent="0.2">
      <c r="A68" s="453">
        <v>39600</v>
      </c>
      <c r="B68" s="171">
        <v>8656676.3922213931</v>
      </c>
      <c r="C68" s="458">
        <f>+'Purchased Power Model '!C68</f>
        <v>15.5</v>
      </c>
      <c r="D68" s="458">
        <f>+'Purchased Power Model '!D68</f>
        <v>23.6</v>
      </c>
      <c r="E68" s="443">
        <f>+'Purchased Power Model '!E68</f>
        <v>7.400000000000001E-2</v>
      </c>
      <c r="F68" s="53">
        <f>+'Purchased Power Model '!F68</f>
        <v>30</v>
      </c>
      <c r="G68" s="53">
        <f>+'Purchased Power Model '!G68</f>
        <v>0</v>
      </c>
      <c r="H68" s="17">
        <v>9</v>
      </c>
      <c r="I68" s="456">
        <f t="shared" ref="I68:I131" si="3">$N$18+C68*$N$19+D68*$N$20+E68*$N$21+F68*$N$22+G68*$N$23</f>
        <v>8077882.0986081166</v>
      </c>
      <c r="J68" s="457">
        <f t="shared" ref="J68:J131" si="4">I68-B68</f>
        <v>-578794.29361327644</v>
      </c>
      <c r="K68" s="5">
        <f t="shared" ref="K68:K131" si="5">J68/B68</f>
        <v>-6.6861029266770566E-2</v>
      </c>
    </row>
    <row r="69" spans="1:17" x14ac:dyDescent="0.2">
      <c r="A69" s="453">
        <v>39630</v>
      </c>
      <c r="B69" s="171">
        <v>11794162</v>
      </c>
      <c r="C69" s="458">
        <f>+'Purchased Power Model '!C69</f>
        <v>1</v>
      </c>
      <c r="D69" s="458">
        <f>+'Purchased Power Model '!D69</f>
        <v>61.4</v>
      </c>
      <c r="E69" s="443">
        <f>+'Purchased Power Model '!E69</f>
        <v>6.8000000000000005E-2</v>
      </c>
      <c r="F69" s="53">
        <f>+'Purchased Power Model '!F69</f>
        <v>31</v>
      </c>
      <c r="G69" s="53">
        <f>+'Purchased Power Model '!G69</f>
        <v>0</v>
      </c>
      <c r="H69" s="17">
        <v>9</v>
      </c>
      <c r="I69" s="456">
        <f t="shared" si="3"/>
        <v>7615497.8541466482</v>
      </c>
      <c r="J69" s="457">
        <f t="shared" si="4"/>
        <v>-4178664.1458533518</v>
      </c>
      <c r="K69" s="5">
        <f t="shared" si="5"/>
        <v>-0.35429936826824593</v>
      </c>
    </row>
    <row r="70" spans="1:17" x14ac:dyDescent="0.2">
      <c r="A70" s="453">
        <v>39661</v>
      </c>
      <c r="B70" s="171">
        <v>10143998</v>
      </c>
      <c r="C70" s="458">
        <f>+'Purchased Power Model '!C70</f>
        <v>13.8</v>
      </c>
      <c r="D70" s="458">
        <f>+'Purchased Power Model '!D70</f>
        <v>29.9</v>
      </c>
      <c r="E70" s="443">
        <f>+'Purchased Power Model '!E70</f>
        <v>6.8000000000000005E-2</v>
      </c>
      <c r="F70" s="53">
        <f>+'Purchased Power Model '!F70</f>
        <v>31</v>
      </c>
      <c r="G70" s="53">
        <f>+'Purchased Power Model '!G70</f>
        <v>0</v>
      </c>
      <c r="H70" s="17">
        <v>9</v>
      </c>
      <c r="I70" s="456">
        <f t="shared" si="3"/>
        <v>7850490.6382419821</v>
      </c>
      <c r="J70" s="457">
        <f t="shared" si="4"/>
        <v>-2293507.3617580179</v>
      </c>
      <c r="K70" s="5">
        <f t="shared" si="5"/>
        <v>-0.22609501320465736</v>
      </c>
    </row>
    <row r="71" spans="1:17" x14ac:dyDescent="0.2">
      <c r="A71" s="453">
        <v>39692</v>
      </c>
      <c r="B71" s="171">
        <v>9744604</v>
      </c>
      <c r="C71" s="458">
        <f>+'Purchased Power Model '!C71</f>
        <v>51.6</v>
      </c>
      <c r="D71" s="458">
        <f>+'Purchased Power Model '!D71</f>
        <v>15.1</v>
      </c>
      <c r="E71" s="443">
        <f>+'Purchased Power Model '!E71</f>
        <v>6.8000000000000005E-2</v>
      </c>
      <c r="F71" s="53">
        <f>+'Purchased Power Model '!F71</f>
        <v>30</v>
      </c>
      <c r="G71" s="53">
        <f>+'Purchased Power Model '!G71</f>
        <v>1</v>
      </c>
      <c r="H71" s="17">
        <v>8</v>
      </c>
      <c r="I71" s="456">
        <f t="shared" si="3"/>
        <v>7398624.810484603</v>
      </c>
      <c r="J71" s="457">
        <f t="shared" si="4"/>
        <v>-2345979.189515397</v>
      </c>
      <c r="K71" s="5">
        <f t="shared" si="5"/>
        <v>-0.24074648795532347</v>
      </c>
    </row>
    <row r="72" spans="1:17" x14ac:dyDescent="0.2">
      <c r="A72" s="453">
        <v>39722</v>
      </c>
      <c r="B72" s="171">
        <v>6653295</v>
      </c>
      <c r="C72" s="458">
        <f>+'Purchased Power Model '!C72</f>
        <v>203.1</v>
      </c>
      <c r="D72" s="458">
        <f>+'Purchased Power Model '!D72</f>
        <v>0</v>
      </c>
      <c r="E72" s="443">
        <f>+'Purchased Power Model '!E72</f>
        <v>0.08</v>
      </c>
      <c r="F72" s="53">
        <f>+'Purchased Power Model '!F72</f>
        <v>31</v>
      </c>
      <c r="G72" s="53">
        <f>+'Purchased Power Model '!G72</f>
        <v>1</v>
      </c>
      <c r="H72" s="17">
        <v>8</v>
      </c>
      <c r="I72" s="456">
        <f t="shared" si="3"/>
        <v>6878640.915614699</v>
      </c>
      <c r="J72" s="457">
        <f t="shared" si="4"/>
        <v>225345.91561469901</v>
      </c>
      <c r="K72" s="5">
        <f t="shared" si="5"/>
        <v>3.3869821737154152E-2</v>
      </c>
    </row>
    <row r="73" spans="1:17" x14ac:dyDescent="0.2">
      <c r="A73" s="453">
        <v>39753</v>
      </c>
      <c r="B73" s="171">
        <v>6374833</v>
      </c>
      <c r="C73" s="458">
        <f>+'Purchased Power Model '!C73</f>
        <v>268.8</v>
      </c>
      <c r="D73" s="458">
        <f>+'Purchased Power Model '!D73</f>
        <v>0</v>
      </c>
      <c r="E73" s="443">
        <f>+'Purchased Power Model '!E73</f>
        <v>0.08</v>
      </c>
      <c r="F73" s="53">
        <f>+'Purchased Power Model '!F73</f>
        <v>30</v>
      </c>
      <c r="G73" s="53">
        <f>+'Purchased Power Model '!G73</f>
        <v>1</v>
      </c>
      <c r="H73" s="17">
        <v>9</v>
      </c>
      <c r="I73" s="456">
        <f t="shared" si="3"/>
        <v>6893917.3833965845</v>
      </c>
      <c r="J73" s="457">
        <f t="shared" si="4"/>
        <v>519084.38339658454</v>
      </c>
      <c r="K73" s="5">
        <f t="shared" si="5"/>
        <v>8.1427134388710187E-2</v>
      </c>
    </row>
    <row r="74" spans="1:17" x14ac:dyDescent="0.2">
      <c r="A74" s="453">
        <v>39783</v>
      </c>
      <c r="B74" s="171">
        <v>6098794</v>
      </c>
      <c r="C74" s="458">
        <f>+'Purchased Power Model '!C74</f>
        <v>378.9</v>
      </c>
      <c r="D74" s="458">
        <f>+'Purchased Power Model '!D74</f>
        <v>0</v>
      </c>
      <c r="E74" s="443">
        <f>+'Purchased Power Model '!E74</f>
        <v>0.08</v>
      </c>
      <c r="F74" s="53">
        <f>+'Purchased Power Model '!F74</f>
        <v>31</v>
      </c>
      <c r="G74" s="53">
        <f>+'Purchased Power Model '!G74</f>
        <v>0</v>
      </c>
      <c r="H74" s="17">
        <v>9</v>
      </c>
      <c r="I74" s="456">
        <f t="shared" si="3"/>
        <v>7065560.1847744957</v>
      </c>
      <c r="J74" s="457">
        <f t="shared" si="4"/>
        <v>966766.18477449566</v>
      </c>
      <c r="K74" s="5">
        <f t="shared" si="5"/>
        <v>0.15851759950811514</v>
      </c>
    </row>
    <row r="75" spans="1:17" s="14" customFormat="1" x14ac:dyDescent="0.2">
      <c r="A75" s="453">
        <v>39814</v>
      </c>
      <c r="B75" s="171">
        <v>6324203</v>
      </c>
      <c r="C75" s="458">
        <f>+'Purchased Power Model '!C75</f>
        <v>684.3</v>
      </c>
      <c r="D75" s="458">
        <f>+'Purchased Power Model '!D75</f>
        <v>0</v>
      </c>
      <c r="E75" s="443">
        <f>+'Purchased Power Model '!E75</f>
        <v>8.3000000000000004E-2</v>
      </c>
      <c r="F75" s="53">
        <f>+'Purchased Power Model '!F75</f>
        <v>31</v>
      </c>
      <c r="G75" s="53">
        <f>+'Purchased Power Model '!G75</f>
        <v>0</v>
      </c>
      <c r="H75" s="17">
        <v>10</v>
      </c>
      <c r="I75" s="456">
        <f t="shared" si="3"/>
        <v>6215684.4103348553</v>
      </c>
      <c r="J75" s="457">
        <f t="shared" si="4"/>
        <v>-108518.58966514468</v>
      </c>
      <c r="K75" s="5">
        <f t="shared" si="5"/>
        <v>-1.7159251476453977E-2</v>
      </c>
      <c r="L75" s="11"/>
      <c r="M75" s="11"/>
      <c r="N75" s="11"/>
      <c r="O75" s="11"/>
      <c r="P75" s="11"/>
      <c r="Q75" s="11"/>
    </row>
    <row r="76" spans="1:17" x14ac:dyDescent="0.2">
      <c r="A76" s="453">
        <v>39845</v>
      </c>
      <c r="B76" s="171">
        <v>7540439</v>
      </c>
      <c r="C76" s="458">
        <f>+'Purchased Power Model '!C76</f>
        <v>595.29999999999995</v>
      </c>
      <c r="D76" s="458">
        <f>+'Purchased Power Model '!D76</f>
        <v>0</v>
      </c>
      <c r="E76" s="443">
        <f>+'Purchased Power Model '!E76</f>
        <v>8.3000000000000004E-2</v>
      </c>
      <c r="F76" s="53">
        <f>+'Purchased Power Model '!F76</f>
        <v>28</v>
      </c>
      <c r="G76" s="53">
        <f>+'Purchased Power Model '!G76</f>
        <v>0</v>
      </c>
      <c r="H76" s="17">
        <v>11</v>
      </c>
      <c r="I76" s="456">
        <f t="shared" si="3"/>
        <v>7049187.6214146297</v>
      </c>
      <c r="J76" s="457">
        <f t="shared" si="4"/>
        <v>-491251.37858537026</v>
      </c>
      <c r="K76" s="5">
        <f t="shared" si="5"/>
        <v>-6.5148909577462305E-2</v>
      </c>
    </row>
    <row r="77" spans="1:17" x14ac:dyDescent="0.2">
      <c r="A77" s="453">
        <v>39873</v>
      </c>
      <c r="B77" s="171">
        <v>6967085</v>
      </c>
      <c r="C77" s="458">
        <f>+'Purchased Power Model '!C77</f>
        <v>442.2</v>
      </c>
      <c r="D77" s="458">
        <f>+'Purchased Power Model '!D77</f>
        <v>0</v>
      </c>
      <c r="E77" s="443">
        <f>+'Purchased Power Model '!E77</f>
        <v>8.3000000000000004E-2</v>
      </c>
      <c r="F77" s="53">
        <f>+'Purchased Power Model '!F77</f>
        <v>31</v>
      </c>
      <c r="G77" s="53">
        <f>+'Purchased Power Model '!G77</f>
        <v>1</v>
      </c>
      <c r="H77" s="17">
        <v>11</v>
      </c>
      <c r="I77" s="456">
        <f t="shared" si="3"/>
        <v>6211298.4283221113</v>
      </c>
      <c r="J77" s="457">
        <f t="shared" si="4"/>
        <v>-755786.57167788874</v>
      </c>
      <c r="K77" s="5">
        <f t="shared" si="5"/>
        <v>-0.10847959680094167</v>
      </c>
    </row>
    <row r="78" spans="1:17" x14ac:dyDescent="0.2">
      <c r="A78" s="453">
        <v>39904</v>
      </c>
      <c r="B78" s="171">
        <v>7626479</v>
      </c>
      <c r="C78" s="458">
        <f>+'Purchased Power Model '!C78</f>
        <v>313.8</v>
      </c>
      <c r="D78" s="458">
        <f>+'Purchased Power Model '!D78</f>
        <v>0</v>
      </c>
      <c r="E78" s="443">
        <f>+'Purchased Power Model '!E78</f>
        <v>8.8000000000000009E-2</v>
      </c>
      <c r="F78" s="53">
        <f>+'Purchased Power Model '!F78</f>
        <v>30</v>
      </c>
      <c r="G78" s="53">
        <f>+'Purchased Power Model '!G78</f>
        <v>1</v>
      </c>
      <c r="H78" s="17">
        <v>11</v>
      </c>
      <c r="I78" s="456">
        <f t="shared" si="3"/>
        <v>6745849.1211041901</v>
      </c>
      <c r="J78" s="457">
        <f t="shared" si="4"/>
        <v>-880629.87889580987</v>
      </c>
      <c r="K78" s="5">
        <f t="shared" si="5"/>
        <v>-0.11547004573090805</v>
      </c>
    </row>
    <row r="79" spans="1:17" x14ac:dyDescent="0.2">
      <c r="A79" s="453">
        <v>39934</v>
      </c>
      <c r="B79" s="171">
        <v>7428122</v>
      </c>
      <c r="C79" s="458">
        <f>+'Purchased Power Model '!C79</f>
        <v>170.1</v>
      </c>
      <c r="D79" s="458">
        <f>+'Purchased Power Model '!D79</f>
        <v>0</v>
      </c>
      <c r="E79" s="443">
        <f>+'Purchased Power Model '!E79</f>
        <v>8.8000000000000009E-2</v>
      </c>
      <c r="F79" s="53">
        <f>+'Purchased Power Model '!F79</f>
        <v>31</v>
      </c>
      <c r="G79" s="53">
        <f>+'Purchased Power Model '!G79</f>
        <v>1</v>
      </c>
      <c r="H79" s="17">
        <v>11</v>
      </c>
      <c r="I79" s="456">
        <f t="shared" si="3"/>
        <v>6945317.6970247189</v>
      </c>
      <c r="J79" s="457">
        <f t="shared" si="4"/>
        <v>-482804.30297528114</v>
      </c>
      <c r="K79" s="5">
        <f t="shared" si="5"/>
        <v>-6.4996819246544574E-2</v>
      </c>
    </row>
    <row r="80" spans="1:17" x14ac:dyDescent="0.2">
      <c r="A80" s="453">
        <v>39965</v>
      </c>
      <c r="B80" s="171">
        <v>7082227</v>
      </c>
      <c r="C80" s="458">
        <f>+'Purchased Power Model '!C80</f>
        <v>57.9</v>
      </c>
      <c r="D80" s="458">
        <f>+'Purchased Power Model '!D80</f>
        <v>26.3</v>
      </c>
      <c r="E80" s="443">
        <f>+'Purchased Power Model '!E80</f>
        <v>8.8000000000000009E-2</v>
      </c>
      <c r="F80" s="53">
        <f>+'Purchased Power Model '!F80</f>
        <v>30</v>
      </c>
      <c r="G80" s="53">
        <f>+'Purchased Power Model '!G80</f>
        <v>0</v>
      </c>
      <c r="H80" s="17">
        <v>11</v>
      </c>
      <c r="I80" s="456">
        <f t="shared" si="3"/>
        <v>7895676.5079824785</v>
      </c>
      <c r="J80" s="457">
        <f t="shared" si="4"/>
        <v>813449.50798247848</v>
      </c>
      <c r="K80" s="5">
        <f t="shared" si="5"/>
        <v>0.11485786998672572</v>
      </c>
    </row>
    <row r="81" spans="1:17" x14ac:dyDescent="0.2">
      <c r="A81" s="453">
        <v>39995</v>
      </c>
      <c r="B81" s="171">
        <v>7025798</v>
      </c>
      <c r="C81" s="458">
        <f>+'Purchased Power Model '!C81</f>
        <v>16.8</v>
      </c>
      <c r="D81" s="458">
        <f>+'Purchased Power Model '!D81</f>
        <v>25.6</v>
      </c>
      <c r="E81" s="443">
        <f>+'Purchased Power Model '!E81</f>
        <v>9.5000000000000001E-2</v>
      </c>
      <c r="F81" s="53">
        <f>+'Purchased Power Model '!F81</f>
        <v>31</v>
      </c>
      <c r="G81" s="53">
        <f>+'Purchased Power Model '!G81</f>
        <v>0</v>
      </c>
      <c r="H81" s="17">
        <v>11</v>
      </c>
      <c r="I81" s="456">
        <f t="shared" si="3"/>
        <v>7797523.1553245094</v>
      </c>
      <c r="J81" s="457">
        <f t="shared" si="4"/>
        <v>771725.15532450937</v>
      </c>
      <c r="K81" s="5">
        <f t="shared" si="5"/>
        <v>0.10984163725238177</v>
      </c>
    </row>
    <row r="82" spans="1:17" x14ac:dyDescent="0.2">
      <c r="A82" s="453">
        <v>40026</v>
      </c>
      <c r="B82" s="171">
        <v>7419480</v>
      </c>
      <c r="C82" s="458">
        <f>+'Purchased Power Model '!C82</f>
        <v>13.1</v>
      </c>
      <c r="D82" s="458">
        <f>+'Purchased Power Model '!D82</f>
        <v>77.7</v>
      </c>
      <c r="E82" s="443">
        <f>+'Purchased Power Model '!E82</f>
        <v>9.5000000000000001E-2</v>
      </c>
      <c r="F82" s="53">
        <f>+'Purchased Power Model '!F82</f>
        <v>31</v>
      </c>
      <c r="G82" s="53">
        <f>+'Purchased Power Model '!G82</f>
        <v>0</v>
      </c>
      <c r="H82" s="17">
        <v>11</v>
      </c>
      <c r="I82" s="456">
        <f t="shared" si="3"/>
        <v>7360752.9819800369</v>
      </c>
      <c r="J82" s="457">
        <f t="shared" si="4"/>
        <v>-58727.018019963056</v>
      </c>
      <c r="K82" s="5">
        <f t="shared" si="5"/>
        <v>-7.9152471628689686E-3</v>
      </c>
    </row>
    <row r="83" spans="1:17" x14ac:dyDescent="0.2">
      <c r="A83" s="453">
        <v>40057</v>
      </c>
      <c r="B83" s="171">
        <v>8034531</v>
      </c>
      <c r="C83" s="458">
        <f>+'Purchased Power Model '!C83</f>
        <v>64.8</v>
      </c>
      <c r="D83" s="458">
        <f>+'Purchased Power Model '!D83</f>
        <v>9</v>
      </c>
      <c r="E83" s="443">
        <f>+'Purchased Power Model '!E83</f>
        <v>9.5000000000000001E-2</v>
      </c>
      <c r="F83" s="53">
        <f>+'Purchased Power Model '!F83</f>
        <v>30</v>
      </c>
      <c r="G83" s="53">
        <f>+'Purchased Power Model '!G83</f>
        <v>1</v>
      </c>
      <c r="H83" s="17">
        <v>10</v>
      </c>
      <c r="I83" s="456">
        <f t="shared" si="3"/>
        <v>7333017.1688989569</v>
      </c>
      <c r="J83" s="457">
        <f t="shared" si="4"/>
        <v>-701513.83110104315</v>
      </c>
      <c r="K83" s="5">
        <f t="shared" si="5"/>
        <v>-8.7312356016927828E-2</v>
      </c>
    </row>
    <row r="84" spans="1:17" x14ac:dyDescent="0.2">
      <c r="A84" s="453">
        <v>40087</v>
      </c>
      <c r="B84" s="171">
        <v>7591096</v>
      </c>
      <c r="C84" s="458">
        <f>+'Purchased Power Model '!C84</f>
        <v>287.89999999999998</v>
      </c>
      <c r="D84" s="458">
        <f>+'Purchased Power Model '!D84</f>
        <v>0</v>
      </c>
      <c r="E84" s="443">
        <f>+'Purchased Power Model '!E84</f>
        <v>0.1</v>
      </c>
      <c r="F84" s="53">
        <f>+'Purchased Power Model '!F84</f>
        <v>31</v>
      </c>
      <c r="G84" s="53">
        <f>+'Purchased Power Model '!G84</f>
        <v>1</v>
      </c>
      <c r="H84" s="17">
        <v>10</v>
      </c>
      <c r="I84" s="456">
        <f t="shared" si="3"/>
        <v>6584732.2818139279</v>
      </c>
      <c r="J84" s="457">
        <f t="shared" si="4"/>
        <v>-1006363.7181860721</v>
      </c>
      <c r="K84" s="5">
        <f t="shared" si="5"/>
        <v>-0.13257159680052422</v>
      </c>
    </row>
    <row r="85" spans="1:17" x14ac:dyDescent="0.2">
      <c r="A85" s="453">
        <v>40118</v>
      </c>
      <c r="B85" s="171">
        <v>7256083</v>
      </c>
      <c r="C85" s="458">
        <f>+'Purchased Power Model '!C85</f>
        <v>347.4</v>
      </c>
      <c r="D85" s="458">
        <f>+'Purchased Power Model '!D85</f>
        <v>0</v>
      </c>
      <c r="E85" s="443">
        <f>+'Purchased Power Model '!E85</f>
        <v>0.1</v>
      </c>
      <c r="F85" s="53">
        <f>+'Purchased Power Model '!F85</f>
        <v>30</v>
      </c>
      <c r="G85" s="53">
        <f>+'Purchased Power Model '!G85</f>
        <v>1</v>
      </c>
      <c r="H85" s="17">
        <v>10</v>
      </c>
      <c r="I85" s="456">
        <f t="shared" si="3"/>
        <v>6617078.2274285704</v>
      </c>
      <c r="J85" s="457">
        <f t="shared" si="4"/>
        <v>-639004.77257142961</v>
      </c>
      <c r="K85" s="5">
        <f t="shared" si="5"/>
        <v>-8.8064700000183238E-2</v>
      </c>
    </row>
    <row r="86" spans="1:17" s="31" customFormat="1" x14ac:dyDescent="0.2">
      <c r="A86" s="453">
        <v>40148</v>
      </c>
      <c r="B86" s="171">
        <v>6942046</v>
      </c>
      <c r="C86" s="458">
        <f>+'Purchased Power Model '!C86</f>
        <v>619.1</v>
      </c>
      <c r="D86" s="458">
        <f>+'Purchased Power Model '!D86</f>
        <v>0</v>
      </c>
      <c r="E86" s="443">
        <f>+'Purchased Power Model '!E86</f>
        <v>0.1</v>
      </c>
      <c r="F86" s="53">
        <f>+'Purchased Power Model '!F86</f>
        <v>31</v>
      </c>
      <c r="G86" s="53">
        <f>+'Purchased Power Model '!G86</f>
        <v>0</v>
      </c>
      <c r="H86" s="17">
        <v>10</v>
      </c>
      <c r="I86" s="456">
        <f t="shared" si="3"/>
        <v>6343813.3485204503</v>
      </c>
      <c r="J86" s="457">
        <f t="shared" si="4"/>
        <v>-598232.65147954971</v>
      </c>
      <c r="K86" s="5">
        <f t="shared" si="5"/>
        <v>-8.6175264681269723E-2</v>
      </c>
      <c r="L86" s="27"/>
      <c r="M86" s="27"/>
      <c r="N86" s="27"/>
      <c r="O86" s="27"/>
      <c r="P86" s="27"/>
      <c r="Q86" s="27"/>
    </row>
    <row r="87" spans="1:17" x14ac:dyDescent="0.2">
      <c r="A87" s="453">
        <v>40179</v>
      </c>
      <c r="B87" s="454">
        <v>6922167</v>
      </c>
      <c r="C87" s="458">
        <f>+'Purchased Power Model '!C87</f>
        <v>699.9</v>
      </c>
      <c r="D87" s="458">
        <f>+'Purchased Power Model '!D87</f>
        <v>0</v>
      </c>
      <c r="E87" s="443">
        <f>+'Purchased Power Model '!E87</f>
        <v>0.10300000000000001</v>
      </c>
      <c r="F87" s="53">
        <f>+'Purchased Power Model '!F87</f>
        <v>31</v>
      </c>
      <c r="G87" s="53">
        <f>+'Purchased Power Model '!G87</f>
        <v>0</v>
      </c>
      <c r="H87" s="17">
        <v>10</v>
      </c>
      <c r="I87" s="456">
        <f t="shared" si="3"/>
        <v>6112293.1742803305</v>
      </c>
      <c r="J87" s="457">
        <f t="shared" si="4"/>
        <v>-809873.82571966946</v>
      </c>
      <c r="K87" s="5">
        <f t="shared" si="5"/>
        <v>-0.1169971521518723</v>
      </c>
    </row>
    <row r="88" spans="1:17" x14ac:dyDescent="0.2">
      <c r="A88" s="453">
        <v>40210</v>
      </c>
      <c r="B88" s="454">
        <v>6769873</v>
      </c>
      <c r="C88" s="458">
        <f>+'Purchased Power Model '!C88</f>
        <v>583.79999999999995</v>
      </c>
      <c r="D88" s="458">
        <f>+'Purchased Power Model '!D88</f>
        <v>0</v>
      </c>
      <c r="E88" s="443">
        <f>+'Purchased Power Model '!E88</f>
        <v>0.10300000000000001</v>
      </c>
      <c r="F88" s="53">
        <f>+'Purchased Power Model '!F88</f>
        <v>28</v>
      </c>
      <c r="G88" s="53">
        <f>+'Purchased Power Model '!G88</f>
        <v>0</v>
      </c>
      <c r="H88" s="17">
        <v>10</v>
      </c>
      <c r="I88" s="456">
        <f t="shared" si="3"/>
        <v>7020406.5223387647</v>
      </c>
      <c r="J88" s="457">
        <f t="shared" si="4"/>
        <v>250533.52233876474</v>
      </c>
      <c r="K88" s="5">
        <f t="shared" si="5"/>
        <v>3.7007122931074887E-2</v>
      </c>
    </row>
    <row r="89" spans="1:17" x14ac:dyDescent="0.2">
      <c r="A89" s="453">
        <v>40238</v>
      </c>
      <c r="B89" s="454">
        <v>6183539</v>
      </c>
      <c r="C89" s="458">
        <f>+'Purchased Power Model '!C89</f>
        <v>411</v>
      </c>
      <c r="D89" s="458">
        <f>+'Purchased Power Model '!D89</f>
        <v>0</v>
      </c>
      <c r="E89" s="443">
        <f>+'Purchased Power Model '!E89</f>
        <v>0.10300000000000001</v>
      </c>
      <c r="F89" s="53">
        <f>+'Purchased Power Model '!F89</f>
        <v>31</v>
      </c>
      <c r="G89" s="53">
        <f>+'Purchased Power Model '!G89</f>
        <v>1</v>
      </c>
      <c r="H89" s="17">
        <v>10</v>
      </c>
      <c r="I89" s="456">
        <f t="shared" si="3"/>
        <v>6236754.218489035</v>
      </c>
      <c r="J89" s="457">
        <f t="shared" si="4"/>
        <v>53215.218489035033</v>
      </c>
      <c r="K89" s="5">
        <f t="shared" si="5"/>
        <v>8.6059485496954146E-3</v>
      </c>
    </row>
    <row r="90" spans="1:17" x14ac:dyDescent="0.2">
      <c r="A90" s="453">
        <v>40269</v>
      </c>
      <c r="B90" s="454">
        <v>6688111</v>
      </c>
      <c r="C90" s="458">
        <f>+'Purchased Power Model '!C90</f>
        <v>244</v>
      </c>
      <c r="D90" s="458">
        <f>+'Purchased Power Model '!D90</f>
        <v>0</v>
      </c>
      <c r="E90" s="443">
        <f>+'Purchased Power Model '!E90</f>
        <v>9.9000000000000005E-2</v>
      </c>
      <c r="F90" s="53">
        <f>+'Purchased Power Model '!F90</f>
        <v>30</v>
      </c>
      <c r="G90" s="53">
        <f>+'Purchased Power Model '!G90</f>
        <v>1</v>
      </c>
      <c r="H90" s="17">
        <v>10</v>
      </c>
      <c r="I90" s="456">
        <f t="shared" si="3"/>
        <v>6904775.1787792686</v>
      </c>
      <c r="J90" s="457">
        <f t="shared" si="4"/>
        <v>216664.17877926864</v>
      </c>
      <c r="K90" s="5">
        <f t="shared" si="5"/>
        <v>3.2395422082448784E-2</v>
      </c>
    </row>
    <row r="91" spans="1:17" x14ac:dyDescent="0.2">
      <c r="A91" s="453">
        <v>40299</v>
      </c>
      <c r="B91" s="454">
        <v>6399287</v>
      </c>
      <c r="C91" s="458">
        <f>+'Purchased Power Model '!C91</f>
        <v>121.7</v>
      </c>
      <c r="D91" s="458">
        <f>+'Purchased Power Model '!D91</f>
        <v>23.2</v>
      </c>
      <c r="E91" s="443">
        <f>+'Purchased Power Model '!E91</f>
        <v>9.9000000000000005E-2</v>
      </c>
      <c r="F91" s="53">
        <f>+'Purchased Power Model '!F91</f>
        <v>31</v>
      </c>
      <c r="G91" s="53">
        <f>+'Purchased Power Model '!G91</f>
        <v>1</v>
      </c>
      <c r="H91" s="17">
        <v>10</v>
      </c>
      <c r="I91" s="456">
        <f t="shared" si="3"/>
        <v>6846297.7782095326</v>
      </c>
      <c r="J91" s="457">
        <f t="shared" si="4"/>
        <v>447010.77820953261</v>
      </c>
      <c r="K91" s="5">
        <f t="shared" si="5"/>
        <v>6.9853216180104538E-2</v>
      </c>
    </row>
    <row r="92" spans="1:17" x14ac:dyDescent="0.2">
      <c r="A92" s="453">
        <v>40330</v>
      </c>
      <c r="B92" s="454">
        <v>6643174</v>
      </c>
      <c r="C92" s="458">
        <f>+'Purchased Power Model '!C92</f>
        <v>19.399999999999999</v>
      </c>
      <c r="D92" s="458">
        <f>+'Purchased Power Model '!D92</f>
        <v>46.6</v>
      </c>
      <c r="E92" s="443">
        <f>+'Purchased Power Model '!E92</f>
        <v>9.9000000000000005E-2</v>
      </c>
      <c r="F92" s="53">
        <f>+'Purchased Power Model '!F92</f>
        <v>30</v>
      </c>
      <c r="G92" s="53">
        <f>+'Purchased Power Model '!G92</f>
        <v>0</v>
      </c>
      <c r="H92" s="17">
        <v>10</v>
      </c>
      <c r="I92" s="456">
        <f t="shared" si="3"/>
        <v>7794279.0807855213</v>
      </c>
      <c r="J92" s="457">
        <f t="shared" si="4"/>
        <v>1151105.0807855213</v>
      </c>
      <c r="K92" s="5">
        <f t="shared" si="5"/>
        <v>0.17327637072061056</v>
      </c>
    </row>
    <row r="93" spans="1:17" x14ac:dyDescent="0.2">
      <c r="A93" s="453">
        <v>40360</v>
      </c>
      <c r="B93" s="454">
        <v>6816956</v>
      </c>
      <c r="C93" s="458">
        <f>+'Purchased Power Model '!C93</f>
        <v>3.5</v>
      </c>
      <c r="D93" s="458">
        <f>+'Purchased Power Model '!D93</f>
        <v>124</v>
      </c>
      <c r="E93" s="443">
        <f>+'Purchased Power Model '!E93</f>
        <v>0.10099999999999999</v>
      </c>
      <c r="F93" s="53">
        <f>+'Purchased Power Model '!F93</f>
        <v>31</v>
      </c>
      <c r="G93" s="53">
        <f>+'Purchased Power Model '!G93</f>
        <v>0</v>
      </c>
      <c r="H93" s="17">
        <v>10</v>
      </c>
      <c r="I93" s="456">
        <f t="shared" si="3"/>
        <v>6971850.8624361753</v>
      </c>
      <c r="J93" s="457">
        <f t="shared" si="4"/>
        <v>154894.86243617535</v>
      </c>
      <c r="K93" s="5">
        <f t="shared" si="5"/>
        <v>2.272199826963462E-2</v>
      </c>
    </row>
    <row r="94" spans="1:17" x14ac:dyDescent="0.2">
      <c r="A94" s="453">
        <v>40391</v>
      </c>
      <c r="B94" s="454">
        <v>7350724</v>
      </c>
      <c r="C94" s="458">
        <f>+'Purchased Power Model '!C94</f>
        <v>3.2</v>
      </c>
      <c r="D94" s="458">
        <f>+'Purchased Power Model '!D94</f>
        <v>96.8</v>
      </c>
      <c r="E94" s="443">
        <f>+'Purchased Power Model '!E94</f>
        <v>0.10099999999999999</v>
      </c>
      <c r="F94" s="53">
        <f>+'Purchased Power Model '!F94</f>
        <v>31</v>
      </c>
      <c r="G94" s="53">
        <f>+'Purchased Power Model '!G94</f>
        <v>0</v>
      </c>
      <c r="H94" s="17">
        <v>10</v>
      </c>
      <c r="I94" s="456">
        <f t="shared" si="3"/>
        <v>7206020.852592906</v>
      </c>
      <c r="J94" s="457">
        <f t="shared" si="4"/>
        <v>-144703.14740709402</v>
      </c>
      <c r="K94" s="5">
        <f t="shared" si="5"/>
        <v>-1.9685563953577092E-2</v>
      </c>
    </row>
    <row r="95" spans="1:17" x14ac:dyDescent="0.2">
      <c r="A95" s="453">
        <v>40422</v>
      </c>
      <c r="B95" s="454">
        <v>7400612</v>
      </c>
      <c r="C95" s="458">
        <f>+'Purchased Power Model '!C95</f>
        <v>85.5</v>
      </c>
      <c r="D95" s="458">
        <f>+'Purchased Power Model '!D95</f>
        <v>18.5</v>
      </c>
      <c r="E95" s="443">
        <f>+'Purchased Power Model '!E95</f>
        <v>0.10099999999999999</v>
      </c>
      <c r="F95" s="53">
        <f>+'Purchased Power Model '!F95</f>
        <v>30</v>
      </c>
      <c r="G95" s="53">
        <f>+'Purchased Power Model '!G95</f>
        <v>1</v>
      </c>
      <c r="H95" s="17">
        <v>10</v>
      </c>
      <c r="I95" s="456">
        <f t="shared" si="3"/>
        <v>7176395.6296933424</v>
      </c>
      <c r="J95" s="457">
        <f t="shared" si="4"/>
        <v>-224216.37030665763</v>
      </c>
      <c r="K95" s="5">
        <f t="shared" si="5"/>
        <v>-3.0297003856796928E-2</v>
      </c>
    </row>
    <row r="96" spans="1:17" x14ac:dyDescent="0.2">
      <c r="A96" s="453">
        <v>40452</v>
      </c>
      <c r="B96" s="454">
        <v>6682210</v>
      </c>
      <c r="C96" s="458">
        <f>+'Purchased Power Model '!C96</f>
        <v>247.8</v>
      </c>
      <c r="D96" s="458">
        <f>+'Purchased Power Model '!D96</f>
        <v>0</v>
      </c>
      <c r="E96" s="443">
        <f>+'Purchased Power Model '!E96</f>
        <v>9.3000000000000013E-2</v>
      </c>
      <c r="F96" s="53">
        <f>+'Purchased Power Model '!F96</f>
        <v>31</v>
      </c>
      <c r="G96" s="53">
        <f>+'Purchased Power Model '!G96</f>
        <v>1</v>
      </c>
      <c r="H96" s="17">
        <v>10</v>
      </c>
      <c r="I96" s="456">
        <f t="shared" si="3"/>
        <v>6716288.0389695717</v>
      </c>
      <c r="J96" s="457">
        <f t="shared" si="4"/>
        <v>34078.038969571702</v>
      </c>
      <c r="K96" s="5">
        <f t="shared" si="5"/>
        <v>5.0998156253053558E-3</v>
      </c>
    </row>
    <row r="97" spans="1:11" x14ac:dyDescent="0.2">
      <c r="A97" s="453">
        <v>40483</v>
      </c>
      <c r="B97" s="454">
        <v>6558043</v>
      </c>
      <c r="C97" s="458">
        <f>+'Purchased Power Model '!C97</f>
        <v>389.2</v>
      </c>
      <c r="D97" s="458">
        <f>+'Purchased Power Model '!D97</f>
        <v>0</v>
      </c>
      <c r="E97" s="443">
        <f>+'Purchased Power Model '!E97</f>
        <v>9.3000000000000013E-2</v>
      </c>
      <c r="F97" s="53">
        <f>+'Purchased Power Model '!F97</f>
        <v>30</v>
      </c>
      <c r="G97" s="53">
        <f>+'Purchased Power Model '!G97</f>
        <v>1</v>
      </c>
      <c r="H97" s="17">
        <v>10</v>
      </c>
      <c r="I97" s="456">
        <f t="shared" si="3"/>
        <v>6523151.6886966787</v>
      </c>
      <c r="J97" s="457">
        <f t="shared" si="4"/>
        <v>-34891.311303321272</v>
      </c>
      <c r="K97" s="5">
        <f t="shared" si="5"/>
        <v>-5.3203846487925241E-3</v>
      </c>
    </row>
    <row r="98" spans="1:11" x14ac:dyDescent="0.2">
      <c r="A98" s="453">
        <v>40513</v>
      </c>
      <c r="B98" s="454">
        <v>6368445</v>
      </c>
      <c r="C98" s="458">
        <f>+'Purchased Power Model '!C98</f>
        <v>628.70000000000005</v>
      </c>
      <c r="D98" s="458">
        <f>+'Purchased Power Model '!D98</f>
        <v>0</v>
      </c>
      <c r="E98" s="443">
        <f>+'Purchased Power Model '!E98</f>
        <v>9.3000000000000013E-2</v>
      </c>
      <c r="F98" s="53">
        <f>+'Purchased Power Model '!F98</f>
        <v>31</v>
      </c>
      <c r="G98" s="53">
        <f>+'Purchased Power Model '!G98</f>
        <v>0</v>
      </c>
      <c r="H98" s="17">
        <v>10</v>
      </c>
      <c r="I98" s="456">
        <f t="shared" si="3"/>
        <v>6338537.9688554537</v>
      </c>
      <c r="J98" s="457">
        <f t="shared" si="4"/>
        <v>-29907.031144546345</v>
      </c>
      <c r="K98" s="5">
        <f t="shared" si="5"/>
        <v>-4.6961277273410299E-3</v>
      </c>
    </row>
    <row r="99" spans="1:11" x14ac:dyDescent="0.2">
      <c r="A99" s="453">
        <v>40544</v>
      </c>
      <c r="B99" s="27">
        <v>6443673</v>
      </c>
      <c r="C99" s="458">
        <f>+'Purchased Power Model '!C99</f>
        <v>760.9</v>
      </c>
      <c r="D99" s="458">
        <f>+'Purchased Power Model '!D99</f>
        <v>0</v>
      </c>
      <c r="E99" s="443">
        <f>+'Purchased Power Model '!E99</f>
        <v>8.8000000000000009E-2</v>
      </c>
      <c r="F99" s="53">
        <f>+'Purchased Power Model '!F99</f>
        <v>31</v>
      </c>
      <c r="G99" s="53">
        <f>+'Purchased Power Model '!G99</f>
        <v>0</v>
      </c>
      <c r="H99" s="17">
        <v>10</v>
      </c>
      <c r="I99" s="456">
        <f t="shared" si="3"/>
        <v>5989683.208024228</v>
      </c>
      <c r="J99" s="457">
        <f t="shared" si="4"/>
        <v>-453989.79197577201</v>
      </c>
      <c r="K99" s="5">
        <f t="shared" si="5"/>
        <v>-7.0455125822767861E-2</v>
      </c>
    </row>
    <row r="100" spans="1:11" x14ac:dyDescent="0.2">
      <c r="A100" s="453">
        <v>40575</v>
      </c>
      <c r="B100" s="27">
        <v>6570423</v>
      </c>
      <c r="C100" s="458">
        <f>+'Purchased Power Model '!C100</f>
        <v>634.19999999999993</v>
      </c>
      <c r="D100" s="458">
        <f>+'Purchased Power Model '!D100</f>
        <v>0</v>
      </c>
      <c r="E100" s="443">
        <f>+'Purchased Power Model '!E100</f>
        <v>8.8000000000000009E-2</v>
      </c>
      <c r="F100" s="53">
        <f>+'Purchased Power Model '!F100</f>
        <v>28</v>
      </c>
      <c r="G100" s="53">
        <f>+'Purchased Power Model '!G100</f>
        <v>0</v>
      </c>
      <c r="H100" s="17">
        <v>10</v>
      </c>
      <c r="I100" s="456">
        <f t="shared" si="3"/>
        <v>6926979.856893504</v>
      </c>
      <c r="J100" s="457">
        <f t="shared" si="4"/>
        <v>356556.85689350404</v>
      </c>
      <c r="K100" s="5">
        <f t="shared" si="5"/>
        <v>5.4266956159976919E-2</v>
      </c>
    </row>
    <row r="101" spans="1:11" x14ac:dyDescent="0.2">
      <c r="A101" s="453">
        <v>40603</v>
      </c>
      <c r="B101" s="27">
        <v>5927522</v>
      </c>
      <c r="C101" s="458">
        <f>+'Purchased Power Model '!C101</f>
        <v>559.80000000000007</v>
      </c>
      <c r="D101" s="458">
        <f>+'Purchased Power Model '!D101</f>
        <v>0</v>
      </c>
      <c r="E101" s="443">
        <f>+'Purchased Power Model '!E101</f>
        <v>8.8000000000000009E-2</v>
      </c>
      <c r="F101" s="53">
        <f>+'Purchased Power Model '!F101</f>
        <v>31</v>
      </c>
      <c r="G101" s="53">
        <f>+'Purchased Power Model '!G101</f>
        <v>1</v>
      </c>
      <c r="H101" s="17">
        <v>10</v>
      </c>
      <c r="I101" s="456">
        <f t="shared" si="3"/>
        <v>5872418.420988421</v>
      </c>
      <c r="J101" s="457">
        <f t="shared" si="4"/>
        <v>-55103.579011579044</v>
      </c>
      <c r="K101" s="5">
        <f t="shared" si="5"/>
        <v>-9.2962251361663507E-3</v>
      </c>
    </row>
    <row r="102" spans="1:11" x14ac:dyDescent="0.2">
      <c r="A102" s="453">
        <v>40634</v>
      </c>
      <c r="B102" s="27">
        <v>6620336</v>
      </c>
      <c r="C102" s="458">
        <f>+'Purchased Power Model '!C102</f>
        <v>350.79999999999995</v>
      </c>
      <c r="D102" s="458">
        <f>+'Purchased Power Model '!D102</f>
        <v>0</v>
      </c>
      <c r="E102" s="443">
        <f>+'Purchased Power Model '!E102</f>
        <v>9.0999999999999998E-2</v>
      </c>
      <c r="F102" s="53">
        <f>+'Purchased Power Model '!F102</f>
        <v>30</v>
      </c>
      <c r="G102" s="53">
        <f>+'Purchased Power Model '!G102</f>
        <v>1</v>
      </c>
      <c r="H102" s="17">
        <v>10</v>
      </c>
      <c r="I102" s="456">
        <f t="shared" si="3"/>
        <v>6634916.5483277328</v>
      </c>
      <c r="J102" s="457">
        <f t="shared" si="4"/>
        <v>14580.548327732831</v>
      </c>
      <c r="K102" s="5">
        <f t="shared" si="5"/>
        <v>2.2023879645584198E-3</v>
      </c>
    </row>
    <row r="103" spans="1:11" x14ac:dyDescent="0.2">
      <c r="A103" s="453">
        <v>40664</v>
      </c>
      <c r="B103" s="27">
        <v>6116607</v>
      </c>
      <c r="C103" s="458">
        <f>+'Purchased Power Model '!C103</f>
        <v>157.69999999999996</v>
      </c>
      <c r="D103" s="458">
        <f>+'Purchased Power Model '!D103</f>
        <v>2.8</v>
      </c>
      <c r="E103" s="443">
        <f>+'Purchased Power Model '!E103</f>
        <v>9.0999999999999998E-2</v>
      </c>
      <c r="F103" s="53">
        <f>+'Purchased Power Model '!F103</f>
        <v>31</v>
      </c>
      <c r="G103" s="53">
        <f>+'Purchased Power Model '!G103</f>
        <v>1</v>
      </c>
      <c r="H103" s="17">
        <v>10</v>
      </c>
      <c r="I103" s="456">
        <f t="shared" si="3"/>
        <v>6946369.6078024404</v>
      </c>
      <c r="J103" s="457">
        <f t="shared" si="4"/>
        <v>829762.60780244041</v>
      </c>
      <c r="K103" s="5">
        <f t="shared" si="5"/>
        <v>0.13565733548067424</v>
      </c>
    </row>
    <row r="104" spans="1:11" x14ac:dyDescent="0.2">
      <c r="A104" s="453">
        <v>40695</v>
      </c>
      <c r="B104" s="27">
        <v>6577568</v>
      </c>
      <c r="C104" s="458">
        <f>+'Purchased Power Model '!C104</f>
        <v>26.699999999999996</v>
      </c>
      <c r="D104" s="458">
        <f>+'Purchased Power Model '!D104</f>
        <v>36.900000000000006</v>
      </c>
      <c r="E104" s="443">
        <f>+'Purchased Power Model '!E104</f>
        <v>9.0999999999999998E-2</v>
      </c>
      <c r="F104" s="53">
        <f>+'Purchased Power Model '!F104</f>
        <v>30</v>
      </c>
      <c r="G104" s="53">
        <f>+'Purchased Power Model '!G104</f>
        <v>0</v>
      </c>
      <c r="H104" s="17">
        <v>10</v>
      </c>
      <c r="I104" s="456">
        <f t="shared" si="3"/>
        <v>7881572.6433730265</v>
      </c>
      <c r="J104" s="457">
        <f t="shared" si="4"/>
        <v>1304004.6433730265</v>
      </c>
      <c r="K104" s="5">
        <f t="shared" si="5"/>
        <v>0.19825027173767365</v>
      </c>
    </row>
    <row r="105" spans="1:11" x14ac:dyDescent="0.2">
      <c r="A105" s="453">
        <v>40725</v>
      </c>
      <c r="B105" s="27">
        <v>6856409</v>
      </c>
      <c r="C105" s="458">
        <f>+'Purchased Power Model '!C105</f>
        <v>0.2</v>
      </c>
      <c r="D105" s="458">
        <f>+'Purchased Power Model '!D105</f>
        <v>141.19999999999999</v>
      </c>
      <c r="E105" s="443">
        <f>+'Purchased Power Model '!E105</f>
        <v>7.2999999999999995E-2</v>
      </c>
      <c r="F105" s="53">
        <f>+'Purchased Power Model '!F105</f>
        <v>31</v>
      </c>
      <c r="G105" s="53">
        <f>+'Purchased Power Model '!G105</f>
        <v>0</v>
      </c>
      <c r="H105" s="17">
        <v>10</v>
      </c>
      <c r="I105" s="456">
        <f t="shared" si="3"/>
        <v>6917999.5530523267</v>
      </c>
      <c r="J105" s="457">
        <f t="shared" si="4"/>
        <v>61590.553052326664</v>
      </c>
      <c r="K105" s="5">
        <f t="shared" si="5"/>
        <v>8.9829170127287711E-3</v>
      </c>
    </row>
    <row r="106" spans="1:11" x14ac:dyDescent="0.2">
      <c r="A106" s="453">
        <v>40756</v>
      </c>
      <c r="B106" s="27">
        <v>7306163</v>
      </c>
      <c r="C106" s="458">
        <f>+'Purchased Power Model '!C106</f>
        <v>3.7</v>
      </c>
      <c r="D106" s="458">
        <f>+'Purchased Power Model '!D106</f>
        <v>80.499999999999957</v>
      </c>
      <c r="E106" s="443">
        <f>+'Purchased Power Model '!E106</f>
        <v>7.2999999999999995E-2</v>
      </c>
      <c r="F106" s="53">
        <f>+'Purchased Power Model '!F106</f>
        <v>31</v>
      </c>
      <c r="G106" s="53">
        <f>+'Purchased Power Model '!G106</f>
        <v>0</v>
      </c>
      <c r="H106" s="17">
        <v>10</v>
      </c>
      <c r="I106" s="456">
        <f t="shared" si="3"/>
        <v>7429098.2521425225</v>
      </c>
      <c r="J106" s="457">
        <f t="shared" si="4"/>
        <v>122935.25214252248</v>
      </c>
      <c r="K106" s="5">
        <f t="shared" si="5"/>
        <v>1.6826240003476857E-2</v>
      </c>
    </row>
    <row r="107" spans="1:11" x14ac:dyDescent="0.2">
      <c r="A107" s="453">
        <v>40787</v>
      </c>
      <c r="B107" s="27">
        <v>7539867</v>
      </c>
      <c r="C107" s="458">
        <f>+'Purchased Power Model '!C107</f>
        <v>48.900000000000006</v>
      </c>
      <c r="D107" s="458">
        <f>+'Purchased Power Model '!D107</f>
        <v>34.6</v>
      </c>
      <c r="E107" s="443">
        <f>+'Purchased Power Model '!E107</f>
        <v>7.2999999999999995E-2</v>
      </c>
      <c r="F107" s="53">
        <f>+'Purchased Power Model '!F107</f>
        <v>30</v>
      </c>
      <c r="G107" s="53">
        <f>+'Purchased Power Model '!G107</f>
        <v>1</v>
      </c>
      <c r="H107" s="17">
        <v>10</v>
      </c>
      <c r="I107" s="456">
        <f t="shared" si="3"/>
        <v>7223660.6429315321</v>
      </c>
      <c r="J107" s="457">
        <f t="shared" si="4"/>
        <v>-316206.35706846789</v>
      </c>
      <c r="K107" s="5">
        <f t="shared" si="5"/>
        <v>-4.193792238887873E-2</v>
      </c>
    </row>
    <row r="108" spans="1:11" x14ac:dyDescent="0.2">
      <c r="A108" s="453">
        <v>40817</v>
      </c>
      <c r="B108" s="27">
        <v>7091875</v>
      </c>
      <c r="C108" s="458">
        <f>+'Purchased Power Model '!C108</f>
        <v>225.29999999999998</v>
      </c>
      <c r="D108" s="458">
        <f>+'Purchased Power Model '!D108</f>
        <v>0</v>
      </c>
      <c r="E108" s="443">
        <f>+'Purchased Power Model '!E108</f>
        <v>7.400000000000001E-2</v>
      </c>
      <c r="F108" s="53">
        <f>+'Purchased Power Model '!F108</f>
        <v>31</v>
      </c>
      <c r="G108" s="53">
        <f>+'Purchased Power Model '!G108</f>
        <v>1</v>
      </c>
      <c r="H108" s="17">
        <v>10</v>
      </c>
      <c r="I108" s="456">
        <f t="shared" si="3"/>
        <v>6835653.8406012999</v>
      </c>
      <c r="J108" s="457">
        <f t="shared" si="4"/>
        <v>-256221.15939870011</v>
      </c>
      <c r="K108" s="5">
        <f t="shared" si="5"/>
        <v>-3.6128831853170014E-2</v>
      </c>
    </row>
    <row r="109" spans="1:11" x14ac:dyDescent="0.2">
      <c r="A109" s="453">
        <v>40848</v>
      </c>
      <c r="B109" s="27">
        <v>6525631</v>
      </c>
      <c r="C109" s="458">
        <f>+'Purchased Power Model '!C109</f>
        <v>349.69999999999993</v>
      </c>
      <c r="D109" s="458">
        <f>+'Purchased Power Model '!D109</f>
        <v>0</v>
      </c>
      <c r="E109" s="443">
        <f>+'Purchased Power Model '!E109</f>
        <v>7.400000000000001E-2</v>
      </c>
      <c r="F109" s="53">
        <f>+'Purchased Power Model '!F109</f>
        <v>30</v>
      </c>
      <c r="G109" s="53">
        <f>+'Purchased Power Model '!G109</f>
        <v>1</v>
      </c>
      <c r="H109" s="17">
        <v>10</v>
      </c>
      <c r="I109" s="456">
        <f t="shared" si="3"/>
        <v>6689320.8972891886</v>
      </c>
      <c r="J109" s="457">
        <f t="shared" si="4"/>
        <v>163689.89728918858</v>
      </c>
      <c r="K109" s="5">
        <f t="shared" si="5"/>
        <v>2.5084148535090105E-2</v>
      </c>
    </row>
    <row r="110" spans="1:11" x14ac:dyDescent="0.2">
      <c r="A110" s="453">
        <v>40878</v>
      </c>
      <c r="B110" s="27">
        <v>6331942</v>
      </c>
      <c r="C110" s="458">
        <f>+'Purchased Power Model '!C110</f>
        <v>531.20000000000005</v>
      </c>
      <c r="D110" s="458">
        <f>+'Purchased Power Model '!D110</f>
        <v>0</v>
      </c>
      <c r="E110" s="443">
        <f>+'Purchased Power Model '!E110</f>
        <v>7.400000000000001E-2</v>
      </c>
      <c r="F110" s="53">
        <f>+'Purchased Power Model '!F110</f>
        <v>31</v>
      </c>
      <c r="G110" s="53">
        <f>+'Purchased Power Model '!G110</f>
        <v>0</v>
      </c>
      <c r="H110" s="17">
        <v>10</v>
      </c>
      <c r="I110" s="456">
        <f t="shared" si="3"/>
        <v>6664389.38943181</v>
      </c>
      <c r="J110" s="457">
        <f t="shared" si="4"/>
        <v>332447.38943181001</v>
      </c>
      <c r="K110" s="5">
        <f t="shared" si="5"/>
        <v>5.2503227198197645E-2</v>
      </c>
    </row>
    <row r="111" spans="1:11" x14ac:dyDescent="0.2">
      <c r="A111" s="453">
        <v>40909</v>
      </c>
      <c r="B111" s="27">
        <v>6179904</v>
      </c>
      <c r="C111" s="458">
        <f>+'Purchased Power Model '!C111</f>
        <v>611</v>
      </c>
      <c r="D111" s="458">
        <f>+'Purchased Power Model '!D111</f>
        <v>0</v>
      </c>
      <c r="E111" s="443">
        <f>+'Purchased Power Model '!E111</f>
        <v>7.9000000000000001E-2</v>
      </c>
      <c r="F111" s="53">
        <f>+'Purchased Power Model '!F111</f>
        <v>31</v>
      </c>
      <c r="G111" s="53">
        <f>+'Purchased Power Model '!G111</f>
        <v>0</v>
      </c>
      <c r="H111" s="17">
        <v>10</v>
      </c>
      <c r="I111" s="456">
        <f t="shared" si="3"/>
        <v>6429578.1340462137</v>
      </c>
      <c r="J111" s="457">
        <f t="shared" si="4"/>
        <v>249674.1340462137</v>
      </c>
      <c r="K111" s="5">
        <f t="shared" si="5"/>
        <v>4.0400972902849899E-2</v>
      </c>
    </row>
    <row r="112" spans="1:11" x14ac:dyDescent="0.2">
      <c r="A112" s="453">
        <v>40940</v>
      </c>
      <c r="B112" s="27">
        <v>6319705</v>
      </c>
      <c r="C112" s="458">
        <f>+'Purchased Power Model '!C112</f>
        <v>536.20000000000005</v>
      </c>
      <c r="D112" s="458">
        <f>+'Purchased Power Model '!D112</f>
        <v>0</v>
      </c>
      <c r="E112" s="443">
        <f>+'Purchased Power Model '!E112</f>
        <v>7.9000000000000001E-2</v>
      </c>
      <c r="F112" s="53">
        <f>+'Purchased Power Model '!F112</f>
        <v>29</v>
      </c>
      <c r="G112" s="53">
        <f>+'Purchased Power Model '!G112</f>
        <v>0</v>
      </c>
      <c r="H112" s="17">
        <v>10</v>
      </c>
      <c r="I112" s="456">
        <f t="shared" si="3"/>
        <v>7027828.864628423</v>
      </c>
      <c r="J112" s="457">
        <f t="shared" si="4"/>
        <v>708123.86462842301</v>
      </c>
      <c r="K112" s="5">
        <f t="shared" si="5"/>
        <v>0.11205014547805997</v>
      </c>
    </row>
    <row r="113" spans="1:11" x14ac:dyDescent="0.2">
      <c r="A113" s="453">
        <v>40969</v>
      </c>
      <c r="B113" s="27">
        <v>5970171</v>
      </c>
      <c r="C113" s="458">
        <f>+'Purchased Power Model '!C113</f>
        <v>399.39999999999992</v>
      </c>
      <c r="D113" s="458">
        <f>+'Purchased Power Model '!D113</f>
        <v>0</v>
      </c>
      <c r="E113" s="443">
        <f>+'Purchased Power Model '!E113</f>
        <v>7.9000000000000001E-2</v>
      </c>
      <c r="F113" s="53">
        <f>+'Purchased Power Model '!F113</f>
        <v>31</v>
      </c>
      <c r="G113" s="53">
        <f>+'Purchased Power Model '!G113</f>
        <v>1</v>
      </c>
      <c r="H113" s="17">
        <v>10</v>
      </c>
      <c r="I113" s="456">
        <f t="shared" si="3"/>
        <v>6341221.3336626543</v>
      </c>
      <c r="J113" s="457">
        <f t="shared" si="4"/>
        <v>371050.33366265427</v>
      </c>
      <c r="K113" s="5">
        <f t="shared" si="5"/>
        <v>6.2150704504553435E-2</v>
      </c>
    </row>
    <row r="114" spans="1:11" x14ac:dyDescent="0.2">
      <c r="A114" s="453">
        <v>41000</v>
      </c>
      <c r="B114" s="27">
        <v>6499928</v>
      </c>
      <c r="C114" s="458">
        <f>+'Purchased Power Model '!C114</f>
        <v>336.89999999999992</v>
      </c>
      <c r="D114" s="458">
        <f>+'Purchased Power Model '!D114</f>
        <v>0</v>
      </c>
      <c r="E114" s="443">
        <f>+'Purchased Power Model '!E114</f>
        <v>8.4000000000000005E-2</v>
      </c>
      <c r="F114" s="53">
        <f>+'Purchased Power Model '!F114</f>
        <v>30</v>
      </c>
      <c r="G114" s="53">
        <f>+'Purchased Power Model '!G114</f>
        <v>1</v>
      </c>
      <c r="H114" s="17">
        <v>10</v>
      </c>
      <c r="I114" s="456">
        <f t="shared" si="3"/>
        <v>6694339.9959320519</v>
      </c>
      <c r="J114" s="457">
        <f t="shared" si="4"/>
        <v>194411.99593205191</v>
      </c>
      <c r="K114" s="5">
        <f t="shared" si="5"/>
        <v>2.9909869145020054E-2</v>
      </c>
    </row>
    <row r="115" spans="1:11" x14ac:dyDescent="0.2">
      <c r="A115" s="453">
        <v>41030</v>
      </c>
      <c r="B115" s="27">
        <v>5793832</v>
      </c>
      <c r="C115" s="458">
        <f>+'Purchased Power Model '!C115</f>
        <v>109.30000000000001</v>
      </c>
      <c r="D115" s="458">
        <f>+'Purchased Power Model '!D115</f>
        <v>21.8</v>
      </c>
      <c r="E115" s="443">
        <f>+'Purchased Power Model '!E115</f>
        <v>8.4000000000000005E-2</v>
      </c>
      <c r="F115" s="53">
        <f>+'Purchased Power Model '!F115</f>
        <v>31</v>
      </c>
      <c r="G115" s="53">
        <f>+'Purchased Power Model '!G115</f>
        <v>1</v>
      </c>
      <c r="H115" s="17">
        <v>10</v>
      </c>
      <c r="I115" s="456">
        <f t="shared" si="3"/>
        <v>6937778.7597559197</v>
      </c>
      <c r="J115" s="457">
        <f t="shared" si="4"/>
        <v>1143946.7597559197</v>
      </c>
      <c r="K115" s="5">
        <f t="shared" si="5"/>
        <v>0.19744216949264662</v>
      </c>
    </row>
    <row r="116" spans="1:11" x14ac:dyDescent="0.2">
      <c r="A116" s="453">
        <v>41061</v>
      </c>
      <c r="B116" s="27">
        <v>6390914</v>
      </c>
      <c r="C116" s="458">
        <f>+'Purchased Power Model '!C116</f>
        <v>28.2</v>
      </c>
      <c r="D116" s="458">
        <f>+'Purchased Power Model '!D116</f>
        <v>64.3</v>
      </c>
      <c r="E116" s="443">
        <f>+'Purchased Power Model '!E116</f>
        <v>8.4000000000000005E-2</v>
      </c>
      <c r="F116" s="53">
        <f>+'Purchased Power Model '!F116</f>
        <v>30</v>
      </c>
      <c r="G116" s="53">
        <f>+'Purchased Power Model '!G116</f>
        <v>0</v>
      </c>
      <c r="H116" s="17">
        <v>10</v>
      </c>
      <c r="I116" s="456">
        <f t="shared" si="3"/>
        <v>7663537.8978166198</v>
      </c>
      <c r="J116" s="457">
        <f t="shared" si="4"/>
        <v>1272623.8978166198</v>
      </c>
      <c r="K116" s="5">
        <f t="shared" si="5"/>
        <v>0.19913018667073595</v>
      </c>
    </row>
    <row r="117" spans="1:11" x14ac:dyDescent="0.2">
      <c r="A117" s="453">
        <v>41091</v>
      </c>
      <c r="B117" s="27">
        <v>6665317</v>
      </c>
      <c r="C117" s="458">
        <f>+'Purchased Power Model '!C117</f>
        <v>0</v>
      </c>
      <c r="D117" s="458">
        <f>+'Purchased Power Model '!D117</f>
        <v>155.30000000000001</v>
      </c>
      <c r="E117" s="443">
        <f>+'Purchased Power Model '!E117</f>
        <v>8.900000000000001E-2</v>
      </c>
      <c r="F117" s="53">
        <f>+'Purchased Power Model '!F117</f>
        <v>31</v>
      </c>
      <c r="G117" s="53">
        <f>+'Purchased Power Model '!G117</f>
        <v>0</v>
      </c>
      <c r="H117" s="17">
        <v>10</v>
      </c>
      <c r="I117" s="456">
        <f t="shared" si="3"/>
        <v>6749234.9630366117</v>
      </c>
      <c r="J117" s="457">
        <f t="shared" si="4"/>
        <v>83917.963036611676</v>
      </c>
      <c r="K117" s="5">
        <f t="shared" si="5"/>
        <v>1.2590243350258011E-2</v>
      </c>
    </row>
    <row r="118" spans="1:11" x14ac:dyDescent="0.2">
      <c r="A118" s="453">
        <v>41122</v>
      </c>
      <c r="B118" s="27">
        <v>7277776</v>
      </c>
      <c r="C118" s="458">
        <f>+'Purchased Power Model '!C118</f>
        <v>4.4000000000000004</v>
      </c>
      <c r="D118" s="458">
        <f>+'Purchased Power Model '!D118</f>
        <v>102.79999999999998</v>
      </c>
      <c r="E118" s="443">
        <f>+'Purchased Power Model '!E118</f>
        <v>8.900000000000001E-2</v>
      </c>
      <c r="F118" s="53">
        <f>+'Purchased Power Model '!F118</f>
        <v>31</v>
      </c>
      <c r="G118" s="53">
        <f>+'Purchased Power Model '!G118</f>
        <v>0</v>
      </c>
      <c r="H118" s="17">
        <v>10</v>
      </c>
      <c r="I118" s="456">
        <f t="shared" si="3"/>
        <v>7187509.4673838895</v>
      </c>
      <c r="J118" s="457">
        <f t="shared" si="4"/>
        <v>-90266.532616110519</v>
      </c>
      <c r="K118" s="5">
        <f t="shared" si="5"/>
        <v>-1.2403038045703869E-2</v>
      </c>
    </row>
    <row r="119" spans="1:11" x14ac:dyDescent="0.2">
      <c r="A119" s="453">
        <v>41153</v>
      </c>
      <c r="B119" s="27">
        <v>7136835</v>
      </c>
      <c r="C119" s="458">
        <f>+'Purchased Power Model '!C119</f>
        <v>84</v>
      </c>
      <c r="D119" s="458">
        <f>+'Purchased Power Model '!D119</f>
        <v>24.400000000000002</v>
      </c>
      <c r="E119" s="443">
        <f>+'Purchased Power Model '!E119</f>
        <v>8.900000000000001E-2</v>
      </c>
      <c r="F119" s="53">
        <f>+'Purchased Power Model '!F119</f>
        <v>30</v>
      </c>
      <c r="G119" s="53">
        <f>+'Purchased Power Model '!G119</f>
        <v>1</v>
      </c>
      <c r="H119" s="17">
        <v>10</v>
      </c>
      <c r="I119" s="456">
        <f t="shared" si="3"/>
        <v>7166175.609294571</v>
      </c>
      <c r="J119" s="457">
        <f t="shared" si="4"/>
        <v>29340.609294570982</v>
      </c>
      <c r="K119" s="5">
        <f t="shared" si="5"/>
        <v>4.1111514129962348E-3</v>
      </c>
    </row>
    <row r="120" spans="1:11" x14ac:dyDescent="0.2">
      <c r="A120" s="453">
        <v>41183</v>
      </c>
      <c r="B120" s="27">
        <v>6492045</v>
      </c>
      <c r="C120" s="458">
        <f>+'Purchased Power Model '!C120</f>
        <v>228.99999999999994</v>
      </c>
      <c r="D120" s="458">
        <f>+'Purchased Power Model '!D120</f>
        <v>0</v>
      </c>
      <c r="E120" s="443">
        <f>+'Purchased Power Model '!E120</f>
        <v>9.1999999999999998E-2</v>
      </c>
      <c r="F120" s="53">
        <f>+'Purchased Power Model '!F120</f>
        <v>31</v>
      </c>
      <c r="G120" s="53">
        <f>+'Purchased Power Model '!G120</f>
        <v>1</v>
      </c>
      <c r="H120" s="17">
        <v>11</v>
      </c>
      <c r="I120" s="456">
        <f t="shared" si="3"/>
        <v>6771069.2121507293</v>
      </c>
      <c r="J120" s="457">
        <f t="shared" si="4"/>
        <v>279024.21215072926</v>
      </c>
      <c r="K120" s="5">
        <f t="shared" si="5"/>
        <v>4.2979402045230625E-2</v>
      </c>
    </row>
    <row r="121" spans="1:11" x14ac:dyDescent="0.2">
      <c r="A121" s="453">
        <v>41214</v>
      </c>
      <c r="B121" s="27">
        <v>6332984</v>
      </c>
      <c r="C121" s="458">
        <f>+'Purchased Power Model '!C121</f>
        <v>427.89999999999992</v>
      </c>
      <c r="D121" s="458">
        <f>+'Purchased Power Model '!D121</f>
        <v>0</v>
      </c>
      <c r="E121" s="443">
        <f>+'Purchased Power Model '!E121</f>
        <v>9.1999999999999998E-2</v>
      </c>
      <c r="F121" s="53">
        <f>+'Purchased Power Model '!F121</f>
        <v>30</v>
      </c>
      <c r="G121" s="53">
        <f>+'Purchased Power Model '!G121</f>
        <v>1</v>
      </c>
      <c r="H121" s="17">
        <v>11</v>
      </c>
      <c r="I121" s="456">
        <f t="shared" si="3"/>
        <v>6419627.2206869517</v>
      </c>
      <c r="J121" s="457">
        <f t="shared" si="4"/>
        <v>86643.220686951652</v>
      </c>
      <c r="K121" s="5">
        <f t="shared" si="5"/>
        <v>1.3681263159191884E-2</v>
      </c>
    </row>
    <row r="122" spans="1:11" x14ac:dyDescent="0.2">
      <c r="A122" s="453">
        <v>41244</v>
      </c>
      <c r="B122" s="27">
        <v>5768726</v>
      </c>
      <c r="C122" s="458">
        <f>+'Purchased Power Model '!C122</f>
        <v>451.09999999999997</v>
      </c>
      <c r="D122" s="458">
        <f>+'Purchased Power Model '!D122</f>
        <v>0</v>
      </c>
      <c r="E122" s="443">
        <f>+'Purchased Power Model '!E122</f>
        <v>9.1999999999999998E-2</v>
      </c>
      <c r="F122" s="53">
        <f>+'Purchased Power Model '!F122</f>
        <v>31</v>
      </c>
      <c r="G122" s="53">
        <f>+'Purchased Power Model '!G122</f>
        <v>0</v>
      </c>
      <c r="H122" s="17">
        <v>11</v>
      </c>
      <c r="I122" s="456">
        <f t="shared" si="3"/>
        <v>6830518.0258820411</v>
      </c>
      <c r="J122" s="457">
        <f t="shared" si="4"/>
        <v>1061792.0258820411</v>
      </c>
      <c r="K122" s="5">
        <f t="shared" si="5"/>
        <v>0.18406005518064839</v>
      </c>
    </row>
    <row r="123" spans="1:11" x14ac:dyDescent="0.2">
      <c r="A123" s="453">
        <v>41275</v>
      </c>
      <c r="B123" s="27">
        <v>6271283</v>
      </c>
      <c r="C123" s="458">
        <f>+'Purchased Power Model '!C123</f>
        <v>615.40000000000009</v>
      </c>
      <c r="D123" s="458">
        <f>+'Purchased Power Model '!D123</f>
        <v>0</v>
      </c>
      <c r="E123" s="443">
        <f>+'Purchased Power Model '!E123</f>
        <v>8.8000000000000009E-2</v>
      </c>
      <c r="F123" s="53">
        <f>+'Purchased Power Model '!F123</f>
        <v>31</v>
      </c>
      <c r="G123" s="53">
        <f>+'Purchased Power Model '!G123</f>
        <v>0</v>
      </c>
      <c r="H123" s="17">
        <v>11</v>
      </c>
      <c r="I123" s="456">
        <f t="shared" si="3"/>
        <v>6390265.3087768108</v>
      </c>
      <c r="J123" s="457">
        <f t="shared" si="4"/>
        <v>118982.30877681077</v>
      </c>
      <c r="K123" s="5">
        <f t="shared" si="5"/>
        <v>1.8972562516603186E-2</v>
      </c>
    </row>
    <row r="124" spans="1:11" x14ac:dyDescent="0.2">
      <c r="A124" s="453">
        <v>41306</v>
      </c>
      <c r="B124" s="27">
        <v>6472376</v>
      </c>
      <c r="C124" s="458">
        <f>+'Purchased Power Model '!C124</f>
        <v>611.5</v>
      </c>
      <c r="D124" s="458">
        <f>+'Purchased Power Model '!D124</f>
        <v>0</v>
      </c>
      <c r="E124" s="443">
        <f>+'Purchased Power Model '!E124</f>
        <v>8.8000000000000009E-2</v>
      </c>
      <c r="F124" s="53">
        <f>+'Purchased Power Model '!F124</f>
        <v>28</v>
      </c>
      <c r="G124" s="53">
        <f>+'Purchased Power Model '!G124</f>
        <v>0</v>
      </c>
      <c r="H124" s="17">
        <v>11</v>
      </c>
      <c r="I124" s="456">
        <f t="shared" si="3"/>
        <v>6989476.1708940789</v>
      </c>
      <c r="J124" s="457">
        <f t="shared" si="4"/>
        <v>517100.17089407891</v>
      </c>
      <c r="K124" s="5">
        <f t="shared" si="5"/>
        <v>7.989340713427015E-2</v>
      </c>
    </row>
    <row r="125" spans="1:11" x14ac:dyDescent="0.2">
      <c r="A125" s="453">
        <v>41334</v>
      </c>
      <c r="B125" s="27">
        <v>5759394</v>
      </c>
      <c r="C125" s="458">
        <f>+'Purchased Power Model '!C125</f>
        <v>545</v>
      </c>
      <c r="D125" s="458">
        <f>+'Purchased Power Model '!D125</f>
        <v>0</v>
      </c>
      <c r="E125" s="443">
        <f>+'Purchased Power Model '!E125</f>
        <v>8.8000000000000009E-2</v>
      </c>
      <c r="F125" s="53">
        <f>+'Purchased Power Model '!F125</f>
        <v>31</v>
      </c>
      <c r="G125" s="53">
        <f>+'Purchased Power Model '!G125</f>
        <v>1</v>
      </c>
      <c r="H125" s="17">
        <v>11</v>
      </c>
      <c r="I125" s="456">
        <f t="shared" si="3"/>
        <v>5913164.9164601611</v>
      </c>
      <c r="J125" s="457">
        <f t="shared" si="4"/>
        <v>153770.9164601611</v>
      </c>
      <c r="K125" s="5">
        <f t="shared" si="5"/>
        <v>2.6699148636151842E-2</v>
      </c>
    </row>
    <row r="126" spans="1:11" x14ac:dyDescent="0.2">
      <c r="A126" s="453">
        <v>41365</v>
      </c>
      <c r="B126" s="27">
        <v>6287655</v>
      </c>
      <c r="C126" s="458">
        <f>+'Purchased Power Model '!C126</f>
        <v>366.49999999999994</v>
      </c>
      <c r="D126" s="458">
        <f>+'Purchased Power Model '!D126</f>
        <v>0</v>
      </c>
      <c r="E126" s="443">
        <f>+'Purchased Power Model '!E126</f>
        <v>7.400000000000001E-2</v>
      </c>
      <c r="F126" s="53">
        <f>+'Purchased Power Model '!F126</f>
        <v>30</v>
      </c>
      <c r="G126" s="53">
        <f>+'Purchased Power Model '!G126</f>
        <v>1</v>
      </c>
      <c r="H126" s="17">
        <v>11</v>
      </c>
      <c r="I126" s="456">
        <f t="shared" si="3"/>
        <v>6643068.1186455917</v>
      </c>
      <c r="J126" s="457">
        <f t="shared" si="4"/>
        <v>355413.11864559166</v>
      </c>
      <c r="K126" s="5">
        <f t="shared" si="5"/>
        <v>5.652554388648736E-2</v>
      </c>
    </row>
    <row r="127" spans="1:11" x14ac:dyDescent="0.2">
      <c r="A127" s="453">
        <v>41395</v>
      </c>
      <c r="B127" s="27">
        <v>6190002</v>
      </c>
      <c r="C127" s="458">
        <f>+'Purchased Power Model '!C127</f>
        <v>133.4</v>
      </c>
      <c r="D127" s="458">
        <f>+'Purchased Power Model '!D127</f>
        <v>3</v>
      </c>
      <c r="E127" s="443">
        <f>+'Purchased Power Model '!E127</f>
        <v>7.400000000000001E-2</v>
      </c>
      <c r="F127" s="53">
        <f>+'Purchased Power Model '!F127</f>
        <v>31</v>
      </c>
      <c r="G127" s="53">
        <f>+'Purchased Power Model '!G127</f>
        <v>1</v>
      </c>
      <c r="H127" s="17">
        <v>11</v>
      </c>
      <c r="I127" s="456">
        <f t="shared" si="3"/>
        <v>7062931.076500955</v>
      </c>
      <c r="J127" s="457">
        <f t="shared" si="4"/>
        <v>872929.07650095504</v>
      </c>
      <c r="K127" s="5">
        <f t="shared" si="5"/>
        <v>0.14102242236770765</v>
      </c>
    </row>
    <row r="128" spans="1:11" x14ac:dyDescent="0.2">
      <c r="A128" s="453">
        <v>41426</v>
      </c>
      <c r="B128" s="27">
        <v>6529850</v>
      </c>
      <c r="C128" s="458">
        <f>+'Purchased Power Model '!C128</f>
        <v>42.900000000000006</v>
      </c>
      <c r="D128" s="458">
        <f>+'Purchased Power Model '!D128</f>
        <v>32.200000000000003</v>
      </c>
      <c r="E128" s="443">
        <f>+'Purchased Power Model '!E128</f>
        <v>7.400000000000001E-2</v>
      </c>
      <c r="F128" s="53">
        <f>+'Purchased Power Model '!F128</f>
        <v>30</v>
      </c>
      <c r="G128" s="53">
        <f>+'Purchased Power Model '!G128</f>
        <v>0</v>
      </c>
      <c r="H128" s="17">
        <v>11</v>
      </c>
      <c r="I128" s="456">
        <f t="shared" si="3"/>
        <v>7928668.1217251411</v>
      </c>
      <c r="J128" s="457">
        <f t="shared" si="4"/>
        <v>1398818.1217251411</v>
      </c>
      <c r="K128" s="5">
        <f t="shared" si="5"/>
        <v>0.21421902826636768</v>
      </c>
    </row>
    <row r="129" spans="1:11" x14ac:dyDescent="0.2">
      <c r="A129" s="453">
        <v>41456</v>
      </c>
      <c r="B129" s="27">
        <v>6851836</v>
      </c>
      <c r="C129" s="458">
        <f>+'Purchased Power Model '!C129</f>
        <v>4.4000000000000004</v>
      </c>
      <c r="D129" s="458">
        <f>+'Purchased Power Model '!D129</f>
        <v>109.99999999999999</v>
      </c>
      <c r="E129" s="443">
        <f>+'Purchased Power Model '!E129</f>
        <v>6.2E-2</v>
      </c>
      <c r="F129" s="53">
        <f>+'Purchased Power Model '!F129</f>
        <v>31</v>
      </c>
      <c r="G129" s="53">
        <f>+'Purchased Power Model '!G129</f>
        <v>0</v>
      </c>
      <c r="H129" s="17">
        <v>11</v>
      </c>
      <c r="I129" s="456">
        <f t="shared" si="3"/>
        <v>7207338.9322246537</v>
      </c>
      <c r="J129" s="457">
        <f t="shared" si="4"/>
        <v>355502.93222465366</v>
      </c>
      <c r="K129" s="5">
        <f t="shared" si="5"/>
        <v>5.1884331765187267E-2</v>
      </c>
    </row>
    <row r="130" spans="1:11" x14ac:dyDescent="0.2">
      <c r="A130" s="453">
        <v>41487</v>
      </c>
      <c r="B130" s="27">
        <v>7451969</v>
      </c>
      <c r="C130" s="458">
        <f>+'Purchased Power Model '!C130</f>
        <v>11</v>
      </c>
      <c r="D130" s="458">
        <f>+'Purchased Power Model '!D130</f>
        <v>57.899999999999991</v>
      </c>
      <c r="E130" s="443">
        <f>+'Purchased Power Model '!E130</f>
        <v>6.2E-2</v>
      </c>
      <c r="F130" s="53">
        <f>+'Purchased Power Model '!F130</f>
        <v>31</v>
      </c>
      <c r="G130" s="53">
        <f>+'Purchased Power Model '!G130</f>
        <v>0</v>
      </c>
      <c r="H130" s="17">
        <v>11</v>
      </c>
      <c r="I130" s="456">
        <f t="shared" si="3"/>
        <v>7636124.9949699342</v>
      </c>
      <c r="J130" s="457">
        <f t="shared" si="4"/>
        <v>184155.99496993423</v>
      </c>
      <c r="K130" s="5">
        <f t="shared" si="5"/>
        <v>2.471239412965006E-2</v>
      </c>
    </row>
    <row r="131" spans="1:11" x14ac:dyDescent="0.2">
      <c r="A131" s="453">
        <v>41518</v>
      </c>
      <c r="B131" s="27">
        <v>7376956</v>
      </c>
      <c r="C131" s="458">
        <f>+'Purchased Power Model '!C131</f>
        <v>96.600000000000009</v>
      </c>
      <c r="D131" s="458">
        <f>+'Purchased Power Model '!D131</f>
        <v>15.700000000000001</v>
      </c>
      <c r="E131" s="443">
        <f>+'Purchased Power Model '!E131</f>
        <v>6.2E-2</v>
      </c>
      <c r="F131" s="53">
        <f>+'Purchased Power Model '!F131</f>
        <v>30</v>
      </c>
      <c r="G131" s="53">
        <f>+'Purchased Power Model '!G131</f>
        <v>1</v>
      </c>
      <c r="H131" s="17">
        <v>11</v>
      </c>
      <c r="I131" s="456">
        <f t="shared" si="3"/>
        <v>7287718.8121426031</v>
      </c>
      <c r="J131" s="457">
        <f t="shared" si="4"/>
        <v>-89237.187857396901</v>
      </c>
      <c r="K131" s="5">
        <f t="shared" si="5"/>
        <v>-1.2096749371610309E-2</v>
      </c>
    </row>
    <row r="132" spans="1:11" x14ac:dyDescent="0.2">
      <c r="A132" s="453">
        <v>41548</v>
      </c>
      <c r="B132" s="27">
        <v>6807968</v>
      </c>
      <c r="C132" s="458">
        <f>+'Purchased Power Model '!C132</f>
        <v>221</v>
      </c>
      <c r="D132" s="458">
        <f>+'Purchased Power Model '!D132</f>
        <v>3</v>
      </c>
      <c r="E132" s="443">
        <f>+'Purchased Power Model '!E132</f>
        <v>7.5999999999999998E-2</v>
      </c>
      <c r="F132" s="53">
        <f>+'Purchased Power Model '!F132</f>
        <v>31</v>
      </c>
      <c r="G132" s="53">
        <f>+'Purchased Power Model '!G132</f>
        <v>1</v>
      </c>
      <c r="H132" s="17">
        <v>11</v>
      </c>
      <c r="I132" s="456">
        <f t="shared" ref="I132:I195" si="6">$N$18+C132*$N$19+D132*$N$20+E132*$N$21+F132*$N$22+G132*$N$23</f>
        <v>6815711.6508422242</v>
      </c>
      <c r="J132" s="457">
        <f t="shared" ref="J132:J133" si="7">I132-B132</f>
        <v>7743.6508422242478</v>
      </c>
      <c r="K132" s="5">
        <f t="shared" ref="K132:K133" si="8">J132/B132</f>
        <v>1.1374393713695845E-3</v>
      </c>
    </row>
    <row r="133" spans="1:11" x14ac:dyDescent="0.2">
      <c r="A133" s="453">
        <v>41579</v>
      </c>
      <c r="B133" s="27">
        <v>6819877</v>
      </c>
      <c r="C133" s="458">
        <f>+'Purchased Power Model '!C133</f>
        <v>458.6</v>
      </c>
      <c r="D133" s="458">
        <f>+'Purchased Power Model '!D133</f>
        <v>0</v>
      </c>
      <c r="E133" s="443">
        <f>+'Purchased Power Model '!E133</f>
        <v>7.5999999999999998E-2</v>
      </c>
      <c r="F133" s="53">
        <f>+'Purchased Power Model '!F133</f>
        <v>30</v>
      </c>
      <c r="G133" s="53">
        <f>+'Purchased Power Model '!G133</f>
        <v>1</v>
      </c>
      <c r="H133" s="17">
        <v>11</v>
      </c>
      <c r="I133" s="456">
        <f t="shared" si="6"/>
        <v>6383459.5558501817</v>
      </c>
      <c r="J133" s="457">
        <f t="shared" si="7"/>
        <v>-436417.44414981827</v>
      </c>
      <c r="K133" s="5">
        <f t="shared" si="8"/>
        <v>-6.3991981695537659E-2</v>
      </c>
    </row>
    <row r="134" spans="1:11" x14ac:dyDescent="0.2">
      <c r="A134" s="453">
        <v>41609</v>
      </c>
      <c r="B134" s="27">
        <v>6357067</v>
      </c>
      <c r="C134" s="458">
        <f>+'Purchased Power Model '!C134</f>
        <v>472.8</v>
      </c>
      <c r="D134" s="458">
        <f ca="1">+'Purchased Power Model '!D134</f>
        <v>0</v>
      </c>
      <c r="E134" s="443">
        <f>+'Purchased Power Model '!E134</f>
        <v>7.5999999999999998E-2</v>
      </c>
      <c r="F134" s="53">
        <f>+'Purchased Power Model '!F134</f>
        <v>31</v>
      </c>
      <c r="G134" s="53">
        <f>+'Purchased Power Model '!G134</f>
        <v>0</v>
      </c>
      <c r="H134" s="17">
        <v>11</v>
      </c>
      <c r="I134" s="456">
        <f t="shared" ca="1" si="6"/>
        <v>6819128.6353186257</v>
      </c>
      <c r="J134" s="457">
        <f t="shared" ref="J134" ca="1" si="9">I134-B134</f>
        <v>462061.63531862572</v>
      </c>
      <c r="K134" s="5">
        <f t="shared" ref="K134" ca="1" si="10">J134/B134</f>
        <v>7.2684720063297389E-2</v>
      </c>
    </row>
    <row r="135" spans="1:11" x14ac:dyDescent="0.2">
      <c r="A135" s="453">
        <v>41640</v>
      </c>
      <c r="B135" s="27">
        <v>6019739</v>
      </c>
      <c r="C135" s="458">
        <f>+'Purchased Power Model '!C135</f>
        <v>771.3</v>
      </c>
      <c r="D135" s="458">
        <f>+'Purchased Power Model '!D135</f>
        <v>0</v>
      </c>
      <c r="E135" s="443">
        <f>+'Purchased Power Model '!E135</f>
        <v>7.6999999999999999E-2</v>
      </c>
      <c r="F135" s="53">
        <f>+'Purchased Power Model '!F135</f>
        <v>31</v>
      </c>
      <c r="G135" s="53">
        <f>+'Purchased Power Model '!G135</f>
        <v>0</v>
      </c>
      <c r="H135" s="17">
        <v>11</v>
      </c>
      <c r="I135" s="456">
        <f t="shared" si="6"/>
        <v>5994293.7605532948</v>
      </c>
      <c r="J135" s="457"/>
      <c r="K135" s="5"/>
    </row>
    <row r="136" spans="1:11" x14ac:dyDescent="0.2">
      <c r="A136" s="453">
        <v>41671</v>
      </c>
      <c r="B136" s="27">
        <v>6843927</v>
      </c>
      <c r="C136" s="458">
        <f>+'Purchased Power Model '!C136</f>
        <v>690.84999999999991</v>
      </c>
      <c r="D136" s="458">
        <f>+'Purchased Power Model '!D136</f>
        <v>0</v>
      </c>
      <c r="E136" s="443">
        <f>+'Purchased Power Model '!E136</f>
        <v>7.6999999999999999E-2</v>
      </c>
      <c r="F136" s="53">
        <f>+'Purchased Power Model '!F136</f>
        <v>28</v>
      </c>
      <c r="G136" s="53">
        <f>+'Purchased Power Model '!G136</f>
        <v>0</v>
      </c>
      <c r="H136" s="17">
        <v>11</v>
      </c>
      <c r="I136" s="456">
        <f t="shared" si="6"/>
        <v>6804257.6110733822</v>
      </c>
      <c r="J136" s="457"/>
      <c r="K136" s="5"/>
    </row>
    <row r="137" spans="1:11" x14ac:dyDescent="0.2">
      <c r="A137" s="453">
        <v>41699</v>
      </c>
      <c r="B137" s="27">
        <v>6410375</v>
      </c>
      <c r="C137" s="458">
        <f>+'Purchased Power Model '!C137</f>
        <v>677.95</v>
      </c>
      <c r="D137" s="458">
        <f>+'Purchased Power Model '!D137</f>
        <v>0</v>
      </c>
      <c r="E137" s="443">
        <f>+'Purchased Power Model '!E137</f>
        <v>7.6999999999999999E-2</v>
      </c>
      <c r="F137" s="53">
        <f>+'Purchased Power Model '!F137</f>
        <v>31</v>
      </c>
      <c r="G137" s="53">
        <f>+'Purchased Power Model '!G137</f>
        <v>1</v>
      </c>
      <c r="H137" s="17">
        <v>11</v>
      </c>
      <c r="I137" s="456">
        <f t="shared" si="6"/>
        <v>5580377.9676337009</v>
      </c>
      <c r="J137" s="457"/>
      <c r="K137" s="5"/>
    </row>
    <row r="138" spans="1:11" x14ac:dyDescent="0.2">
      <c r="A138" s="453">
        <v>41730</v>
      </c>
      <c r="B138" s="27">
        <v>6942653</v>
      </c>
      <c r="C138" s="458">
        <f>+'Purchased Power Model '!C138</f>
        <v>371.2999999999999</v>
      </c>
      <c r="D138" s="458">
        <f>+'Purchased Power Model '!D138</f>
        <v>0</v>
      </c>
      <c r="E138" s="443">
        <f>+'Purchased Power Model '!E138</f>
        <v>6.7000000000000004E-2</v>
      </c>
      <c r="F138" s="53">
        <f>+'Purchased Power Model '!F138</f>
        <v>30</v>
      </c>
      <c r="G138" s="53">
        <f>+'Purchased Power Model '!G138</f>
        <v>1</v>
      </c>
      <c r="H138" s="17">
        <v>11</v>
      </c>
      <c r="I138" s="456">
        <f t="shared" si="6"/>
        <v>6651007.8185930513</v>
      </c>
      <c r="J138" s="457"/>
      <c r="K138" s="5"/>
    </row>
    <row r="139" spans="1:11" x14ac:dyDescent="0.2">
      <c r="A139" s="453">
        <v>41760</v>
      </c>
      <c r="B139" s="27">
        <v>5316046</v>
      </c>
      <c r="C139" s="458">
        <f>+'Purchased Power Model '!C139</f>
        <v>160.49999999999994</v>
      </c>
      <c r="D139" s="458">
        <f>+'Purchased Power Model '!D139</f>
        <v>1.3</v>
      </c>
      <c r="E139" s="443">
        <f>+'Purchased Power Model '!E139</f>
        <v>6.7000000000000004E-2</v>
      </c>
      <c r="F139" s="53">
        <f>+'Purchased Power Model '!F139</f>
        <v>31</v>
      </c>
      <c r="G139" s="53">
        <f>+'Purchased Power Model '!G139</f>
        <v>1</v>
      </c>
      <c r="H139" s="17">
        <v>11</v>
      </c>
      <c r="I139" s="456">
        <f t="shared" si="6"/>
        <v>7024059.7220622702</v>
      </c>
      <c r="J139" s="457"/>
      <c r="K139" s="5"/>
    </row>
    <row r="140" spans="1:11" x14ac:dyDescent="0.2">
      <c r="A140" s="453">
        <v>41791</v>
      </c>
      <c r="B140" s="27">
        <v>8042268</v>
      </c>
      <c r="C140" s="458">
        <f>+'Purchased Power Model '!C140</f>
        <v>26.9</v>
      </c>
      <c r="D140" s="458">
        <f>+'Purchased Power Model '!D140</f>
        <v>40.1</v>
      </c>
      <c r="E140" s="443">
        <f>+'Purchased Power Model '!E140</f>
        <v>6.7000000000000004E-2</v>
      </c>
      <c r="F140" s="53">
        <f>+'Purchased Power Model '!F140</f>
        <v>30</v>
      </c>
      <c r="G140" s="53">
        <f>+'Purchased Power Model '!G140</f>
        <v>0</v>
      </c>
      <c r="H140" s="17">
        <v>11</v>
      </c>
      <c r="I140" s="456">
        <f t="shared" si="6"/>
        <v>7926100.4469290497</v>
      </c>
      <c r="J140" s="457"/>
      <c r="K140" s="5"/>
    </row>
    <row r="141" spans="1:11" x14ac:dyDescent="0.2">
      <c r="A141" s="453">
        <v>41821</v>
      </c>
      <c r="B141" s="27">
        <v>7197165</v>
      </c>
      <c r="C141" s="458">
        <f>+'Purchased Power Model '!C141</f>
        <v>9.5999999999999979</v>
      </c>
      <c r="D141" s="458">
        <f>+'Purchased Power Model '!D141</f>
        <v>54.599999999999994</v>
      </c>
      <c r="E141" s="443">
        <f>+'Purchased Power Model '!E141</f>
        <v>7.5999999999999998E-2</v>
      </c>
      <c r="F141" s="53">
        <f>+'Purchased Power Model '!F141</f>
        <v>31</v>
      </c>
      <c r="G141" s="53">
        <f>+'Purchased Power Model '!G141</f>
        <v>0</v>
      </c>
      <c r="H141" s="17">
        <v>11</v>
      </c>
      <c r="I141" s="456">
        <f t="shared" si="6"/>
        <v>7625979.957502285</v>
      </c>
      <c r="J141" s="457"/>
      <c r="K141" s="5"/>
    </row>
    <row r="142" spans="1:11" x14ac:dyDescent="0.2">
      <c r="A142" s="453">
        <v>41852</v>
      </c>
      <c r="B142" s="27">
        <v>7321614</v>
      </c>
      <c r="C142" s="458">
        <f>+'Purchased Power Model '!C142</f>
        <v>12.7</v>
      </c>
      <c r="D142" s="458">
        <f>+'Purchased Power Model '!D142</f>
        <v>58</v>
      </c>
      <c r="E142" s="443">
        <f>+'Purchased Power Model '!E142</f>
        <v>7.5999999999999998E-2</v>
      </c>
      <c r="F142" s="53">
        <f>+'Purchased Power Model '!F142</f>
        <v>31</v>
      </c>
      <c r="G142" s="53">
        <f>+'Purchased Power Model '!G142</f>
        <v>0</v>
      </c>
      <c r="H142" s="17">
        <v>11</v>
      </c>
      <c r="I142" s="456">
        <f t="shared" si="6"/>
        <v>7588277.2126257867</v>
      </c>
      <c r="J142" s="457"/>
      <c r="K142" s="5"/>
    </row>
    <row r="143" spans="1:11" x14ac:dyDescent="0.2">
      <c r="A143" s="453">
        <v>41883</v>
      </c>
      <c r="B143" s="27">
        <v>7520343</v>
      </c>
      <c r="C143" s="458">
        <f>+'Purchased Power Model '!C143</f>
        <v>77.400000000000006</v>
      </c>
      <c r="D143" s="458">
        <f>+'Purchased Power Model '!D143</f>
        <v>22.5</v>
      </c>
      <c r="E143" s="443">
        <f>+'Purchased Power Model '!E143</f>
        <v>7.5999999999999998E-2</v>
      </c>
      <c r="F143" s="53">
        <f>+'Purchased Power Model '!F143</f>
        <v>30</v>
      </c>
      <c r="G143" s="53">
        <f>+'Purchased Power Model '!G143</f>
        <v>1</v>
      </c>
      <c r="H143" s="17">
        <v>11</v>
      </c>
      <c r="I143" s="456">
        <f t="shared" si="6"/>
        <v>7239933.5595523622</v>
      </c>
      <c r="J143" s="457"/>
      <c r="K143" s="5"/>
    </row>
    <row r="144" spans="1:11" x14ac:dyDescent="0.2">
      <c r="A144" s="453">
        <v>41913</v>
      </c>
      <c r="B144" s="27">
        <v>6484431</v>
      </c>
      <c r="C144" s="458">
        <f>+'Purchased Power Model '!C144</f>
        <v>216.29999999999998</v>
      </c>
      <c r="D144" s="458">
        <f>+'Purchased Power Model '!D144</f>
        <v>0.5</v>
      </c>
      <c r="E144" s="443">
        <f>+'Purchased Power Model '!E144</f>
        <v>7.400000000000001E-2</v>
      </c>
      <c r="F144" s="53">
        <f>+'Purchased Power Model '!F144</f>
        <v>31</v>
      </c>
      <c r="G144" s="53">
        <f>+'Purchased Power Model '!G144</f>
        <v>1</v>
      </c>
      <c r="H144" s="17">
        <v>11</v>
      </c>
      <c r="I144" s="456">
        <f t="shared" si="6"/>
        <v>6856142.7022334607</v>
      </c>
      <c r="J144" s="457"/>
      <c r="K144" s="5"/>
    </row>
    <row r="145" spans="1:11" x14ac:dyDescent="0.2">
      <c r="A145" s="453">
        <v>41944</v>
      </c>
      <c r="B145" s="27">
        <v>7211313</v>
      </c>
      <c r="C145" s="458">
        <f>+'Purchased Power Model '!C145</f>
        <v>407.30000000000013</v>
      </c>
      <c r="D145" s="458">
        <f>+'Purchased Power Model '!D145</f>
        <v>0</v>
      </c>
      <c r="E145" s="443">
        <f>+'Purchased Power Model '!E145</f>
        <v>6.8000000000000005E-2</v>
      </c>
      <c r="F145" s="53">
        <f>+'Purchased Power Model '!F145</f>
        <v>30</v>
      </c>
      <c r="G145" s="53">
        <f>+'Purchased Power Model '!G145</f>
        <v>1</v>
      </c>
      <c r="H145" s="17">
        <v>11</v>
      </c>
      <c r="I145" s="456">
        <f t="shared" si="6"/>
        <v>6548872.6101339255</v>
      </c>
      <c r="J145" s="457"/>
      <c r="K145" s="5"/>
    </row>
    <row r="146" spans="1:11" x14ac:dyDescent="0.2">
      <c r="A146" s="453">
        <v>41974</v>
      </c>
      <c r="B146" s="27">
        <v>6090472</v>
      </c>
      <c r="C146" s="458">
        <f>+'Purchased Power Model '!C146</f>
        <v>551.79999999999995</v>
      </c>
      <c r="D146" s="458">
        <f>+'Purchased Power Model '!D146</f>
        <v>0</v>
      </c>
      <c r="E146" s="443">
        <f>+'Purchased Power Model '!E146</f>
        <v>6.6000000000000003E-2</v>
      </c>
      <c r="F146" s="53">
        <f>+'Purchased Power Model '!F146</f>
        <v>31</v>
      </c>
      <c r="G146" s="53">
        <f>+'Purchased Power Model '!G146</f>
        <v>0</v>
      </c>
      <c r="H146" s="17">
        <v>11</v>
      </c>
      <c r="I146" s="456">
        <f t="shared" si="6"/>
        <v>6631851.563687304</v>
      </c>
      <c r="J146" s="457"/>
      <c r="K146" s="5"/>
    </row>
    <row r="147" spans="1:11" x14ac:dyDescent="0.2">
      <c r="A147" s="453">
        <v>42005</v>
      </c>
      <c r="B147" s="27">
        <v>6144090</v>
      </c>
      <c r="C147" s="458">
        <f>+'Purchased Power Model '!C147</f>
        <v>775.6</v>
      </c>
      <c r="D147" s="458">
        <f>+'Purchased Power Model '!D147</f>
        <v>0</v>
      </c>
      <c r="E147" s="443">
        <f>+'Purchased Power Model '!E147</f>
        <v>6.7000000000000004E-2</v>
      </c>
      <c r="F147" s="53">
        <f>+'Purchased Power Model '!F147</f>
        <v>31</v>
      </c>
      <c r="G147" s="53">
        <f>+'Purchased Power Model '!G147</f>
        <v>0</v>
      </c>
      <c r="H147" s="17"/>
      <c r="I147" s="456">
        <f t="shared" si="6"/>
        <v>6012676.365390826</v>
      </c>
      <c r="J147" s="457"/>
      <c r="K147" s="5"/>
    </row>
    <row r="148" spans="1:11" x14ac:dyDescent="0.2">
      <c r="A148" s="453">
        <v>42036</v>
      </c>
      <c r="B148" s="27">
        <v>6439010</v>
      </c>
      <c r="C148" s="458">
        <f>+'Purchased Power Model '!C148</f>
        <v>809.4</v>
      </c>
      <c r="D148" s="458">
        <f>+'Purchased Power Model '!D148</f>
        <v>0</v>
      </c>
      <c r="E148" s="443">
        <f>+'Purchased Power Model '!E148</f>
        <v>6.8000000000000005E-2</v>
      </c>
      <c r="F148" s="53">
        <f>+'Purchased Power Model '!F148</f>
        <v>28</v>
      </c>
      <c r="G148" s="53">
        <f>+'Purchased Power Model '!G148</f>
        <v>0</v>
      </c>
      <c r="H148" s="17"/>
      <c r="I148" s="456">
        <f t="shared" si="6"/>
        <v>6505071.6783528905</v>
      </c>
      <c r="J148" s="457"/>
      <c r="K148" s="5"/>
    </row>
    <row r="149" spans="1:11" x14ac:dyDescent="0.2">
      <c r="A149" s="453">
        <v>42064</v>
      </c>
      <c r="B149" s="27">
        <v>6004526</v>
      </c>
      <c r="C149" s="458">
        <f>+'Purchased Power Model '!C149</f>
        <v>611.6</v>
      </c>
      <c r="D149" s="458">
        <f>+'Purchased Power Model '!D149</f>
        <v>0</v>
      </c>
      <c r="E149" s="443">
        <f>+'Purchased Power Model '!E149</f>
        <v>7.2000000000000008E-2</v>
      </c>
      <c r="F149" s="53">
        <f>+'Purchased Power Model '!F149</f>
        <v>31</v>
      </c>
      <c r="G149" s="53">
        <f>+'Purchased Power Model '!G149</f>
        <v>1</v>
      </c>
      <c r="H149" s="17"/>
      <c r="I149" s="456">
        <f t="shared" si="6"/>
        <v>5778159.4686885616</v>
      </c>
      <c r="J149" s="457"/>
      <c r="K149" s="5"/>
    </row>
    <row r="150" spans="1:11" x14ac:dyDescent="0.2">
      <c r="A150" s="453">
        <v>42095</v>
      </c>
      <c r="B150" s="27">
        <v>6558158</v>
      </c>
      <c r="C150" s="458">
        <f>+'Purchased Power Model '!C150</f>
        <v>335.6</v>
      </c>
      <c r="D150" s="458">
        <f>+'Purchased Power Model '!D150</f>
        <v>0</v>
      </c>
      <c r="E150" s="443">
        <f>+'Purchased Power Model '!E150</f>
        <v>7.5999999999999998E-2</v>
      </c>
      <c r="F150" s="53">
        <f>+'Purchased Power Model '!F150</f>
        <v>30</v>
      </c>
      <c r="G150" s="53">
        <f>+'Purchased Power Model '!G150</f>
        <v>1</v>
      </c>
      <c r="H150" s="17"/>
      <c r="I150" s="456">
        <f t="shared" si="6"/>
        <v>6722095.9709193744</v>
      </c>
      <c r="J150" s="457"/>
      <c r="K150" s="5"/>
    </row>
    <row r="151" spans="1:11" x14ac:dyDescent="0.2">
      <c r="A151" s="453">
        <v>42125</v>
      </c>
      <c r="B151" s="27">
        <v>6206388</v>
      </c>
      <c r="C151" s="458">
        <f>+'Purchased Power Model '!C151</f>
        <v>120.5</v>
      </c>
      <c r="D151" s="458">
        <f>+'Purchased Power Model '!D151</f>
        <v>1.8</v>
      </c>
      <c r="E151" s="443">
        <f>+'Purchased Power Model '!E151</f>
        <v>7.8E-2</v>
      </c>
      <c r="F151" s="53">
        <f>+'Purchased Power Model '!F151</f>
        <v>31</v>
      </c>
      <c r="G151" s="53">
        <f>+'Purchased Power Model '!G151</f>
        <v>1</v>
      </c>
      <c r="H151" s="17"/>
      <c r="I151" s="456">
        <f t="shared" si="6"/>
        <v>7096652.7478354899</v>
      </c>
      <c r="J151" s="457"/>
      <c r="K151" s="5"/>
    </row>
    <row r="152" spans="1:11" x14ac:dyDescent="0.2">
      <c r="A152" s="453">
        <v>42156</v>
      </c>
      <c r="B152" s="27">
        <v>6846745</v>
      </c>
      <c r="C152" s="458">
        <f>+'Purchased Power Model '!C152</f>
        <v>50.2</v>
      </c>
      <c r="D152" s="458">
        <f>+'Purchased Power Model '!D152</f>
        <v>13.1</v>
      </c>
      <c r="E152" s="443">
        <f>+'Purchased Power Model '!E152</f>
        <v>7.8E-2</v>
      </c>
      <c r="F152" s="53">
        <f>+'Purchased Power Model '!F152</f>
        <v>30</v>
      </c>
      <c r="G152" s="53">
        <f>+'Purchased Power Model '!G152</f>
        <v>0</v>
      </c>
      <c r="H152" s="17"/>
      <c r="I152" s="456">
        <f t="shared" si="6"/>
        <v>8060337.3055786649</v>
      </c>
      <c r="J152" s="457"/>
      <c r="K152" s="5"/>
    </row>
    <row r="153" spans="1:11" x14ac:dyDescent="0.2">
      <c r="A153" s="453">
        <v>42186</v>
      </c>
      <c r="B153" s="27">
        <v>7193243</v>
      </c>
      <c r="C153" s="458">
        <f>+'Purchased Power Model '!C153</f>
        <v>6.8</v>
      </c>
      <c r="D153" s="458">
        <f>+'Purchased Power Model '!D153</f>
        <v>71.5</v>
      </c>
      <c r="E153" s="443">
        <f>+'Purchased Power Model '!E153</f>
        <v>7.8E-2</v>
      </c>
      <c r="F153" s="53">
        <f>+'Purchased Power Model '!F153</f>
        <v>31</v>
      </c>
      <c r="G153" s="53">
        <f>+'Purchased Power Model '!G153</f>
        <v>0</v>
      </c>
      <c r="H153" s="17"/>
      <c r="I153" s="456">
        <f t="shared" si="6"/>
        <v>7482662.3839391246</v>
      </c>
      <c r="J153" s="457"/>
      <c r="K153" s="5"/>
    </row>
    <row r="154" spans="1:11" x14ac:dyDescent="0.2">
      <c r="A154" s="453">
        <v>42217</v>
      </c>
      <c r="B154" s="27">
        <v>7493580</v>
      </c>
      <c r="C154" s="458">
        <f>+'Purchased Power Model '!C154</f>
        <v>4.9000000000000004</v>
      </c>
      <c r="D154" s="458">
        <f>+'Purchased Power Model '!D154</f>
        <v>62</v>
      </c>
      <c r="E154" s="443">
        <f>+'Purchased Power Model '!E154</f>
        <v>0.08</v>
      </c>
      <c r="F154" s="53">
        <f>+'Purchased Power Model '!F154</f>
        <v>31</v>
      </c>
      <c r="G154" s="53">
        <f>+'Purchased Power Model '!G154</f>
        <v>0</v>
      </c>
      <c r="H154" s="17"/>
      <c r="I154" s="456">
        <f t="shared" si="6"/>
        <v>7563347.9704036694</v>
      </c>
      <c r="J154" s="457"/>
      <c r="K154" s="5"/>
    </row>
    <row r="155" spans="1:11" x14ac:dyDescent="0.2">
      <c r="A155" s="453">
        <v>42248</v>
      </c>
      <c r="B155" s="27">
        <v>7542065</v>
      </c>
      <c r="C155" s="458">
        <f>+'Purchased Power Model '!C155</f>
        <v>37</v>
      </c>
      <c r="D155" s="458">
        <f>+'Purchased Power Model '!D155</f>
        <v>48.6</v>
      </c>
      <c r="E155" s="443">
        <f>+'Purchased Power Model '!E155</f>
        <v>8.3000000000000004E-2</v>
      </c>
      <c r="F155" s="53">
        <f>+'Purchased Power Model '!F155</f>
        <v>30</v>
      </c>
      <c r="G155" s="53">
        <f>+'Purchased Power Model '!G155</f>
        <v>1</v>
      </c>
      <c r="H155" s="17"/>
      <c r="I155" s="456">
        <f t="shared" si="6"/>
        <v>7106098.3601936307</v>
      </c>
      <c r="J155" s="457"/>
      <c r="K155" s="5"/>
    </row>
    <row r="156" spans="1:11" x14ac:dyDescent="0.2">
      <c r="A156" s="453">
        <v>42278</v>
      </c>
      <c r="B156" s="27">
        <v>7567579</v>
      </c>
      <c r="C156" s="458">
        <f>+'Purchased Power Model '!C156</f>
        <v>248.1</v>
      </c>
      <c r="D156" s="458">
        <f>+'Purchased Power Model '!D156</f>
        <v>0</v>
      </c>
      <c r="E156" s="443">
        <f>+'Purchased Power Model '!E156</f>
        <v>8.1000000000000003E-2</v>
      </c>
      <c r="F156" s="53">
        <f>+'Purchased Power Model '!F156</f>
        <v>31</v>
      </c>
      <c r="G156" s="53">
        <f>+'Purchased Power Model '!G156</f>
        <v>1</v>
      </c>
      <c r="H156" s="17"/>
      <c r="I156" s="456">
        <f t="shared" si="6"/>
        <v>6751727.4328822186</v>
      </c>
      <c r="J156" s="457"/>
      <c r="K156" s="5"/>
    </row>
    <row r="157" spans="1:11" x14ac:dyDescent="0.2">
      <c r="A157" s="453">
        <v>42309</v>
      </c>
      <c r="B157" s="27">
        <v>6744851</v>
      </c>
      <c r="C157" s="458">
        <f>+'Purchased Power Model '!C157</f>
        <v>345.6</v>
      </c>
      <c r="D157" s="458">
        <f>+'Purchased Power Model '!D157</f>
        <v>0</v>
      </c>
      <c r="E157" s="443">
        <f>+'Purchased Power Model '!E157</f>
        <v>7.8E-2</v>
      </c>
      <c r="F157" s="53">
        <f>+'Purchased Power Model '!F157</f>
        <v>30</v>
      </c>
      <c r="G157" s="53">
        <f>+'Purchased Power Model '!G157</f>
        <v>1</v>
      </c>
      <c r="H157" s="17"/>
      <c r="I157" s="456">
        <f t="shared" si="6"/>
        <v>6688520.3323286865</v>
      </c>
      <c r="J157" s="457"/>
      <c r="K157" s="5"/>
    </row>
    <row r="158" spans="1:11" x14ac:dyDescent="0.2">
      <c r="A158" s="453">
        <v>42339</v>
      </c>
      <c r="B158" s="27">
        <v>6493972</v>
      </c>
      <c r="C158" s="458">
        <f>+'Purchased Power Model '!C158</f>
        <v>415</v>
      </c>
      <c r="D158" s="458">
        <f>+'Purchased Power Model '!D158</f>
        <v>0</v>
      </c>
      <c r="E158" s="443">
        <f>+'Purchased Power Model '!E158</f>
        <v>7.0000000000000007E-2</v>
      </c>
      <c r="F158" s="53">
        <f>+'Purchased Power Model '!F158</f>
        <v>31</v>
      </c>
      <c r="G158" s="53">
        <f>+'Purchased Power Model '!G158</f>
        <v>0</v>
      </c>
      <c r="H158" s="17"/>
      <c r="I158" s="456">
        <f t="shared" si="6"/>
        <v>6996392.8871794995</v>
      </c>
      <c r="J158" s="457"/>
      <c r="K158" s="5"/>
    </row>
    <row r="159" spans="1:11" x14ac:dyDescent="0.2">
      <c r="A159" s="453">
        <v>42370</v>
      </c>
      <c r="B159" s="27">
        <v>5837569</v>
      </c>
      <c r="C159" s="458">
        <f>+'Purchased Power Model '!C159</f>
        <v>689.4</v>
      </c>
      <c r="D159" s="458">
        <f>+'Purchased Power Model '!D159</f>
        <v>0</v>
      </c>
      <c r="E159" s="443">
        <f>+'Purchased Power Model '!E159</f>
        <v>6.4000000000000001E-2</v>
      </c>
      <c r="F159" s="53">
        <f>+'Purchased Power Model '!F159</f>
        <v>31</v>
      </c>
      <c r="G159" s="53">
        <f>+'Purchased Power Model '!G159</f>
        <v>0</v>
      </c>
      <c r="H159" s="17"/>
      <c r="I159" s="456">
        <f t="shared" si="6"/>
        <v>6259063.50419496</v>
      </c>
      <c r="J159" s="457"/>
      <c r="K159" s="5"/>
    </row>
    <row r="160" spans="1:11" x14ac:dyDescent="0.2">
      <c r="A160" s="453">
        <v>42401</v>
      </c>
      <c r="B160" s="27">
        <v>6590462</v>
      </c>
      <c r="C160" s="458">
        <f>+'Purchased Power Model '!C160</f>
        <v>623.20000000000005</v>
      </c>
      <c r="D160" s="458">
        <f>+'Purchased Power Model '!D160</f>
        <v>0</v>
      </c>
      <c r="E160" s="443">
        <f>+'Purchased Power Model '!E160</f>
        <v>6.0999999999999999E-2</v>
      </c>
      <c r="F160" s="53">
        <f>+'Purchased Power Model '!F160</f>
        <v>29</v>
      </c>
      <c r="G160" s="53">
        <f>+'Purchased Power Model '!G160</f>
        <v>0</v>
      </c>
      <c r="H160" s="17"/>
      <c r="I160" s="456">
        <f t="shared" si="6"/>
        <v>6842703.5512352902</v>
      </c>
      <c r="J160" s="457"/>
      <c r="K160" s="5"/>
    </row>
    <row r="161" spans="1:11" x14ac:dyDescent="0.2">
      <c r="A161" s="453">
        <v>42430</v>
      </c>
      <c r="B161" s="27">
        <v>6369891</v>
      </c>
      <c r="C161" s="458">
        <f>+'Purchased Power Model '!C161</f>
        <v>531.20000000000005</v>
      </c>
      <c r="D161" s="458">
        <f>+'Purchased Power Model '!D161</f>
        <v>0</v>
      </c>
      <c r="E161" s="443">
        <f>+'Purchased Power Model '!E161</f>
        <v>6.0999999999999999E-2</v>
      </c>
      <c r="F161" s="53">
        <f>+'Purchased Power Model '!F161</f>
        <v>31</v>
      </c>
      <c r="G161" s="53">
        <f>+'Purchased Power Model '!G161</f>
        <v>1</v>
      </c>
      <c r="H161" s="17"/>
      <c r="I161" s="456">
        <f t="shared" si="6"/>
        <v>6032755.2772199279</v>
      </c>
      <c r="J161" s="457"/>
      <c r="K161" s="5"/>
    </row>
    <row r="162" spans="1:11" x14ac:dyDescent="0.2">
      <c r="A162" s="453">
        <v>42461</v>
      </c>
      <c r="B162" s="27">
        <v>6472207</v>
      </c>
      <c r="C162" s="458">
        <f>+'Purchased Power Model '!C162</f>
        <v>421.9</v>
      </c>
      <c r="D162" s="458">
        <f>+'Purchased Power Model '!D162</f>
        <v>0</v>
      </c>
      <c r="E162" s="443">
        <f>+'Purchased Power Model '!E162</f>
        <v>6.0999999999999999E-2</v>
      </c>
      <c r="F162" s="53">
        <f>+'Purchased Power Model '!F162</f>
        <v>30</v>
      </c>
      <c r="G162" s="53">
        <f>+'Purchased Power Model '!G162</f>
        <v>1</v>
      </c>
      <c r="H162" s="17"/>
      <c r="I162" s="456">
        <f t="shared" si="6"/>
        <v>6529831.5225392859</v>
      </c>
      <c r="J162" s="457"/>
      <c r="K162" s="5"/>
    </row>
    <row r="163" spans="1:11" x14ac:dyDescent="0.2">
      <c r="A163" s="453">
        <v>42491</v>
      </c>
      <c r="B163" s="27">
        <v>6352606</v>
      </c>
      <c r="C163" s="458">
        <f>+'Purchased Power Model '!C163</f>
        <v>164.3</v>
      </c>
      <c r="D163" s="458">
        <f>+'Purchased Power Model '!D163</f>
        <v>19.399999999999999</v>
      </c>
      <c r="E163" s="443">
        <f>+'Purchased Power Model '!E163</f>
        <v>5.7999999999999996E-2</v>
      </c>
      <c r="F163" s="53">
        <f>+'Purchased Power Model '!F163</f>
        <v>31</v>
      </c>
      <c r="G163" s="53">
        <f>+'Purchased Power Model '!G163</f>
        <v>1</v>
      </c>
      <c r="H163" s="17"/>
      <c r="I163" s="456">
        <f t="shared" si="6"/>
        <v>6885520.048715842</v>
      </c>
      <c r="J163" s="457"/>
      <c r="K163" s="5"/>
    </row>
    <row r="164" spans="1:11" x14ac:dyDescent="0.2">
      <c r="A164" s="453">
        <v>42522</v>
      </c>
      <c r="B164" s="27">
        <v>6739917</v>
      </c>
      <c r="C164" s="458">
        <f>+'Purchased Power Model '!C164</f>
        <v>39.1</v>
      </c>
      <c r="D164" s="458">
        <f>+'Purchased Power Model '!D164</f>
        <v>43.8</v>
      </c>
      <c r="E164" s="443">
        <f>+'Purchased Power Model '!E164</f>
        <v>6.5000000000000002E-2</v>
      </c>
      <c r="F164" s="53">
        <f>+'Purchased Power Model '!F164</f>
        <v>30</v>
      </c>
      <c r="G164" s="53">
        <f>+'Purchased Power Model '!G164</f>
        <v>0</v>
      </c>
      <c r="H164" s="17"/>
      <c r="I164" s="456">
        <f t="shared" si="6"/>
        <v>7866814.6887672907</v>
      </c>
      <c r="J164" s="457"/>
      <c r="K164" s="5"/>
    </row>
    <row r="165" spans="1:11" x14ac:dyDescent="0.2">
      <c r="A165" s="453">
        <v>42552</v>
      </c>
      <c r="B165" s="27">
        <v>7379770</v>
      </c>
      <c r="C165" s="458">
        <f>+'Purchased Power Model '!C165</f>
        <v>2.4</v>
      </c>
      <c r="D165" s="458">
        <f>+'Purchased Power Model '!D165</f>
        <v>120.7</v>
      </c>
      <c r="E165" s="443">
        <f>+'Purchased Power Model '!E165</f>
        <v>6.5000000000000002E-2</v>
      </c>
      <c r="F165" s="53">
        <f>+'Purchased Power Model '!F165</f>
        <v>31</v>
      </c>
      <c r="G165" s="53">
        <f>+'Purchased Power Model '!G165</f>
        <v>0</v>
      </c>
      <c r="H165" s="17"/>
      <c r="I165" s="456">
        <f t="shared" si="6"/>
        <v>7111985.4507778529</v>
      </c>
      <c r="J165" s="457"/>
      <c r="K165" s="5"/>
    </row>
    <row r="166" spans="1:11" x14ac:dyDescent="0.2">
      <c r="A166" s="453">
        <v>42583</v>
      </c>
      <c r="B166" s="27">
        <v>8328262</v>
      </c>
      <c r="C166" s="458">
        <f>+'Purchased Power Model '!C166</f>
        <v>1.4</v>
      </c>
      <c r="D166" s="458">
        <f>+'Purchased Power Model '!D166</f>
        <v>135.6</v>
      </c>
      <c r="E166" s="443">
        <f>+'Purchased Power Model '!E166</f>
        <v>6.9000000000000006E-2</v>
      </c>
      <c r="F166" s="53">
        <f>+'Purchased Power Model '!F166</f>
        <v>31</v>
      </c>
      <c r="G166" s="53">
        <f>+'Purchased Power Model '!G166</f>
        <v>0</v>
      </c>
      <c r="H166" s="17"/>
      <c r="I166" s="456">
        <f t="shared" si="6"/>
        <v>6974825.6501933914</v>
      </c>
      <c r="J166" s="457"/>
      <c r="K166" s="5"/>
    </row>
    <row r="167" spans="1:11" x14ac:dyDescent="0.2">
      <c r="A167" s="453">
        <v>42614</v>
      </c>
      <c r="B167" s="27">
        <v>8616323</v>
      </c>
      <c r="C167" s="458">
        <f>+'Purchased Power Model '!C167</f>
        <v>50.8</v>
      </c>
      <c r="D167" s="458">
        <f>+'Purchased Power Model '!D167</f>
        <v>35.299999999999997</v>
      </c>
      <c r="E167" s="443">
        <f>+'Purchased Power Model '!E167</f>
        <v>6.4000000000000001E-2</v>
      </c>
      <c r="F167" s="53">
        <f>+'Purchased Power Model '!F167</f>
        <v>30</v>
      </c>
      <c r="G167" s="53">
        <f>+'Purchased Power Model '!G167</f>
        <v>1</v>
      </c>
      <c r="H167" s="17"/>
      <c r="I167" s="456">
        <f t="shared" si="6"/>
        <v>7239623.4985119179</v>
      </c>
      <c r="J167" s="457"/>
      <c r="K167" s="5"/>
    </row>
    <row r="168" spans="1:11" x14ac:dyDescent="0.2">
      <c r="A168" s="453">
        <v>42644</v>
      </c>
      <c r="B168" s="27">
        <v>7753160</v>
      </c>
      <c r="C168" s="458">
        <f>+'Purchased Power Model '!C168</f>
        <v>204</v>
      </c>
      <c r="D168" s="458">
        <f>+'Purchased Power Model '!D168</f>
        <v>0.3</v>
      </c>
      <c r="E168" s="443">
        <f>+'Purchased Power Model '!E168</f>
        <v>0.06</v>
      </c>
      <c r="F168" s="53">
        <f>+'Purchased Power Model '!F168</f>
        <v>31</v>
      </c>
      <c r="G168" s="53">
        <f>+'Purchased Power Model '!G168</f>
        <v>1</v>
      </c>
      <c r="H168" s="17"/>
      <c r="I168" s="456">
        <f t="shared" si="6"/>
        <v>6934031.6679166881</v>
      </c>
      <c r="J168" s="457"/>
      <c r="K168" s="5"/>
    </row>
    <row r="169" spans="1:11" x14ac:dyDescent="0.2">
      <c r="A169" s="453">
        <v>42675</v>
      </c>
      <c r="B169" s="27">
        <v>6662892</v>
      </c>
      <c r="C169" s="458">
        <f>+'Purchased Power Model '!C169</f>
        <v>298.5</v>
      </c>
      <c r="D169" s="458">
        <f>+'Purchased Power Model '!D169</f>
        <v>0</v>
      </c>
      <c r="E169" s="443">
        <f>+'Purchased Power Model '!E169</f>
        <v>5.4000000000000006E-2</v>
      </c>
      <c r="F169" s="53">
        <f>+'Purchased Power Model '!F169</f>
        <v>30</v>
      </c>
      <c r="G169" s="53">
        <f>+'Purchased Power Model '!G169</f>
        <v>1</v>
      </c>
      <c r="H169" s="17"/>
      <c r="I169" s="456">
        <f t="shared" si="6"/>
        <v>6890723.973802764</v>
      </c>
      <c r="J169" s="457"/>
      <c r="K169" s="5"/>
    </row>
    <row r="170" spans="1:11" x14ac:dyDescent="0.2">
      <c r="A170" s="453">
        <v>42705</v>
      </c>
      <c r="B170" s="27">
        <v>6192686</v>
      </c>
      <c r="C170" s="458">
        <f>+'Purchased Power Model '!C170</f>
        <v>483.4</v>
      </c>
      <c r="D170" s="458">
        <f>+'Purchased Power Model '!D170</f>
        <v>0</v>
      </c>
      <c r="E170" s="443">
        <f>+'Purchased Power Model '!E170</f>
        <v>5.2000000000000005E-2</v>
      </c>
      <c r="F170" s="53">
        <f>+'Purchased Power Model '!F170</f>
        <v>31</v>
      </c>
      <c r="G170" s="53">
        <f>+'Purchased Power Model '!G170</f>
        <v>0</v>
      </c>
      <c r="H170" s="17"/>
      <c r="I170" s="456">
        <f t="shared" si="6"/>
        <v>6862476.0072846338</v>
      </c>
      <c r="J170" s="457"/>
      <c r="K170" s="5"/>
    </row>
    <row r="171" spans="1:11" x14ac:dyDescent="0.2">
      <c r="A171" s="453">
        <v>42736</v>
      </c>
      <c r="B171" s="27">
        <v>6186662</v>
      </c>
      <c r="C171" s="458">
        <f>+'Purchased Power Model '!C171</f>
        <v>584</v>
      </c>
      <c r="D171" s="458">
        <f ca="1">+'Purchased Power Model '!D171</f>
        <v>0</v>
      </c>
      <c r="E171" s="443">
        <f>+'Purchased Power Model '!E171</f>
        <v>5.2999999999999999E-2</v>
      </c>
      <c r="F171" s="53">
        <f>+'Purchased Power Model '!F171</f>
        <v>31</v>
      </c>
      <c r="G171" s="53">
        <f>+'Purchased Power Model '!G171</f>
        <v>0</v>
      </c>
      <c r="H171" s="17"/>
      <c r="I171" s="456">
        <f t="shared" ca="1" si="6"/>
        <v>6582487.8523745351</v>
      </c>
      <c r="J171" s="457"/>
      <c r="K171" s="5"/>
    </row>
    <row r="172" spans="1:11" x14ac:dyDescent="0.2">
      <c r="A172" s="453">
        <v>42767</v>
      </c>
      <c r="B172" s="27">
        <v>6562708</v>
      </c>
      <c r="C172" s="458">
        <f>+'Purchased Power Model '!C172</f>
        <v>506</v>
      </c>
      <c r="D172" s="458">
        <f ca="1">+'Purchased Power Model '!D172</f>
        <v>0</v>
      </c>
      <c r="E172" s="443">
        <f>+'Purchased Power Model '!E172</f>
        <v>5.9000000000000004E-2</v>
      </c>
      <c r="F172" s="53">
        <f>+'Purchased Power Model '!F172</f>
        <v>28</v>
      </c>
      <c r="G172" s="53">
        <f>+'Purchased Power Model '!G172</f>
        <v>0</v>
      </c>
      <c r="H172" s="17"/>
      <c r="I172" s="456">
        <f t="shared" ca="1" si="6"/>
        <v>7367573.8378148861</v>
      </c>
      <c r="J172" s="457"/>
      <c r="K172" s="5"/>
    </row>
    <row r="173" spans="1:11" x14ac:dyDescent="0.2">
      <c r="A173" s="453">
        <v>42795</v>
      </c>
      <c r="B173" s="27">
        <v>5878119</v>
      </c>
      <c r="C173" s="458">
        <f>+'Purchased Power Model '!C173</f>
        <v>561</v>
      </c>
      <c r="D173" s="458">
        <f ca="1">+'Purchased Power Model '!D173</f>
        <v>0</v>
      </c>
      <c r="E173" s="443">
        <f>+'Purchased Power Model '!E173</f>
        <v>6.2E-2</v>
      </c>
      <c r="F173" s="53">
        <f>+'Purchased Power Model '!F173</f>
        <v>31</v>
      </c>
      <c r="G173" s="53">
        <f>+'Purchased Power Model '!G173</f>
        <v>1</v>
      </c>
      <c r="H173" s="17"/>
      <c r="I173" s="456">
        <f t="shared" ca="1" si="6"/>
        <v>5947689.5465935608</v>
      </c>
      <c r="J173" s="457"/>
      <c r="K173" s="5"/>
    </row>
    <row r="174" spans="1:11" x14ac:dyDescent="0.2">
      <c r="A174" s="460">
        <v>42826</v>
      </c>
      <c r="B174" s="435"/>
      <c r="C174" s="461">
        <f>+'Purchased Power Model '!C174</f>
        <v>410.06381244743028</v>
      </c>
      <c r="D174" s="461">
        <f ca="1">+'Purchased Power Model '!D174</f>
        <v>0</v>
      </c>
      <c r="E174" s="437">
        <f>+'Purchased Power Model '!E174</f>
        <v>6.7312499999999997E-2</v>
      </c>
      <c r="F174" s="462">
        <f>+'Purchased Power Model '!F174</f>
        <v>30</v>
      </c>
      <c r="G174" s="462">
        <f>+'Purchased Power Model '!G174</f>
        <v>1</v>
      </c>
      <c r="H174" s="439"/>
      <c r="I174" s="464">
        <f t="shared" ca="1" si="6"/>
        <v>6543341.1447131187</v>
      </c>
      <c r="J174" s="36"/>
      <c r="K174" s="5"/>
    </row>
    <row r="175" spans="1:11" x14ac:dyDescent="0.2">
      <c r="A175" s="460">
        <v>42856</v>
      </c>
      <c r="B175" s="435"/>
      <c r="C175" s="461">
        <f>+'Purchased Power Model '!C175</f>
        <v>159.69064798557193</v>
      </c>
      <c r="D175" s="461">
        <f ca="1">+'Purchased Power Model '!D175</f>
        <v>14.000793761762511</v>
      </c>
      <c r="E175" s="437">
        <f>+'Purchased Power Model '!E175</f>
        <v>6.7312499999999997E-2</v>
      </c>
      <c r="F175" s="462">
        <f>+'Purchased Power Model '!F175</f>
        <v>31</v>
      </c>
      <c r="G175" s="462">
        <f>+'Purchased Power Model '!G175</f>
        <v>1</v>
      </c>
      <c r="H175" s="439"/>
      <c r="I175" s="464">
        <f t="shared" ca="1" si="6"/>
        <v>6916385.6823192621</v>
      </c>
      <c r="J175" s="36"/>
      <c r="K175" s="5"/>
    </row>
    <row r="176" spans="1:11" x14ac:dyDescent="0.2">
      <c r="A176" s="460">
        <v>42887</v>
      </c>
      <c r="B176" s="435"/>
      <c r="C176" s="461">
        <f>+'Purchased Power Model '!C176</f>
        <v>38.003069605817792</v>
      </c>
      <c r="D176" s="461">
        <f ca="1">+'Purchased Power Model '!D176</f>
        <v>31.610039523979275</v>
      </c>
      <c r="E176" s="437">
        <f>+'Purchased Power Model '!E176</f>
        <v>6.7312499999999997E-2</v>
      </c>
      <c r="F176" s="462">
        <f>+'Purchased Power Model '!F176</f>
        <v>30</v>
      </c>
      <c r="G176" s="462">
        <f>+'Purchased Power Model '!G176</f>
        <v>0</v>
      </c>
      <c r="H176" s="439"/>
      <c r="I176" s="464">
        <f t="shared" ca="1" si="6"/>
        <v>7967421.6020421898</v>
      </c>
      <c r="J176" s="36"/>
      <c r="K176" s="5"/>
    </row>
    <row r="177" spans="1:11" x14ac:dyDescent="0.2">
      <c r="A177" s="460">
        <v>42917</v>
      </c>
      <c r="B177" s="435"/>
      <c r="C177" s="461">
        <f>+'Purchased Power Model '!C177</f>
        <v>2.3326692341166928</v>
      </c>
      <c r="D177" s="461">
        <f ca="1">+'Purchased Power Model '!D177</f>
        <v>87.108031290965727</v>
      </c>
      <c r="E177" s="437">
        <f>+'Purchased Power Model '!E177</f>
        <v>6.6562659999999996E-2</v>
      </c>
      <c r="F177" s="462">
        <f>+'Purchased Power Model '!F177</f>
        <v>31</v>
      </c>
      <c r="G177" s="462">
        <f>+'Purchased Power Model '!G177</f>
        <v>0</v>
      </c>
      <c r="H177" s="439"/>
      <c r="I177" s="464">
        <f t="shared" ca="1" si="6"/>
        <v>7395627.9198089354</v>
      </c>
      <c r="J177" s="36"/>
      <c r="K177" s="5"/>
    </row>
    <row r="178" spans="1:11" x14ac:dyDescent="0.2">
      <c r="A178" s="460">
        <v>42948</v>
      </c>
      <c r="B178" s="435"/>
      <c r="C178" s="461">
        <f>+'Purchased Power Model '!C178</f>
        <v>1.3607237199014042</v>
      </c>
      <c r="D178" s="461">
        <f ca="1">+'Purchased Power Model '!D178</f>
        <v>97.861218252319404</v>
      </c>
      <c r="E178" s="437">
        <f>+'Purchased Power Model '!E178</f>
        <v>6.6562659999999996E-2</v>
      </c>
      <c r="F178" s="462">
        <f>+'Purchased Power Model '!F178</f>
        <v>31</v>
      </c>
      <c r="G178" s="462">
        <f>+'Purchased Power Model '!G178</f>
        <v>0</v>
      </c>
      <c r="H178" s="439"/>
      <c r="I178" s="464">
        <f t="shared" ca="1" si="6"/>
        <v>7306054.1112530734</v>
      </c>
      <c r="J178" s="36"/>
      <c r="K178" s="5"/>
    </row>
    <row r="179" spans="1:11" x14ac:dyDescent="0.2">
      <c r="A179" s="460">
        <v>42979</v>
      </c>
      <c r="B179" s="435"/>
      <c r="C179" s="461">
        <f>+'Purchased Power Model '!C179</f>
        <v>49.374832122136667</v>
      </c>
      <c r="D179" s="461">
        <f ca="1">+'Purchased Power Model '!D179</f>
        <v>25.475671123207043</v>
      </c>
      <c r="E179" s="437">
        <f>+'Purchased Power Model '!E179</f>
        <v>6.6562659999999996E-2</v>
      </c>
      <c r="F179" s="462">
        <f>+'Purchased Power Model '!F179</f>
        <v>30</v>
      </c>
      <c r="G179" s="462">
        <f>+'Purchased Power Model '!G179</f>
        <v>1</v>
      </c>
      <c r="H179" s="439"/>
      <c r="I179" s="464">
        <f t="shared" ca="1" si="6"/>
        <v>7320083.7445016857</v>
      </c>
      <c r="J179" s="36"/>
      <c r="K179" s="5"/>
    </row>
    <row r="180" spans="1:11" x14ac:dyDescent="0.2">
      <c r="A180" s="460">
        <v>43009</v>
      </c>
      <c r="B180" s="435"/>
      <c r="C180" s="461">
        <f>+'Purchased Power Model '!C180</f>
        <v>198.27688489991891</v>
      </c>
      <c r="D180" s="461">
        <f ca="1">+'Purchased Power Model '!D180</f>
        <v>0.21650712002725533</v>
      </c>
      <c r="E180" s="437">
        <f>+'Purchased Power Model '!E180</f>
        <v>6.5937659999999995E-2</v>
      </c>
      <c r="F180" s="462">
        <f>+'Purchased Power Model '!F180</f>
        <v>31</v>
      </c>
      <c r="G180" s="462">
        <f>+'Purchased Power Model '!G180</f>
        <v>1</v>
      </c>
      <c r="H180" s="439"/>
      <c r="I180" s="464">
        <f t="shared" ca="1" si="6"/>
        <v>6932560.2151577109</v>
      </c>
      <c r="J180" s="36"/>
      <c r="K180" s="5"/>
    </row>
    <row r="181" spans="1:11" x14ac:dyDescent="0.2">
      <c r="A181" s="460">
        <v>43040</v>
      </c>
      <c r="B181" s="435"/>
      <c r="C181" s="461">
        <f>+'Purchased Power Model '!C181</f>
        <v>290.12573599326367</v>
      </c>
      <c r="D181" s="461">
        <f ca="1">+'Purchased Power Model '!D181</f>
        <v>0</v>
      </c>
      <c r="E181" s="437">
        <f>+'Purchased Power Model '!E181</f>
        <v>6.5937659999999995E-2</v>
      </c>
      <c r="F181" s="462">
        <f>+'Purchased Power Model '!F181</f>
        <v>30</v>
      </c>
      <c r="G181" s="462">
        <f>+'Purchased Power Model '!G181</f>
        <v>1</v>
      </c>
      <c r="H181" s="439"/>
      <c r="I181" s="464">
        <f t="shared" ca="1" si="6"/>
        <v>6877702.5703253672</v>
      </c>
      <c r="J181" s="36"/>
      <c r="K181" s="5"/>
    </row>
    <row r="182" spans="1:11" x14ac:dyDescent="0.2">
      <c r="A182" s="460">
        <v>43070</v>
      </c>
      <c r="B182" s="435"/>
      <c r="C182" s="461">
        <f>+'Purchased Power Model '!C182</f>
        <v>469.83846157167056</v>
      </c>
      <c r="D182" s="461">
        <f ca="1">+'Purchased Power Model '!D182</f>
        <v>0</v>
      </c>
      <c r="E182" s="437">
        <f>+'Purchased Power Model '!E182</f>
        <v>6.5937659999999995E-2</v>
      </c>
      <c r="F182" s="462">
        <f>+'Purchased Power Model '!F182</f>
        <v>31</v>
      </c>
      <c r="G182" s="462">
        <f>+'Purchased Power Model '!G182</f>
        <v>0</v>
      </c>
      <c r="H182" s="439"/>
      <c r="I182" s="464">
        <f t="shared" ca="1" si="6"/>
        <v>6857691.6820035446</v>
      </c>
      <c r="J182" s="36"/>
      <c r="K182" s="5"/>
    </row>
    <row r="183" spans="1:11" x14ac:dyDescent="0.2">
      <c r="A183" s="460">
        <v>43101</v>
      </c>
      <c r="B183" s="435"/>
      <c r="C183" s="461">
        <f>+'Purchased Power Model '!C183</f>
        <v>607.71046849740094</v>
      </c>
      <c r="D183" s="461">
        <f ca="1">+'Purchased Power Model '!D183</f>
        <v>0</v>
      </c>
      <c r="E183" s="437">
        <f>+'Purchased Power Model '!E183</f>
        <v>6.6219020000000003E-2</v>
      </c>
      <c r="F183" s="462">
        <f>+'Purchased Power Model '!F183</f>
        <v>31</v>
      </c>
      <c r="G183" s="462">
        <f>+'Purchased Power Model '!G183</f>
        <v>0</v>
      </c>
      <c r="H183" s="439"/>
      <c r="I183" s="464">
        <f t="shared" ca="1" si="6"/>
        <v>6477260.2249470539</v>
      </c>
      <c r="J183" s="36"/>
      <c r="K183" s="5"/>
    </row>
    <row r="184" spans="1:11" x14ac:dyDescent="0.2">
      <c r="A184" s="460">
        <v>43132</v>
      </c>
      <c r="B184" s="435"/>
      <c r="C184" s="461">
        <f>+'Purchased Power Model '!C184</f>
        <v>526.54365934877546</v>
      </c>
      <c r="D184" s="461">
        <f ca="1">+'Purchased Power Model '!D184</f>
        <v>0</v>
      </c>
      <c r="E184" s="437">
        <f>+'Purchased Power Model '!E184</f>
        <v>6.6219020000000003E-2</v>
      </c>
      <c r="F184" s="462">
        <f>+'Purchased Power Model '!F184</f>
        <v>28</v>
      </c>
      <c r="G184" s="462">
        <f>+'Purchased Power Model '!G184</f>
        <v>0</v>
      </c>
      <c r="H184" s="439"/>
      <c r="I184" s="464">
        <f t="shared" ca="1" si="6"/>
        <v>7289197.5525433943</v>
      </c>
      <c r="J184" s="36"/>
      <c r="K184" s="5"/>
    </row>
    <row r="185" spans="1:11" x14ac:dyDescent="0.2">
      <c r="A185" s="460">
        <v>43160</v>
      </c>
      <c r="B185" s="435"/>
      <c r="C185" s="461">
        <f>+'Purchased Power Model '!C185</f>
        <v>583.77666579972936</v>
      </c>
      <c r="D185" s="461">
        <f ca="1">+'Purchased Power Model '!D185</f>
        <v>0</v>
      </c>
      <c r="E185" s="437">
        <f>+'Purchased Power Model '!E185</f>
        <v>6.6219020000000003E-2</v>
      </c>
      <c r="F185" s="462">
        <f>+'Purchased Power Model '!F185</f>
        <v>31</v>
      </c>
      <c r="G185" s="462">
        <f>+'Purchased Power Model '!G185</f>
        <v>1</v>
      </c>
      <c r="H185" s="439"/>
      <c r="I185" s="464">
        <f t="shared" ca="1" si="6"/>
        <v>5872231.8124974081</v>
      </c>
      <c r="J185" s="36"/>
      <c r="K185" s="5"/>
    </row>
    <row r="186" spans="1:11" x14ac:dyDescent="0.2">
      <c r="A186" s="460">
        <v>43191</v>
      </c>
      <c r="B186" s="435"/>
      <c r="C186" s="461">
        <f>+'Purchased Power Model '!C186</f>
        <v>426.71245132920933</v>
      </c>
      <c r="D186" s="461">
        <f ca="1">+'Purchased Power Model '!D186</f>
        <v>0</v>
      </c>
      <c r="E186" s="437">
        <f>+'Purchased Power Model '!E186</f>
        <v>6.5531039999999999E-2</v>
      </c>
      <c r="F186" s="462">
        <f>+'Purchased Power Model '!F186</f>
        <v>30</v>
      </c>
      <c r="G186" s="462">
        <f>+'Purchased Power Model '!G186</f>
        <v>1</v>
      </c>
      <c r="H186" s="439"/>
      <c r="I186" s="464">
        <f t="shared" ca="1" si="6"/>
        <v>6502888.8551721312</v>
      </c>
      <c r="J186" s="36"/>
      <c r="K186" s="5"/>
    </row>
    <row r="187" spans="1:11" x14ac:dyDescent="0.2">
      <c r="A187" s="460">
        <v>43221</v>
      </c>
      <c r="B187" s="435"/>
      <c r="C187" s="461">
        <f>+'Purchased Power Model '!C187</f>
        <v>166.17410702391345</v>
      </c>
      <c r="D187" s="461">
        <f ca="1">+'Purchased Power Model '!D187</f>
        <v>14.136286176978922</v>
      </c>
      <c r="E187" s="437">
        <f>+'Purchased Power Model '!E187</f>
        <v>6.5531039999999999E-2</v>
      </c>
      <c r="F187" s="462">
        <f>+'Purchased Power Model '!F187</f>
        <v>31</v>
      </c>
      <c r="G187" s="462">
        <f>+'Purchased Power Model '!G187</f>
        <v>1</v>
      </c>
      <c r="H187" s="439"/>
      <c r="I187" s="464">
        <f t="shared" ca="1" si="6"/>
        <v>6902757.2063764548</v>
      </c>
      <c r="J187" s="36"/>
      <c r="K187" s="5"/>
    </row>
    <row r="188" spans="1:11" x14ac:dyDescent="0.2">
      <c r="A188" s="460">
        <v>43252</v>
      </c>
      <c r="B188" s="435"/>
      <c r="C188" s="461">
        <f>+'Purchased Power Model '!C188</f>
        <v>39.545998689196693</v>
      </c>
      <c r="D188" s="461">
        <f ca="1">+'Purchased Power Model '!D188</f>
        <v>31.915945079983338</v>
      </c>
      <c r="E188" s="437">
        <f>+'Purchased Power Model '!E188</f>
        <v>6.5531039999999999E-2</v>
      </c>
      <c r="F188" s="462">
        <f>+'Purchased Power Model '!F188</f>
        <v>30</v>
      </c>
      <c r="G188" s="462">
        <f>+'Purchased Power Model '!G188</f>
        <v>0</v>
      </c>
      <c r="H188" s="439"/>
      <c r="I188" s="464">
        <f t="shared" ca="1" si="6"/>
        <v>7965933.1600142764</v>
      </c>
      <c r="J188" s="36"/>
      <c r="K188" s="5"/>
    </row>
    <row r="189" spans="1:11" x14ac:dyDescent="0.2">
      <c r="A189" s="460">
        <v>43282</v>
      </c>
      <c r="B189" s="435"/>
      <c r="C189" s="461">
        <f>+'Purchased Power Model '!C189</f>
        <v>2.4273758786207686</v>
      </c>
      <c r="D189" s="461">
        <f ca="1">+'Purchased Power Model '!D189</f>
        <v>87.951017606255462</v>
      </c>
      <c r="E189" s="437">
        <f>+'Purchased Power Model '!E189</f>
        <v>6.4656290000000005E-2</v>
      </c>
      <c r="F189" s="462">
        <f>+'Purchased Power Model '!F189</f>
        <v>31</v>
      </c>
      <c r="G189" s="462">
        <f>+'Purchased Power Model '!G189</f>
        <v>0</v>
      </c>
      <c r="H189" s="439"/>
      <c r="I189" s="464">
        <f t="shared" ca="1" si="6"/>
        <v>7393896.6091374066</v>
      </c>
      <c r="J189" s="36"/>
      <c r="K189" s="5"/>
    </row>
    <row r="190" spans="1:11" x14ac:dyDescent="0.2">
      <c r="A190" s="460">
        <v>43313</v>
      </c>
      <c r="B190" s="435"/>
      <c r="C190" s="461">
        <f>+'Purchased Power Model '!C190</f>
        <v>1.4159692625287819</v>
      </c>
      <c r="D190" s="461">
        <f ca="1">+'Purchased Power Model '!D190</f>
        <v>98.80826832981144</v>
      </c>
      <c r="E190" s="437">
        <f>+'Purchased Power Model '!E190</f>
        <v>6.4656290000000005E-2</v>
      </c>
      <c r="F190" s="462">
        <f>+'Purchased Power Model '!F190</f>
        <v>31</v>
      </c>
      <c r="G190" s="462">
        <f>+'Purchased Power Model '!G190</f>
        <v>0</v>
      </c>
      <c r="H190" s="439"/>
      <c r="I190" s="464">
        <f t="shared" ca="1" si="6"/>
        <v>7303538.6977479886</v>
      </c>
      <c r="J190" s="36"/>
      <c r="K190" s="5"/>
    </row>
    <row r="191" spans="1:11" x14ac:dyDescent="0.2">
      <c r="A191" s="460">
        <v>43344</v>
      </c>
      <c r="B191" s="435"/>
      <c r="C191" s="461">
        <f>+'Purchased Power Model '!C191</f>
        <v>51.379456097472939</v>
      </c>
      <c r="D191" s="461">
        <f ca="1">+'Purchased Power Model '!D191</f>
        <v>25.722211445739998</v>
      </c>
      <c r="E191" s="437">
        <f>+'Purchased Power Model '!E191</f>
        <v>6.4656290000000005E-2</v>
      </c>
      <c r="F191" s="462">
        <f>+'Purchased Power Model '!F191</f>
        <v>30</v>
      </c>
      <c r="G191" s="462">
        <f>+'Purchased Power Model '!G191</f>
        <v>1</v>
      </c>
      <c r="H191" s="439"/>
      <c r="I191" s="464">
        <f t="shared" ca="1" si="6"/>
        <v>7318210.966963198</v>
      </c>
      <c r="J191" s="36"/>
      <c r="K191" s="5"/>
    </row>
    <row r="192" spans="1:11" x14ac:dyDescent="0.2">
      <c r="A192" s="460">
        <v>43374</v>
      </c>
      <c r="B192" s="435"/>
      <c r="C192" s="461">
        <f>+'Purchased Power Model '!C192</f>
        <v>206.32694968276536</v>
      </c>
      <c r="D192" s="461">
        <f ca="1">+'Purchased Power Model '!D192</f>
        <v>0.21860236356152973</v>
      </c>
      <c r="E192" s="437">
        <f>+'Purchased Power Model '!E192</f>
        <v>6.3593549999999999E-2</v>
      </c>
      <c r="F192" s="462">
        <f>+'Purchased Power Model '!F192</f>
        <v>31</v>
      </c>
      <c r="G192" s="462">
        <f>+'Purchased Power Model '!G192</f>
        <v>1</v>
      </c>
      <c r="H192" s="439"/>
      <c r="I192" s="464">
        <f t="shared" ca="1" si="6"/>
        <v>6917463.4337798888</v>
      </c>
      <c r="J192" s="36"/>
      <c r="K192" s="5"/>
    </row>
    <row r="193" spans="1:11" x14ac:dyDescent="0.2">
      <c r="A193" s="460">
        <v>43405</v>
      </c>
      <c r="B193" s="435"/>
      <c r="C193" s="461">
        <f>+'Purchased Power Model '!C193</f>
        <v>301.90487490345811</v>
      </c>
      <c r="D193" s="461">
        <f ca="1">+'Purchased Power Model '!D193</f>
        <v>0</v>
      </c>
      <c r="E193" s="437">
        <f>+'Purchased Power Model '!E193</f>
        <v>6.3593549999999999E-2</v>
      </c>
      <c r="F193" s="462">
        <f>+'Purchased Power Model '!F193</f>
        <v>30</v>
      </c>
      <c r="G193" s="462">
        <f>+'Purchased Power Model '!G193</f>
        <v>1</v>
      </c>
      <c r="H193" s="439"/>
      <c r="I193" s="464">
        <f t="shared" ca="1" si="6"/>
        <v>6852357.0946187377</v>
      </c>
      <c r="J193" s="36"/>
      <c r="K193" s="5"/>
    </row>
    <row r="194" spans="1:11" x14ac:dyDescent="0.2">
      <c r="A194" s="460">
        <v>43435</v>
      </c>
      <c r="B194" s="435"/>
      <c r="C194" s="461">
        <f>+'Purchased Power Model '!C194</f>
        <v>488.91395821886647</v>
      </c>
      <c r="D194" s="461">
        <f ca="1">+'Purchased Power Model '!D194</f>
        <v>0</v>
      </c>
      <c r="E194" s="437">
        <f>+'Purchased Power Model '!E194</f>
        <v>6.3593549999999999E-2</v>
      </c>
      <c r="F194" s="462">
        <f>+'Purchased Power Model '!F194</f>
        <v>31</v>
      </c>
      <c r="G194" s="462">
        <f>+'Purchased Power Model '!G194</f>
        <v>0</v>
      </c>
      <c r="H194" s="439"/>
      <c r="I194" s="464">
        <f t="shared" ca="1" si="6"/>
        <v>6812258.3003853653</v>
      </c>
      <c r="J194" s="36"/>
      <c r="K194" s="5"/>
    </row>
    <row r="195" spans="1:11" x14ac:dyDescent="0.2">
      <c r="A195" s="460">
        <v>43466</v>
      </c>
      <c r="B195" s="435"/>
      <c r="C195" s="461">
        <f>+'Purchased Power Model '!C195</f>
        <v>606.22673842566678</v>
      </c>
      <c r="D195" s="461">
        <f ca="1">+'Purchased Power Model '!D195</f>
        <v>0</v>
      </c>
      <c r="E195" s="437">
        <f>+'Purchased Power Model '!E195</f>
        <v>6.2343830000000003E-2</v>
      </c>
      <c r="F195" s="462">
        <f>+'Purchased Power Model '!F195</f>
        <v>31</v>
      </c>
      <c r="G195" s="462">
        <f>+'Purchased Power Model '!G195</f>
        <v>0</v>
      </c>
      <c r="H195" s="439"/>
      <c r="I195" s="464">
        <f t="shared" ca="1" si="6"/>
        <v>6493056.399653092</v>
      </c>
      <c r="J195" s="36"/>
      <c r="K195" s="5"/>
    </row>
    <row r="196" spans="1:11" x14ac:dyDescent="0.2">
      <c r="A196" s="460">
        <v>43497</v>
      </c>
      <c r="B196" s="435"/>
      <c r="C196" s="461">
        <f>+'Purchased Power Model '!C196</f>
        <v>525.25809870443049</v>
      </c>
      <c r="D196" s="461">
        <f ca="1">+'Purchased Power Model '!D196</f>
        <v>0</v>
      </c>
      <c r="E196" s="437">
        <f>+'Purchased Power Model '!E196</f>
        <v>6.2343830000000003E-2</v>
      </c>
      <c r="F196" s="462">
        <f>+'Purchased Power Model '!F196</f>
        <v>28</v>
      </c>
      <c r="G196" s="462">
        <f>+'Purchased Power Model '!G196</f>
        <v>0</v>
      </c>
      <c r="H196" s="439"/>
      <c r="I196" s="464">
        <f t="shared" ref="I196:I206" ca="1" si="11">$N$18+C196*$N$19+D196*$N$20+E196*$N$21+F196*$N$22+G196*$N$23</f>
        <v>7304448.1387578286</v>
      </c>
      <c r="J196" s="36"/>
      <c r="K196" s="5"/>
    </row>
    <row r="197" spans="1:11" x14ac:dyDescent="0.2">
      <c r="A197" s="460">
        <v>43525</v>
      </c>
      <c r="B197" s="435"/>
      <c r="C197" s="461">
        <f>+'Purchased Power Model '!C197</f>
        <v>582.35137030273825</v>
      </c>
      <c r="D197" s="461">
        <f ca="1">+'Purchased Power Model '!D197</f>
        <v>0</v>
      </c>
      <c r="E197" s="437">
        <f>+'Purchased Power Model '!E197</f>
        <v>6.2343830000000003E-2</v>
      </c>
      <c r="F197" s="462">
        <f>+'Purchased Power Model '!F197</f>
        <v>31</v>
      </c>
      <c r="G197" s="462">
        <f>+'Purchased Power Model '!G197</f>
        <v>1</v>
      </c>
      <c r="H197" s="439"/>
      <c r="I197" s="464">
        <f t="shared" ca="1" si="11"/>
        <v>5887867.1085456656</v>
      </c>
      <c r="J197" s="36"/>
      <c r="K197" s="5"/>
    </row>
    <row r="198" spans="1:11" x14ac:dyDescent="0.2">
      <c r="A198" s="460">
        <v>43556</v>
      </c>
      <c r="B198" s="435"/>
      <c r="C198" s="461">
        <f>+'Purchased Power Model '!C198</f>
        <v>425.67062939452069</v>
      </c>
      <c r="D198" s="461">
        <f ca="1">+'Purchased Power Model '!D198</f>
        <v>0</v>
      </c>
      <c r="E198" s="437">
        <f>+'Purchased Power Model '!E198</f>
        <v>6.0906349999999998E-2</v>
      </c>
      <c r="F198" s="462">
        <f>+'Purchased Power Model '!F198</f>
        <v>30</v>
      </c>
      <c r="G198" s="462">
        <f>+'Purchased Power Model '!G198</f>
        <v>1</v>
      </c>
      <c r="H198" s="439"/>
      <c r="I198" s="464">
        <f t="shared" ca="1" si="11"/>
        <v>6519733.4666775055</v>
      </c>
      <c r="J198" s="36"/>
      <c r="K198" s="5"/>
    </row>
    <row r="199" spans="1:11" x14ac:dyDescent="0.2">
      <c r="A199" s="460">
        <v>43586</v>
      </c>
      <c r="B199" s="435"/>
      <c r="C199" s="461">
        <f>+'Purchased Power Model '!C199</f>
        <v>165.76839158454547</v>
      </c>
      <c r="D199" s="461">
        <f ca="1">+'Purchased Power Model '!D199</f>
        <v>14.271778592195387</v>
      </c>
      <c r="E199" s="437">
        <f>+'Purchased Power Model '!E199</f>
        <v>6.0906349999999998E-2</v>
      </c>
      <c r="F199" s="462">
        <f>+'Purchased Power Model '!F199</f>
        <v>31</v>
      </c>
      <c r="G199" s="462">
        <f>+'Purchased Power Model '!G199</f>
        <v>1</v>
      </c>
      <c r="H199" s="439"/>
      <c r="I199" s="464">
        <f t="shared" ca="1" si="11"/>
        <v>6916688.1608792515</v>
      </c>
      <c r="J199" s="36"/>
      <c r="K199" s="5"/>
    </row>
    <row r="200" spans="1:11" x14ac:dyDescent="0.2">
      <c r="A200" s="460">
        <v>43617</v>
      </c>
      <c r="B200" s="435"/>
      <c r="C200" s="461">
        <f>+'Purchased Power Model '!C200</f>
        <v>39.449446810442659</v>
      </c>
      <c r="D200" s="461">
        <f ca="1">+'Purchased Power Model '!D200</f>
        <v>32.221850635987522</v>
      </c>
      <c r="E200" s="437">
        <f>+'Purchased Power Model '!E200</f>
        <v>6.0906349999999998E-2</v>
      </c>
      <c r="F200" s="462">
        <f>+'Purchased Power Model '!F200</f>
        <v>30</v>
      </c>
      <c r="G200" s="462">
        <f>+'Purchased Power Model '!G200</f>
        <v>0</v>
      </c>
      <c r="H200" s="439"/>
      <c r="I200" s="464">
        <f t="shared" ca="1" si="11"/>
        <v>7977550.9989008522</v>
      </c>
      <c r="J200" s="36"/>
      <c r="K200" s="5"/>
    </row>
    <row r="201" spans="1:11" x14ac:dyDescent="0.2">
      <c r="A201" s="460">
        <v>43647</v>
      </c>
      <c r="B201" s="435"/>
      <c r="C201" s="461">
        <f>+'Purchased Power Model '!C201</f>
        <v>2.4214494205898305</v>
      </c>
      <c r="D201" s="461">
        <f ca="1">+'Purchased Power Model '!D201</f>
        <v>88.794003921545524</v>
      </c>
      <c r="E201" s="437">
        <f>+'Purchased Power Model '!E201</f>
        <v>5.928129E-2</v>
      </c>
      <c r="F201" s="462">
        <f>+'Purchased Power Model '!F201</f>
        <v>31</v>
      </c>
      <c r="G201" s="462">
        <f>+'Purchased Power Model '!G201</f>
        <v>0</v>
      </c>
      <c r="H201" s="439"/>
      <c r="I201" s="464">
        <f t="shared" ca="1" si="11"/>
        <v>7402924.9417918026</v>
      </c>
      <c r="J201" s="36"/>
      <c r="K201" s="5"/>
    </row>
    <row r="202" spans="1:11" x14ac:dyDescent="0.2">
      <c r="A202" s="460">
        <v>43678</v>
      </c>
      <c r="B202" s="435"/>
      <c r="C202" s="461">
        <f>+'Purchased Power Model '!C202</f>
        <v>1.4125121620107346</v>
      </c>
      <c r="D202" s="461">
        <f ca="1">+'Purchased Power Model '!D202</f>
        <v>99.755318407303832</v>
      </c>
      <c r="E202" s="437">
        <f>+'Purchased Power Model '!E202</f>
        <v>5.928129E-2</v>
      </c>
      <c r="F202" s="462">
        <f>+'Purchased Power Model '!F202</f>
        <v>31</v>
      </c>
      <c r="G202" s="462">
        <f>+'Purchased Power Model '!G202</f>
        <v>0</v>
      </c>
      <c r="H202" s="439"/>
      <c r="I202" s="464">
        <f t="shared" ca="1" si="11"/>
        <v>7311667.487077361</v>
      </c>
      <c r="J202" s="36"/>
      <c r="K202" s="5"/>
    </row>
    <row r="203" spans="1:11" x14ac:dyDescent="0.2">
      <c r="A203" s="460">
        <v>43709</v>
      </c>
      <c r="B203" s="435"/>
      <c r="C203" s="461">
        <f>+'Purchased Power Model '!C203</f>
        <v>51.254012735818087</v>
      </c>
      <c r="D203" s="461">
        <f ca="1">+'Purchased Power Model '!D203</f>
        <v>25.968751768273048</v>
      </c>
      <c r="E203" s="437">
        <f>+'Purchased Power Model '!E203</f>
        <v>5.928129E-2</v>
      </c>
      <c r="F203" s="462">
        <f>+'Purchased Power Model '!F203</f>
        <v>30</v>
      </c>
      <c r="G203" s="462">
        <f>+'Purchased Power Model '!G203</f>
        <v>1</v>
      </c>
      <c r="H203" s="439"/>
      <c r="I203" s="464">
        <f t="shared" ca="1" si="11"/>
        <v>7332685.1525374241</v>
      </c>
      <c r="J203" s="36"/>
      <c r="K203" s="5"/>
    </row>
    <row r="204" spans="1:11" x14ac:dyDescent="0.2">
      <c r="A204" s="460">
        <v>43739</v>
      </c>
      <c r="B204" s="435"/>
      <c r="C204" s="461">
        <f>+'Purchased Power Model '!C204</f>
        <v>205.82320075013561</v>
      </c>
      <c r="D204" s="461">
        <f ca="1">+'Purchased Power Model '!D204</f>
        <v>0.22069760709580494</v>
      </c>
      <c r="E204" s="437">
        <f>+'Purchased Power Model '!E204</f>
        <v>5.7468579999999998E-2</v>
      </c>
      <c r="F204" s="462">
        <f>+'Purchased Power Model '!F204</f>
        <v>31</v>
      </c>
      <c r="G204" s="462">
        <f>+'Purchased Power Model '!G204</f>
        <v>1</v>
      </c>
      <c r="H204" s="439"/>
      <c r="I204" s="464">
        <f t="shared" ca="1" si="11"/>
        <v>6937342.6926385602</v>
      </c>
      <c r="J204" s="36"/>
      <c r="K204" s="5"/>
    </row>
    <row r="205" spans="1:11" x14ac:dyDescent="0.2">
      <c r="A205" s="460">
        <v>43770</v>
      </c>
      <c r="B205" s="435"/>
      <c r="C205" s="461">
        <f>+'Purchased Power Model '!C205</f>
        <v>301.1677716858602</v>
      </c>
      <c r="D205" s="461">
        <f ca="1">+'Purchased Power Model '!D205</f>
        <v>0</v>
      </c>
      <c r="E205" s="437">
        <f>+'Purchased Power Model '!E205</f>
        <v>5.7468579999999998E-2</v>
      </c>
      <c r="F205" s="462">
        <f>+'Purchased Power Model '!F205</f>
        <v>30</v>
      </c>
      <c r="G205" s="462">
        <f>+'Purchased Power Model '!G205</f>
        <v>1</v>
      </c>
      <c r="H205" s="439"/>
      <c r="I205" s="464">
        <f t="shared" ca="1" si="11"/>
        <v>6872896.7855918147</v>
      </c>
      <c r="J205" s="36"/>
      <c r="K205" s="5"/>
    </row>
    <row r="206" spans="1:11" x14ac:dyDescent="0.2">
      <c r="A206" s="460">
        <v>43800</v>
      </c>
      <c r="B206" s="435"/>
      <c r="C206" s="461">
        <f>+'Purchased Power Model '!C206</f>
        <v>487.72027079713502</v>
      </c>
      <c r="D206" s="461">
        <f ca="1">+'Purchased Power Model '!D206</f>
        <v>0</v>
      </c>
      <c r="E206" s="437">
        <f>+'Purchased Power Model '!E206</f>
        <v>5.7468579999999998E-2</v>
      </c>
      <c r="F206" s="462">
        <f>+'Purchased Power Model '!F206</f>
        <v>31</v>
      </c>
      <c r="G206" s="462">
        <f>+'Purchased Power Model '!G206</f>
        <v>0</v>
      </c>
      <c r="H206" s="439"/>
      <c r="I206" s="464">
        <f t="shared" ca="1" si="11"/>
        <v>6834055.0323183201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55" t="s">
        <v>60</v>
      </c>
      <c r="I208" s="43">
        <f ca="1">SUM(I3:I206)</f>
        <v>1415693834.9516783</v>
      </c>
    </row>
    <row r="209" spans="1:11" x14ac:dyDescent="0.2">
      <c r="A209" s="3"/>
      <c r="C209" s="23"/>
      <c r="D209" s="23"/>
      <c r="F209" s="164"/>
      <c r="G209" s="164"/>
      <c r="H209"/>
      <c r="I209" s="164"/>
      <c r="J209" s="36"/>
      <c r="K209" s="5" t="s">
        <v>196</v>
      </c>
    </row>
    <row r="210" spans="1:11" x14ac:dyDescent="0.2">
      <c r="A210" s="16">
        <v>2003</v>
      </c>
      <c r="B210" s="6">
        <f>SUM(B3:B14)</f>
        <v>96172091</v>
      </c>
      <c r="C210" s="96"/>
      <c r="D210" s="23" t="s">
        <v>195</v>
      </c>
      <c r="E210" s="97" t="s">
        <v>107</v>
      </c>
      <c r="F210" s="164"/>
      <c r="G210" s="164"/>
      <c r="H210"/>
      <c r="I210" s="6">
        <f>SUM(I3:I14)</f>
        <v>82893633.302482545</v>
      </c>
      <c r="J210" s="36">
        <f>I210-B210</f>
        <v>-13278457.697517455</v>
      </c>
      <c r="K210" s="5">
        <f>J210/B210</f>
        <v>-0.13806976181392847</v>
      </c>
    </row>
    <row r="211" spans="1:11" x14ac:dyDescent="0.2">
      <c r="A211">
        <v>2004</v>
      </c>
      <c r="B211" s="6">
        <f>SUM(B15:B26)</f>
        <v>65676068</v>
      </c>
      <c r="C211" s="96">
        <f>+B211-B210</f>
        <v>-30496023</v>
      </c>
      <c r="D211" s="98">
        <f>+C211/B210</f>
        <v>-0.31709847090669996</v>
      </c>
      <c r="E211" s="98">
        <f>RATE(1,0,-B$210,B211)</f>
        <v>-0.31709847090670001</v>
      </c>
      <c r="F211" s="164"/>
      <c r="G211" s="164"/>
      <c r="H211"/>
      <c r="I211" s="6">
        <f>SUM(I15:I26)</f>
        <v>83422382.777903765</v>
      </c>
      <c r="J211" s="36">
        <f t="shared" ref="J211:J226" si="12">I211-B211</f>
        <v>17746314.777903765</v>
      </c>
      <c r="K211" s="5">
        <f t="shared" ref="K211:K226" si="13">J211/B211</f>
        <v>0.27020976313478096</v>
      </c>
    </row>
    <row r="212" spans="1:11" x14ac:dyDescent="0.2">
      <c r="A212" s="16">
        <v>2005</v>
      </c>
      <c r="B212" s="6">
        <f>SUM(B27:B38)</f>
        <v>67016961</v>
      </c>
      <c r="C212" s="96">
        <f t="shared" ref="C212:C226" si="14">+B212-B211</f>
        <v>1340893</v>
      </c>
      <c r="D212" s="98">
        <f t="shared" ref="D212:D226" si="15">+C212/B211</f>
        <v>2.0416767337533056E-2</v>
      </c>
      <c r="E212" s="98">
        <f>RATE(2,0,-B$210,B212)</f>
        <v>-0.1652280726286709</v>
      </c>
      <c r="F212" s="164"/>
      <c r="G212" s="164"/>
      <c r="H212"/>
      <c r="I212" s="6">
        <f>SUM(I27:I38)</f>
        <v>81525499.191023931</v>
      </c>
      <c r="J212" s="36">
        <f t="shared" si="12"/>
        <v>14508538.191023931</v>
      </c>
      <c r="K212" s="5">
        <f t="shared" si="13"/>
        <v>0.21649054171561033</v>
      </c>
    </row>
    <row r="213" spans="1:11" x14ac:dyDescent="0.2">
      <c r="A213">
        <v>2006</v>
      </c>
      <c r="B213" s="6">
        <f>SUM(B39:B50)</f>
        <v>80518764</v>
      </c>
      <c r="C213" s="96">
        <f t="shared" si="14"/>
        <v>13501803</v>
      </c>
      <c r="D213" s="98">
        <f t="shared" si="15"/>
        <v>0.20146844617439458</v>
      </c>
      <c r="E213" s="98">
        <f>RATE(3,0,-B$210,B213)</f>
        <v>-5.7497132227355058E-2</v>
      </c>
      <c r="F213" s="164"/>
      <c r="G213" s="164"/>
      <c r="H213"/>
      <c r="I213" s="6">
        <f>SUM(I39:I50)</f>
        <v>83688782.113594681</v>
      </c>
      <c r="J213" s="36">
        <f t="shared" si="12"/>
        <v>3170018.113594681</v>
      </c>
      <c r="K213" s="5">
        <f t="shared" si="13"/>
        <v>3.9369930139447756E-2</v>
      </c>
    </row>
    <row r="214" spans="1:11" x14ac:dyDescent="0.2">
      <c r="A214" s="16">
        <v>2007</v>
      </c>
      <c r="B214" s="6">
        <f>SUM(B51:B62)</f>
        <v>103869997</v>
      </c>
      <c r="C214" s="96">
        <f t="shared" si="14"/>
        <v>23351233</v>
      </c>
      <c r="D214" s="98">
        <f t="shared" si="15"/>
        <v>0.2900098292616613</v>
      </c>
      <c r="E214" s="98">
        <f>RATE(4,0,-B$210,B214)</f>
        <v>1.9436701972856671E-2</v>
      </c>
      <c r="F214" s="164"/>
      <c r="G214" s="164"/>
      <c r="H214"/>
      <c r="I214" s="6">
        <f>SUM(I51:I62)</f>
        <v>85830726.610385567</v>
      </c>
      <c r="J214" s="36">
        <f t="shared" si="12"/>
        <v>-18039270.389614433</v>
      </c>
      <c r="K214" s="5">
        <f t="shared" si="13"/>
        <v>-0.17367161750870594</v>
      </c>
    </row>
    <row r="215" spans="1:11" x14ac:dyDescent="0.2">
      <c r="A215">
        <v>2008</v>
      </c>
      <c r="B215" s="6">
        <f>SUM(B63:B74)</f>
        <v>102433272</v>
      </c>
      <c r="C215" s="96">
        <f t="shared" si="14"/>
        <v>-1436725</v>
      </c>
      <c r="D215" s="98">
        <f t="shared" si="15"/>
        <v>-1.3831953802790618E-2</v>
      </c>
      <c r="E215" s="98">
        <f>RATE(5,0,-B$210,B215)</f>
        <v>1.2694374201591701E-2</v>
      </c>
      <c r="F215" s="164"/>
      <c r="G215" s="164"/>
      <c r="H215"/>
      <c r="I215" s="6">
        <f>SUM(I63:I74)</f>
        <v>86999507.506632656</v>
      </c>
      <c r="J215" s="36">
        <f t="shared" si="12"/>
        <v>-15433764.493367344</v>
      </c>
      <c r="K215" s="5">
        <f t="shared" si="13"/>
        <v>-0.1506713999467609</v>
      </c>
    </row>
    <row r="216" spans="1:11" x14ac:dyDescent="0.2">
      <c r="A216" s="16">
        <v>2009</v>
      </c>
      <c r="B216" s="6">
        <f>SUM(B75:B86)</f>
        <v>87237589</v>
      </c>
      <c r="C216" s="96">
        <f t="shared" si="14"/>
        <v>-15195683</v>
      </c>
      <c r="D216" s="98">
        <f t="shared" si="15"/>
        <v>-0.14834714056581147</v>
      </c>
      <c r="E216" s="98">
        <f>RATE(6,0,-B$210,B216)</f>
        <v>-1.6119320003027477E-2</v>
      </c>
      <c r="F216" s="164"/>
      <c r="G216" s="164"/>
      <c r="H216"/>
      <c r="I216" s="6">
        <f>SUM(I75:I86)</f>
        <v>83099930.950149447</v>
      </c>
      <c r="J216" s="36">
        <f t="shared" si="12"/>
        <v>-4137658.0498505533</v>
      </c>
      <c r="K216" s="5">
        <f t="shared" si="13"/>
        <v>-4.7429761611712508E-2</v>
      </c>
    </row>
    <row r="217" spans="1:11" x14ac:dyDescent="0.2">
      <c r="A217">
        <v>2010</v>
      </c>
      <c r="B217" s="6">
        <f>SUM(B87:B98)</f>
        <v>80783141</v>
      </c>
      <c r="C217" s="96">
        <f t="shared" si="14"/>
        <v>-6454448</v>
      </c>
      <c r="D217" s="98">
        <f t="shared" si="15"/>
        <v>-7.398700576193136E-2</v>
      </c>
      <c r="E217" s="98">
        <f>RATE(7,0,-B$210,B217)</f>
        <v>-2.4602432717810593E-2</v>
      </c>
      <c r="F217" s="164"/>
      <c r="G217" s="164"/>
      <c r="H217"/>
      <c r="I217" s="6">
        <f>SUM(I87:I98)</f>
        <v>81847050.994126588</v>
      </c>
      <c r="J217" s="36">
        <f t="shared" si="12"/>
        <v>1063909.9941265881</v>
      </c>
      <c r="K217" s="5">
        <f t="shared" si="13"/>
        <v>1.3169950820884622E-2</v>
      </c>
    </row>
    <row r="218" spans="1:11" x14ac:dyDescent="0.2">
      <c r="A218">
        <v>2011</v>
      </c>
      <c r="B218" s="6">
        <f>SUM(B99:B110)</f>
        <v>79908016</v>
      </c>
      <c r="C218" s="96">
        <f t="shared" si="14"/>
        <v>-875125</v>
      </c>
      <c r="D218" s="98">
        <f t="shared" si="15"/>
        <v>-1.0833015269856862E-2</v>
      </c>
      <c r="E218" s="98">
        <f>RATE(8,0,-B$210,B218)</f>
        <v>-2.2891792793781555E-2</v>
      </c>
      <c r="F218" s="164"/>
      <c r="G218" s="164"/>
      <c r="H218"/>
      <c r="I218" s="6">
        <f>SUM(I99:I110)</f>
        <v>82012062.860858023</v>
      </c>
      <c r="J218" s="36">
        <f t="shared" si="12"/>
        <v>2104046.8608580232</v>
      </c>
      <c r="K218" s="5">
        <f t="shared" si="13"/>
        <v>2.633086098468548E-2</v>
      </c>
    </row>
    <row r="219" spans="1:11" x14ac:dyDescent="0.2">
      <c r="A219">
        <v>2012</v>
      </c>
      <c r="B219" s="6">
        <f>SUM(B111:B122)</f>
        <v>76828137</v>
      </c>
      <c r="C219" s="96">
        <f t="shared" si="14"/>
        <v>-3079879</v>
      </c>
      <c r="D219" s="98">
        <f t="shared" si="15"/>
        <v>-3.8542804016057662E-2</v>
      </c>
      <c r="E219" s="98">
        <f>RATE(9,0,-B$210,B219)</f>
        <v>-2.4643300256595783E-2</v>
      </c>
      <c r="F219" s="164"/>
      <c r="G219" s="164"/>
      <c r="H219"/>
      <c r="I219" s="6">
        <f>SUM(I111:I122)</f>
        <v>82218419.484276667</v>
      </c>
      <c r="J219" s="36">
        <f t="shared" si="12"/>
        <v>5390282.4842766672</v>
      </c>
      <c r="K219" s="5">
        <f t="shared" si="13"/>
        <v>7.016026542823324E-2</v>
      </c>
    </row>
    <row r="220" spans="1:11" x14ac:dyDescent="0.2">
      <c r="A220">
        <v>2013</v>
      </c>
      <c r="B220" s="6">
        <f>SUM(B123:B134)</f>
        <v>79176233</v>
      </c>
      <c r="C220" s="96">
        <f t="shared" si="14"/>
        <v>2348096</v>
      </c>
      <c r="D220" s="98">
        <f t="shared" si="15"/>
        <v>3.0562969397526847E-2</v>
      </c>
      <c r="E220" s="98">
        <f>RATE(10,0,-B$210,B220)</f>
        <v>-1.9258443918046941E-2</v>
      </c>
      <c r="F220" s="164"/>
      <c r="G220" s="164"/>
      <c r="H220"/>
      <c r="I220" s="6">
        <f ca="1">SUM(I123:I134)</f>
        <v>83077056.294350952</v>
      </c>
      <c r="J220" s="36">
        <f t="shared" ca="1" si="12"/>
        <v>3900823.2943509519</v>
      </c>
      <c r="K220" s="5">
        <f t="shared" ca="1" si="13"/>
        <v>4.9267604008780663E-2</v>
      </c>
    </row>
    <row r="221" spans="1:11" x14ac:dyDescent="0.2">
      <c r="A221">
        <v>2014</v>
      </c>
      <c r="B221" s="6">
        <f>SUM(B135:B146)</f>
        <v>81400346</v>
      </c>
      <c r="C221" s="96">
        <f t="shared" ref="C221" si="16">+B221-B220</f>
        <v>2224113</v>
      </c>
      <c r="D221" s="98">
        <f t="shared" ref="D221" si="17">+C221/B220</f>
        <v>2.8090664530604784E-2</v>
      </c>
      <c r="E221" s="98">
        <f>RATE(10,0,-B$210,B221)</f>
        <v>-1.6537693497742218E-2</v>
      </c>
      <c r="F221" s="92"/>
      <c r="G221" s="164"/>
      <c r="H221"/>
      <c r="I221" s="6">
        <f>SUM(I135:I146)</f>
        <v>82471154.93257989</v>
      </c>
      <c r="J221" s="36">
        <f t="shared" si="12"/>
        <v>1070808.9325798899</v>
      </c>
      <c r="K221" s="5">
        <f t="shared" si="13"/>
        <v>1.3154844975473321E-2</v>
      </c>
    </row>
    <row r="222" spans="1:11" x14ac:dyDescent="0.2">
      <c r="A222">
        <v>2015</v>
      </c>
      <c r="B222" s="6">
        <f>SUM(B147:B158)</f>
        <v>81234207</v>
      </c>
      <c r="C222" s="96">
        <f t="shared" si="14"/>
        <v>-166139</v>
      </c>
      <c r="D222" s="98">
        <f t="shared" si="15"/>
        <v>-2.0410109804692967E-3</v>
      </c>
      <c r="E222" s="98">
        <f>RATE(12,0,-B$210,B222)</f>
        <v>-1.3968421344728855E-2</v>
      </c>
      <c r="F222" s="92"/>
      <c r="G222" s="164"/>
      <c r="H222"/>
      <c r="I222" s="6">
        <f>SUM(I147:I158)</f>
        <v>82763742.903692633</v>
      </c>
      <c r="J222" s="36">
        <f t="shared" si="12"/>
        <v>1529535.9036926329</v>
      </c>
      <c r="K222" s="5">
        <f t="shared" si="13"/>
        <v>1.8828717115348132E-2</v>
      </c>
    </row>
    <row r="223" spans="1:11" x14ac:dyDescent="0.2">
      <c r="A223">
        <v>2016</v>
      </c>
      <c r="B223" s="6">
        <f>SUM(B159:B170)</f>
        <v>83295745</v>
      </c>
      <c r="C223" s="96">
        <f t="shared" si="14"/>
        <v>2061538</v>
      </c>
      <c r="D223" s="98">
        <f t="shared" si="15"/>
        <v>2.5377708186404772E-2</v>
      </c>
      <c r="E223" s="98">
        <f>RATE(13,0,-B$210,B223)</f>
        <v>-1.099615187923257E-2</v>
      </c>
      <c r="F223" s="92"/>
      <c r="G223" s="164"/>
      <c r="H223"/>
      <c r="I223" s="6">
        <f>SUM(I159:I170)</f>
        <v>82430354.84115985</v>
      </c>
      <c r="J223" s="36">
        <f t="shared" si="12"/>
        <v>-865390.15884014964</v>
      </c>
      <c r="K223" s="5">
        <f t="shared" si="13"/>
        <v>-1.0389368134472532E-2</v>
      </c>
    </row>
    <row r="224" spans="1:11" x14ac:dyDescent="0.2">
      <c r="A224">
        <v>2017</v>
      </c>
      <c r="B224" s="6">
        <f t="shared" ref="B224:B226" ca="1" si="18">+I224</f>
        <v>84014619.908907875</v>
      </c>
      <c r="C224" s="96">
        <f t="shared" ca="1" si="14"/>
        <v>718874.90890787542</v>
      </c>
      <c r="D224" s="98">
        <f t="shared" ca="1" si="15"/>
        <v>8.6303917313888655E-3</v>
      </c>
      <c r="E224" s="98">
        <f ca="1">RATE(14,0,-B$210,B224)</f>
        <v>-9.6070100459427765E-3</v>
      </c>
      <c r="F224" s="92"/>
      <c r="G224" s="164"/>
      <c r="H224"/>
      <c r="I224" s="6">
        <f ca="1">SUM(I171:I182)</f>
        <v>84014619.908907875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83607993.914183319</v>
      </c>
      <c r="C225" s="96">
        <f t="shared" ca="1" si="14"/>
        <v>-406625.9947245568</v>
      </c>
      <c r="D225" s="98">
        <f t="shared" ca="1" si="15"/>
        <v>-4.8399432761278638E-3</v>
      </c>
      <c r="E225" s="98">
        <f ca="1">RATE(15,0,-B$210,B225)</f>
        <v>-9.2899172437961152E-3</v>
      </c>
      <c r="F225" s="92"/>
      <c r="G225" s="164"/>
      <c r="H225"/>
      <c r="I225" s="6">
        <f ca="1">SUM(I183:I194)</f>
        <v>83607993.914183319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83790916.365369484</v>
      </c>
      <c r="C226" s="96">
        <f t="shared" ca="1" si="14"/>
        <v>182922.45118616521</v>
      </c>
      <c r="D226" s="98">
        <f t="shared" ca="1" si="15"/>
        <v>2.1878583927503388E-3</v>
      </c>
      <c r="E226" s="98">
        <f ca="1">RATE(16,0,-B$210,B226)</f>
        <v>-8.5764231053042997E-3</v>
      </c>
      <c r="F226" s="92"/>
      <c r="G226" s="164"/>
      <c r="H226"/>
      <c r="I226" s="6">
        <f ca="1">SUM(I195:I206)</f>
        <v>83790916.365369484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90"/>
      <c r="D227" s="164"/>
      <c r="F227" s="164"/>
      <c r="G227" s="164"/>
      <c r="H227"/>
      <c r="J227" s="164"/>
      <c r="K227" s="164"/>
    </row>
    <row r="228" spans="1:11" x14ac:dyDescent="0.2">
      <c r="A228" t="s">
        <v>9</v>
      </c>
      <c r="B228" s="6">
        <f ca="1">SUM(B210:B226)</f>
        <v>1416964097.1884608</v>
      </c>
      <c r="C228" s="90"/>
      <c r="D228" s="164"/>
      <c r="F228" s="164"/>
      <c r="G228" s="164"/>
      <c r="H228"/>
      <c r="I228" s="6">
        <f ca="1">SUM(I210:I226)</f>
        <v>1415693834.9516778</v>
      </c>
      <c r="J228" s="168">
        <f ca="1">I228-B228</f>
        <v>-1270262.2367830276</v>
      </c>
      <c r="K228" s="164"/>
    </row>
    <row r="229" spans="1:11" x14ac:dyDescent="0.2">
      <c r="C229" s="164"/>
      <c r="D229" s="164"/>
      <c r="F229" s="164"/>
      <c r="G229" s="164"/>
      <c r="H229"/>
      <c r="I229" s="164"/>
      <c r="J229" s="54"/>
      <c r="K229" s="164"/>
    </row>
    <row r="230" spans="1:11" x14ac:dyDescent="0.2">
      <c r="C230" s="164"/>
      <c r="D230" s="164"/>
      <c r="F230" s="164"/>
      <c r="G230" s="164"/>
      <c r="H230"/>
      <c r="I230" s="6">
        <f ca="1">SUM(I210:I226)</f>
        <v>1415693834.9516778</v>
      </c>
      <c r="J230" s="168">
        <f ca="1">I208-I230</f>
        <v>0</v>
      </c>
      <c r="K230" s="164"/>
    </row>
    <row r="231" spans="1:11" x14ac:dyDescent="0.2">
      <c r="C231" s="164"/>
      <c r="D231" s="164"/>
      <c r="F231" s="164"/>
      <c r="G231" s="164"/>
      <c r="H231"/>
      <c r="I231" s="23"/>
      <c r="J231" s="169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U213"/>
  <sheetViews>
    <sheetView showGridLines="0" tabSelected="1" topLeftCell="A169" workbookViewId="0">
      <selection activeCell="A209" sqref="A209"/>
    </sheetView>
  </sheetViews>
  <sheetFormatPr defaultRowHeight="12.75" x14ac:dyDescent="0.2"/>
  <cols>
    <col min="1" max="1" width="25.85546875" customWidth="1"/>
    <col min="2" max="2" width="12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9" max="9" width="10.140625" customWidth="1"/>
    <col min="10" max="10" width="10.5703125" customWidth="1"/>
    <col min="12" max="12" width="25.85546875" customWidth="1"/>
    <col min="13" max="13" width="12.7109375" bestFit="1" customWidth="1"/>
    <col min="14" max="14" width="10.7109375" bestFit="1" customWidth="1"/>
    <col min="15" max="15" width="9.5703125" bestFit="1" customWidth="1"/>
    <col min="16" max="16" width="10" customWidth="1"/>
    <col min="17" max="18" width="11.140625" customWidth="1"/>
    <col min="20" max="20" width="10.140625" customWidth="1"/>
    <col min="21" max="21" width="10.5703125" customWidth="1"/>
  </cols>
  <sheetData>
    <row r="2" spans="1:9" x14ac:dyDescent="0.2">
      <c r="A2" s="58" t="s">
        <v>244</v>
      </c>
    </row>
    <row r="3" spans="1:9" ht="13.5" thickBot="1" x14ac:dyDescent="0.25"/>
    <row r="4" spans="1:9" ht="48.75" thickBot="1" x14ac:dyDescent="0.25">
      <c r="A4" s="224" t="s">
        <v>112</v>
      </c>
      <c r="B4" s="217" t="s">
        <v>223</v>
      </c>
      <c r="C4" s="217" t="s">
        <v>224</v>
      </c>
      <c r="D4" s="217" t="s">
        <v>195</v>
      </c>
      <c r="E4" s="217" t="s">
        <v>225</v>
      </c>
      <c r="F4" s="217" t="s">
        <v>233</v>
      </c>
      <c r="G4" s="217" t="s">
        <v>224</v>
      </c>
      <c r="H4" s="217" t="s">
        <v>195</v>
      </c>
      <c r="I4" s="218" t="s">
        <v>225</v>
      </c>
    </row>
    <row r="5" spans="1:9" x14ac:dyDescent="0.2">
      <c r="A5" s="225" t="s">
        <v>114</v>
      </c>
      <c r="B5" s="226">
        <v>1192455603</v>
      </c>
      <c r="C5" s="226">
        <f>+B16-B5</f>
        <v>-33573677</v>
      </c>
      <c r="D5" s="227">
        <f>+C5/B5</f>
        <v>-2.8155075053138058E-2</v>
      </c>
      <c r="E5" s="227"/>
      <c r="F5" s="226">
        <f>+J33</f>
        <v>63653</v>
      </c>
      <c r="G5" s="226">
        <f>+F16-F5</f>
        <v>-308.5</v>
      </c>
      <c r="H5" s="227">
        <f>+G5/F5</f>
        <v>-4.846590105729502E-3</v>
      </c>
      <c r="I5" s="228"/>
    </row>
    <row r="6" spans="1:9" x14ac:dyDescent="0.2">
      <c r="A6" s="445" t="s">
        <v>226</v>
      </c>
      <c r="B6" s="222">
        <v>1161936612</v>
      </c>
      <c r="C6" s="222">
        <f>+B20-B6</f>
        <v>-25724659.329020977</v>
      </c>
      <c r="D6" s="223">
        <f>+C6/B6</f>
        <v>-2.2139468765634333E-2</v>
      </c>
      <c r="E6" s="223"/>
      <c r="F6" s="222">
        <f>+J34</f>
        <v>67507.012231684101</v>
      </c>
      <c r="G6" s="222">
        <f>+F20-F6</f>
        <v>-1580.0122316841007</v>
      </c>
      <c r="H6" s="223">
        <f>+G6/F6</f>
        <v>-2.3405157174805749E-2</v>
      </c>
      <c r="I6" s="229"/>
    </row>
    <row r="7" spans="1:9" x14ac:dyDescent="0.2">
      <c r="A7" s="445" t="s">
        <v>337</v>
      </c>
      <c r="B7" s="222">
        <v>1155695984.2165191</v>
      </c>
      <c r="C7" s="222">
        <f>+B23-B7</f>
        <v>-32354953.004211426</v>
      </c>
      <c r="D7" s="223">
        <f t="shared" ref="D7:D9" si="0">+C7/B7</f>
        <v>-2.7996076343681175E-2</v>
      </c>
      <c r="E7" s="223"/>
      <c r="F7" s="222">
        <f>+J35</f>
        <v>68528.684052257042</v>
      </c>
      <c r="G7" s="222">
        <f>+F23-F7</f>
        <v>195.31594774295809</v>
      </c>
      <c r="H7" s="223">
        <f t="shared" ref="H7:H9" si="1">+G7/F7</f>
        <v>2.8501342239990847E-3</v>
      </c>
      <c r="I7" s="229"/>
    </row>
    <row r="8" spans="1:9" x14ac:dyDescent="0.2">
      <c r="A8" s="445" t="s">
        <v>338</v>
      </c>
      <c r="B8" s="222">
        <v>1159527660.9021561</v>
      </c>
      <c r="C8" s="222">
        <f>+B24-B8</f>
        <v>-37500226.620617628</v>
      </c>
      <c r="D8" s="223">
        <f t="shared" si="0"/>
        <v>-3.2340950444805297E-2</v>
      </c>
      <c r="E8" s="223"/>
      <c r="F8" s="222">
        <f>+J36</f>
        <v>69610.723355824943</v>
      </c>
      <c r="G8" s="222">
        <f>+F24-F8</f>
        <v>401.7766441750573</v>
      </c>
      <c r="H8" s="223">
        <f t="shared" si="1"/>
        <v>5.7717636709694832E-3</v>
      </c>
      <c r="I8" s="229"/>
    </row>
    <row r="9" spans="1:9" x14ac:dyDescent="0.2">
      <c r="A9" s="445" t="s">
        <v>339</v>
      </c>
      <c r="B9" s="222">
        <v>1161962823.0962443</v>
      </c>
      <c r="C9" s="222">
        <f>+B25-B9</f>
        <v>-53560372.137541056</v>
      </c>
      <c r="D9" s="223">
        <f t="shared" si="0"/>
        <v>-4.6094738207561999E-2</v>
      </c>
      <c r="E9" s="223"/>
      <c r="F9" s="222">
        <f>+J37</f>
        <v>70710.136538212828</v>
      </c>
      <c r="G9" s="222">
        <f>+F25-F9</f>
        <v>335.99105023927405</v>
      </c>
      <c r="H9" s="223">
        <f t="shared" si="1"/>
        <v>4.7516673943586493E-3</v>
      </c>
      <c r="I9" s="229"/>
    </row>
    <row r="10" spans="1:9" x14ac:dyDescent="0.2">
      <c r="A10" s="235"/>
      <c r="B10" s="236"/>
      <c r="C10" s="237"/>
      <c r="D10" s="238"/>
      <c r="E10" s="238"/>
      <c r="F10" s="237"/>
      <c r="G10" s="237"/>
      <c r="H10" s="238"/>
      <c r="I10" s="239"/>
    </row>
    <row r="11" spans="1:9" x14ac:dyDescent="0.2">
      <c r="A11" s="241">
        <v>2003</v>
      </c>
      <c r="B11" s="219">
        <f>+Chart!C7</f>
        <v>1232724170</v>
      </c>
      <c r="C11" s="219"/>
      <c r="D11" s="220"/>
      <c r="E11" s="220"/>
      <c r="F11" s="219">
        <f>+J39</f>
        <v>57960.5</v>
      </c>
      <c r="G11" s="219"/>
      <c r="H11" s="220"/>
      <c r="I11" s="230"/>
    </row>
    <row r="12" spans="1:9" x14ac:dyDescent="0.2">
      <c r="A12" s="242">
        <v>2004</v>
      </c>
      <c r="B12" s="219">
        <f>+Chart!C8</f>
        <v>1178441190</v>
      </c>
      <c r="C12" s="219">
        <f>+B12-B11</f>
        <v>-54282980</v>
      </c>
      <c r="D12" s="220">
        <f>+C12/B11</f>
        <v>-4.4034976616058402E-2</v>
      </c>
      <c r="E12" s="220">
        <f>RATE(1,0,-B$11,B12)</f>
        <v>-4.4034976616058499E-2</v>
      </c>
      <c r="F12" s="219">
        <f t="shared" ref="F12:F27" si="2">+J40</f>
        <v>58730.5</v>
      </c>
      <c r="G12" s="219">
        <f>+F12-F11</f>
        <v>770</v>
      </c>
      <c r="H12" s="220">
        <f>+G12/F11</f>
        <v>1.3284909550469716E-2</v>
      </c>
      <c r="I12" s="231">
        <f>RATE(1,0,-F$11,F12)</f>
        <v>1.3284909550469686E-2</v>
      </c>
    </row>
    <row r="13" spans="1:9" x14ac:dyDescent="0.2">
      <c r="A13" s="241">
        <v>2005</v>
      </c>
      <c r="B13" s="219">
        <f>+Chart!C9</f>
        <v>1174501350</v>
      </c>
      <c r="C13" s="219">
        <f t="shared" ref="C13:C27" si="3">+B13-B12</f>
        <v>-3939840</v>
      </c>
      <c r="D13" s="220">
        <f t="shared" ref="D13:D27" si="4">+C13/B12</f>
        <v>-3.3432639943619079E-3</v>
      </c>
      <c r="E13" s="220">
        <f>RATE(2,0,-B$11,B13)</f>
        <v>-2.3901142331683341E-2</v>
      </c>
      <c r="F13" s="219">
        <f t="shared" si="2"/>
        <v>59614.5</v>
      </c>
      <c r="G13" s="219">
        <f t="shared" ref="G13:G27" si="5">+F13-F12</f>
        <v>884</v>
      </c>
      <c r="H13" s="220">
        <f t="shared" ref="H13:H27" si="6">+G13/F12</f>
        <v>1.5051804428703996E-2</v>
      </c>
      <c r="I13" s="231">
        <f>RATE(2,0,-F$11,F13)</f>
        <v>1.4167972201637047E-2</v>
      </c>
    </row>
    <row r="14" spans="1:9" x14ac:dyDescent="0.2">
      <c r="A14" s="242">
        <v>2006</v>
      </c>
      <c r="B14" s="219">
        <f>+Chart!C10</f>
        <v>1151360440</v>
      </c>
      <c r="C14" s="219">
        <f t="shared" si="3"/>
        <v>-23140910</v>
      </c>
      <c r="D14" s="220">
        <f t="shared" si="4"/>
        <v>-1.9702753002369899E-2</v>
      </c>
      <c r="E14" s="220">
        <f>RATE(3,0,-B$11,B14)</f>
        <v>-2.2503680894619967E-2</v>
      </c>
      <c r="F14" s="219">
        <f t="shared" si="2"/>
        <v>60872.5</v>
      </c>
      <c r="G14" s="219">
        <f t="shared" si="5"/>
        <v>1258</v>
      </c>
      <c r="H14" s="220">
        <f t="shared" si="6"/>
        <v>2.1102248614011693E-2</v>
      </c>
      <c r="I14" s="231">
        <f>RATE(3,0,-F$11,F14)</f>
        <v>1.6474149542546394E-2</v>
      </c>
    </row>
    <row r="15" spans="1:9" x14ac:dyDescent="0.2">
      <c r="A15" s="241">
        <v>2007</v>
      </c>
      <c r="B15" s="219">
        <f>+Chart!C11</f>
        <v>1191153590</v>
      </c>
      <c r="C15" s="219">
        <f t="shared" si="3"/>
        <v>39793150</v>
      </c>
      <c r="D15" s="220">
        <f t="shared" si="4"/>
        <v>3.4561852759158546E-2</v>
      </c>
      <c r="E15" s="220">
        <f>RATE(4,0,-B$11,B15)</f>
        <v>-8.5393934317338754E-3</v>
      </c>
      <c r="F15" s="219">
        <f t="shared" si="2"/>
        <v>62211</v>
      </c>
      <c r="G15" s="219">
        <f t="shared" si="5"/>
        <v>1338.5</v>
      </c>
      <c r="H15" s="220">
        <f t="shared" si="6"/>
        <v>2.1988582693334428E-2</v>
      </c>
      <c r="I15" s="231">
        <f>RATE(4,0,-F$11,F15)</f>
        <v>1.78499620360448E-2</v>
      </c>
    </row>
    <row r="16" spans="1:9" x14ac:dyDescent="0.2">
      <c r="A16" s="242">
        <v>2008</v>
      </c>
      <c r="B16" s="219">
        <f>+Chart!C12</f>
        <v>1158881926</v>
      </c>
      <c r="C16" s="219">
        <f t="shared" si="3"/>
        <v>-32271664</v>
      </c>
      <c r="D16" s="220">
        <f t="shared" si="4"/>
        <v>-2.70927815446537E-2</v>
      </c>
      <c r="E16" s="220">
        <f>RATE(5,0,-B$11,B16)</f>
        <v>-1.2278162500929547E-2</v>
      </c>
      <c r="F16" s="219">
        <f t="shared" si="2"/>
        <v>63344.5</v>
      </c>
      <c r="G16" s="219">
        <f t="shared" si="5"/>
        <v>1133.5</v>
      </c>
      <c r="H16" s="220">
        <f t="shared" si="6"/>
        <v>1.8220250438025429E-2</v>
      </c>
      <c r="I16" s="231">
        <f>RATE(5,0,-F$11,F16)</f>
        <v>1.7924008941779188E-2</v>
      </c>
    </row>
    <row r="17" spans="1:21" x14ac:dyDescent="0.2">
      <c r="A17" s="241">
        <v>2009</v>
      </c>
      <c r="B17" s="219">
        <f>+Chart!C13</f>
        <v>1128390784.5107694</v>
      </c>
      <c r="C17" s="219">
        <f t="shared" si="3"/>
        <v>-30491141.489230633</v>
      </c>
      <c r="D17" s="220">
        <f t="shared" si="4"/>
        <v>-2.6310826672803447E-2</v>
      </c>
      <c r="E17" s="220">
        <f>RATE(6,0,-B$11,B17)</f>
        <v>-1.4630905973235077E-2</v>
      </c>
      <c r="F17" s="219">
        <f t="shared" si="2"/>
        <v>64128</v>
      </c>
      <c r="G17" s="219">
        <f t="shared" si="5"/>
        <v>783.5</v>
      </c>
      <c r="H17" s="220">
        <f t="shared" si="6"/>
        <v>1.2368871804181895E-2</v>
      </c>
      <c r="I17" s="231">
        <f>RATE(6,0,-F$11,F17)</f>
        <v>1.6996040414734147E-2</v>
      </c>
    </row>
    <row r="18" spans="1:21" x14ac:dyDescent="0.2">
      <c r="A18" s="242">
        <v>2010</v>
      </c>
      <c r="B18" s="219">
        <f>+Chart!C14</f>
        <v>1148489331.8146157</v>
      </c>
      <c r="C18" s="219">
        <f t="shared" si="3"/>
        <v>20098547.303846359</v>
      </c>
      <c r="D18" s="220">
        <f t="shared" si="4"/>
        <v>1.781169039993568E-2</v>
      </c>
      <c r="E18" s="220">
        <f>RATE(7,0,-B$11,B18)</f>
        <v>-1.0060343960087228E-2</v>
      </c>
      <c r="F18" s="219">
        <f t="shared" si="2"/>
        <v>64894</v>
      </c>
      <c r="G18" s="219">
        <f t="shared" si="5"/>
        <v>766</v>
      </c>
      <c r="H18" s="220">
        <f t="shared" si="6"/>
        <v>1.1944860279441118E-2</v>
      </c>
      <c r="I18" s="231">
        <f>RATE(7,0,-F$11,F18)</f>
        <v>1.6272902511597749E-2</v>
      </c>
    </row>
    <row r="19" spans="1:21" x14ac:dyDescent="0.2">
      <c r="A19" s="242">
        <v>2011</v>
      </c>
      <c r="B19" s="219">
        <f>+Chart!C15</f>
        <v>1148632387.3953846</v>
      </c>
      <c r="C19" s="219">
        <f t="shared" si="3"/>
        <v>143055.58076882362</v>
      </c>
      <c r="D19" s="220">
        <f t="shared" si="4"/>
        <v>1.2455978197272019E-4</v>
      </c>
      <c r="E19" s="220">
        <f>RATE(8,0,-B$11,B19)</f>
        <v>-8.7929249231188996E-3</v>
      </c>
      <c r="F19" s="219">
        <f t="shared" si="2"/>
        <v>65524.5</v>
      </c>
      <c r="G19" s="219">
        <f t="shared" si="5"/>
        <v>630.5</v>
      </c>
      <c r="H19" s="220">
        <f t="shared" si="6"/>
        <v>9.7158442999352793E-3</v>
      </c>
      <c r="I19" s="231">
        <f>RATE(8,0,-F$11,F19)</f>
        <v>1.5450947221827164E-2</v>
      </c>
    </row>
    <row r="20" spans="1:21" x14ac:dyDescent="0.2">
      <c r="A20" s="242">
        <v>2012</v>
      </c>
      <c r="B20" s="219">
        <f>+Chart!C16</f>
        <v>1136211952.670979</v>
      </c>
      <c r="C20" s="219">
        <f t="shared" si="3"/>
        <v>-12420434.724405527</v>
      </c>
      <c r="D20" s="220">
        <f t="shared" si="4"/>
        <v>-1.0813237429748827E-2</v>
      </c>
      <c r="E20" s="220">
        <f>RATE(9,0,-B$11,B20)</f>
        <v>-9.0176077035169049E-3</v>
      </c>
      <c r="F20" s="219">
        <f t="shared" si="2"/>
        <v>65927</v>
      </c>
      <c r="G20" s="219">
        <f t="shared" si="5"/>
        <v>402.5</v>
      </c>
      <c r="H20" s="220">
        <f t="shared" si="6"/>
        <v>6.1427405016444229E-3</v>
      </c>
      <c r="I20" s="231">
        <f>RATE(9,0,-F$11,F20)</f>
        <v>1.441246400059943E-2</v>
      </c>
    </row>
    <row r="21" spans="1:21" x14ac:dyDescent="0.2">
      <c r="A21" s="242">
        <v>2013</v>
      </c>
      <c r="B21" s="219">
        <f>+Chart!C17</f>
        <v>1130407041.6666667</v>
      </c>
      <c r="C21" s="219">
        <f t="shared" si="3"/>
        <v>-5804911.0043122768</v>
      </c>
      <c r="D21" s="220">
        <f t="shared" si="4"/>
        <v>-5.1090036420284399E-3</v>
      </c>
      <c r="E21" s="220">
        <f>RATE(10,0,-B$11,B21)</f>
        <v>-8.6274392985243292E-3</v>
      </c>
      <c r="F21" s="219">
        <f t="shared" si="2"/>
        <v>66584</v>
      </c>
      <c r="G21" s="219">
        <f t="shared" si="5"/>
        <v>657</v>
      </c>
      <c r="H21" s="220">
        <f t="shared" si="6"/>
        <v>9.9655679767015025E-3</v>
      </c>
      <c r="I21" s="231">
        <f>RATE(10,0,-F$11,F21)</f>
        <v>1.3966894728159518E-2</v>
      </c>
    </row>
    <row r="22" spans="1:21" x14ac:dyDescent="0.2">
      <c r="A22" s="242">
        <v>2014</v>
      </c>
      <c r="B22" s="219">
        <f>+Chart!C18</f>
        <v>1134970142.7733078</v>
      </c>
      <c r="C22" s="219">
        <f t="shared" si="3"/>
        <v>4563101.1066410542</v>
      </c>
      <c r="D22" s="220">
        <f t="shared" si="4"/>
        <v>4.0366885010847415E-3</v>
      </c>
      <c r="E22" s="220">
        <f>RATE(11,0,-B$11,B22)</f>
        <v>-7.4827860624175138E-3</v>
      </c>
      <c r="F22" s="219">
        <f t="shared" si="2"/>
        <v>67453.5</v>
      </c>
      <c r="G22" s="219">
        <f t="shared" si="5"/>
        <v>869.5</v>
      </c>
      <c r="H22" s="220">
        <f t="shared" si="6"/>
        <v>1.3058692779046017E-2</v>
      </c>
      <c r="I22" s="231">
        <f>RATE(11,0,-F$11,F22)</f>
        <v>1.3884297281004271E-2</v>
      </c>
    </row>
    <row r="23" spans="1:21" x14ac:dyDescent="0.2">
      <c r="A23" s="242">
        <v>2015</v>
      </c>
      <c r="B23" s="219">
        <f>+Chart!C19</f>
        <v>1123341031.2123077</v>
      </c>
      <c r="C23" s="219">
        <f t="shared" si="3"/>
        <v>-11629111.561000109</v>
      </c>
      <c r="D23" s="220">
        <f t="shared" si="4"/>
        <v>-1.0246182804936428E-2</v>
      </c>
      <c r="E23" s="220">
        <f>RATE(12,0,-B$11,B23)</f>
        <v>-7.7133635136097944E-3</v>
      </c>
      <c r="F23" s="219">
        <f t="shared" si="2"/>
        <v>68724</v>
      </c>
      <c r="G23" s="219">
        <f t="shared" si="5"/>
        <v>1270.5</v>
      </c>
      <c r="H23" s="220">
        <f t="shared" si="6"/>
        <v>1.8835197580555494E-2</v>
      </c>
      <c r="I23" s="231">
        <f>RATE(12,0,-F$11,F23)</f>
        <v>1.429595179711346E-2</v>
      </c>
    </row>
    <row r="24" spans="1:21" x14ac:dyDescent="0.2">
      <c r="A24" s="242">
        <v>2016</v>
      </c>
      <c r="B24" s="219">
        <f>+Chart!C20</f>
        <v>1122027434.2815385</v>
      </c>
      <c r="C24" s="219">
        <f t="shared" si="3"/>
        <v>-1313596.9307692051</v>
      </c>
      <c r="D24" s="220">
        <f t="shared" si="4"/>
        <v>-1.1693661090181791E-3</v>
      </c>
      <c r="E24" s="220">
        <f>RATE(13,0,-B$11,B24)</f>
        <v>-7.2115048451986642E-3</v>
      </c>
      <c r="F24" s="219">
        <f t="shared" si="2"/>
        <v>70012.5</v>
      </c>
      <c r="G24" s="219">
        <f t="shared" si="5"/>
        <v>1288.5</v>
      </c>
      <c r="H24" s="220">
        <f t="shared" si="6"/>
        <v>1.8748908678191026E-2</v>
      </c>
      <c r="I24" s="231">
        <f>RATE(13,0,-F$11,F24)</f>
        <v>1.4637794829112177E-2</v>
      </c>
    </row>
    <row r="25" spans="1:21" x14ac:dyDescent="0.2">
      <c r="A25" s="242" t="s">
        <v>340</v>
      </c>
      <c r="B25" s="219">
        <f>+Chart!D21</f>
        <v>1108402450.9587033</v>
      </c>
      <c r="C25" s="219">
        <f t="shared" si="3"/>
        <v>-13624983.322835207</v>
      </c>
      <c r="D25" s="220">
        <f t="shared" si="4"/>
        <v>-1.2143181981606016E-2</v>
      </c>
      <c r="E25" s="220">
        <f>RATE(14,0,-B$11,B25)</f>
        <v>-7.5645825389452246E-3</v>
      </c>
      <c r="F25" s="219">
        <f t="shared" si="2"/>
        <v>71046.127588452102</v>
      </c>
      <c r="G25" s="219">
        <f t="shared" si="5"/>
        <v>1033.6275884521019</v>
      </c>
      <c r="H25" s="220">
        <f t="shared" si="6"/>
        <v>1.4763472072159998E-2</v>
      </c>
      <c r="I25" s="231">
        <f>RATE(14,0,-F$11,F25)</f>
        <v>1.4646771258925606E-2</v>
      </c>
    </row>
    <row r="26" spans="1:21" x14ac:dyDescent="0.2">
      <c r="A26" s="242" t="s">
        <v>231</v>
      </c>
      <c r="B26" s="219">
        <f>+Chart!D22</f>
        <v>1099681736.5142858</v>
      </c>
      <c r="C26" s="219">
        <f t="shared" si="3"/>
        <v>-8720714.4444174767</v>
      </c>
      <c r="D26" s="220">
        <f t="shared" si="4"/>
        <v>-7.8678231330818228E-3</v>
      </c>
      <c r="E26" s="220">
        <f>RATE(15,0,-B$11,B26)</f>
        <v>-7.584801461745728E-3</v>
      </c>
      <c r="F26" s="219">
        <f t="shared" si="2"/>
        <v>72339.66996111178</v>
      </c>
      <c r="G26" s="219">
        <f t="shared" si="5"/>
        <v>1293.5423726596782</v>
      </c>
      <c r="H26" s="220">
        <f t="shared" si="6"/>
        <v>1.8207077803772259E-2</v>
      </c>
      <c r="I26" s="231">
        <f>RATE(15,0,-F$11,F26)</f>
        <v>1.4883737240123159E-2</v>
      </c>
    </row>
    <row r="27" spans="1:21" ht="13.5" thickBot="1" x14ac:dyDescent="0.25">
      <c r="A27" s="243" t="s">
        <v>232</v>
      </c>
      <c r="B27" s="232">
        <f>+Chart!D23</f>
        <v>1097927653.0000739</v>
      </c>
      <c r="C27" s="232">
        <f t="shared" si="3"/>
        <v>-1754083.5142118931</v>
      </c>
      <c r="D27" s="233">
        <f t="shared" si="4"/>
        <v>-1.5950828825910086E-3</v>
      </c>
      <c r="E27" s="233">
        <f>RATE(16,0,-B$11,B27)</f>
        <v>-7.2114990495997858E-3</v>
      </c>
      <c r="F27" s="232">
        <f t="shared" si="2"/>
        <v>73657.780656757473</v>
      </c>
      <c r="G27" s="232">
        <f t="shared" si="5"/>
        <v>1318.1106956456933</v>
      </c>
      <c r="H27" s="233">
        <f t="shared" si="6"/>
        <v>1.8221132282664278E-2</v>
      </c>
      <c r="I27" s="234">
        <f>RATE(16,0,-F$11,F27)</f>
        <v>1.5092003582432574E-2</v>
      </c>
    </row>
    <row r="29" spans="1:21" x14ac:dyDescent="0.2">
      <c r="A29" s="58" t="s">
        <v>276</v>
      </c>
    </row>
    <row r="30" spans="1:21" ht="13.5" thickBot="1" x14ac:dyDescent="0.25"/>
    <row r="31" spans="1:21" ht="24.75" thickBot="1" x14ac:dyDescent="0.25">
      <c r="A31" s="224" t="s">
        <v>112</v>
      </c>
      <c r="B31" s="217" t="s">
        <v>71</v>
      </c>
      <c r="C31" s="217" t="s">
        <v>235</v>
      </c>
      <c r="D31" s="217" t="s">
        <v>234</v>
      </c>
      <c r="E31" s="217" t="s">
        <v>74</v>
      </c>
      <c r="F31" s="217" t="s">
        <v>236</v>
      </c>
      <c r="G31" s="217" t="s">
        <v>237</v>
      </c>
      <c r="H31" s="217" t="s">
        <v>238</v>
      </c>
      <c r="I31" s="217" t="s">
        <v>76</v>
      </c>
      <c r="J31" s="218" t="s">
        <v>9</v>
      </c>
      <c r="L31" s="224" t="s">
        <v>112</v>
      </c>
      <c r="M31" s="217" t="s">
        <v>71</v>
      </c>
      <c r="N31" s="217" t="s">
        <v>235</v>
      </c>
      <c r="O31" s="217" t="s">
        <v>234</v>
      </c>
      <c r="P31" s="217" t="s">
        <v>74</v>
      </c>
      <c r="Q31" s="217" t="s">
        <v>236</v>
      </c>
      <c r="R31" s="217" t="s">
        <v>237</v>
      </c>
      <c r="S31" s="217" t="s">
        <v>238</v>
      </c>
      <c r="T31" s="217" t="s">
        <v>76</v>
      </c>
      <c r="U31" s="218" t="s">
        <v>9</v>
      </c>
    </row>
    <row r="32" spans="1:21" x14ac:dyDescent="0.2">
      <c r="A32" s="244" t="s">
        <v>257</v>
      </c>
      <c r="B32" s="245"/>
      <c r="C32" s="245"/>
      <c r="D32" s="245"/>
      <c r="E32" s="245"/>
      <c r="F32" s="245"/>
      <c r="G32" s="245"/>
      <c r="H32" s="245"/>
      <c r="I32" s="245"/>
      <c r="J32" s="246"/>
      <c r="L32" s="244" t="s">
        <v>257</v>
      </c>
      <c r="M32" s="245"/>
      <c r="N32" s="245"/>
      <c r="O32" s="245"/>
      <c r="P32" s="245"/>
      <c r="Q32" s="245"/>
      <c r="R32" s="245"/>
      <c r="S32" s="245"/>
      <c r="T32" s="245"/>
      <c r="U32" s="246"/>
    </row>
    <row r="33" spans="1:21" x14ac:dyDescent="0.2">
      <c r="A33" s="247" t="s">
        <v>114</v>
      </c>
      <c r="B33" s="222">
        <v>47243</v>
      </c>
      <c r="C33" s="222">
        <v>3845</v>
      </c>
      <c r="D33" s="222">
        <v>522</v>
      </c>
      <c r="E33" s="222">
        <v>2</v>
      </c>
      <c r="F33" s="222">
        <v>9</v>
      </c>
      <c r="G33" s="222">
        <v>11650</v>
      </c>
      <c r="H33" s="222">
        <v>77</v>
      </c>
      <c r="I33" s="222">
        <v>305</v>
      </c>
      <c r="J33" s="229">
        <f>SUM(B33:I33)</f>
        <v>63653</v>
      </c>
      <c r="L33" s="247" t="s">
        <v>114</v>
      </c>
      <c r="M33" s="222">
        <v>47243</v>
      </c>
      <c r="N33" s="222">
        <v>3845</v>
      </c>
      <c r="O33" s="222">
        <v>522</v>
      </c>
      <c r="P33" s="222">
        <v>2</v>
      </c>
      <c r="Q33" s="222">
        <v>9</v>
      </c>
      <c r="R33" s="222">
        <v>11650</v>
      </c>
      <c r="S33" s="222">
        <v>77</v>
      </c>
      <c r="T33" s="222">
        <v>305</v>
      </c>
      <c r="U33" s="229">
        <f>SUM(M33:T33)</f>
        <v>63653</v>
      </c>
    </row>
    <row r="34" spans="1:21" x14ac:dyDescent="0.2">
      <c r="A34" s="247" t="s">
        <v>226</v>
      </c>
      <c r="B34" s="222">
        <v>49919.725406979574</v>
      </c>
      <c r="C34" s="222">
        <v>3961</v>
      </c>
      <c r="D34" s="222">
        <v>518</v>
      </c>
      <c r="E34" s="222">
        <v>1</v>
      </c>
      <c r="F34" s="222">
        <v>10</v>
      </c>
      <c r="G34" s="222">
        <v>12761.899782618997</v>
      </c>
      <c r="H34" s="222">
        <v>22.307657589073369</v>
      </c>
      <c r="I34" s="222">
        <v>313.0793844964528</v>
      </c>
      <c r="J34" s="229">
        <f>SUM(B34:I34)</f>
        <v>67507.012231684101</v>
      </c>
      <c r="L34" s="247" t="s">
        <v>226</v>
      </c>
      <c r="M34" s="222">
        <v>49919.725406979574</v>
      </c>
      <c r="N34" s="222">
        <v>3961</v>
      </c>
      <c r="O34" s="222">
        <v>518</v>
      </c>
      <c r="P34" s="222">
        <v>1</v>
      </c>
      <c r="Q34" s="222">
        <v>10</v>
      </c>
      <c r="R34" s="222">
        <v>12761.899782618997</v>
      </c>
      <c r="S34" s="222">
        <v>22.307657589073369</v>
      </c>
      <c r="T34" s="222">
        <v>313.0793844964528</v>
      </c>
      <c r="U34" s="229">
        <f>SUM(M34:T34)</f>
        <v>67507.012231684101</v>
      </c>
    </row>
    <row r="35" spans="1:21" x14ac:dyDescent="0.2">
      <c r="A35" s="247" t="s">
        <v>337</v>
      </c>
      <c r="B35" s="222">
        <v>50977.327408831858</v>
      </c>
      <c r="C35" s="222">
        <v>4002.4682995893245</v>
      </c>
      <c r="D35" s="222">
        <v>507</v>
      </c>
      <c r="E35" s="222">
        <v>1</v>
      </c>
      <c r="F35" s="222">
        <v>12</v>
      </c>
      <c r="G35" s="222">
        <v>12709.846964330369</v>
      </c>
      <c r="H35" s="222">
        <v>23.221124933174856</v>
      </c>
      <c r="I35" s="222">
        <v>295.82025457231583</v>
      </c>
      <c r="J35" s="229">
        <f t="shared" ref="J35:J37" si="7">SUM(B35:I35)</f>
        <v>68528.684052257042</v>
      </c>
      <c r="L35" s="247" t="s">
        <v>337</v>
      </c>
      <c r="M35" s="222">
        <v>50977.327408831858</v>
      </c>
      <c r="N35" s="222">
        <v>4002.4682995893245</v>
      </c>
      <c r="O35" s="222">
        <v>507</v>
      </c>
      <c r="P35" s="222">
        <v>1</v>
      </c>
      <c r="Q35" s="222">
        <v>12</v>
      </c>
      <c r="R35" s="222">
        <v>12709.846964330369</v>
      </c>
      <c r="S35" s="222">
        <v>23.221124933174856</v>
      </c>
      <c r="T35" s="222">
        <v>295.82025457231583</v>
      </c>
      <c r="U35" s="229">
        <f t="shared" ref="U35:U37" si="8">SUM(M35:T35)</f>
        <v>68528.684052257042</v>
      </c>
    </row>
    <row r="36" spans="1:21" x14ac:dyDescent="0.2">
      <c r="A36" s="247" t="s">
        <v>338</v>
      </c>
      <c r="B36" s="222">
        <v>51741.998652925271</v>
      </c>
      <c r="C36" s="222">
        <v>4062.4930652948956</v>
      </c>
      <c r="D36" s="222">
        <v>514.6</v>
      </c>
      <c r="E36" s="222">
        <v>1</v>
      </c>
      <c r="F36" s="222">
        <v>12</v>
      </c>
      <c r="G36" s="222">
        <v>12960.023254578835</v>
      </c>
      <c r="H36" s="222">
        <v>22.46752679842146</v>
      </c>
      <c r="I36" s="222">
        <v>296.14085622751179</v>
      </c>
      <c r="J36" s="229">
        <f t="shared" si="7"/>
        <v>69610.723355824943</v>
      </c>
      <c r="L36" s="247" t="s">
        <v>338</v>
      </c>
      <c r="M36" s="222">
        <v>51741.998652925271</v>
      </c>
      <c r="N36" s="222">
        <v>4062.4930652948956</v>
      </c>
      <c r="O36" s="222">
        <v>514.6</v>
      </c>
      <c r="P36" s="222">
        <v>1</v>
      </c>
      <c r="Q36" s="222">
        <v>12</v>
      </c>
      <c r="R36" s="222">
        <v>12960.023254578835</v>
      </c>
      <c r="S36" s="222">
        <v>22.46752679842146</v>
      </c>
      <c r="T36" s="222">
        <v>296.14085622751179</v>
      </c>
      <c r="U36" s="229">
        <f t="shared" si="8"/>
        <v>69610.723355824943</v>
      </c>
    </row>
    <row r="37" spans="1:21" x14ac:dyDescent="0.2">
      <c r="A37" s="247" t="s">
        <v>339</v>
      </c>
      <c r="B37" s="222">
        <v>52518.137136473488</v>
      </c>
      <c r="C37" s="222">
        <v>4123.3752815686439</v>
      </c>
      <c r="D37" s="222">
        <v>522.29999999999995</v>
      </c>
      <c r="E37" s="222">
        <v>1</v>
      </c>
      <c r="F37" s="222">
        <v>12</v>
      </c>
      <c r="G37" s="222">
        <v>13215.123929548703</v>
      </c>
      <c r="H37" s="222">
        <v>21.738385280233285</v>
      </c>
      <c r="I37" s="222">
        <v>296.46180534174658</v>
      </c>
      <c r="J37" s="229">
        <f t="shared" si="7"/>
        <v>70710.136538212828</v>
      </c>
      <c r="L37" s="247" t="s">
        <v>339</v>
      </c>
      <c r="M37" s="222">
        <v>52518.137136473488</v>
      </c>
      <c r="N37" s="222">
        <v>4123.3752815686439</v>
      </c>
      <c r="O37" s="222">
        <v>522.29999999999995</v>
      </c>
      <c r="P37" s="222">
        <v>1</v>
      </c>
      <c r="Q37" s="222">
        <v>12</v>
      </c>
      <c r="R37" s="222">
        <v>13215.123929548703</v>
      </c>
      <c r="S37" s="222">
        <v>21.738385280233285</v>
      </c>
      <c r="T37" s="222">
        <v>296.46180534174658</v>
      </c>
      <c r="U37" s="229">
        <f t="shared" si="8"/>
        <v>70710.136538212828</v>
      </c>
    </row>
    <row r="38" spans="1:21" x14ac:dyDescent="0.2">
      <c r="A38" s="241"/>
      <c r="B38" s="221"/>
      <c r="C38" s="248"/>
      <c r="D38" s="248"/>
      <c r="E38" s="248"/>
      <c r="F38" s="248"/>
      <c r="G38" s="248"/>
      <c r="H38" s="248"/>
      <c r="I38" s="248"/>
      <c r="J38" s="249"/>
      <c r="L38" s="241"/>
      <c r="M38" s="221"/>
      <c r="N38" s="248"/>
      <c r="O38" s="248"/>
      <c r="P38" s="248"/>
      <c r="Q38" s="248"/>
      <c r="R38" s="248"/>
      <c r="S38" s="248"/>
      <c r="T38" s="248"/>
      <c r="U38" s="249"/>
    </row>
    <row r="39" spans="1:21" ht="12.75" hidden="1" customHeight="1" x14ac:dyDescent="0.2">
      <c r="A39" s="241">
        <v>2003</v>
      </c>
      <c r="B39" s="219">
        <f>+'Rate Class Customer Model'!B3</f>
        <v>43319.5</v>
      </c>
      <c r="C39" s="219">
        <f>+'Rate Class Customer Model'!C3</f>
        <v>3689</v>
      </c>
      <c r="D39" s="219">
        <f>+'Rate Class Customer Model'!D3</f>
        <v>559</v>
      </c>
      <c r="E39" s="219">
        <f>+'Rate Class Customer Model'!E3</f>
        <v>2.5</v>
      </c>
      <c r="F39" s="219">
        <f>+'Rate Class Customer Model'!F3</f>
        <v>5</v>
      </c>
      <c r="G39" s="219">
        <f>+'Rate Class Customer Model'!G3</f>
        <v>10059</v>
      </c>
      <c r="H39" s="219">
        <f>+'Rate Class Customer Model'!H3</f>
        <v>34.5</v>
      </c>
      <c r="I39" s="219">
        <f>+'Rate Class Customer Model'!I3</f>
        <v>292</v>
      </c>
      <c r="J39" s="250">
        <f t="shared" ref="J39:J55" si="9">SUM(B39:I39)</f>
        <v>57960.5</v>
      </c>
      <c r="L39" s="241">
        <v>2003</v>
      </c>
      <c r="M39" s="219"/>
      <c r="N39" s="219"/>
      <c r="O39" s="219"/>
      <c r="P39" s="219"/>
      <c r="Q39" s="219"/>
      <c r="R39" s="219"/>
      <c r="S39" s="219"/>
      <c r="T39" s="219"/>
      <c r="U39" s="250"/>
    </row>
    <row r="40" spans="1:21" ht="12.75" hidden="1" customHeight="1" x14ac:dyDescent="0.2">
      <c r="A40" s="242">
        <v>2004</v>
      </c>
      <c r="B40" s="219">
        <f>+'Rate Class Customer Model'!B4</f>
        <v>43979.5</v>
      </c>
      <c r="C40" s="219">
        <f>+'Rate Class Customer Model'!C4</f>
        <v>3626.5</v>
      </c>
      <c r="D40" s="219">
        <f>+'Rate Class Customer Model'!D4</f>
        <v>530</v>
      </c>
      <c r="E40" s="219">
        <f>+'Rate Class Customer Model'!E4</f>
        <v>2.5</v>
      </c>
      <c r="F40" s="219">
        <f>+'Rate Class Customer Model'!F4</f>
        <v>6</v>
      </c>
      <c r="G40" s="219">
        <f>+'Rate Class Customer Model'!G4</f>
        <v>10262</v>
      </c>
      <c r="H40" s="219">
        <f>+'Rate Class Customer Model'!H4</f>
        <v>30</v>
      </c>
      <c r="I40" s="219">
        <f>+'Rate Class Customer Model'!I4</f>
        <v>294</v>
      </c>
      <c r="J40" s="250">
        <f t="shared" si="9"/>
        <v>58730.5</v>
      </c>
      <c r="L40" s="242">
        <v>2004</v>
      </c>
      <c r="M40" s="220">
        <f>(+B40/B39)-1</f>
        <v>1.5235632913583874E-2</v>
      </c>
      <c r="N40" s="220">
        <f t="shared" ref="N40:N55" si="10">(+C40/C39)-1</f>
        <v>-1.6942260775277829E-2</v>
      </c>
      <c r="O40" s="220">
        <f t="shared" ref="O40:O55" si="11">(+D40/D39)-1</f>
        <v>-5.1878354203935606E-2</v>
      </c>
      <c r="P40" s="220">
        <f t="shared" ref="P40:P55" si="12">(+E40/E39)-1</f>
        <v>0</v>
      </c>
      <c r="Q40" s="220">
        <f t="shared" ref="Q40:Q55" si="13">(+F40/F39)-1</f>
        <v>0.19999999999999996</v>
      </c>
      <c r="R40" s="220">
        <f t="shared" ref="R40:R55" si="14">(+G40/G39)-1</f>
        <v>2.0180932498260251E-2</v>
      </c>
      <c r="S40" s="220">
        <f t="shared" ref="S40:S55" si="15">(+H40/H39)-1</f>
        <v>-0.13043478260869568</v>
      </c>
      <c r="T40" s="220">
        <f t="shared" ref="T40:T55" si="16">(+I40/I39)-1</f>
        <v>6.8493150684931781E-3</v>
      </c>
      <c r="U40" s="112">
        <f t="shared" ref="U40:U55" si="17">(+J40/J39)-1</f>
        <v>1.3284909550469681E-2</v>
      </c>
    </row>
    <row r="41" spans="1:21" ht="12.75" hidden="1" customHeight="1" x14ac:dyDescent="0.2">
      <c r="A41" s="241">
        <v>2005</v>
      </c>
      <c r="B41" s="219">
        <f>+'Rate Class Customer Model'!B5</f>
        <v>44598.5</v>
      </c>
      <c r="C41" s="219">
        <f>+'Rate Class Customer Model'!C5</f>
        <v>3662</v>
      </c>
      <c r="D41" s="219">
        <f>+'Rate Class Customer Model'!D5</f>
        <v>521.5</v>
      </c>
      <c r="E41" s="219">
        <f>+'Rate Class Customer Model'!E5</f>
        <v>2</v>
      </c>
      <c r="F41" s="219">
        <f>+'Rate Class Customer Model'!F5</f>
        <v>7.5</v>
      </c>
      <c r="G41" s="219">
        <f>+'Rate Class Customer Model'!G5</f>
        <v>10498.5</v>
      </c>
      <c r="H41" s="219">
        <f>+'Rate Class Customer Model'!H5</f>
        <v>29.5</v>
      </c>
      <c r="I41" s="219">
        <f>+'Rate Class Customer Model'!I5</f>
        <v>295</v>
      </c>
      <c r="J41" s="250">
        <f t="shared" si="9"/>
        <v>59614.5</v>
      </c>
      <c r="L41" s="241">
        <v>2005</v>
      </c>
      <c r="M41" s="220">
        <f t="shared" ref="M41:M55" si="18">(+B41/B40)-1</f>
        <v>1.4074739367205158E-2</v>
      </c>
      <c r="N41" s="220">
        <f t="shared" si="10"/>
        <v>9.7890528057356097E-3</v>
      </c>
      <c r="O41" s="220">
        <f t="shared" si="11"/>
        <v>-1.6037735849056656E-2</v>
      </c>
      <c r="P41" s="220">
        <f t="shared" si="12"/>
        <v>-0.19999999999999996</v>
      </c>
      <c r="Q41" s="220">
        <f t="shared" si="13"/>
        <v>0.25</v>
      </c>
      <c r="R41" s="220">
        <f t="shared" si="14"/>
        <v>2.3046189826544605E-2</v>
      </c>
      <c r="S41" s="220">
        <f t="shared" si="15"/>
        <v>-1.6666666666666718E-2</v>
      </c>
      <c r="T41" s="220">
        <f t="shared" si="16"/>
        <v>3.4013605442175798E-3</v>
      </c>
      <c r="U41" s="112">
        <f t="shared" si="17"/>
        <v>1.5051804428704019E-2</v>
      </c>
    </row>
    <row r="42" spans="1:21" ht="12.75" hidden="1" customHeight="1" x14ac:dyDescent="0.2">
      <c r="A42" s="242">
        <v>2006</v>
      </c>
      <c r="B42" s="219">
        <f>+'Rate Class Customer Model'!B6</f>
        <v>45439</v>
      </c>
      <c r="C42" s="219">
        <f>+'Rate Class Customer Model'!C6</f>
        <v>3740.5</v>
      </c>
      <c r="D42" s="219">
        <f>+'Rate Class Customer Model'!D6</f>
        <v>525</v>
      </c>
      <c r="E42" s="219">
        <f>+'Rate Class Customer Model'!E6</f>
        <v>2</v>
      </c>
      <c r="F42" s="219">
        <f>+'Rate Class Customer Model'!F6</f>
        <v>8.5</v>
      </c>
      <c r="G42" s="219">
        <f>+'Rate Class Customer Model'!G6</f>
        <v>10831</v>
      </c>
      <c r="H42" s="219">
        <f>+'Rate Class Customer Model'!H6</f>
        <v>28.5</v>
      </c>
      <c r="I42" s="219">
        <f>+'Rate Class Customer Model'!I6</f>
        <v>298</v>
      </c>
      <c r="J42" s="250">
        <f t="shared" si="9"/>
        <v>60872.5</v>
      </c>
      <c r="L42" s="242">
        <v>2006</v>
      </c>
      <c r="M42" s="220">
        <f t="shared" si="18"/>
        <v>1.8845925311389289E-2</v>
      </c>
      <c r="N42" s="220">
        <f t="shared" si="10"/>
        <v>2.1436373566357192E-2</v>
      </c>
      <c r="O42" s="220">
        <f t="shared" si="11"/>
        <v>6.7114093959732557E-3</v>
      </c>
      <c r="P42" s="220">
        <f t="shared" si="12"/>
        <v>0</v>
      </c>
      <c r="Q42" s="220">
        <f t="shared" si="13"/>
        <v>0.1333333333333333</v>
      </c>
      <c r="R42" s="220">
        <f t="shared" si="14"/>
        <v>3.1671191122541353E-2</v>
      </c>
      <c r="S42" s="220">
        <f t="shared" si="15"/>
        <v>-3.3898305084745783E-2</v>
      </c>
      <c r="T42" s="220">
        <f t="shared" si="16"/>
        <v>1.0169491525423791E-2</v>
      </c>
      <c r="U42" s="112">
        <f t="shared" si="17"/>
        <v>2.1102248614011776E-2</v>
      </c>
    </row>
    <row r="43" spans="1:21" ht="12.75" hidden="1" customHeight="1" x14ac:dyDescent="0.2">
      <c r="A43" s="241">
        <v>2007</v>
      </c>
      <c r="B43" s="219">
        <f>+'Rate Class Customer Model'!B7</f>
        <v>46320</v>
      </c>
      <c r="C43" s="219">
        <f>+'Rate Class Customer Model'!C7</f>
        <v>3749</v>
      </c>
      <c r="D43" s="219">
        <f>+'Rate Class Customer Model'!D7</f>
        <v>523</v>
      </c>
      <c r="E43" s="219">
        <f>+'Rate Class Customer Model'!E7</f>
        <v>2</v>
      </c>
      <c r="F43" s="219">
        <f>+'Rate Class Customer Model'!F7</f>
        <v>9</v>
      </c>
      <c r="G43" s="219">
        <f>+'Rate Class Customer Model'!G7</f>
        <v>11280.5</v>
      </c>
      <c r="H43" s="219">
        <f>+'Rate Class Customer Model'!H7</f>
        <v>26.5</v>
      </c>
      <c r="I43" s="219">
        <f>+'Rate Class Customer Model'!I7</f>
        <v>301</v>
      </c>
      <c r="J43" s="250">
        <f t="shared" si="9"/>
        <v>62211</v>
      </c>
      <c r="L43" s="241">
        <v>2007</v>
      </c>
      <c r="M43" s="220">
        <f t="shared" si="18"/>
        <v>1.9388630911771898E-2</v>
      </c>
      <c r="N43" s="220">
        <f t="shared" si="10"/>
        <v>2.2724234727977688E-3</v>
      </c>
      <c r="O43" s="220">
        <f t="shared" si="11"/>
        <v>-3.8095238095238182E-3</v>
      </c>
      <c r="P43" s="220">
        <f t="shared" si="12"/>
        <v>0</v>
      </c>
      <c r="Q43" s="220">
        <f t="shared" si="13"/>
        <v>5.8823529411764719E-2</v>
      </c>
      <c r="R43" s="220">
        <f t="shared" si="14"/>
        <v>4.1501246422306348E-2</v>
      </c>
      <c r="S43" s="220">
        <f t="shared" si="15"/>
        <v>-7.0175438596491224E-2</v>
      </c>
      <c r="T43" s="220">
        <f t="shared" si="16"/>
        <v>1.0067114093959662E-2</v>
      </c>
      <c r="U43" s="112">
        <f t="shared" si="17"/>
        <v>2.1988582693334369E-2</v>
      </c>
    </row>
    <row r="44" spans="1:21" x14ac:dyDescent="0.2">
      <c r="A44" s="242">
        <v>2008</v>
      </c>
      <c r="B44" s="219">
        <f>+'Rate Class Customer Model'!B8</f>
        <v>47057.5</v>
      </c>
      <c r="C44" s="219">
        <f>+'Rate Class Customer Model'!C8</f>
        <v>3793.5</v>
      </c>
      <c r="D44" s="219">
        <f>+'Rate Class Customer Model'!D8</f>
        <v>533.5</v>
      </c>
      <c r="E44" s="219">
        <f>+'Rate Class Customer Model'!E8</f>
        <v>2.5</v>
      </c>
      <c r="F44" s="219">
        <f>+'Rate Class Customer Model'!F8</f>
        <v>9</v>
      </c>
      <c r="G44" s="219">
        <f>+'Rate Class Customer Model'!G8</f>
        <v>11621.5</v>
      </c>
      <c r="H44" s="219">
        <f>+'Rate Class Customer Model'!H8</f>
        <v>26</v>
      </c>
      <c r="I44" s="219">
        <f>+'Rate Class Customer Model'!I8</f>
        <v>301</v>
      </c>
      <c r="J44" s="250">
        <f t="shared" si="9"/>
        <v>63344.5</v>
      </c>
      <c r="L44" s="242">
        <v>2008</v>
      </c>
      <c r="M44" s="220">
        <f t="shared" si="18"/>
        <v>1.5921848013817019E-2</v>
      </c>
      <c r="N44" s="220">
        <f t="shared" si="10"/>
        <v>1.1869831955187982E-2</v>
      </c>
      <c r="O44" s="220">
        <f t="shared" si="11"/>
        <v>2.0076481835564097E-2</v>
      </c>
      <c r="P44" s="220">
        <f t="shared" si="12"/>
        <v>0.25</v>
      </c>
      <c r="Q44" s="220">
        <f t="shared" si="13"/>
        <v>0</v>
      </c>
      <c r="R44" s="220">
        <f t="shared" si="14"/>
        <v>3.0229156509020028E-2</v>
      </c>
      <c r="S44" s="220">
        <f t="shared" si="15"/>
        <v>-1.8867924528301883E-2</v>
      </c>
      <c r="T44" s="220">
        <f t="shared" si="16"/>
        <v>0</v>
      </c>
      <c r="U44" s="112">
        <f t="shared" si="17"/>
        <v>1.8220250438025332E-2</v>
      </c>
    </row>
    <row r="45" spans="1:21" x14ac:dyDescent="0.2">
      <c r="A45" s="241">
        <v>2009</v>
      </c>
      <c r="B45" s="219">
        <f>+'Rate Class Customer Model'!B9</f>
        <v>47602.5</v>
      </c>
      <c r="C45" s="219">
        <f>+'Rate Class Customer Model'!C9</f>
        <v>3859.5</v>
      </c>
      <c r="D45" s="219">
        <f>+'Rate Class Customer Model'!D9</f>
        <v>525</v>
      </c>
      <c r="E45" s="219">
        <f>+'Rate Class Customer Model'!E9</f>
        <v>2</v>
      </c>
      <c r="F45" s="219">
        <f>+'Rate Class Customer Model'!F9</f>
        <v>9.5</v>
      </c>
      <c r="G45" s="219">
        <f>+'Rate Class Customer Model'!G9</f>
        <v>11801</v>
      </c>
      <c r="H45" s="219">
        <f>+'Rate Class Customer Model'!H9</f>
        <v>26</v>
      </c>
      <c r="I45" s="219">
        <f>+'Rate Class Customer Model'!I9</f>
        <v>302.5</v>
      </c>
      <c r="J45" s="250">
        <f t="shared" si="9"/>
        <v>64128</v>
      </c>
      <c r="L45" s="241">
        <v>2009</v>
      </c>
      <c r="M45" s="220">
        <f t="shared" si="18"/>
        <v>1.1581575731817395E-2</v>
      </c>
      <c r="N45" s="220">
        <f t="shared" si="10"/>
        <v>1.7398181099248733E-2</v>
      </c>
      <c r="O45" s="220">
        <f t="shared" si="11"/>
        <v>-1.5932521087160256E-2</v>
      </c>
      <c r="P45" s="220">
        <f t="shared" si="12"/>
        <v>-0.19999999999999996</v>
      </c>
      <c r="Q45" s="220">
        <f t="shared" si="13"/>
        <v>5.555555555555558E-2</v>
      </c>
      <c r="R45" s="220">
        <f t="shared" si="14"/>
        <v>1.5445510476272517E-2</v>
      </c>
      <c r="S45" s="220">
        <f t="shared" si="15"/>
        <v>0</v>
      </c>
      <c r="T45" s="220">
        <f t="shared" si="16"/>
        <v>4.983388704318914E-3</v>
      </c>
      <c r="U45" s="112">
        <f t="shared" si="17"/>
        <v>1.2368871804181891E-2</v>
      </c>
    </row>
    <row r="46" spans="1:21" x14ac:dyDescent="0.2">
      <c r="A46" s="242">
        <v>2010</v>
      </c>
      <c r="B46" s="219">
        <f>+'Rate Class Customer Model'!B10</f>
        <v>48114.5</v>
      </c>
      <c r="C46" s="219">
        <f>+'Rate Class Customer Model'!C10</f>
        <v>3929</v>
      </c>
      <c r="D46" s="219">
        <f>+'Rate Class Customer Model'!D10</f>
        <v>512.5</v>
      </c>
      <c r="E46" s="219">
        <f>+'Rate Class Customer Model'!E10</f>
        <v>1</v>
      </c>
      <c r="F46" s="219">
        <f>+'Rate Class Customer Model'!F10</f>
        <v>10</v>
      </c>
      <c r="G46" s="219">
        <f>+'Rate Class Customer Model'!G10</f>
        <v>11995.5</v>
      </c>
      <c r="H46" s="219">
        <f>+'Rate Class Customer Model'!H10</f>
        <v>25</v>
      </c>
      <c r="I46" s="219">
        <f>+'Rate Class Customer Model'!I10</f>
        <v>306.5</v>
      </c>
      <c r="J46" s="250">
        <f t="shared" si="9"/>
        <v>64894</v>
      </c>
      <c r="L46" s="242">
        <v>2010</v>
      </c>
      <c r="M46" s="220">
        <f t="shared" si="18"/>
        <v>1.0755737618822536E-2</v>
      </c>
      <c r="N46" s="220">
        <f t="shared" si="10"/>
        <v>1.8007513926674434E-2</v>
      </c>
      <c r="O46" s="220">
        <f t="shared" si="11"/>
        <v>-2.3809523809523836E-2</v>
      </c>
      <c r="P46" s="220">
        <f t="shared" si="12"/>
        <v>-0.5</v>
      </c>
      <c r="Q46" s="220">
        <f t="shared" si="13"/>
        <v>5.2631578947368363E-2</v>
      </c>
      <c r="R46" s="220">
        <f t="shared" si="14"/>
        <v>1.6481654097110443E-2</v>
      </c>
      <c r="S46" s="220">
        <f t="shared" si="15"/>
        <v>-3.8461538461538436E-2</v>
      </c>
      <c r="T46" s="220">
        <f t="shared" si="16"/>
        <v>1.3223140495867813E-2</v>
      </c>
      <c r="U46" s="112">
        <f t="shared" si="17"/>
        <v>1.1944860279441194E-2</v>
      </c>
    </row>
    <row r="47" spans="1:21" x14ac:dyDescent="0.2">
      <c r="A47" s="242">
        <v>2011</v>
      </c>
      <c r="B47" s="219">
        <f>+'Rate Class Customer Model'!B11</f>
        <v>48650.5</v>
      </c>
      <c r="C47" s="219">
        <f>+'Rate Class Customer Model'!C11</f>
        <v>3888.5</v>
      </c>
      <c r="D47" s="219">
        <f>+'Rate Class Customer Model'!D11</f>
        <v>520.5</v>
      </c>
      <c r="E47" s="219">
        <f>+'Rate Class Customer Model'!E11</f>
        <v>1</v>
      </c>
      <c r="F47" s="219">
        <f>+'Rate Class Customer Model'!F11</f>
        <v>10</v>
      </c>
      <c r="G47" s="219">
        <f>+'Rate Class Customer Model'!G11</f>
        <v>12127.5</v>
      </c>
      <c r="H47" s="219">
        <f>+'Rate Class Customer Model'!H11</f>
        <v>24</v>
      </c>
      <c r="I47" s="219">
        <f>+'Rate Class Customer Model'!I11</f>
        <v>302.5</v>
      </c>
      <c r="J47" s="250">
        <f t="shared" si="9"/>
        <v>65524.5</v>
      </c>
      <c r="L47" s="242">
        <v>2011</v>
      </c>
      <c r="M47" s="220">
        <f t="shared" si="18"/>
        <v>1.1140092903386689E-2</v>
      </c>
      <c r="N47" s="220">
        <f t="shared" si="10"/>
        <v>-1.0307966403665048E-2</v>
      </c>
      <c r="O47" s="220">
        <f t="shared" si="11"/>
        <v>1.5609756097560989E-2</v>
      </c>
      <c r="P47" s="220">
        <f t="shared" si="12"/>
        <v>0</v>
      </c>
      <c r="Q47" s="220">
        <f t="shared" si="13"/>
        <v>0</v>
      </c>
      <c r="R47" s="220">
        <f t="shared" si="14"/>
        <v>1.1004126547455195E-2</v>
      </c>
      <c r="S47" s="220">
        <f t="shared" si="15"/>
        <v>-4.0000000000000036E-2</v>
      </c>
      <c r="T47" s="220">
        <f t="shared" si="16"/>
        <v>-1.3050570962479635E-2</v>
      </c>
      <c r="U47" s="112">
        <f t="shared" si="17"/>
        <v>9.7158442999352168E-3</v>
      </c>
    </row>
    <row r="48" spans="1:21" x14ac:dyDescent="0.2">
      <c r="A48" s="242">
        <v>2012</v>
      </c>
      <c r="B48" s="219">
        <f>+'Rate Class Customer Model'!B12</f>
        <v>49021</v>
      </c>
      <c r="C48" s="219">
        <f>+'Rate Class Customer Model'!C12</f>
        <v>3850.5</v>
      </c>
      <c r="D48" s="219">
        <f>+'Rate Class Customer Model'!D12</f>
        <v>511.5</v>
      </c>
      <c r="E48" s="219">
        <f>+'Rate Class Customer Model'!E12</f>
        <v>1</v>
      </c>
      <c r="F48" s="219">
        <f>+'Rate Class Customer Model'!F12</f>
        <v>10.5</v>
      </c>
      <c r="G48" s="219">
        <f>+'Rate Class Customer Model'!G12</f>
        <v>12213</v>
      </c>
      <c r="H48" s="219">
        <f>+'Rate Class Customer Model'!H12</f>
        <v>24</v>
      </c>
      <c r="I48" s="219">
        <f>+'Rate Class Customer Model'!I12</f>
        <v>295.5</v>
      </c>
      <c r="J48" s="250">
        <f t="shared" si="9"/>
        <v>65927</v>
      </c>
      <c r="L48" s="242">
        <v>2012</v>
      </c>
      <c r="M48" s="220">
        <f t="shared" si="18"/>
        <v>7.6155435195939258E-3</v>
      </c>
      <c r="N48" s="220">
        <f t="shared" si="10"/>
        <v>-9.7724058120097768E-3</v>
      </c>
      <c r="O48" s="220">
        <f t="shared" si="11"/>
        <v>-1.729106628242072E-2</v>
      </c>
      <c r="P48" s="220">
        <f t="shared" si="12"/>
        <v>0</v>
      </c>
      <c r="Q48" s="220">
        <f t="shared" si="13"/>
        <v>5.0000000000000044E-2</v>
      </c>
      <c r="R48" s="220">
        <f t="shared" si="14"/>
        <v>7.0500927643784017E-3</v>
      </c>
      <c r="S48" s="220">
        <f t="shared" si="15"/>
        <v>0</v>
      </c>
      <c r="T48" s="220">
        <f t="shared" si="16"/>
        <v>-2.3140495867768562E-2</v>
      </c>
      <c r="U48" s="112">
        <f t="shared" si="17"/>
        <v>6.1427405016443171E-3</v>
      </c>
    </row>
    <row r="49" spans="1:21" x14ac:dyDescent="0.2">
      <c r="A49" s="242">
        <v>2013</v>
      </c>
      <c r="B49" s="219">
        <f>+'Rate Class Customer Model'!B13</f>
        <v>49516</v>
      </c>
      <c r="C49" s="219">
        <f>+'Rate Class Customer Model'!C13</f>
        <v>3904.5</v>
      </c>
      <c r="D49" s="219">
        <f>+'Rate Class Customer Model'!D13</f>
        <v>500</v>
      </c>
      <c r="E49" s="219">
        <f>+'Rate Class Customer Model'!E13</f>
        <v>1</v>
      </c>
      <c r="F49" s="219">
        <f>+'Rate Class Customer Model'!F13</f>
        <v>11</v>
      </c>
      <c r="G49" s="219">
        <f>+'Rate Class Customer Model'!G13</f>
        <v>12332.5</v>
      </c>
      <c r="H49" s="219">
        <f>+'Rate Class Customer Model'!H13</f>
        <v>24</v>
      </c>
      <c r="I49" s="219">
        <f>+'Rate Class Customer Model'!I13</f>
        <v>295</v>
      </c>
      <c r="J49" s="250">
        <f t="shared" si="9"/>
        <v>66584</v>
      </c>
      <c r="L49" s="242">
        <v>2013</v>
      </c>
      <c r="M49" s="220">
        <f t="shared" si="18"/>
        <v>1.009771322494446E-2</v>
      </c>
      <c r="N49" s="220">
        <f t="shared" si="10"/>
        <v>1.4024152707440507E-2</v>
      </c>
      <c r="O49" s="220">
        <f t="shared" si="11"/>
        <v>-2.2482893450635366E-2</v>
      </c>
      <c r="P49" s="220">
        <f t="shared" si="12"/>
        <v>0</v>
      </c>
      <c r="Q49" s="220">
        <f t="shared" si="13"/>
        <v>4.7619047619047672E-2</v>
      </c>
      <c r="R49" s="220">
        <f t="shared" si="14"/>
        <v>9.7846556947513985E-3</v>
      </c>
      <c r="S49" s="220">
        <f t="shared" si="15"/>
        <v>0</v>
      </c>
      <c r="T49" s="220">
        <f t="shared" si="16"/>
        <v>-1.6920473773265332E-3</v>
      </c>
      <c r="U49" s="112">
        <f t="shared" si="17"/>
        <v>9.9655679767014504E-3</v>
      </c>
    </row>
    <row r="50" spans="1:21" x14ac:dyDescent="0.2">
      <c r="A50" s="242">
        <v>2014</v>
      </c>
      <c r="B50" s="219">
        <f>+'Rate Class Customer Model'!B14</f>
        <v>50202.5</v>
      </c>
      <c r="C50" s="219">
        <f>+'Rate Class Customer Model'!C14</f>
        <v>3952.5</v>
      </c>
      <c r="D50" s="219">
        <f>+'Rate Class Customer Model'!D14</f>
        <v>502.5</v>
      </c>
      <c r="E50" s="219">
        <f>+'Rate Class Customer Model'!E14</f>
        <v>1</v>
      </c>
      <c r="F50" s="219">
        <f>+'Rate Class Customer Model'!F14</f>
        <v>11</v>
      </c>
      <c r="G50" s="219">
        <f>+'Rate Class Customer Model'!G14</f>
        <v>12464.5</v>
      </c>
      <c r="H50" s="219">
        <f>+'Rate Class Customer Model'!H14</f>
        <v>24</v>
      </c>
      <c r="I50" s="219">
        <f>+'Rate Class Customer Model'!I14</f>
        <v>295.5</v>
      </c>
      <c r="J50" s="250">
        <f t="shared" si="9"/>
        <v>67453.5</v>
      </c>
      <c r="L50" s="242">
        <v>2014</v>
      </c>
      <c r="M50" s="220">
        <f t="shared" si="18"/>
        <v>1.3864205509330318E-2</v>
      </c>
      <c r="N50" s="220">
        <f t="shared" si="10"/>
        <v>1.2293507491356159E-2</v>
      </c>
      <c r="O50" s="220">
        <f t="shared" si="11"/>
        <v>4.9999999999998934E-3</v>
      </c>
      <c r="P50" s="220">
        <f t="shared" si="12"/>
        <v>0</v>
      </c>
      <c r="Q50" s="220">
        <f t="shared" si="13"/>
        <v>0</v>
      </c>
      <c r="R50" s="220">
        <f t="shared" si="14"/>
        <v>1.0703425907155895E-2</v>
      </c>
      <c r="S50" s="220">
        <f t="shared" si="15"/>
        <v>0</v>
      </c>
      <c r="T50" s="220">
        <f t="shared" si="16"/>
        <v>1.6949152542373724E-3</v>
      </c>
      <c r="U50" s="112">
        <f t="shared" si="17"/>
        <v>1.3058692779045922E-2</v>
      </c>
    </row>
    <row r="51" spans="1:21" x14ac:dyDescent="0.2">
      <c r="A51" s="242">
        <v>2015</v>
      </c>
      <c r="B51" s="219">
        <f>+'Rate Class Customer Model'!B15</f>
        <v>51152.5</v>
      </c>
      <c r="C51" s="219">
        <f>+'Rate Class Customer Model'!C15</f>
        <v>4027.5</v>
      </c>
      <c r="D51" s="219">
        <f>+'Rate Class Customer Model'!D15</f>
        <v>508.5</v>
      </c>
      <c r="E51" s="219">
        <f>+'Rate Class Customer Model'!E15</f>
        <v>1</v>
      </c>
      <c r="F51" s="219">
        <f>+'Rate Class Customer Model'!F15</f>
        <v>12</v>
      </c>
      <c r="G51" s="219">
        <f>+'Rate Class Customer Model'!G15</f>
        <v>12714</v>
      </c>
      <c r="H51" s="219">
        <f>+'Rate Class Customer Model'!H15</f>
        <v>24</v>
      </c>
      <c r="I51" s="219">
        <f>+'Rate Class Customer Model'!I15</f>
        <v>284.5</v>
      </c>
      <c r="J51" s="250">
        <f t="shared" si="9"/>
        <v>68724</v>
      </c>
      <c r="K51" s="159"/>
      <c r="L51" s="242">
        <v>2015</v>
      </c>
      <c r="M51" s="220">
        <f t="shared" si="18"/>
        <v>1.8923360390418864E-2</v>
      </c>
      <c r="N51" s="220">
        <f t="shared" si="10"/>
        <v>1.8975332068311257E-2</v>
      </c>
      <c r="O51" s="220">
        <f t="shared" si="11"/>
        <v>1.1940298507462588E-2</v>
      </c>
      <c r="P51" s="220">
        <f t="shared" si="12"/>
        <v>0</v>
      </c>
      <c r="Q51" s="220">
        <f t="shared" si="13"/>
        <v>9.0909090909090828E-2</v>
      </c>
      <c r="R51" s="220">
        <f t="shared" si="14"/>
        <v>2.0016847847887931E-2</v>
      </c>
      <c r="S51" s="220">
        <f t="shared" si="15"/>
        <v>0</v>
      </c>
      <c r="T51" s="220">
        <f t="shared" si="16"/>
        <v>-3.7225042301184397E-2</v>
      </c>
      <c r="U51" s="112">
        <f t="shared" si="17"/>
        <v>1.8835197580555407E-2</v>
      </c>
    </row>
    <row r="52" spans="1:21" x14ac:dyDescent="0.2">
      <c r="A52" s="242">
        <v>2016</v>
      </c>
      <c r="B52" s="219">
        <f>+'Rate Class Customer Model'!B16</f>
        <v>52115</v>
      </c>
      <c r="C52" s="219">
        <f>+'Rate Class Customer Model'!C16</f>
        <v>4112</v>
      </c>
      <c r="D52" s="219">
        <f>+'Rate Class Customer Model'!D16</f>
        <v>516.5</v>
      </c>
      <c r="E52" s="219">
        <f>+'Rate Class Customer Model'!E16</f>
        <v>1</v>
      </c>
      <c r="F52" s="219">
        <f>+'Rate Class Customer Model'!F16</f>
        <v>13</v>
      </c>
      <c r="G52" s="219">
        <f>+'Rate Class Customer Model'!G16</f>
        <v>12957.5</v>
      </c>
      <c r="H52" s="219">
        <f>+'Rate Class Customer Model'!H16</f>
        <v>24</v>
      </c>
      <c r="I52" s="219">
        <f>+'Rate Class Customer Model'!I16</f>
        <v>273.5</v>
      </c>
      <c r="J52" s="250">
        <f t="shared" si="9"/>
        <v>70012.5</v>
      </c>
      <c r="L52" s="242">
        <v>2016</v>
      </c>
      <c r="M52" s="220">
        <f t="shared" si="18"/>
        <v>1.8816284639069369E-2</v>
      </c>
      <c r="N52" s="220">
        <f t="shared" si="10"/>
        <v>2.0980757293606489E-2</v>
      </c>
      <c r="O52" s="220">
        <f t="shared" si="11"/>
        <v>1.5732546705998107E-2</v>
      </c>
      <c r="P52" s="220">
        <f t="shared" si="12"/>
        <v>0</v>
      </c>
      <c r="Q52" s="220">
        <f t="shared" si="13"/>
        <v>8.3333333333333259E-2</v>
      </c>
      <c r="R52" s="220">
        <f t="shared" si="14"/>
        <v>1.9152115777882672E-2</v>
      </c>
      <c r="S52" s="220">
        <f t="shared" si="15"/>
        <v>0</v>
      </c>
      <c r="T52" s="220">
        <f t="shared" si="16"/>
        <v>-3.8664323374341003E-2</v>
      </c>
      <c r="U52" s="112">
        <f t="shared" si="17"/>
        <v>1.8748908678191123E-2</v>
      </c>
    </row>
    <row r="53" spans="1:21" x14ac:dyDescent="0.2">
      <c r="A53" s="242" t="s">
        <v>340</v>
      </c>
      <c r="B53" s="219">
        <f>+'Rate Class Customer Model'!B17+'City Expansion'!B72</f>
        <v>52861.328483376739</v>
      </c>
      <c r="C53" s="219">
        <f>+'Rate Class Customer Model'!C17+'City Expansion'!C72</f>
        <v>4146.4802600618323</v>
      </c>
      <c r="D53" s="219">
        <f>+'Rate Class Customer Model'!D17+'City Expansion'!D72</f>
        <v>516.5</v>
      </c>
      <c r="E53" s="219">
        <f>+'Rate Class Customer Model'!E17+'City Expansion'!E72</f>
        <v>1</v>
      </c>
      <c r="F53" s="219">
        <f>+'Rate Class Customer Model'!F17+'City Expansion'!F72</f>
        <v>13</v>
      </c>
      <c r="G53" s="219">
        <f>+'Rate Class Customer Model'!G17+'City Expansion'!G72</f>
        <v>13212.353111802431</v>
      </c>
      <c r="H53" s="219">
        <f>+'Rate Class Customer Model'!H17+'City Expansion'!H72</f>
        <v>23.339285720167176</v>
      </c>
      <c r="I53" s="219">
        <f>+'Rate Class Customer Model'!I17+'City Expansion'!I72</f>
        <v>272.12644749091885</v>
      </c>
      <c r="J53" s="250">
        <f t="shared" si="9"/>
        <v>71046.127588452102</v>
      </c>
      <c r="L53" s="242" t="s">
        <v>340</v>
      </c>
      <c r="M53" s="220">
        <f t="shared" si="18"/>
        <v>1.4320799834534048E-2</v>
      </c>
      <c r="N53" s="220">
        <f t="shared" si="10"/>
        <v>8.3852772523911323E-3</v>
      </c>
      <c r="O53" s="220">
        <f t="shared" si="11"/>
        <v>0</v>
      </c>
      <c r="P53" s="220">
        <f t="shared" si="12"/>
        <v>0</v>
      </c>
      <c r="Q53" s="220">
        <f t="shared" si="13"/>
        <v>0</v>
      </c>
      <c r="R53" s="220">
        <f t="shared" si="14"/>
        <v>1.966838601600851E-2</v>
      </c>
      <c r="S53" s="220">
        <f t="shared" si="15"/>
        <v>-2.7529761659701002E-2</v>
      </c>
      <c r="T53" s="220">
        <f t="shared" si="16"/>
        <v>-5.0221298321065921E-3</v>
      </c>
      <c r="U53" s="112">
        <f t="shared" si="17"/>
        <v>1.4763472072159889E-2</v>
      </c>
    </row>
    <row r="54" spans="1:21" x14ac:dyDescent="0.2">
      <c r="A54" s="242" t="s">
        <v>231</v>
      </c>
      <c r="B54" s="219">
        <f>+'Rate Class Customer Model'!B18+'City Expansion'!B73</f>
        <v>53812.844987574732</v>
      </c>
      <c r="C54" s="219">
        <f>+'Rate Class Customer Model'!C18+'City Expansion'!C73</f>
        <v>4221.1496466640174</v>
      </c>
      <c r="D54" s="219">
        <f>+'Rate Class Customer Model'!D18+'City Expansion'!D73</f>
        <v>525.79999999999995</v>
      </c>
      <c r="E54" s="219">
        <f>+'Rate Class Customer Model'!E18+'City Expansion'!E73</f>
        <v>1</v>
      </c>
      <c r="F54" s="219">
        <f>+'Rate Class Customer Model'!F18+'City Expansion'!F73</f>
        <v>13.2</v>
      </c>
      <c r="G54" s="219">
        <f>+'Rate Class Customer Model'!G18+'City Expansion'!G73</f>
        <v>13472.218772985172</v>
      </c>
      <c r="H54" s="219">
        <f>+'Rate Class Customer Model'!H18+'City Expansion'!H73</f>
        <v>22.696760746983312</v>
      </c>
      <c r="I54" s="219">
        <f>+'Rate Class Customer Model'!I18+'City Expansion'!I73</f>
        <v>270.75979314086953</v>
      </c>
      <c r="J54" s="250">
        <f t="shared" si="9"/>
        <v>72339.66996111178</v>
      </c>
      <c r="L54" s="242" t="s">
        <v>231</v>
      </c>
      <c r="M54" s="220">
        <f t="shared" si="18"/>
        <v>1.8000238198652374E-2</v>
      </c>
      <c r="N54" s="220">
        <f t="shared" si="10"/>
        <v>1.8007896316639238E-2</v>
      </c>
      <c r="O54" s="220">
        <f t="shared" si="11"/>
        <v>1.8005808325266104E-2</v>
      </c>
      <c r="P54" s="220">
        <f t="shared" si="12"/>
        <v>0</v>
      </c>
      <c r="Q54" s="220">
        <f t="shared" si="13"/>
        <v>1.538461538461533E-2</v>
      </c>
      <c r="R54" s="220">
        <f t="shared" si="14"/>
        <v>1.966838601600851E-2</v>
      </c>
      <c r="S54" s="220">
        <f t="shared" si="15"/>
        <v>-2.7529761659700891E-2</v>
      </c>
      <c r="T54" s="220">
        <f t="shared" si="16"/>
        <v>-5.0221298321064811E-3</v>
      </c>
      <c r="U54" s="112">
        <f t="shared" si="17"/>
        <v>1.8207077803772176E-2</v>
      </c>
    </row>
    <row r="55" spans="1:21" ht="13.5" thickBot="1" x14ac:dyDescent="0.25">
      <c r="A55" s="243" t="s">
        <v>232</v>
      </c>
      <c r="B55" s="232">
        <f>+'Rate Class Customer Model'!B19+'City Expansion'!B74</f>
        <v>54781.502573600781</v>
      </c>
      <c r="C55" s="232">
        <f>+'Rate Class Customer Model'!C19+'City Expansion'!C74</f>
        <v>4297.1105842127581</v>
      </c>
      <c r="D55" s="232">
        <f>+'Rate Class Customer Model'!D19+'City Expansion'!D74</f>
        <v>535.29999999999995</v>
      </c>
      <c r="E55" s="232">
        <f>+'Rate Class Customer Model'!E19+'City Expansion'!E74</f>
        <v>1</v>
      </c>
      <c r="F55" s="232">
        <f>+'Rate Class Customer Model'!F19+'City Expansion'!F74</f>
        <v>14.2</v>
      </c>
      <c r="G55" s="232">
        <f>+'Rate Class Customer Model'!G19+'City Expansion'!G74</f>
        <v>13737.195572304361</v>
      </c>
      <c r="H55" s="232">
        <f>+'Rate Class Customer Model'!H19+'City Expansion'!H74</f>
        <v>22.071924333171605</v>
      </c>
      <c r="I55" s="232">
        <f>+'Rate Class Customer Model'!I19+'City Expansion'!I74</f>
        <v>269.4000023064018</v>
      </c>
      <c r="J55" s="251">
        <f t="shared" si="9"/>
        <v>73657.780656757473</v>
      </c>
      <c r="L55" s="243" t="s">
        <v>232</v>
      </c>
      <c r="M55" s="233">
        <f t="shared" si="18"/>
        <v>1.8000490147839443E-2</v>
      </c>
      <c r="N55" s="233">
        <f t="shared" si="10"/>
        <v>1.7995319736833437E-2</v>
      </c>
      <c r="O55" s="233">
        <f t="shared" si="11"/>
        <v>1.806770635222521E-2</v>
      </c>
      <c r="P55" s="233">
        <f t="shared" si="12"/>
        <v>0</v>
      </c>
      <c r="Q55" s="233">
        <f t="shared" si="13"/>
        <v>7.575757575757569E-2</v>
      </c>
      <c r="R55" s="233">
        <f t="shared" si="14"/>
        <v>1.966838601600851E-2</v>
      </c>
      <c r="S55" s="233">
        <f t="shared" si="15"/>
        <v>-2.7529761659701002E-2</v>
      </c>
      <c r="T55" s="233">
        <f t="shared" si="16"/>
        <v>-5.0221298321064811E-3</v>
      </c>
      <c r="U55" s="519">
        <f t="shared" si="17"/>
        <v>1.8221132282664199E-2</v>
      </c>
    </row>
    <row r="56" spans="1:21" x14ac:dyDescent="0.2">
      <c r="B56" s="159"/>
      <c r="C56" s="159"/>
      <c r="D56" s="159"/>
      <c r="E56" s="159"/>
      <c r="F56" s="159"/>
      <c r="G56" s="159"/>
      <c r="H56" s="159"/>
      <c r="I56" s="159"/>
      <c r="J56" s="159"/>
    </row>
    <row r="57" spans="1:21" x14ac:dyDescent="0.2">
      <c r="A57" s="58" t="s">
        <v>245</v>
      </c>
      <c r="G57" s="159"/>
    </row>
    <row r="58" spans="1:21" ht="13.5" thickBot="1" x14ac:dyDescent="0.25"/>
    <row r="59" spans="1:21" ht="24.75" thickBot="1" x14ac:dyDescent="0.25">
      <c r="A59" s="224" t="s">
        <v>112</v>
      </c>
      <c r="B59" s="217" t="s">
        <v>71</v>
      </c>
      <c r="C59" s="217" t="s">
        <v>235</v>
      </c>
      <c r="D59" s="217" t="s">
        <v>234</v>
      </c>
      <c r="E59" s="217" t="s">
        <v>74</v>
      </c>
      <c r="F59" s="217" t="s">
        <v>236</v>
      </c>
      <c r="G59" s="217" t="s">
        <v>237</v>
      </c>
      <c r="H59" s="217" t="s">
        <v>238</v>
      </c>
      <c r="I59" s="217" t="s">
        <v>76</v>
      </c>
      <c r="J59" s="218" t="s">
        <v>9</v>
      </c>
    </row>
    <row r="60" spans="1:21" x14ac:dyDescent="0.2">
      <c r="A60" s="244" t="s">
        <v>239</v>
      </c>
      <c r="B60" s="245"/>
      <c r="C60" s="245"/>
      <c r="D60" s="245"/>
      <c r="E60" s="245"/>
      <c r="F60" s="245"/>
      <c r="G60" s="245"/>
      <c r="H60" s="245"/>
      <c r="I60" s="245"/>
      <c r="J60" s="246"/>
    </row>
    <row r="61" spans="1:21" x14ac:dyDescent="0.2">
      <c r="A61" s="247" t="s">
        <v>114</v>
      </c>
      <c r="B61" s="222">
        <v>487192399</v>
      </c>
      <c r="C61" s="222">
        <v>140097188</v>
      </c>
      <c r="D61" s="222">
        <v>358858375</v>
      </c>
      <c r="E61" s="222">
        <v>60139982</v>
      </c>
      <c r="F61" s="222">
        <v>80956601</v>
      </c>
      <c r="G61" s="222">
        <v>10072853</v>
      </c>
      <c r="H61" s="222">
        <v>40813</v>
      </c>
      <c r="I61" s="222">
        <v>3841944</v>
      </c>
      <c r="J61" s="229">
        <f>SUM(B61:I61)</f>
        <v>1141200155</v>
      </c>
    </row>
    <row r="62" spans="1:21" x14ac:dyDescent="0.2">
      <c r="A62" s="247" t="s">
        <v>226</v>
      </c>
      <c r="B62" s="222">
        <v>496447375</v>
      </c>
      <c r="C62" s="222">
        <v>132319612</v>
      </c>
      <c r="D62" s="222">
        <v>359363080</v>
      </c>
      <c r="E62" s="222">
        <v>33402763</v>
      </c>
      <c r="F62" s="222">
        <v>78175306</v>
      </c>
      <c r="G62" s="222">
        <v>11044796</v>
      </c>
      <c r="H62" s="222">
        <v>38567</v>
      </c>
      <c r="I62" s="222">
        <v>3208501</v>
      </c>
      <c r="J62" s="229">
        <f>SUM(B62:I62)</f>
        <v>1114000000</v>
      </c>
    </row>
    <row r="63" spans="1:21" x14ac:dyDescent="0.2">
      <c r="A63" s="247" t="s">
        <v>337</v>
      </c>
      <c r="B63" s="222">
        <v>488310441.84458584</v>
      </c>
      <c r="C63" s="222">
        <v>134064266.11914393</v>
      </c>
      <c r="D63" s="222">
        <v>337307808.8671304</v>
      </c>
      <c r="E63" s="222">
        <v>42639586.096446052</v>
      </c>
      <c r="F63" s="222">
        <v>88420452.222880453</v>
      </c>
      <c r="G63" s="222">
        <v>8578851.707184026</v>
      </c>
      <c r="H63" s="222">
        <v>34297.182591568067</v>
      </c>
      <c r="I63" s="222">
        <v>2686537.3140891874</v>
      </c>
      <c r="J63" s="229">
        <f t="shared" ref="J63:J65" si="19">SUM(B63:I63)</f>
        <v>1102042241.3540516</v>
      </c>
    </row>
    <row r="64" spans="1:21" x14ac:dyDescent="0.2">
      <c r="A64" s="247" t="s">
        <v>338</v>
      </c>
      <c r="B64" s="222">
        <v>491380160.90018409</v>
      </c>
      <c r="C64" s="222">
        <v>134854491.64774501</v>
      </c>
      <c r="D64" s="222">
        <v>340651147.74867117</v>
      </c>
      <c r="E64" s="222">
        <v>42660606.445226006</v>
      </c>
      <c r="F64" s="222">
        <v>88120101.619900286</v>
      </c>
      <c r="G64" s="222">
        <v>5237833.7421617098</v>
      </c>
      <c r="H64" s="222">
        <v>32909.529916775595</v>
      </c>
      <c r="I64" s="222">
        <v>2667193.4637021297</v>
      </c>
      <c r="J64" s="229">
        <f t="shared" si="19"/>
        <v>1105604445.0975072</v>
      </c>
    </row>
    <row r="65" spans="1:12" x14ac:dyDescent="0.2">
      <c r="A65" s="247" t="s">
        <v>339</v>
      </c>
      <c r="B65" s="222">
        <v>492297000.53160763</v>
      </c>
      <c r="C65" s="222">
        <v>135063742.04659477</v>
      </c>
      <c r="D65" s="222">
        <v>342688526.37423319</v>
      </c>
      <c r="E65" s="222">
        <v>42752494.396360196</v>
      </c>
      <c r="F65" s="222">
        <v>87493646.788693547</v>
      </c>
      <c r="G65" s="222">
        <v>4853625.207928787</v>
      </c>
      <c r="H65" s="222">
        <v>31630.444959402575</v>
      </c>
      <c r="I65" s="222">
        <v>2652384.9112346303</v>
      </c>
      <c r="J65" s="229">
        <f t="shared" si="19"/>
        <v>1107833050.7016122</v>
      </c>
    </row>
    <row r="66" spans="1:12" x14ac:dyDescent="0.2">
      <c r="A66" s="241"/>
      <c r="B66" s="221"/>
      <c r="C66" s="248"/>
      <c r="D66" s="248"/>
      <c r="E66" s="248"/>
      <c r="F66" s="248"/>
      <c r="G66" s="248"/>
      <c r="H66" s="248"/>
      <c r="I66" s="248"/>
      <c r="J66" s="249"/>
    </row>
    <row r="67" spans="1:12" hidden="1" x14ac:dyDescent="0.2">
      <c r="A67" s="241">
        <v>2003</v>
      </c>
      <c r="B67" s="219">
        <f>+'Rate Class Energy Model'!H7</f>
        <v>457616904</v>
      </c>
      <c r="C67" s="219">
        <f>+'Rate Class Energy Model'!I7</f>
        <v>121224653</v>
      </c>
      <c r="D67" s="219">
        <f>+'Rate Class Energy Model'!J7</f>
        <v>281244125.5</v>
      </c>
      <c r="E67" s="219">
        <f>+'Rate Class Energy Model'!K7</f>
        <v>169257212.5</v>
      </c>
      <c r="F67" s="219">
        <f>+'Rate Class Energy Model'!L7</f>
        <v>96172091</v>
      </c>
      <c r="G67" s="219">
        <f>+'Rate Class Energy Model'!M7</f>
        <v>8359780.5</v>
      </c>
      <c r="H67" s="219">
        <f>+'Rate Class Energy Model'!N7</f>
        <v>45541</v>
      </c>
      <c r="I67" s="219">
        <f>+'Rate Class Energy Model'!O7</f>
        <v>2920000</v>
      </c>
      <c r="J67" s="250">
        <f t="shared" ref="J67:J77" si="20">SUM(B67:I67)</f>
        <v>1136840307.5</v>
      </c>
    </row>
    <row r="68" spans="1:12" ht="13.5" hidden="1" customHeight="1" x14ac:dyDescent="0.2">
      <c r="A68" s="242">
        <v>2004</v>
      </c>
      <c r="B68" s="219">
        <f>+'Rate Class Energy Model'!H8</f>
        <v>448138859</v>
      </c>
      <c r="C68" s="219">
        <f>+'Rate Class Energy Model'!I8</f>
        <v>129998490</v>
      </c>
      <c r="D68" s="219">
        <f>+'Rate Class Energy Model'!J8</f>
        <v>360631980</v>
      </c>
      <c r="E68" s="219">
        <f>+'Rate Class Energy Model'!K8</f>
        <v>112144196</v>
      </c>
      <c r="F68" s="219">
        <f>+'Rate Class Energy Model'!L8</f>
        <v>65676068</v>
      </c>
      <c r="G68" s="219">
        <f>+'Rate Class Energy Model'!M8</f>
        <v>8743099.0634733941</v>
      </c>
      <c r="H68" s="219">
        <f>+'Rate Class Energy Model'!N8</f>
        <v>27821</v>
      </c>
      <c r="I68" s="219">
        <f>+'Rate Class Energy Model'!O8</f>
        <v>2940000</v>
      </c>
      <c r="J68" s="250">
        <f t="shared" si="20"/>
        <v>1128300513.0634735</v>
      </c>
      <c r="L68" s="520">
        <f>RATE(5,0,-59100,64535)</f>
        <v>1.7751067797468469E-2</v>
      </c>
    </row>
    <row r="69" spans="1:12" hidden="1" x14ac:dyDescent="0.2">
      <c r="A69" s="241">
        <v>2005</v>
      </c>
      <c r="B69" s="219">
        <f>+'Rate Class Energy Model'!H9</f>
        <v>485961504</v>
      </c>
      <c r="C69" s="219">
        <f>+'Rate Class Energy Model'!I9</f>
        <v>135909028</v>
      </c>
      <c r="D69" s="219">
        <f>+'Rate Class Energy Model'!J9</f>
        <v>361962669</v>
      </c>
      <c r="E69" s="219">
        <f>+'Rate Class Energy Model'!K9</f>
        <v>62904833</v>
      </c>
      <c r="F69" s="219">
        <f>+'Rate Class Energy Model'!L9</f>
        <v>67016961</v>
      </c>
      <c r="G69" s="219">
        <f>+'Rate Class Energy Model'!M9</f>
        <v>9182978</v>
      </c>
      <c r="H69" s="219">
        <f>+'Rate Class Energy Model'!N9</f>
        <v>43197</v>
      </c>
      <c r="I69" s="219">
        <f>+'Rate Class Energy Model'!O9</f>
        <v>2950000</v>
      </c>
      <c r="J69" s="250">
        <f t="shared" si="20"/>
        <v>1125931170</v>
      </c>
      <c r="L69" s="520">
        <f>RATE(5,0,-64535,70415)</f>
        <v>1.7592679074958286E-2</v>
      </c>
    </row>
    <row r="70" spans="1:12" hidden="1" x14ac:dyDescent="0.2">
      <c r="A70" s="242">
        <v>2006</v>
      </c>
      <c r="B70" s="219">
        <f>+'Rate Class Energy Model'!H10</f>
        <v>466401366</v>
      </c>
      <c r="C70" s="219">
        <f>+'Rate Class Energy Model'!I10</f>
        <v>134155770</v>
      </c>
      <c r="D70" s="219">
        <f>+'Rate Class Energy Model'!J10</f>
        <v>357086593</v>
      </c>
      <c r="E70" s="219">
        <f>+'Rate Class Energy Model'!K10</f>
        <v>59654446</v>
      </c>
      <c r="F70" s="219">
        <f>+'Rate Class Energy Model'!L10</f>
        <v>80518764</v>
      </c>
      <c r="G70" s="219">
        <f>+'Rate Class Energy Model'!M10</f>
        <v>9398525</v>
      </c>
      <c r="H70" s="219">
        <f>+'Rate Class Energy Model'!N10</f>
        <v>42595</v>
      </c>
      <c r="I70" s="219">
        <f>+'Rate Class Energy Model'!O10</f>
        <v>3705188</v>
      </c>
      <c r="J70" s="250">
        <f t="shared" si="20"/>
        <v>1110963247</v>
      </c>
    </row>
    <row r="71" spans="1:12" hidden="1" x14ac:dyDescent="0.2">
      <c r="A71" s="241">
        <v>2007</v>
      </c>
      <c r="B71" s="219">
        <f>+'Rate Class Energy Model'!H11</f>
        <v>473023155</v>
      </c>
      <c r="C71" s="219">
        <f>+'Rate Class Energy Model'!I11</f>
        <v>132346004</v>
      </c>
      <c r="D71" s="219">
        <f>+'Rate Class Energy Model'!J11</f>
        <v>359144720</v>
      </c>
      <c r="E71" s="219">
        <f>+'Rate Class Energy Model'!K11</f>
        <v>61811846</v>
      </c>
      <c r="F71" s="219">
        <f>+'Rate Class Energy Model'!L11</f>
        <v>103869997</v>
      </c>
      <c r="G71" s="219">
        <f>+'Rate Class Energy Model'!M11</f>
        <v>9704521</v>
      </c>
      <c r="H71" s="219">
        <f>+'Rate Class Energy Model'!N11</f>
        <v>41408</v>
      </c>
      <c r="I71" s="219">
        <f>+'Rate Class Energy Model'!O11</f>
        <v>3818865</v>
      </c>
      <c r="J71" s="250">
        <f t="shared" si="20"/>
        <v>1143760516</v>
      </c>
    </row>
    <row r="72" spans="1:12" x14ac:dyDescent="0.2">
      <c r="A72" s="242">
        <v>2008</v>
      </c>
      <c r="B72" s="219">
        <f>+'Rate Class Energy Model'!H12</f>
        <v>470718851</v>
      </c>
      <c r="C72" s="219">
        <f>+'Rate Class Energy Model'!I12</f>
        <v>131868017</v>
      </c>
      <c r="D72" s="219">
        <f>+'Rate Class Energy Model'!J12</f>
        <v>352632150</v>
      </c>
      <c r="E72" s="219">
        <f>+'Rate Class Energy Model'!K12</f>
        <v>46461021</v>
      </c>
      <c r="F72" s="219">
        <f>+'Rate Class Energy Model'!L12</f>
        <v>102433272</v>
      </c>
      <c r="G72" s="219">
        <f>+'Rate Class Energy Model'!M12</f>
        <v>9725840</v>
      </c>
      <c r="H72" s="219">
        <f>+'Rate Class Energy Model'!N12</f>
        <v>39233</v>
      </c>
      <c r="I72" s="219">
        <f>+'Rate Class Energy Model'!O12</f>
        <v>3372873</v>
      </c>
      <c r="J72" s="250">
        <f t="shared" si="20"/>
        <v>1117251257</v>
      </c>
    </row>
    <row r="73" spans="1:12" x14ac:dyDescent="0.2">
      <c r="A73" s="241">
        <v>2009</v>
      </c>
      <c r="B73" s="219">
        <f>+'Rate Class Energy Model'!H13</f>
        <v>467977819</v>
      </c>
      <c r="C73" s="219">
        <f>+'Rate Class Energy Model'!I13</f>
        <v>128019505</v>
      </c>
      <c r="D73" s="219">
        <f>+'Rate Class Energy Model'!J13</f>
        <v>349784301</v>
      </c>
      <c r="E73" s="219">
        <f>+'Rate Class Energy Model'!K13</f>
        <v>36580289</v>
      </c>
      <c r="F73" s="219">
        <f>+'Rate Class Energy Model'!L13</f>
        <v>87237589</v>
      </c>
      <c r="G73" s="219">
        <f>+'Rate Class Energy Model'!M13</f>
        <v>10202758</v>
      </c>
      <c r="H73" s="219">
        <f>+'Rate Class Energy Model'!N13</f>
        <v>36792</v>
      </c>
      <c r="I73" s="219">
        <f>+'Rate Class Energy Model'!O13</f>
        <v>2825455</v>
      </c>
      <c r="J73" s="250">
        <f t="shared" si="20"/>
        <v>1082664508</v>
      </c>
    </row>
    <row r="74" spans="1:12" x14ac:dyDescent="0.2">
      <c r="A74" s="242">
        <v>2010</v>
      </c>
      <c r="B74" s="219">
        <f>+'Rate Class Energy Model'!H14</f>
        <v>476941035</v>
      </c>
      <c r="C74" s="219">
        <f>+'Rate Class Energy Model'!I14</f>
        <v>131282103</v>
      </c>
      <c r="D74" s="219">
        <f>+'Rate Class Energy Model'!J14</f>
        <v>355234224</v>
      </c>
      <c r="E74" s="219">
        <f>+'Rate Class Energy Model'!K14</f>
        <v>33402763</v>
      </c>
      <c r="F74" s="219">
        <f>+'Rate Class Energy Model'!L14</f>
        <v>80783141</v>
      </c>
      <c r="G74" s="219">
        <f>+'Rate Class Energy Model'!M14</f>
        <v>10427904</v>
      </c>
      <c r="H74" s="219">
        <f>+'Rate Class Energy Model'!N14</f>
        <v>35812</v>
      </c>
      <c r="I74" s="219">
        <f>+'Rate Class Energy Model'!O14</f>
        <v>2831501</v>
      </c>
      <c r="J74" s="250">
        <f t="shared" si="20"/>
        <v>1090938483</v>
      </c>
    </row>
    <row r="75" spans="1:12" x14ac:dyDescent="0.2">
      <c r="A75" s="242">
        <v>2011</v>
      </c>
      <c r="B75" s="219">
        <f>+'Rate Class Energy Model'!H15</f>
        <v>484582022</v>
      </c>
      <c r="C75" s="219">
        <f>+'Rate Class Energy Model'!I15</f>
        <v>135695878</v>
      </c>
      <c r="D75" s="219">
        <f>+'Rate Class Energy Model'!J15</f>
        <v>359534375</v>
      </c>
      <c r="E75" s="219">
        <f>+'Rate Class Energy Model'!K15</f>
        <v>37740699</v>
      </c>
      <c r="F75" s="219">
        <f>+'Rate Class Energy Model'!L15</f>
        <v>79908016</v>
      </c>
      <c r="G75" s="219">
        <f>+'Rate Class Energy Model'!M15</f>
        <v>10253017</v>
      </c>
      <c r="H75" s="219">
        <f>+'Rate Class Energy Model'!N15</f>
        <v>35812</v>
      </c>
      <c r="I75" s="219">
        <f>+'Rate Class Energy Model'!O15</f>
        <v>2769028</v>
      </c>
      <c r="J75" s="250">
        <f t="shared" si="20"/>
        <v>1110518847</v>
      </c>
    </row>
    <row r="76" spans="1:12" x14ac:dyDescent="0.2">
      <c r="A76" s="242">
        <v>2012</v>
      </c>
      <c r="B76" s="219">
        <f>+'Rate Class Energy Model'!H16</f>
        <v>473288468</v>
      </c>
      <c r="C76" s="219">
        <f>+'Rate Class Energy Model'!I16</f>
        <v>131590801</v>
      </c>
      <c r="D76" s="219">
        <f>+'Rate Class Energy Model'!J16</f>
        <v>338342507</v>
      </c>
      <c r="E76" s="219">
        <f>+'Rate Class Energy Model'!K16</f>
        <v>40812737</v>
      </c>
      <c r="F76" s="219">
        <f>+'Rate Class Energy Model'!L16</f>
        <v>76828137</v>
      </c>
      <c r="G76" s="219">
        <f>+'Rate Class Energy Model'!M16</f>
        <v>10139708</v>
      </c>
      <c r="H76" s="219">
        <f>+'Rate Class Energy Model'!N16</f>
        <v>35812</v>
      </c>
      <c r="I76" s="219">
        <f>+'Rate Class Energy Model'!O16</f>
        <v>2745701</v>
      </c>
      <c r="J76" s="250">
        <f t="shared" si="20"/>
        <v>1073783871</v>
      </c>
    </row>
    <row r="77" spans="1:12" x14ac:dyDescent="0.2">
      <c r="A77" s="242">
        <v>2013</v>
      </c>
      <c r="B77" s="219">
        <f>+'Rate Class Energy Model'!H17</f>
        <v>475282449</v>
      </c>
      <c r="C77" s="219">
        <f>+'Rate Class Energy Model'!I17</f>
        <v>132382128</v>
      </c>
      <c r="D77" s="219">
        <f>+'Rate Class Energy Model'!J17</f>
        <v>337123668</v>
      </c>
      <c r="E77" s="219">
        <f>+'Rate Class Energy Model'!K17</f>
        <v>42326219</v>
      </c>
      <c r="F77" s="219">
        <f>+'Rate Class Energy Model'!L17</f>
        <v>79176233</v>
      </c>
      <c r="G77" s="219">
        <f>+'Rate Class Energy Model'!M17</f>
        <v>9082284</v>
      </c>
      <c r="H77" s="219">
        <f>+'Rate Class Energy Model'!N17</f>
        <v>35812</v>
      </c>
      <c r="I77" s="219">
        <f>+'Rate Class Energy Model'!O17</f>
        <v>2752416</v>
      </c>
      <c r="J77" s="250">
        <f t="shared" si="20"/>
        <v>1078161209</v>
      </c>
    </row>
    <row r="78" spans="1:12" x14ac:dyDescent="0.2">
      <c r="A78" s="242">
        <v>2014</v>
      </c>
      <c r="B78" s="219">
        <f>+'Rate Class Energy Model'!H18</f>
        <v>485503507</v>
      </c>
      <c r="C78" s="219">
        <f>+'Rate Class Energy Model'!I18</f>
        <v>133729082</v>
      </c>
      <c r="D78" s="219">
        <f>+'Rate Class Energy Model'!J18</f>
        <v>336406114</v>
      </c>
      <c r="E78" s="219">
        <f>+'Rate Class Energy Model'!K18</f>
        <v>42700435</v>
      </c>
      <c r="F78" s="219">
        <f>+'Rate Class Energy Model'!L18</f>
        <v>81400346</v>
      </c>
      <c r="G78" s="219">
        <f>+'Rate Class Energy Model'!M18</f>
        <v>9155875</v>
      </c>
      <c r="H78" s="219">
        <f>+'Rate Class Energy Model'!N18</f>
        <v>35812</v>
      </c>
      <c r="I78" s="219">
        <f>+'Rate Class Energy Model'!O18</f>
        <v>2711219</v>
      </c>
      <c r="J78" s="250">
        <f t="shared" ref="J78" si="21">SUM(B78:I78)</f>
        <v>1091642390</v>
      </c>
    </row>
    <row r="79" spans="1:12" x14ac:dyDescent="0.2">
      <c r="A79" s="242">
        <v>2015</v>
      </c>
      <c r="B79" s="219">
        <f>+'Rate Class Energy Model'!H19</f>
        <v>479177852</v>
      </c>
      <c r="C79" s="219">
        <f>+'Rate Class Energy Model'!I19</f>
        <v>132197810</v>
      </c>
      <c r="D79" s="219">
        <f>+'Rate Class Energy Model'!J19</f>
        <v>333350818</v>
      </c>
      <c r="E79" s="219">
        <f>+'Rate Class Energy Model'!K19</f>
        <v>41948976</v>
      </c>
      <c r="F79" s="219">
        <f>+'Rate Class Energy Model'!L19</f>
        <v>81234207</v>
      </c>
      <c r="G79" s="219">
        <f>+'Rate Class Energy Model'!M19</f>
        <v>9302763</v>
      </c>
      <c r="H79" s="219">
        <f>+'Rate Class Energy Model'!N19</f>
        <v>35813</v>
      </c>
      <c r="I79" s="219">
        <f>+'Rate Class Energy Model'!O19</f>
        <v>2512230</v>
      </c>
      <c r="J79" s="362">
        <f t="shared" ref="J79:J83" si="22">SUM(B79:I79)</f>
        <v>1079760469</v>
      </c>
    </row>
    <row r="80" spans="1:12" x14ac:dyDescent="0.2">
      <c r="A80" s="242">
        <v>2016</v>
      </c>
      <c r="B80" s="219">
        <f>+'Rate Class Energy Model'!H20</f>
        <v>477455153</v>
      </c>
      <c r="C80" s="219">
        <f>+'Rate Class Energy Model'!I20</f>
        <v>130049530</v>
      </c>
      <c r="D80" s="219">
        <f>+'Rate Class Energy Model'!J20</f>
        <v>330168199</v>
      </c>
      <c r="E80" s="219">
        <f>+'Rate Class Energy Model'!K20</f>
        <v>41438246</v>
      </c>
      <c r="F80" s="219">
        <f>+'Rate Class Energy Model'!L20</f>
        <v>83295745</v>
      </c>
      <c r="G80" s="219">
        <f>+'Rate Class Energy Model'!M20</f>
        <v>9490651</v>
      </c>
      <c r="H80" s="219">
        <f>+'Rate Class Energy Model'!N20</f>
        <v>35814</v>
      </c>
      <c r="I80" s="219">
        <f>+'Rate Class Energy Model'!O20</f>
        <v>2500582</v>
      </c>
      <c r="J80" s="362">
        <f t="shared" si="22"/>
        <v>1074433920</v>
      </c>
    </row>
    <row r="81" spans="1:21" x14ac:dyDescent="0.2">
      <c r="A81" s="242" t="s">
        <v>340</v>
      </c>
      <c r="B81" s="368">
        <f>+'Rate Class Energy Model'!H21-'Rate Class Energy Model'!H101+'Rate Class Energy Model'!H114</f>
        <v>481242441.3526327</v>
      </c>
      <c r="C81" s="368">
        <f>+'Rate Class Energy Model'!I21-'Rate Class Energy Model'!I101+'Rate Class Energy Model'!I114</f>
        <v>130109122.86424071</v>
      </c>
      <c r="D81" s="368">
        <f>+'Rate Class Energy Model'!J21-'Rate Class Energy Model'!J101+'Rate Class Energy Model'!J114</f>
        <v>329149932.35225224</v>
      </c>
      <c r="E81" s="368">
        <f>+'Rate Class Energy Model'!K21-'Rate Class Energy Model'!K101+'Rate Class Energy Model'!K114</f>
        <v>40749633.793613337</v>
      </c>
      <c r="F81" s="368">
        <f>+'Rate Class Energy Model'!L21-'Rate Class Energy Model'!L101+'Rate Class Energy Model'!L114</f>
        <v>78965334.810425088</v>
      </c>
      <c r="G81" s="368">
        <f>+'Rate Class Energy Model'!M21-'Rate Class Energy Model'!M101+'Rate Class Energy Model'!M114</f>
        <v>7199508.5400217902</v>
      </c>
      <c r="H81" s="368">
        <f>+'Rate Class Energy Model'!N21-'Rate Class Energy Model'!N101+'Rate Class Energy Model'!N114</f>
        <v>34672.37733167367</v>
      </c>
      <c r="I81" s="368">
        <f>+'Rate Class Energy Model'!O21-'Rate Class Energy Model'!O101+'Rate Class Energy Model'!O114</f>
        <v>2564504.7683705813</v>
      </c>
      <c r="J81" s="362">
        <f t="shared" si="22"/>
        <v>1070015150.858888</v>
      </c>
    </row>
    <row r="82" spans="1:21" x14ac:dyDescent="0.2">
      <c r="A82" s="242" t="s">
        <v>231</v>
      </c>
      <c r="B82" s="368">
        <f>+'Rate Class Energy Model'!H22-'Rate Class Energy Model'!H102+'Rate Class Energy Model'!H115</f>
        <v>480011939.38473219</v>
      </c>
      <c r="C82" s="368">
        <f>+'Rate Class Energy Model'!I22-'Rate Class Energy Model'!I102+'Rate Class Energy Model'!I115</f>
        <v>129585178.21250525</v>
      </c>
      <c r="D82" s="368">
        <f>+'Rate Class Energy Model'!J22-'Rate Class Energy Model'!J102+'Rate Class Energy Model'!J115</f>
        <v>329595262.30701321</v>
      </c>
      <c r="E82" s="368">
        <f>+'Rate Class Energy Model'!K22-'Rate Class Energy Model'!K102+'Rate Class Energy Model'!K115</f>
        <v>39807306.868036307</v>
      </c>
      <c r="F82" s="368">
        <f>+'Rate Class Energy Model'!L22-'Rate Class Energy Model'!L102+'Rate Class Energy Model'!L115</f>
        <v>75038332.350385889</v>
      </c>
      <c r="G82" s="368">
        <f>+'Rate Class Energy Model'!M22-'Rate Class Energy Model'!M102+'Rate Class Energy Model'!M115</f>
        <v>4912438.1569634676</v>
      </c>
      <c r="H82" s="368">
        <f>+'Rate Class Energy Model'!N22-'Rate Class Energy Model'!N102+'Rate Class Energy Model'!N115</f>
        <v>33345.033034021741</v>
      </c>
      <c r="I82" s="368">
        <f>+'Rate Class Energy Model'!O22-'Rate Class Energy Model'!O102+'Rate Class Energy Model'!O115</f>
        <v>2612658.5895418967</v>
      </c>
      <c r="J82" s="362">
        <f t="shared" si="22"/>
        <v>1061596460.9022121</v>
      </c>
    </row>
    <row r="83" spans="1:21" ht="13.5" thickBot="1" x14ac:dyDescent="0.25">
      <c r="A83" s="243" t="s">
        <v>232</v>
      </c>
      <c r="B83" s="369">
        <f>+'Rate Class Energy Model'!H23-'Rate Class Energy Model'!H103+'Rate Class Energy Model'!H116</f>
        <v>478548339.49470502</v>
      </c>
      <c r="C83" s="369">
        <f>+'Rate Class Energy Model'!I23-'Rate Class Energy Model'!I103+'Rate Class Energy Model'!I116</f>
        <v>129015225.78797366</v>
      </c>
      <c r="D83" s="369">
        <f>+'Rate Class Energy Model'!J23-'Rate Class Energy Model'!J103+'Rate Class Energy Model'!J116</f>
        <v>330009795.46084768</v>
      </c>
      <c r="E83" s="369">
        <f>+'Rate Class Energy Model'!K23-'Rate Class Energy Model'!K103+'Rate Class Energy Model'!K116</f>
        <v>38875445.657878414</v>
      </c>
      <c r="F83" s="369">
        <f>+'Rate Class Energy Model'!L23-'Rate Class Energy Model'!L103+'Rate Class Energy Model'!L116</f>
        <v>75644065.398059711</v>
      </c>
      <c r="G83" s="369">
        <f>+'Rate Class Energy Model'!M23-'Rate Class Energy Model'!M103+'Rate Class Energy Model'!M116</f>
        <v>5117254.1990519855</v>
      </c>
      <c r="H83" s="369">
        <f>+'Rate Class Energy Model'!N23-'Rate Class Energy Model'!N103+'Rate Class Energy Model'!N116</f>
        <v>32059.16311080223</v>
      </c>
      <c r="I83" s="369">
        <f>+'Rate Class Energy Model'!O23-'Rate Class Energy Model'!O103+'Rate Class Energy Model'!O116</f>
        <v>2660941.3975806902</v>
      </c>
      <c r="J83" s="363">
        <f t="shared" si="22"/>
        <v>1059903126.5592082</v>
      </c>
    </row>
    <row r="84" spans="1:21" x14ac:dyDescent="0.2">
      <c r="B84" s="389"/>
      <c r="C84" s="389"/>
      <c r="D84" s="389"/>
      <c r="E84" s="389"/>
      <c r="F84" s="389"/>
      <c r="G84" s="389"/>
      <c r="H84" s="389"/>
      <c r="I84" s="389"/>
      <c r="J84" s="389"/>
    </row>
    <row r="85" spans="1:21" x14ac:dyDescent="0.2">
      <c r="A85" s="58" t="s">
        <v>246</v>
      </c>
    </row>
    <row r="86" spans="1:21" ht="13.5" thickBot="1" x14ac:dyDescent="0.25"/>
    <row r="87" spans="1:21" ht="24.75" thickBot="1" x14ac:dyDescent="0.25">
      <c r="A87" s="224" t="s">
        <v>112</v>
      </c>
      <c r="B87" s="217" t="s">
        <v>71</v>
      </c>
      <c r="C87" s="217" t="s">
        <v>235</v>
      </c>
      <c r="D87" s="217" t="s">
        <v>234</v>
      </c>
      <c r="E87" s="217" t="s">
        <v>74</v>
      </c>
      <c r="F87" s="217" t="s">
        <v>236</v>
      </c>
      <c r="G87" s="217" t="s">
        <v>237</v>
      </c>
      <c r="H87" s="217" t="s">
        <v>238</v>
      </c>
      <c r="I87" s="217" t="s">
        <v>76</v>
      </c>
      <c r="J87" s="218" t="s">
        <v>9</v>
      </c>
      <c r="L87" s="224" t="s">
        <v>112</v>
      </c>
      <c r="M87" s="217" t="s">
        <v>71</v>
      </c>
      <c r="N87" s="217" t="s">
        <v>235</v>
      </c>
      <c r="O87" s="217" t="s">
        <v>234</v>
      </c>
      <c r="P87" s="217" t="s">
        <v>74</v>
      </c>
      <c r="Q87" s="217" t="s">
        <v>236</v>
      </c>
      <c r="R87" s="217" t="s">
        <v>237</v>
      </c>
      <c r="S87" s="217" t="s">
        <v>238</v>
      </c>
      <c r="T87" s="217" t="s">
        <v>76</v>
      </c>
      <c r="U87" s="218" t="s">
        <v>9</v>
      </c>
    </row>
    <row r="88" spans="1:21" x14ac:dyDescent="0.2">
      <c r="A88" s="244" t="s">
        <v>256</v>
      </c>
      <c r="B88" s="245"/>
      <c r="C88" s="245"/>
      <c r="D88" s="245"/>
      <c r="E88" s="245"/>
      <c r="F88" s="245"/>
      <c r="G88" s="245"/>
      <c r="H88" s="245"/>
      <c r="I88" s="245"/>
      <c r="J88" s="246"/>
      <c r="L88" s="244" t="s">
        <v>256</v>
      </c>
      <c r="M88" s="245"/>
      <c r="N88" s="245"/>
      <c r="O88" s="245"/>
      <c r="P88" s="245"/>
      <c r="Q88" s="245"/>
      <c r="R88" s="245"/>
      <c r="S88" s="245"/>
      <c r="T88" s="245"/>
      <c r="U88" s="246"/>
    </row>
    <row r="89" spans="1:21" hidden="1" x14ac:dyDescent="0.2">
      <c r="A89" s="247" t="s">
        <v>114</v>
      </c>
      <c r="B89" s="222">
        <f>+B61/B33</f>
        <v>10312.478017907415</v>
      </c>
      <c r="C89" s="222">
        <f t="shared" ref="C89:J89" si="23">+C61/C33</f>
        <v>36436.199739921976</v>
      </c>
      <c r="D89" s="222">
        <f t="shared" si="23"/>
        <v>687468.15134099615</v>
      </c>
      <c r="E89" s="222">
        <f t="shared" si="23"/>
        <v>30069991</v>
      </c>
      <c r="F89" s="222">
        <f t="shared" si="23"/>
        <v>8995177.8888888881</v>
      </c>
      <c r="G89" s="222">
        <f t="shared" si="23"/>
        <v>864.62257510729614</v>
      </c>
      <c r="H89" s="222">
        <f t="shared" si="23"/>
        <v>530.03896103896102</v>
      </c>
      <c r="I89" s="222">
        <f t="shared" si="23"/>
        <v>12596.537704918033</v>
      </c>
      <c r="J89" s="229">
        <f t="shared" si="23"/>
        <v>17928.45828162066</v>
      </c>
      <c r="L89" s="247" t="s">
        <v>114</v>
      </c>
      <c r="M89" s="222">
        <f>+M61/M33</f>
        <v>0</v>
      </c>
      <c r="N89" s="222">
        <f t="shared" ref="N89:U89" si="24">+N61/N33</f>
        <v>0</v>
      </c>
      <c r="O89" s="222">
        <f t="shared" si="24"/>
        <v>0</v>
      </c>
      <c r="P89" s="222">
        <f t="shared" si="24"/>
        <v>0</v>
      </c>
      <c r="Q89" s="222">
        <f t="shared" si="24"/>
        <v>0</v>
      </c>
      <c r="R89" s="222">
        <f t="shared" si="24"/>
        <v>0</v>
      </c>
      <c r="S89" s="222">
        <f t="shared" si="24"/>
        <v>0</v>
      </c>
      <c r="T89" s="222">
        <f t="shared" si="24"/>
        <v>0</v>
      </c>
      <c r="U89" s="229">
        <f t="shared" si="24"/>
        <v>0</v>
      </c>
    </row>
    <row r="90" spans="1:21" hidden="1" x14ac:dyDescent="0.2">
      <c r="A90" s="247" t="s">
        <v>226</v>
      </c>
      <c r="B90" s="222">
        <f t="shared" ref="B90:J90" si="25">+B62/B34</f>
        <v>9944.9139784448562</v>
      </c>
      <c r="C90" s="222">
        <f t="shared" si="25"/>
        <v>33405.607674829589</v>
      </c>
      <c r="D90" s="222">
        <f t="shared" si="25"/>
        <v>693751.11969111965</v>
      </c>
      <c r="E90" s="222">
        <f t="shared" si="25"/>
        <v>33402763</v>
      </c>
      <c r="F90" s="222">
        <f t="shared" si="25"/>
        <v>7817530.5999999996</v>
      </c>
      <c r="G90" s="222">
        <f t="shared" si="25"/>
        <v>865.45077050694306</v>
      </c>
      <c r="H90" s="222">
        <f t="shared" si="25"/>
        <v>1728.868207968671</v>
      </c>
      <c r="I90" s="222">
        <f t="shared" si="25"/>
        <v>10248.202720726738</v>
      </c>
      <c r="J90" s="229">
        <f t="shared" si="25"/>
        <v>16501.989395957142</v>
      </c>
      <c r="L90" s="247" t="s">
        <v>226</v>
      </c>
      <c r="M90" s="222">
        <f t="shared" ref="M90:U90" si="26">+M62/M34</f>
        <v>0</v>
      </c>
      <c r="N90" s="222">
        <f t="shared" si="26"/>
        <v>0</v>
      </c>
      <c r="O90" s="222">
        <f t="shared" si="26"/>
        <v>0</v>
      </c>
      <c r="P90" s="222">
        <f t="shared" si="26"/>
        <v>0</v>
      </c>
      <c r="Q90" s="222">
        <f t="shared" si="26"/>
        <v>0</v>
      </c>
      <c r="R90" s="222">
        <f t="shared" si="26"/>
        <v>0</v>
      </c>
      <c r="S90" s="222">
        <f t="shared" si="26"/>
        <v>0</v>
      </c>
      <c r="T90" s="222">
        <f t="shared" si="26"/>
        <v>0</v>
      </c>
      <c r="U90" s="229">
        <f t="shared" si="26"/>
        <v>0</v>
      </c>
    </row>
    <row r="91" spans="1:21" hidden="1" x14ac:dyDescent="0.2">
      <c r="A91" s="247" t="s">
        <v>337</v>
      </c>
      <c r="B91" s="222">
        <f t="shared" ref="B91:J91" si="27">+B63/B35</f>
        <v>9578.9729800543791</v>
      </c>
      <c r="C91" s="222">
        <f t="shared" si="27"/>
        <v>33495.397360898445</v>
      </c>
      <c r="D91" s="222">
        <f t="shared" si="27"/>
        <v>665301.39816002047</v>
      </c>
      <c r="E91" s="222">
        <f t="shared" si="27"/>
        <v>42639586.096446052</v>
      </c>
      <c r="F91" s="222">
        <f t="shared" si="27"/>
        <v>7368371.0185733708</v>
      </c>
      <c r="G91" s="222">
        <f t="shared" si="27"/>
        <v>674.97679014233609</v>
      </c>
      <c r="H91" s="222">
        <f t="shared" si="27"/>
        <v>1476.9819588959449</v>
      </c>
      <c r="I91" s="222">
        <f t="shared" si="27"/>
        <v>9081.6543916956161</v>
      </c>
      <c r="J91" s="229">
        <f t="shared" si="27"/>
        <v>16081.473861568411</v>
      </c>
      <c r="L91" s="247" t="s">
        <v>337</v>
      </c>
      <c r="M91" s="222">
        <f t="shared" ref="M91:U91" si="28">+M63/M35</f>
        <v>0</v>
      </c>
      <c r="N91" s="222">
        <f t="shared" si="28"/>
        <v>0</v>
      </c>
      <c r="O91" s="222">
        <f t="shared" si="28"/>
        <v>0</v>
      </c>
      <c r="P91" s="222">
        <f t="shared" si="28"/>
        <v>0</v>
      </c>
      <c r="Q91" s="222">
        <f t="shared" si="28"/>
        <v>0</v>
      </c>
      <c r="R91" s="222">
        <f t="shared" si="28"/>
        <v>0</v>
      </c>
      <c r="S91" s="222">
        <f t="shared" si="28"/>
        <v>0</v>
      </c>
      <c r="T91" s="222">
        <f t="shared" si="28"/>
        <v>0</v>
      </c>
      <c r="U91" s="229">
        <f t="shared" si="28"/>
        <v>0</v>
      </c>
    </row>
    <row r="92" spans="1:21" hidden="1" x14ac:dyDescent="0.2">
      <c r="A92" s="247" t="s">
        <v>338</v>
      </c>
      <c r="B92" s="222">
        <f t="shared" ref="B92:J92" si="29">+B64/B36</f>
        <v>9496.7371515016566</v>
      </c>
      <c r="C92" s="222">
        <f t="shared" si="29"/>
        <v>33195.008454237439</v>
      </c>
      <c r="D92" s="222">
        <f t="shared" si="29"/>
        <v>661972.69286566495</v>
      </c>
      <c r="E92" s="222">
        <f t="shared" si="29"/>
        <v>42660606.445226006</v>
      </c>
      <c r="F92" s="222">
        <f t="shared" si="29"/>
        <v>7343341.8016583575</v>
      </c>
      <c r="G92" s="222">
        <f t="shared" si="29"/>
        <v>404.15311294377187</v>
      </c>
      <c r="H92" s="222">
        <f t="shared" si="29"/>
        <v>1464.7597936363773</v>
      </c>
      <c r="I92" s="222">
        <f t="shared" si="29"/>
        <v>9006.5028435422773</v>
      </c>
      <c r="J92" s="229">
        <f t="shared" si="29"/>
        <v>15882.67427485354</v>
      </c>
      <c r="L92" s="247" t="s">
        <v>338</v>
      </c>
      <c r="M92" s="222">
        <f t="shared" ref="M92:U92" si="30">+M64/M36</f>
        <v>0</v>
      </c>
      <c r="N92" s="222">
        <f t="shared" si="30"/>
        <v>0</v>
      </c>
      <c r="O92" s="222">
        <f t="shared" si="30"/>
        <v>0</v>
      </c>
      <c r="P92" s="222">
        <f t="shared" si="30"/>
        <v>0</v>
      </c>
      <c r="Q92" s="222">
        <f t="shared" si="30"/>
        <v>0</v>
      </c>
      <c r="R92" s="222">
        <f t="shared" si="30"/>
        <v>0</v>
      </c>
      <c r="S92" s="222">
        <f t="shared" si="30"/>
        <v>0</v>
      </c>
      <c r="T92" s="222">
        <f t="shared" si="30"/>
        <v>0</v>
      </c>
      <c r="U92" s="229">
        <f t="shared" si="30"/>
        <v>0</v>
      </c>
    </row>
    <row r="93" spans="1:21" hidden="1" x14ac:dyDescent="0.2">
      <c r="A93" s="247" t="s">
        <v>339</v>
      </c>
      <c r="B93" s="222">
        <f t="shared" ref="B93:J93" si="31">+B65/B37</f>
        <v>9373.8473482470636</v>
      </c>
      <c r="C93" s="222">
        <f t="shared" si="31"/>
        <v>32755.626840546236</v>
      </c>
      <c r="D93" s="222">
        <f t="shared" si="31"/>
        <v>656114.35262154555</v>
      </c>
      <c r="E93" s="222">
        <f t="shared" si="31"/>
        <v>42752494.396360196</v>
      </c>
      <c r="F93" s="222">
        <f t="shared" si="31"/>
        <v>7291137.2323911292</v>
      </c>
      <c r="G93" s="222">
        <f t="shared" si="31"/>
        <v>367.27806971799913</v>
      </c>
      <c r="H93" s="222">
        <f t="shared" si="31"/>
        <v>1455.0503430521189</v>
      </c>
      <c r="I93" s="222">
        <f t="shared" si="31"/>
        <v>8946.8014544979633</v>
      </c>
      <c r="J93" s="229">
        <f t="shared" si="31"/>
        <v>15667.245248535512</v>
      </c>
      <c r="L93" s="247" t="s">
        <v>339</v>
      </c>
      <c r="M93" s="222">
        <f t="shared" ref="M93:U93" si="32">+M65/M37</f>
        <v>0</v>
      </c>
      <c r="N93" s="222">
        <f t="shared" si="32"/>
        <v>0</v>
      </c>
      <c r="O93" s="222">
        <f t="shared" si="32"/>
        <v>0</v>
      </c>
      <c r="P93" s="222">
        <f t="shared" si="32"/>
        <v>0</v>
      </c>
      <c r="Q93" s="222">
        <f t="shared" si="32"/>
        <v>0</v>
      </c>
      <c r="R93" s="222">
        <f t="shared" si="32"/>
        <v>0</v>
      </c>
      <c r="S93" s="222">
        <f t="shared" si="32"/>
        <v>0</v>
      </c>
      <c r="T93" s="222">
        <f t="shared" si="32"/>
        <v>0</v>
      </c>
      <c r="U93" s="229">
        <f t="shared" si="32"/>
        <v>0</v>
      </c>
    </row>
    <row r="94" spans="1:21" hidden="1" x14ac:dyDescent="0.2">
      <c r="A94" s="241"/>
      <c r="B94" s="221"/>
      <c r="C94" s="248"/>
      <c r="D94" s="248"/>
      <c r="E94" s="248"/>
      <c r="F94" s="248"/>
      <c r="G94" s="248"/>
      <c r="H94" s="248"/>
      <c r="I94" s="248"/>
      <c r="J94" s="249"/>
      <c r="L94" s="241"/>
      <c r="M94" s="221"/>
      <c r="N94" s="248"/>
      <c r="O94" s="248"/>
      <c r="P94" s="248"/>
      <c r="Q94" s="248"/>
      <c r="R94" s="248"/>
      <c r="S94" s="248"/>
      <c r="T94" s="248"/>
      <c r="U94" s="249"/>
    </row>
    <row r="95" spans="1:21" hidden="1" x14ac:dyDescent="0.2">
      <c r="A95" s="241">
        <v>2003</v>
      </c>
      <c r="B95" s="219">
        <f t="shared" ref="B95:B111" si="33">+B67/B39</f>
        <v>10563.762370295133</v>
      </c>
      <c r="C95" s="219">
        <f t="shared" ref="C95:I95" si="34">+C67/C39</f>
        <v>32861.114936297097</v>
      </c>
      <c r="D95" s="219">
        <f t="shared" si="34"/>
        <v>503120.08139534883</v>
      </c>
      <c r="E95" s="219">
        <f t="shared" si="34"/>
        <v>67702885</v>
      </c>
      <c r="F95" s="219">
        <f t="shared" si="34"/>
        <v>19234418.199999999</v>
      </c>
      <c r="G95" s="219">
        <f t="shared" si="34"/>
        <v>831.07470921562776</v>
      </c>
      <c r="H95" s="219">
        <f t="shared" si="34"/>
        <v>1320.0289855072465</v>
      </c>
      <c r="I95" s="219">
        <f t="shared" si="34"/>
        <v>10000</v>
      </c>
      <c r="J95" s="250">
        <f t="shared" ref="J95" si="35">+J67/J39</f>
        <v>19614.052803202179</v>
      </c>
      <c r="L95" s="241">
        <v>2003</v>
      </c>
      <c r="M95" s="219" t="e">
        <f t="shared" ref="M95:U106" si="36">+M67/M39</f>
        <v>#DIV/0!</v>
      </c>
      <c r="N95" s="219" t="e">
        <f t="shared" si="36"/>
        <v>#DIV/0!</v>
      </c>
      <c r="O95" s="219" t="e">
        <f t="shared" si="36"/>
        <v>#DIV/0!</v>
      </c>
      <c r="P95" s="219" t="e">
        <f t="shared" si="36"/>
        <v>#DIV/0!</v>
      </c>
      <c r="Q95" s="219" t="e">
        <f t="shared" si="36"/>
        <v>#DIV/0!</v>
      </c>
      <c r="R95" s="219" t="e">
        <f t="shared" si="36"/>
        <v>#DIV/0!</v>
      </c>
      <c r="S95" s="219" t="e">
        <f t="shared" si="36"/>
        <v>#DIV/0!</v>
      </c>
      <c r="T95" s="219" t="e">
        <f t="shared" si="36"/>
        <v>#DIV/0!</v>
      </c>
      <c r="U95" s="250" t="e">
        <f t="shared" si="36"/>
        <v>#DIV/0!</v>
      </c>
    </row>
    <row r="96" spans="1:21" hidden="1" x14ac:dyDescent="0.2">
      <c r="A96" s="242">
        <v>2004</v>
      </c>
      <c r="B96" s="219">
        <f t="shared" si="33"/>
        <v>10189.721552086768</v>
      </c>
      <c r="C96" s="219">
        <f t="shared" ref="C96:J96" si="37">+C68/C40</f>
        <v>35846.819247208055</v>
      </c>
      <c r="D96" s="219">
        <f t="shared" si="37"/>
        <v>680437.69811320759</v>
      </c>
      <c r="E96" s="219">
        <f t="shared" si="37"/>
        <v>44857678.399999999</v>
      </c>
      <c r="F96" s="219">
        <f t="shared" si="37"/>
        <v>10946011.333333334</v>
      </c>
      <c r="G96" s="219">
        <f t="shared" si="37"/>
        <v>851.98782532385439</v>
      </c>
      <c r="H96" s="219">
        <f t="shared" si="37"/>
        <v>927.36666666666667</v>
      </c>
      <c r="I96" s="219">
        <f t="shared" si="37"/>
        <v>10000</v>
      </c>
      <c r="J96" s="250">
        <f t="shared" si="37"/>
        <v>19211.491696196583</v>
      </c>
      <c r="L96" s="242">
        <v>2004</v>
      </c>
      <c r="M96" s="219">
        <f t="shared" si="36"/>
        <v>0</v>
      </c>
      <c r="N96" s="219">
        <f t="shared" si="36"/>
        <v>0</v>
      </c>
      <c r="O96" s="219">
        <f t="shared" si="36"/>
        <v>0</v>
      </c>
      <c r="P96" s="219" t="e">
        <f t="shared" si="36"/>
        <v>#DIV/0!</v>
      </c>
      <c r="Q96" s="219">
        <f t="shared" si="36"/>
        <v>0</v>
      </c>
      <c r="R96" s="219">
        <f t="shared" si="36"/>
        <v>0</v>
      </c>
      <c r="S96" s="219">
        <f t="shared" si="36"/>
        <v>0</v>
      </c>
      <c r="T96" s="219">
        <f t="shared" si="36"/>
        <v>0</v>
      </c>
      <c r="U96" s="250">
        <f t="shared" si="36"/>
        <v>0</v>
      </c>
    </row>
    <row r="97" spans="1:21" hidden="1" x14ac:dyDescent="0.2">
      <c r="A97" s="241">
        <v>2005</v>
      </c>
      <c r="B97" s="219">
        <f t="shared" si="33"/>
        <v>10896.364317185555</v>
      </c>
      <c r="C97" s="219">
        <f t="shared" ref="C97:J97" si="38">+C69/C41</f>
        <v>37113.333697433096</v>
      </c>
      <c r="D97" s="219">
        <f t="shared" si="38"/>
        <v>694079.90220517735</v>
      </c>
      <c r="E97" s="219">
        <f t="shared" si="38"/>
        <v>31452416.5</v>
      </c>
      <c r="F97" s="219">
        <f t="shared" si="38"/>
        <v>8935594.8000000007</v>
      </c>
      <c r="G97" s="219">
        <f t="shared" si="38"/>
        <v>874.69428966042767</v>
      </c>
      <c r="H97" s="219">
        <f t="shared" si="38"/>
        <v>1464.3050847457628</v>
      </c>
      <c r="I97" s="219">
        <f t="shared" si="38"/>
        <v>10000</v>
      </c>
      <c r="J97" s="250">
        <f t="shared" si="38"/>
        <v>18886.867624487331</v>
      </c>
      <c r="L97" s="241">
        <v>2005</v>
      </c>
      <c r="M97" s="219">
        <f t="shared" si="36"/>
        <v>0</v>
      </c>
      <c r="N97" s="219">
        <f t="shared" si="36"/>
        <v>0</v>
      </c>
      <c r="O97" s="219">
        <f t="shared" si="36"/>
        <v>0</v>
      </c>
      <c r="P97" s="219">
        <f t="shared" si="36"/>
        <v>0</v>
      </c>
      <c r="Q97" s="219">
        <f t="shared" si="36"/>
        <v>0</v>
      </c>
      <c r="R97" s="219">
        <f t="shared" si="36"/>
        <v>0</v>
      </c>
      <c r="S97" s="219">
        <f t="shared" si="36"/>
        <v>0</v>
      </c>
      <c r="T97" s="219">
        <f t="shared" si="36"/>
        <v>0</v>
      </c>
      <c r="U97" s="250">
        <f t="shared" si="36"/>
        <v>0</v>
      </c>
    </row>
    <row r="98" spans="1:21" hidden="1" x14ac:dyDescent="0.2">
      <c r="A98" s="242">
        <v>2006</v>
      </c>
      <c r="B98" s="219">
        <f t="shared" si="33"/>
        <v>10264.340456436101</v>
      </c>
      <c r="C98" s="219">
        <f t="shared" ref="C98:J98" si="39">+C70/C42</f>
        <v>35865.731854030208</v>
      </c>
      <c r="D98" s="219">
        <f t="shared" si="39"/>
        <v>680164.939047619</v>
      </c>
      <c r="E98" s="219">
        <f t="shared" si="39"/>
        <v>29827223</v>
      </c>
      <c r="F98" s="219">
        <f t="shared" si="39"/>
        <v>9472795.7647058815</v>
      </c>
      <c r="G98" s="219">
        <f t="shared" si="39"/>
        <v>867.7430523497369</v>
      </c>
      <c r="H98" s="219">
        <f t="shared" si="39"/>
        <v>1494.5614035087719</v>
      </c>
      <c r="I98" s="219">
        <f t="shared" si="39"/>
        <v>12433.51677852349</v>
      </c>
      <c r="J98" s="250">
        <f t="shared" si="39"/>
        <v>18250.65911536408</v>
      </c>
      <c r="L98" s="242">
        <v>2006</v>
      </c>
      <c r="M98" s="219">
        <f t="shared" si="36"/>
        <v>0</v>
      </c>
      <c r="N98" s="219">
        <f t="shared" si="36"/>
        <v>0</v>
      </c>
      <c r="O98" s="219">
        <f t="shared" si="36"/>
        <v>0</v>
      </c>
      <c r="P98" s="219" t="e">
        <f t="shared" si="36"/>
        <v>#DIV/0!</v>
      </c>
      <c r="Q98" s="219">
        <f t="shared" si="36"/>
        <v>0</v>
      </c>
      <c r="R98" s="219">
        <f t="shared" si="36"/>
        <v>0</v>
      </c>
      <c r="S98" s="219">
        <f t="shared" si="36"/>
        <v>0</v>
      </c>
      <c r="T98" s="219">
        <f t="shared" si="36"/>
        <v>0</v>
      </c>
      <c r="U98" s="250">
        <f t="shared" si="36"/>
        <v>0</v>
      </c>
    </row>
    <row r="99" spans="1:21" hidden="1" x14ac:dyDescent="0.2">
      <c r="A99" s="241">
        <v>2007</v>
      </c>
      <c r="B99" s="219">
        <f t="shared" si="33"/>
        <v>10212.071567357512</v>
      </c>
      <c r="C99" s="219">
        <f t="shared" ref="C99:J99" si="40">+C71/C43</f>
        <v>35301.681515070683</v>
      </c>
      <c r="D99" s="219">
        <f t="shared" si="40"/>
        <v>686701.18546845124</v>
      </c>
      <c r="E99" s="219">
        <f t="shared" si="40"/>
        <v>30905923</v>
      </c>
      <c r="F99" s="219">
        <f t="shared" si="40"/>
        <v>11541110.777777778</v>
      </c>
      <c r="G99" s="219">
        <f t="shared" si="40"/>
        <v>860.29174238730548</v>
      </c>
      <c r="H99" s="219">
        <f t="shared" si="40"/>
        <v>1562.566037735849</v>
      </c>
      <c r="I99" s="219">
        <f t="shared" si="40"/>
        <v>12687.259136212624</v>
      </c>
      <c r="J99" s="250">
        <f t="shared" si="40"/>
        <v>18385.181334490684</v>
      </c>
      <c r="L99" s="241">
        <v>2007</v>
      </c>
      <c r="M99" s="219">
        <f t="shared" si="36"/>
        <v>0</v>
      </c>
      <c r="N99" s="219">
        <f t="shared" si="36"/>
        <v>0</v>
      </c>
      <c r="O99" s="219">
        <f t="shared" si="36"/>
        <v>0</v>
      </c>
      <c r="P99" s="219" t="e">
        <f t="shared" si="36"/>
        <v>#DIV/0!</v>
      </c>
      <c r="Q99" s="219">
        <f t="shared" si="36"/>
        <v>0</v>
      </c>
      <c r="R99" s="219">
        <f t="shared" si="36"/>
        <v>0</v>
      </c>
      <c r="S99" s="219">
        <f t="shared" si="36"/>
        <v>0</v>
      </c>
      <c r="T99" s="219">
        <f t="shared" si="36"/>
        <v>0</v>
      </c>
      <c r="U99" s="250">
        <f t="shared" si="36"/>
        <v>0</v>
      </c>
    </row>
    <row r="100" spans="1:21" hidden="1" x14ac:dyDescent="0.2">
      <c r="A100" s="242">
        <v>2008</v>
      </c>
      <c r="B100" s="219">
        <f t="shared" si="33"/>
        <v>10003.056919725866</v>
      </c>
      <c r="C100" s="219">
        <f t="shared" ref="C100:J100" si="41">+C72/C44</f>
        <v>34761.570317648606</v>
      </c>
      <c r="D100" s="219">
        <f t="shared" si="41"/>
        <v>660978.72539831302</v>
      </c>
      <c r="E100" s="219">
        <f t="shared" si="41"/>
        <v>18584408.399999999</v>
      </c>
      <c r="F100" s="219">
        <f t="shared" si="41"/>
        <v>11381474.666666666</v>
      </c>
      <c r="G100" s="219">
        <f t="shared" si="41"/>
        <v>836.88336273286586</v>
      </c>
      <c r="H100" s="219">
        <f t="shared" si="41"/>
        <v>1508.9615384615386</v>
      </c>
      <c r="I100" s="219">
        <f t="shared" si="41"/>
        <v>11205.558139534884</v>
      </c>
      <c r="J100" s="250">
        <f t="shared" si="41"/>
        <v>17637.699516137945</v>
      </c>
      <c r="L100" s="242">
        <v>2008</v>
      </c>
      <c r="M100" s="219">
        <f t="shared" si="36"/>
        <v>0</v>
      </c>
      <c r="N100" s="219">
        <f t="shared" si="36"/>
        <v>0</v>
      </c>
      <c r="O100" s="219">
        <f t="shared" si="36"/>
        <v>0</v>
      </c>
      <c r="P100" s="219">
        <f t="shared" si="36"/>
        <v>0</v>
      </c>
      <c r="Q100" s="219" t="e">
        <f t="shared" si="36"/>
        <v>#DIV/0!</v>
      </c>
      <c r="R100" s="219">
        <f t="shared" si="36"/>
        <v>0</v>
      </c>
      <c r="S100" s="219">
        <f t="shared" si="36"/>
        <v>0</v>
      </c>
      <c r="T100" s="219" t="e">
        <f t="shared" si="36"/>
        <v>#DIV/0!</v>
      </c>
      <c r="U100" s="250">
        <f t="shared" si="36"/>
        <v>0</v>
      </c>
    </row>
    <row r="101" spans="1:21" hidden="1" x14ac:dyDescent="0.2">
      <c r="A101" s="241">
        <v>2009</v>
      </c>
      <c r="B101" s="219">
        <f t="shared" si="33"/>
        <v>9830.9504542828636</v>
      </c>
      <c r="C101" s="219">
        <f t="shared" ref="C101:J101" si="42">+C73/C45</f>
        <v>33169.97149889882</v>
      </c>
      <c r="D101" s="219">
        <f t="shared" si="42"/>
        <v>666255.81142857147</v>
      </c>
      <c r="E101" s="219">
        <f t="shared" si="42"/>
        <v>18290144.5</v>
      </c>
      <c r="F101" s="219">
        <f t="shared" si="42"/>
        <v>9182904.1052631587</v>
      </c>
      <c r="G101" s="219">
        <f t="shared" si="42"/>
        <v>864.56724006440129</v>
      </c>
      <c r="H101" s="219">
        <f t="shared" si="42"/>
        <v>1415.0769230769231</v>
      </c>
      <c r="I101" s="219">
        <f t="shared" si="42"/>
        <v>9340.3471074380159</v>
      </c>
      <c r="J101" s="250">
        <f t="shared" si="42"/>
        <v>16882.867203093814</v>
      </c>
      <c r="L101" s="241">
        <v>2009</v>
      </c>
      <c r="M101" s="219">
        <f t="shared" si="36"/>
        <v>0</v>
      </c>
      <c r="N101" s="219">
        <f t="shared" si="36"/>
        <v>0</v>
      </c>
      <c r="O101" s="219">
        <f t="shared" si="36"/>
        <v>0</v>
      </c>
      <c r="P101" s="219">
        <f t="shared" si="36"/>
        <v>0</v>
      </c>
      <c r="Q101" s="219">
        <f t="shared" si="36"/>
        <v>0</v>
      </c>
      <c r="R101" s="219">
        <f t="shared" si="36"/>
        <v>0</v>
      </c>
      <c r="S101" s="219" t="e">
        <f t="shared" si="36"/>
        <v>#DIV/0!</v>
      </c>
      <c r="T101" s="219">
        <f t="shared" si="36"/>
        <v>0</v>
      </c>
      <c r="U101" s="250">
        <f t="shared" si="36"/>
        <v>0</v>
      </c>
    </row>
    <row r="102" spans="1:21" hidden="1" x14ac:dyDescent="0.2">
      <c r="A102" s="242">
        <v>2010</v>
      </c>
      <c r="B102" s="219">
        <f t="shared" si="33"/>
        <v>9912.6258196593535</v>
      </c>
      <c r="C102" s="219">
        <f t="shared" ref="C102:J102" si="43">+C74/C46</f>
        <v>33413.617459913461</v>
      </c>
      <c r="D102" s="219">
        <f t="shared" si="43"/>
        <v>693139.94926829264</v>
      </c>
      <c r="E102" s="219">
        <f t="shared" si="43"/>
        <v>33402763</v>
      </c>
      <c r="F102" s="219">
        <f t="shared" si="43"/>
        <v>8078314.0999999996</v>
      </c>
      <c r="G102" s="219">
        <f t="shared" si="43"/>
        <v>869.31799424784299</v>
      </c>
      <c r="H102" s="219">
        <f t="shared" si="43"/>
        <v>1432.48</v>
      </c>
      <c r="I102" s="219">
        <f t="shared" si="43"/>
        <v>9238.1761827079936</v>
      </c>
      <c r="J102" s="250">
        <f t="shared" si="43"/>
        <v>16811.083967701175</v>
      </c>
      <c r="L102" s="242">
        <v>2010</v>
      </c>
      <c r="M102" s="219">
        <f t="shared" si="36"/>
        <v>0</v>
      </c>
      <c r="N102" s="219">
        <f t="shared" si="36"/>
        <v>0</v>
      </c>
      <c r="O102" s="219">
        <f t="shared" si="36"/>
        <v>0</v>
      </c>
      <c r="P102" s="219">
        <f t="shared" si="36"/>
        <v>0</v>
      </c>
      <c r="Q102" s="219">
        <f t="shared" si="36"/>
        <v>0</v>
      </c>
      <c r="R102" s="219">
        <f t="shared" si="36"/>
        <v>0</v>
      </c>
      <c r="S102" s="219">
        <f t="shared" si="36"/>
        <v>0</v>
      </c>
      <c r="T102" s="219">
        <f t="shared" si="36"/>
        <v>0</v>
      </c>
      <c r="U102" s="250">
        <f t="shared" si="36"/>
        <v>0</v>
      </c>
    </row>
    <row r="103" spans="1:21" hidden="1" x14ac:dyDescent="0.2">
      <c r="A103" s="242">
        <v>2011</v>
      </c>
      <c r="B103" s="219">
        <f t="shared" si="33"/>
        <v>9960.4736230871222</v>
      </c>
      <c r="C103" s="219">
        <f t="shared" ref="C103:J103" si="44">+C75/C47</f>
        <v>34896.715442972869</v>
      </c>
      <c r="D103" s="219">
        <f t="shared" si="44"/>
        <v>690748.07877041306</v>
      </c>
      <c r="E103" s="219">
        <f t="shared" si="44"/>
        <v>37740699</v>
      </c>
      <c r="F103" s="219">
        <f t="shared" si="44"/>
        <v>7990801.5999999996</v>
      </c>
      <c r="G103" s="219">
        <f t="shared" si="44"/>
        <v>845.43533292104723</v>
      </c>
      <c r="H103" s="219">
        <f t="shared" si="44"/>
        <v>1492.1666666666667</v>
      </c>
      <c r="I103" s="219">
        <f t="shared" si="44"/>
        <v>9153.8115702479336</v>
      </c>
      <c r="J103" s="250">
        <f t="shared" si="44"/>
        <v>16948.146830574824</v>
      </c>
      <c r="L103" s="242">
        <v>2011</v>
      </c>
      <c r="M103" s="219">
        <f t="shared" si="36"/>
        <v>0</v>
      </c>
      <c r="N103" s="219">
        <f t="shared" si="36"/>
        <v>0</v>
      </c>
      <c r="O103" s="219">
        <f t="shared" si="36"/>
        <v>0</v>
      </c>
      <c r="P103" s="219" t="e">
        <f t="shared" si="36"/>
        <v>#DIV/0!</v>
      </c>
      <c r="Q103" s="219" t="e">
        <f t="shared" si="36"/>
        <v>#DIV/0!</v>
      </c>
      <c r="R103" s="219">
        <f t="shared" si="36"/>
        <v>0</v>
      </c>
      <c r="S103" s="219">
        <f t="shared" si="36"/>
        <v>0</v>
      </c>
      <c r="T103" s="219">
        <f t="shared" si="36"/>
        <v>0</v>
      </c>
      <c r="U103" s="250">
        <f t="shared" si="36"/>
        <v>0</v>
      </c>
    </row>
    <row r="104" spans="1:21" hidden="1" x14ac:dyDescent="0.2">
      <c r="A104" s="242">
        <v>2012</v>
      </c>
      <c r="B104" s="219">
        <f t="shared" si="33"/>
        <v>9654.8105505803633</v>
      </c>
      <c r="C104" s="219">
        <f t="shared" ref="C104:J104" si="45">+C76/C48</f>
        <v>34174.990520711595</v>
      </c>
      <c r="D104" s="219">
        <f t="shared" si="45"/>
        <v>661471.17693059624</v>
      </c>
      <c r="E104" s="219">
        <f t="shared" si="45"/>
        <v>40812737</v>
      </c>
      <c r="F104" s="219">
        <f t="shared" si="45"/>
        <v>7316965.4285714282</v>
      </c>
      <c r="G104" s="219">
        <f t="shared" si="45"/>
        <v>830.23892573487262</v>
      </c>
      <c r="H104" s="219">
        <f t="shared" si="45"/>
        <v>1492.1666666666667</v>
      </c>
      <c r="I104" s="219">
        <f t="shared" si="45"/>
        <v>9291.7123519458546</v>
      </c>
      <c r="J104" s="250">
        <f t="shared" si="45"/>
        <v>16287.46751710225</v>
      </c>
      <c r="L104" s="242">
        <v>2012</v>
      </c>
      <c r="M104" s="219">
        <f t="shared" si="36"/>
        <v>0</v>
      </c>
      <c r="N104" s="219">
        <f t="shared" si="36"/>
        <v>0</v>
      </c>
      <c r="O104" s="219">
        <f t="shared" si="36"/>
        <v>0</v>
      </c>
      <c r="P104" s="219" t="e">
        <f t="shared" si="36"/>
        <v>#DIV/0!</v>
      </c>
      <c r="Q104" s="219">
        <f t="shared" si="36"/>
        <v>0</v>
      </c>
      <c r="R104" s="219">
        <f t="shared" si="36"/>
        <v>0</v>
      </c>
      <c r="S104" s="219" t="e">
        <f t="shared" si="36"/>
        <v>#DIV/0!</v>
      </c>
      <c r="T104" s="219">
        <f t="shared" si="36"/>
        <v>0</v>
      </c>
      <c r="U104" s="250">
        <f t="shared" si="36"/>
        <v>0</v>
      </c>
    </row>
    <row r="105" spans="1:21" hidden="1" x14ac:dyDescent="0.2">
      <c r="A105" s="242">
        <v>2013</v>
      </c>
      <c r="B105" s="219">
        <f t="shared" si="33"/>
        <v>9598.5630705226595</v>
      </c>
      <c r="C105" s="219">
        <f t="shared" ref="C105:J106" si="46">+C77/C49</f>
        <v>33905.014214368035</v>
      </c>
      <c r="D105" s="219">
        <f t="shared" si="46"/>
        <v>674247.33600000001</v>
      </c>
      <c r="E105" s="219">
        <f t="shared" si="46"/>
        <v>42326219</v>
      </c>
      <c r="F105" s="219">
        <f t="shared" si="46"/>
        <v>7197839.3636363633</v>
      </c>
      <c r="G105" s="219">
        <f t="shared" si="46"/>
        <v>736.45116561929865</v>
      </c>
      <c r="H105" s="219">
        <f t="shared" si="46"/>
        <v>1492.1666666666667</v>
      </c>
      <c r="I105" s="219">
        <f t="shared" si="46"/>
        <v>9330.2237288135602</v>
      </c>
      <c r="J105" s="250">
        <f t="shared" si="46"/>
        <v>16192.496831070528</v>
      </c>
      <c r="L105" s="242">
        <v>2013</v>
      </c>
      <c r="M105" s="219">
        <f t="shared" si="36"/>
        <v>0</v>
      </c>
      <c r="N105" s="219">
        <f t="shared" si="36"/>
        <v>0</v>
      </c>
      <c r="O105" s="219">
        <f t="shared" si="36"/>
        <v>0</v>
      </c>
      <c r="P105" s="219" t="e">
        <f t="shared" si="36"/>
        <v>#DIV/0!</v>
      </c>
      <c r="Q105" s="219">
        <f t="shared" si="36"/>
        <v>0</v>
      </c>
      <c r="R105" s="219">
        <f t="shared" si="36"/>
        <v>0</v>
      </c>
      <c r="S105" s="219" t="e">
        <f t="shared" si="36"/>
        <v>#DIV/0!</v>
      </c>
      <c r="T105" s="219">
        <f t="shared" si="36"/>
        <v>0</v>
      </c>
      <c r="U105" s="250">
        <f t="shared" si="36"/>
        <v>0</v>
      </c>
    </row>
    <row r="106" spans="1:21" hidden="1" x14ac:dyDescent="0.2">
      <c r="A106" s="242">
        <v>2014</v>
      </c>
      <c r="B106" s="219">
        <f t="shared" si="33"/>
        <v>9670.9029829191768</v>
      </c>
      <c r="C106" s="219">
        <f t="shared" si="46"/>
        <v>33834.049841872235</v>
      </c>
      <c r="D106" s="219">
        <f t="shared" si="46"/>
        <v>669464.90348258708</v>
      </c>
      <c r="E106" s="219">
        <f t="shared" si="46"/>
        <v>42700435</v>
      </c>
      <c r="F106" s="219">
        <f t="shared" si="46"/>
        <v>7400031.4545454541</v>
      </c>
      <c r="G106" s="219">
        <f t="shared" si="46"/>
        <v>734.55613943599826</v>
      </c>
      <c r="H106" s="219">
        <f t="shared" si="46"/>
        <v>1492.1666666666667</v>
      </c>
      <c r="I106" s="219">
        <f t="shared" si="46"/>
        <v>9175.0219966159057</v>
      </c>
      <c r="J106" s="250">
        <f t="shared" si="46"/>
        <v>16183.628573758218</v>
      </c>
      <c r="L106" s="242">
        <v>2014</v>
      </c>
      <c r="M106" s="219">
        <f t="shared" si="36"/>
        <v>0</v>
      </c>
      <c r="N106" s="219">
        <f t="shared" si="36"/>
        <v>0</v>
      </c>
      <c r="O106" s="219">
        <f t="shared" si="36"/>
        <v>0</v>
      </c>
      <c r="P106" s="219" t="e">
        <f t="shared" si="36"/>
        <v>#DIV/0!</v>
      </c>
      <c r="Q106" s="219" t="e">
        <f t="shared" si="36"/>
        <v>#DIV/0!</v>
      </c>
      <c r="R106" s="219">
        <f t="shared" si="36"/>
        <v>0</v>
      </c>
      <c r="S106" s="219" t="e">
        <f t="shared" si="36"/>
        <v>#DIV/0!</v>
      </c>
      <c r="T106" s="219">
        <f t="shared" si="36"/>
        <v>0</v>
      </c>
      <c r="U106" s="250">
        <f t="shared" si="36"/>
        <v>0</v>
      </c>
    </row>
    <row r="107" spans="1:21" x14ac:dyDescent="0.2">
      <c r="A107" s="242">
        <v>2015</v>
      </c>
      <c r="B107" s="368">
        <f t="shared" si="33"/>
        <v>9367.6330971115785</v>
      </c>
      <c r="C107" s="368">
        <f t="shared" ref="C107:I107" si="47">+C79/C51</f>
        <v>32823.788950962138</v>
      </c>
      <c r="D107" s="368">
        <f t="shared" si="47"/>
        <v>655557.16420845629</v>
      </c>
      <c r="E107" s="368">
        <f t="shared" si="47"/>
        <v>41948976</v>
      </c>
      <c r="F107" s="368">
        <f t="shared" si="47"/>
        <v>6769517.25</v>
      </c>
      <c r="G107" s="368">
        <f t="shared" si="47"/>
        <v>731.69443133553568</v>
      </c>
      <c r="H107" s="368">
        <f t="shared" si="47"/>
        <v>1492.2083333333333</v>
      </c>
      <c r="I107" s="368">
        <f t="shared" si="47"/>
        <v>8830.3339191564155</v>
      </c>
      <c r="J107" s="343">
        <f>'Rate Class Energy Model'!P78/'Rate Class Customer Model'!J15</f>
        <v>15711.548643850765</v>
      </c>
      <c r="L107" s="242">
        <v>2015</v>
      </c>
      <c r="M107" s="368">
        <f>+'[3]Chart II'!B95-B107</f>
        <v>211.33988294280061</v>
      </c>
      <c r="N107" s="368">
        <f>+'[3]Chart II'!C95-C107</f>
        <v>671.608409936307</v>
      </c>
      <c r="O107" s="368">
        <f>+'[3]Chart II'!D95-D107</f>
        <v>9744.2339515641797</v>
      </c>
      <c r="P107" s="368">
        <f>+'[3]Chart II'!E95-E107</f>
        <v>690610.09644605219</v>
      </c>
      <c r="Q107" s="368">
        <f>+'[3]Chart II'!F95-F107</f>
        <v>598853.76857337076</v>
      </c>
      <c r="R107" s="368">
        <f>+'[3]Chart II'!G95-G107</f>
        <v>-56.717641193199597</v>
      </c>
      <c r="S107" s="368">
        <f>+'[3]Chart II'!H95-H107</f>
        <v>-15.226374437388358</v>
      </c>
      <c r="T107" s="368">
        <f>+'[3]Chart II'!I95-I107</f>
        <v>251.32047253920064</v>
      </c>
      <c r="U107" s="343">
        <f>+'[3]Chart II'!J95-J107</f>
        <v>393.56376505337175</v>
      </c>
    </row>
    <row r="108" spans="1:21" x14ac:dyDescent="0.2">
      <c r="A108" s="242">
        <v>2016</v>
      </c>
      <c r="B108" s="368">
        <f t="shared" si="33"/>
        <v>9161.5687038280721</v>
      </c>
      <c r="C108" s="368">
        <f t="shared" ref="C108:I108" si="48">+C80/C52</f>
        <v>31626.831225680933</v>
      </c>
      <c r="D108" s="368">
        <f t="shared" si="48"/>
        <v>639241.43078412395</v>
      </c>
      <c r="E108" s="368">
        <f t="shared" si="48"/>
        <v>41438246</v>
      </c>
      <c r="F108" s="368">
        <f t="shared" si="48"/>
        <v>6407365</v>
      </c>
      <c r="G108" s="368">
        <f t="shared" si="48"/>
        <v>732.44460737024895</v>
      </c>
      <c r="H108" s="368">
        <f t="shared" si="48"/>
        <v>1492.25</v>
      </c>
      <c r="I108" s="368">
        <f t="shared" si="48"/>
        <v>9142.8957952468008</v>
      </c>
      <c r="J108" s="343">
        <f>'Rate Class Energy Model'!P79/'Rate Class Customer Model'!J16</f>
        <v>15346.315586502411</v>
      </c>
      <c r="L108" s="242">
        <v>2016</v>
      </c>
      <c r="M108" s="368">
        <f>+'[3]Chart II'!B96-B108</f>
        <v>335.16844767358452</v>
      </c>
      <c r="N108" s="368">
        <f>+'[3]Chart II'!C96-C108</f>
        <v>1568.1772285565057</v>
      </c>
      <c r="O108" s="368">
        <f>+'[3]Chart II'!D96-D108</f>
        <v>22731.262081541005</v>
      </c>
      <c r="P108" s="368">
        <f>+'[3]Chart II'!E96-E108</f>
        <v>1222360.4452260062</v>
      </c>
      <c r="Q108" s="368">
        <f>+'[3]Chart II'!F96-F108</f>
        <v>935976.80165835749</v>
      </c>
      <c r="R108" s="368">
        <f>+'[3]Chart II'!G96-G108</f>
        <v>-328.29149442647707</v>
      </c>
      <c r="S108" s="368">
        <f>+'[3]Chart II'!H96-H108</f>
        <v>-27.490206363622747</v>
      </c>
      <c r="T108" s="368">
        <f>+'[3]Chart II'!I96-I108</f>
        <v>-136.39295170452351</v>
      </c>
      <c r="U108" s="343">
        <f>+'[3]Chart II'!J96-J108</f>
        <v>664.74319738571467</v>
      </c>
    </row>
    <row r="109" spans="1:21" x14ac:dyDescent="0.2">
      <c r="A109" s="242" t="s">
        <v>340</v>
      </c>
      <c r="B109" s="368">
        <f t="shared" si="33"/>
        <v>9103.8658157062509</v>
      </c>
      <c r="C109" s="368">
        <f t="shared" ref="C109:I109" si="49">+C81/C53</f>
        <v>31378.208674337333</v>
      </c>
      <c r="D109" s="368">
        <f t="shared" si="49"/>
        <v>637269.95615150488</v>
      </c>
      <c r="E109" s="368">
        <f t="shared" si="49"/>
        <v>40749633.793613337</v>
      </c>
      <c r="F109" s="368">
        <f t="shared" si="49"/>
        <v>6074256.5238788528</v>
      </c>
      <c r="G109" s="368">
        <f t="shared" si="49"/>
        <v>544.90736654552154</v>
      </c>
      <c r="H109" s="368">
        <f t="shared" si="49"/>
        <v>1485.5800536223658</v>
      </c>
      <c r="I109" s="368">
        <f t="shared" si="49"/>
        <v>9423.9453460552068</v>
      </c>
      <c r="J109" s="343">
        <f>'Rate Class Energy Model'!P80/'Rate Class Customer Model'!J17</f>
        <v>15163.00960145615</v>
      </c>
      <c r="L109" s="242" t="s">
        <v>340</v>
      </c>
      <c r="M109" s="368">
        <f>+'[3]Chart II'!B97-B109</f>
        <v>269.98153254081262</v>
      </c>
      <c r="N109" s="368">
        <f>+'[3]Chart II'!C97-C109</f>
        <v>1377.4181662089031</v>
      </c>
      <c r="O109" s="368">
        <f>+'[3]Chart II'!D97-D109</f>
        <v>18844.396470040665</v>
      </c>
      <c r="P109" s="368">
        <f>+'[3]Chart II'!E97-E109</f>
        <v>2002860.6027468592</v>
      </c>
      <c r="Q109" s="368">
        <f>+'[3]Chart II'!F97-F109</f>
        <v>1216880.7085122764</v>
      </c>
      <c r="R109" s="368">
        <f>+'[3]Chart II'!G97-G109</f>
        <v>-177.62929682752241</v>
      </c>
      <c r="S109" s="368">
        <f>+'[3]Chart II'!H97-H109</f>
        <v>-30.529710570246834</v>
      </c>
      <c r="T109" s="368">
        <f>+'[3]Chart II'!I97-I109</f>
        <v>-477.14389155724348</v>
      </c>
      <c r="U109" s="343">
        <f>+'[3]Chart II'!J97-J109</f>
        <v>667.2323365051634</v>
      </c>
    </row>
    <row r="110" spans="1:21" x14ac:dyDescent="0.2">
      <c r="A110" s="242" t="s">
        <v>231</v>
      </c>
      <c r="B110" s="368">
        <f t="shared" si="33"/>
        <v>8920.0253117181583</v>
      </c>
      <c r="C110" s="368">
        <f t="shared" ref="C110:I110" si="50">+C82/C54</f>
        <v>30699.024924386813</v>
      </c>
      <c r="D110" s="368">
        <f t="shared" si="50"/>
        <v>626845.30678397347</v>
      </c>
      <c r="E110" s="368">
        <f t="shared" si="50"/>
        <v>39807306.868036307</v>
      </c>
      <c r="F110" s="368">
        <f t="shared" si="50"/>
        <v>5684722.1477565067</v>
      </c>
      <c r="G110" s="368">
        <f t="shared" si="50"/>
        <v>364.63467820267368</v>
      </c>
      <c r="H110" s="368">
        <f t="shared" si="50"/>
        <v>1469.153832379086</v>
      </c>
      <c r="I110" s="368">
        <f t="shared" si="50"/>
        <v>9649.3595272566781</v>
      </c>
      <c r="J110" s="343">
        <f>'Rate Class Energy Model'!P81/'Rate Class Customer Model'!J18</f>
        <v>14881.643582406738</v>
      </c>
      <c r="L110" s="242" t="s">
        <v>231</v>
      </c>
      <c r="M110" s="368">
        <f>+'[3]Chart II'!B98-B110</f>
        <v>309.24387748657136</v>
      </c>
      <c r="N110" s="368">
        <f>+'[3]Chart II'!C98-C110</f>
        <v>1546.7677321312585</v>
      </c>
      <c r="O110" s="368">
        <f>+'[3]Chart II'!D98-D110</f>
        <v>22017.807113488787</v>
      </c>
      <c r="P110" s="368">
        <f>+'[3]Chart II'!E98-E110</f>
        <v>2911689.9669948369</v>
      </c>
      <c r="Q110" s="368">
        <f>+'[3]Chart II'!F98-F110</f>
        <v>1552223.7993848119</v>
      </c>
      <c r="R110" s="368">
        <f>+'[3]Chart II'!G98-G110</f>
        <v>2.6433915153253906</v>
      </c>
      <c r="S110" s="368">
        <f>+'[3]Chart II'!H98-H110</f>
        <v>-27.985263024676442</v>
      </c>
      <c r="T110" s="368">
        <f>+'[3]Chart II'!I98-I110</f>
        <v>-787.91420748128439</v>
      </c>
      <c r="U110" s="343">
        <f>+'[3]Chart II'!J98-J110</f>
        <v>768.07617200903405</v>
      </c>
    </row>
    <row r="111" spans="1:21" ht="13.5" thickBot="1" x14ac:dyDescent="0.25">
      <c r="A111" s="243" t="s">
        <v>232</v>
      </c>
      <c r="B111" s="369">
        <f t="shared" si="33"/>
        <v>8735.5825782938191</v>
      </c>
      <c r="C111" s="369">
        <f t="shared" ref="C111:I111" si="51">+C83/C55</f>
        <v>30023.715531540034</v>
      </c>
      <c r="D111" s="369">
        <f t="shared" si="51"/>
        <v>616495.04102530866</v>
      </c>
      <c r="E111" s="369">
        <f t="shared" si="51"/>
        <v>38875445.657878414</v>
      </c>
      <c r="F111" s="369">
        <f t="shared" si="51"/>
        <v>5327046.8590182895</v>
      </c>
      <c r="G111" s="369">
        <f t="shared" si="51"/>
        <v>372.51083542618488</v>
      </c>
      <c r="H111" s="369">
        <f t="shared" si="51"/>
        <v>1452.4860916916489</v>
      </c>
      <c r="I111" s="369">
        <f t="shared" si="51"/>
        <v>9877.2879539706591</v>
      </c>
      <c r="J111" s="349">
        <f>'Rate Class Energy Model'!P82/'Rate Class Customer Model'!J19</f>
        <v>14605.104480363407</v>
      </c>
      <c r="L111" s="243" t="s">
        <v>232</v>
      </c>
      <c r="M111" s="369">
        <f>+'[3]Chart II'!B99-B111</f>
        <v>360.78866311957245</v>
      </c>
      <c r="N111" s="369">
        <f>+'[3]Chart II'!C99-C111</f>
        <v>1760.4557338214254</v>
      </c>
      <c r="O111" s="369">
        <f>+'[3]Chart II'!D99-D111</f>
        <v>25965.464172877604</v>
      </c>
      <c r="P111" s="369">
        <f>+'[3]Chart II'!E99-E111</f>
        <v>3656696.3833361417</v>
      </c>
      <c r="Q111" s="369">
        <f>+'[3]Chart II'!F99-F111</f>
        <v>1847657.6140903002</v>
      </c>
      <c r="R111" s="369">
        <f>+'[3]Chart II'!G99-G111</f>
        <v>-5.2327657081857524</v>
      </c>
      <c r="S111" s="369">
        <f>+'[3]Chart II'!H99-H111</f>
        <v>-30.196056611141103</v>
      </c>
      <c r="T111" s="369">
        <f>+'[3]Chart II'!I99-I111</f>
        <v>-1131.9228088139971</v>
      </c>
      <c r="U111" s="349">
        <f>+'[3]Chart II'!J99-J111</f>
        <v>923.57890695577407</v>
      </c>
    </row>
    <row r="113" spans="1:10" ht="13.5" thickBot="1" x14ac:dyDescent="0.25"/>
    <row r="114" spans="1:10" ht="24.75" thickBot="1" x14ac:dyDescent="0.25">
      <c r="A114" s="224" t="s">
        <v>112</v>
      </c>
      <c r="B114" s="217" t="s">
        <v>71</v>
      </c>
      <c r="C114" s="217" t="s">
        <v>235</v>
      </c>
      <c r="D114" s="217" t="s">
        <v>234</v>
      </c>
      <c r="E114" s="217" t="s">
        <v>74</v>
      </c>
      <c r="F114" s="217" t="s">
        <v>236</v>
      </c>
      <c r="G114" s="217" t="s">
        <v>237</v>
      </c>
      <c r="H114" s="217" t="s">
        <v>238</v>
      </c>
      <c r="I114" s="217" t="s">
        <v>76</v>
      </c>
      <c r="J114" s="218" t="s">
        <v>9</v>
      </c>
    </row>
    <row r="115" spans="1:10" x14ac:dyDescent="0.2">
      <c r="A115" s="244" t="s">
        <v>258</v>
      </c>
      <c r="B115" s="245"/>
      <c r="C115" s="245"/>
      <c r="D115" s="245"/>
      <c r="E115" s="245"/>
      <c r="F115" s="245"/>
      <c r="G115" s="245"/>
      <c r="H115" s="245"/>
      <c r="I115" s="245"/>
      <c r="J115" s="246"/>
    </row>
    <row r="116" spans="1:10" x14ac:dyDescent="0.2">
      <c r="A116" s="247" t="s">
        <v>114</v>
      </c>
      <c r="B116" s="222">
        <f>+B89</f>
        <v>10312.478017907415</v>
      </c>
      <c r="C116" s="222">
        <f t="shared" ref="C116:J116" si="52">+C89</f>
        <v>36436.199739921976</v>
      </c>
      <c r="D116" s="222">
        <f t="shared" si="52"/>
        <v>687468.15134099615</v>
      </c>
      <c r="E116" s="222">
        <f t="shared" si="52"/>
        <v>30069991</v>
      </c>
      <c r="F116" s="222">
        <f t="shared" si="52"/>
        <v>8995177.8888888881</v>
      </c>
      <c r="G116" s="222">
        <f t="shared" si="52"/>
        <v>864.62257510729614</v>
      </c>
      <c r="H116" s="222">
        <f t="shared" si="52"/>
        <v>530.03896103896102</v>
      </c>
      <c r="I116" s="222">
        <f t="shared" si="52"/>
        <v>12596.537704918033</v>
      </c>
      <c r="J116" s="229">
        <f t="shared" si="52"/>
        <v>17928.45828162066</v>
      </c>
    </row>
    <row r="117" spans="1:10" x14ac:dyDescent="0.2">
      <c r="A117" s="247" t="s">
        <v>226</v>
      </c>
      <c r="B117" s="222">
        <f>+B90</f>
        <v>9944.9139784448562</v>
      </c>
      <c r="C117" s="222">
        <f t="shared" ref="C117:J117" si="53">+C90</f>
        <v>33405.607674829589</v>
      </c>
      <c r="D117" s="222">
        <f t="shared" si="53"/>
        <v>693751.11969111965</v>
      </c>
      <c r="E117" s="222">
        <f t="shared" si="53"/>
        <v>33402763</v>
      </c>
      <c r="F117" s="222">
        <f t="shared" si="53"/>
        <v>7817530.5999999996</v>
      </c>
      <c r="G117" s="222">
        <f t="shared" si="53"/>
        <v>865.45077050694306</v>
      </c>
      <c r="H117" s="222">
        <f t="shared" si="53"/>
        <v>1728.868207968671</v>
      </c>
      <c r="I117" s="222">
        <f t="shared" si="53"/>
        <v>10248.202720726738</v>
      </c>
      <c r="J117" s="229">
        <f t="shared" si="53"/>
        <v>16501.989395957142</v>
      </c>
    </row>
    <row r="118" spans="1:10" x14ac:dyDescent="0.2">
      <c r="A118" s="247" t="s">
        <v>337</v>
      </c>
      <c r="B118" s="222">
        <f t="shared" ref="B118:J118" si="54">+B91</f>
        <v>9578.9729800543791</v>
      </c>
      <c r="C118" s="222">
        <f t="shared" si="54"/>
        <v>33495.397360898445</v>
      </c>
      <c r="D118" s="222">
        <f t="shared" si="54"/>
        <v>665301.39816002047</v>
      </c>
      <c r="E118" s="222">
        <f t="shared" si="54"/>
        <v>42639586.096446052</v>
      </c>
      <c r="F118" s="222">
        <f t="shared" si="54"/>
        <v>7368371.0185733708</v>
      </c>
      <c r="G118" s="222">
        <f t="shared" si="54"/>
        <v>674.97679014233609</v>
      </c>
      <c r="H118" s="222">
        <f t="shared" si="54"/>
        <v>1476.9819588959449</v>
      </c>
      <c r="I118" s="222">
        <f t="shared" si="54"/>
        <v>9081.6543916956161</v>
      </c>
      <c r="J118" s="229">
        <f t="shared" si="54"/>
        <v>16081.473861568411</v>
      </c>
    </row>
    <row r="119" spans="1:10" x14ac:dyDescent="0.2">
      <c r="A119" s="247" t="s">
        <v>338</v>
      </c>
      <c r="B119" s="222">
        <f t="shared" ref="B119:J119" si="55">+B92</f>
        <v>9496.7371515016566</v>
      </c>
      <c r="C119" s="222">
        <f t="shared" si="55"/>
        <v>33195.008454237439</v>
      </c>
      <c r="D119" s="222">
        <f t="shared" si="55"/>
        <v>661972.69286566495</v>
      </c>
      <c r="E119" s="222">
        <f t="shared" si="55"/>
        <v>42660606.445226006</v>
      </c>
      <c r="F119" s="222">
        <f t="shared" si="55"/>
        <v>7343341.8016583575</v>
      </c>
      <c r="G119" s="222">
        <f t="shared" si="55"/>
        <v>404.15311294377187</v>
      </c>
      <c r="H119" s="222">
        <f t="shared" si="55"/>
        <v>1464.7597936363773</v>
      </c>
      <c r="I119" s="222">
        <f t="shared" si="55"/>
        <v>9006.5028435422773</v>
      </c>
      <c r="J119" s="229">
        <f t="shared" si="55"/>
        <v>15882.67427485354</v>
      </c>
    </row>
    <row r="120" spans="1:10" x14ac:dyDescent="0.2">
      <c r="A120" s="247" t="s">
        <v>339</v>
      </c>
      <c r="B120" s="222">
        <f t="shared" ref="B120:J120" si="56">+B93</f>
        <v>9373.8473482470636</v>
      </c>
      <c r="C120" s="222">
        <f t="shared" si="56"/>
        <v>32755.626840546236</v>
      </c>
      <c r="D120" s="222">
        <f t="shared" si="56"/>
        <v>656114.35262154555</v>
      </c>
      <c r="E120" s="222">
        <f t="shared" si="56"/>
        <v>42752494.396360196</v>
      </c>
      <c r="F120" s="222">
        <f t="shared" si="56"/>
        <v>7291137.2323911292</v>
      </c>
      <c r="G120" s="222">
        <f t="shared" si="56"/>
        <v>367.27806971799913</v>
      </c>
      <c r="H120" s="222">
        <f t="shared" si="56"/>
        <v>1455.0503430521189</v>
      </c>
      <c r="I120" s="222">
        <f t="shared" si="56"/>
        <v>8946.8014544979633</v>
      </c>
      <c r="J120" s="229">
        <f t="shared" si="56"/>
        <v>15667.245248535512</v>
      </c>
    </row>
    <row r="121" spans="1:10" x14ac:dyDescent="0.2">
      <c r="A121" s="241"/>
      <c r="B121" s="221"/>
      <c r="C121" s="248"/>
      <c r="D121" s="248"/>
      <c r="E121" s="248"/>
      <c r="F121" s="248"/>
      <c r="G121" s="248"/>
      <c r="H121" s="248"/>
      <c r="I121" s="248"/>
      <c r="J121" s="249"/>
    </row>
    <row r="122" spans="1:10" x14ac:dyDescent="0.2">
      <c r="A122" s="242">
        <f t="shared" ref="A122:J122" si="57">+A107</f>
        <v>2015</v>
      </c>
      <c r="B122" s="219">
        <f t="shared" si="57"/>
        <v>9367.6330971115785</v>
      </c>
      <c r="C122" s="219">
        <f t="shared" si="57"/>
        <v>32823.788950962138</v>
      </c>
      <c r="D122" s="219">
        <f t="shared" si="57"/>
        <v>655557.16420845629</v>
      </c>
      <c r="E122" s="219">
        <f t="shared" si="57"/>
        <v>41948976</v>
      </c>
      <c r="F122" s="219">
        <f t="shared" si="57"/>
        <v>6769517.25</v>
      </c>
      <c r="G122" s="219">
        <f t="shared" si="57"/>
        <v>731.69443133553568</v>
      </c>
      <c r="H122" s="219">
        <f t="shared" si="57"/>
        <v>1492.2083333333333</v>
      </c>
      <c r="I122" s="219">
        <f t="shared" si="57"/>
        <v>8830.3339191564155</v>
      </c>
      <c r="J122" s="250">
        <f t="shared" si="57"/>
        <v>15711.548643850765</v>
      </c>
    </row>
    <row r="123" spans="1:10" x14ac:dyDescent="0.2">
      <c r="A123" s="242">
        <f>+A108</f>
        <v>2016</v>
      </c>
      <c r="B123" s="219">
        <f t="shared" ref="B123:J123" si="58">+B108</f>
        <v>9161.5687038280721</v>
      </c>
      <c r="C123" s="219">
        <f t="shared" si="58"/>
        <v>31626.831225680933</v>
      </c>
      <c r="D123" s="219">
        <f t="shared" si="58"/>
        <v>639241.43078412395</v>
      </c>
      <c r="E123" s="219">
        <f t="shared" si="58"/>
        <v>41438246</v>
      </c>
      <c r="F123" s="219">
        <f t="shared" si="58"/>
        <v>6407365</v>
      </c>
      <c r="G123" s="219">
        <f t="shared" si="58"/>
        <v>732.44460737024895</v>
      </c>
      <c r="H123" s="219">
        <f t="shared" si="58"/>
        <v>1492.25</v>
      </c>
      <c r="I123" s="219">
        <f t="shared" si="58"/>
        <v>9142.8957952468008</v>
      </c>
      <c r="J123" s="250">
        <f t="shared" si="58"/>
        <v>15346.315586502411</v>
      </c>
    </row>
    <row r="124" spans="1:10" x14ac:dyDescent="0.2">
      <c r="A124" s="242" t="str">
        <f>+A109</f>
        <v>2017 Bridge Year (YTD Actual)</v>
      </c>
      <c r="B124" s="219">
        <f t="shared" ref="B124:J124" si="59">+B109</f>
        <v>9103.8658157062509</v>
      </c>
      <c r="C124" s="219">
        <f t="shared" si="59"/>
        <v>31378.208674337333</v>
      </c>
      <c r="D124" s="219">
        <f t="shared" si="59"/>
        <v>637269.95615150488</v>
      </c>
      <c r="E124" s="219">
        <f t="shared" si="59"/>
        <v>40749633.793613337</v>
      </c>
      <c r="F124" s="219">
        <f t="shared" si="59"/>
        <v>6074256.5238788528</v>
      </c>
      <c r="G124" s="219">
        <f t="shared" si="59"/>
        <v>544.90736654552154</v>
      </c>
      <c r="H124" s="219">
        <f t="shared" si="59"/>
        <v>1485.5800536223658</v>
      </c>
      <c r="I124" s="219">
        <f t="shared" si="59"/>
        <v>9423.9453460552068</v>
      </c>
      <c r="J124" s="250">
        <f t="shared" si="59"/>
        <v>15163.00960145615</v>
      </c>
    </row>
    <row r="125" spans="1:10" x14ac:dyDescent="0.2">
      <c r="A125" s="242" t="str">
        <f>+A110</f>
        <v>2018 Test Year (Regression)</v>
      </c>
      <c r="B125" s="219">
        <f t="shared" ref="B125:J125" si="60">+B110</f>
        <v>8920.0253117181583</v>
      </c>
      <c r="C125" s="219">
        <f t="shared" si="60"/>
        <v>30699.024924386813</v>
      </c>
      <c r="D125" s="219">
        <f t="shared" si="60"/>
        <v>626845.30678397347</v>
      </c>
      <c r="E125" s="219">
        <f t="shared" si="60"/>
        <v>39807306.868036307</v>
      </c>
      <c r="F125" s="219">
        <f t="shared" si="60"/>
        <v>5684722.1477565067</v>
      </c>
      <c r="G125" s="219">
        <f t="shared" si="60"/>
        <v>364.63467820267368</v>
      </c>
      <c r="H125" s="219">
        <f t="shared" si="60"/>
        <v>1469.153832379086</v>
      </c>
      <c r="I125" s="219">
        <f t="shared" si="60"/>
        <v>9649.3595272566781</v>
      </c>
      <c r="J125" s="250">
        <f t="shared" si="60"/>
        <v>14881.643582406738</v>
      </c>
    </row>
    <row r="126" spans="1:10" ht="13.5" thickBot="1" x14ac:dyDescent="0.25">
      <c r="A126" s="243" t="str">
        <f>+A111</f>
        <v>2019 Test Year (Regression)</v>
      </c>
      <c r="B126" s="232">
        <f t="shared" ref="B126:J126" si="61">+B111</f>
        <v>8735.5825782938191</v>
      </c>
      <c r="C126" s="232">
        <f t="shared" si="61"/>
        <v>30023.715531540034</v>
      </c>
      <c r="D126" s="232">
        <f t="shared" si="61"/>
        <v>616495.04102530866</v>
      </c>
      <c r="E126" s="232">
        <f t="shared" si="61"/>
        <v>38875445.657878414</v>
      </c>
      <c r="F126" s="232">
        <f t="shared" si="61"/>
        <v>5327046.8590182895</v>
      </c>
      <c r="G126" s="232">
        <f t="shared" si="61"/>
        <v>372.51083542618488</v>
      </c>
      <c r="H126" s="232">
        <f t="shared" si="61"/>
        <v>1452.4860916916489</v>
      </c>
      <c r="I126" s="232">
        <f t="shared" si="61"/>
        <v>9877.2879539706591</v>
      </c>
      <c r="J126" s="251">
        <f t="shared" si="61"/>
        <v>14605.104480363407</v>
      </c>
    </row>
    <row r="128" spans="1:10" ht="13.5" thickBot="1" x14ac:dyDescent="0.25"/>
    <row r="129" spans="1:10" ht="24.75" thickBot="1" x14ac:dyDescent="0.25">
      <c r="A129" s="224" t="s">
        <v>112</v>
      </c>
      <c r="B129" s="217" t="s">
        <v>71</v>
      </c>
      <c r="C129" s="217" t="s">
        <v>235</v>
      </c>
      <c r="D129" s="217" t="s">
        <v>234</v>
      </c>
      <c r="E129" s="217" t="s">
        <v>74</v>
      </c>
      <c r="F129" s="217" t="s">
        <v>236</v>
      </c>
      <c r="G129" s="217" t="s">
        <v>237</v>
      </c>
      <c r="H129" s="217" t="s">
        <v>238</v>
      </c>
      <c r="I129" s="217" t="s">
        <v>76</v>
      </c>
      <c r="J129" s="218" t="s">
        <v>9</v>
      </c>
    </row>
    <row r="130" spans="1:10" x14ac:dyDescent="0.2">
      <c r="A130" s="244" t="s">
        <v>248</v>
      </c>
      <c r="B130" s="245"/>
      <c r="C130" s="245"/>
      <c r="D130" s="245"/>
      <c r="E130" s="245"/>
      <c r="F130" s="245"/>
      <c r="G130" s="245"/>
      <c r="H130" s="245"/>
      <c r="I130" s="245"/>
      <c r="J130" s="246"/>
    </row>
    <row r="131" spans="1:10" x14ac:dyDescent="0.2">
      <c r="A131" s="242">
        <f>+A122</f>
        <v>2015</v>
      </c>
      <c r="B131" s="368">
        <f t="shared" ref="B131:I135" si="62">B79</f>
        <v>479177852</v>
      </c>
      <c r="C131" s="368">
        <f t="shared" si="62"/>
        <v>132197810</v>
      </c>
      <c r="D131" s="368">
        <f t="shared" si="62"/>
        <v>333350818</v>
      </c>
      <c r="E131" s="368">
        <f t="shared" si="62"/>
        <v>41948976</v>
      </c>
      <c r="F131" s="368">
        <f t="shared" si="62"/>
        <v>81234207</v>
      </c>
      <c r="G131" s="368">
        <f t="shared" si="62"/>
        <v>9302763</v>
      </c>
      <c r="H131" s="368">
        <f t="shared" si="62"/>
        <v>35813</v>
      </c>
      <c r="I131" s="368">
        <f t="shared" si="62"/>
        <v>2512230</v>
      </c>
      <c r="J131" s="250">
        <f t="shared" ref="J131:J135" si="63">SUM(B131:I131)</f>
        <v>1079760469</v>
      </c>
    </row>
    <row r="132" spans="1:10" x14ac:dyDescent="0.2">
      <c r="A132" s="242">
        <f t="shared" ref="A132:A135" si="64">+A123</f>
        <v>2016</v>
      </c>
      <c r="B132" s="368">
        <f t="shared" si="62"/>
        <v>477455153</v>
      </c>
      <c r="C132" s="368">
        <f t="shared" si="62"/>
        <v>130049530</v>
      </c>
      <c r="D132" s="368">
        <f t="shared" si="62"/>
        <v>330168199</v>
      </c>
      <c r="E132" s="368">
        <f t="shared" si="62"/>
        <v>41438246</v>
      </c>
      <c r="F132" s="368">
        <f t="shared" si="62"/>
        <v>83295745</v>
      </c>
      <c r="G132" s="368">
        <f t="shared" si="62"/>
        <v>9490651</v>
      </c>
      <c r="H132" s="368">
        <f t="shared" si="62"/>
        <v>35814</v>
      </c>
      <c r="I132" s="368">
        <f t="shared" si="62"/>
        <v>2500582</v>
      </c>
      <c r="J132" s="250">
        <f t="shared" si="63"/>
        <v>1074433920</v>
      </c>
    </row>
    <row r="133" spans="1:10" x14ac:dyDescent="0.2">
      <c r="A133" s="242" t="str">
        <f t="shared" si="64"/>
        <v>2017 Bridge Year (YTD Actual)</v>
      </c>
      <c r="B133" s="368">
        <f t="shared" si="62"/>
        <v>481242441.3526327</v>
      </c>
      <c r="C133" s="368">
        <f t="shared" si="62"/>
        <v>130109122.86424071</v>
      </c>
      <c r="D133" s="368">
        <f t="shared" si="62"/>
        <v>329149932.35225224</v>
      </c>
      <c r="E133" s="368">
        <f t="shared" si="62"/>
        <v>40749633.793613337</v>
      </c>
      <c r="F133" s="368">
        <f t="shared" si="62"/>
        <v>78965334.810425088</v>
      </c>
      <c r="G133" s="368">
        <f t="shared" si="62"/>
        <v>7199508.5400217902</v>
      </c>
      <c r="H133" s="368">
        <f t="shared" si="62"/>
        <v>34672.37733167367</v>
      </c>
      <c r="I133" s="368">
        <f t="shared" si="62"/>
        <v>2564504.7683705813</v>
      </c>
      <c r="J133" s="250">
        <f t="shared" si="63"/>
        <v>1070015150.858888</v>
      </c>
    </row>
    <row r="134" spans="1:10" x14ac:dyDescent="0.2">
      <c r="A134" s="242" t="str">
        <f t="shared" si="64"/>
        <v>2018 Test Year (Regression)</v>
      </c>
      <c r="B134" s="368">
        <f t="shared" si="62"/>
        <v>480011939.38473219</v>
      </c>
      <c r="C134" s="368">
        <f t="shared" si="62"/>
        <v>129585178.21250525</v>
      </c>
      <c r="D134" s="368">
        <f t="shared" si="62"/>
        <v>329595262.30701321</v>
      </c>
      <c r="E134" s="368">
        <f t="shared" si="62"/>
        <v>39807306.868036307</v>
      </c>
      <c r="F134" s="368">
        <f t="shared" si="62"/>
        <v>75038332.350385889</v>
      </c>
      <c r="G134" s="368">
        <f t="shared" si="62"/>
        <v>4912438.1569634676</v>
      </c>
      <c r="H134" s="368">
        <f t="shared" si="62"/>
        <v>33345.033034021741</v>
      </c>
      <c r="I134" s="368">
        <f t="shared" si="62"/>
        <v>2612658.5895418967</v>
      </c>
      <c r="J134" s="250">
        <f t="shared" si="63"/>
        <v>1061596460.9022121</v>
      </c>
    </row>
    <row r="135" spans="1:10" ht="13.5" thickBot="1" x14ac:dyDescent="0.25">
      <c r="A135" s="243" t="str">
        <f t="shared" si="64"/>
        <v>2019 Test Year (Regression)</v>
      </c>
      <c r="B135" s="369">
        <f t="shared" si="62"/>
        <v>478548339.49470502</v>
      </c>
      <c r="C135" s="369">
        <f t="shared" si="62"/>
        <v>129015225.78797366</v>
      </c>
      <c r="D135" s="369">
        <f t="shared" si="62"/>
        <v>330009795.46084768</v>
      </c>
      <c r="E135" s="369">
        <f t="shared" si="62"/>
        <v>38875445.657878414</v>
      </c>
      <c r="F135" s="369">
        <f t="shared" si="62"/>
        <v>75644065.398059711</v>
      </c>
      <c r="G135" s="369">
        <f t="shared" si="62"/>
        <v>5117254.1990519855</v>
      </c>
      <c r="H135" s="369">
        <f t="shared" si="62"/>
        <v>32059.16311080223</v>
      </c>
      <c r="I135" s="369">
        <f t="shared" si="62"/>
        <v>2660941.3975806902</v>
      </c>
      <c r="J135" s="251">
        <f t="shared" si="63"/>
        <v>1059903126.5592082</v>
      </c>
    </row>
    <row r="137" spans="1:10" ht="13.5" thickBot="1" x14ac:dyDescent="0.25"/>
    <row r="138" spans="1:10" ht="24.75" thickBot="1" x14ac:dyDescent="0.25">
      <c r="A138" s="224" t="s">
        <v>112</v>
      </c>
      <c r="B138" s="217" t="s">
        <v>234</v>
      </c>
      <c r="C138" s="217" t="s">
        <v>74</v>
      </c>
      <c r="D138" s="217" t="s">
        <v>236</v>
      </c>
      <c r="E138" s="217" t="s">
        <v>237</v>
      </c>
      <c r="F138" s="217" t="s">
        <v>238</v>
      </c>
      <c r="G138" s="218" t="s">
        <v>9</v>
      </c>
    </row>
    <row r="139" spans="1:10" x14ac:dyDescent="0.2">
      <c r="A139" s="244" t="s">
        <v>249</v>
      </c>
      <c r="B139" s="245"/>
      <c r="C139" s="245"/>
      <c r="D139" s="245"/>
      <c r="E139" s="245"/>
      <c r="F139" s="245"/>
      <c r="G139" s="246"/>
    </row>
    <row r="140" spans="1:10" hidden="1" x14ac:dyDescent="0.2">
      <c r="A140" s="241">
        <v>2003</v>
      </c>
      <c r="B140" s="219">
        <f>+'Rate Class Load Model'!B2</f>
        <v>806199.49000000011</v>
      </c>
      <c r="C140" s="219">
        <f>+'Rate Class Load Model'!C2</f>
        <v>349045.15</v>
      </c>
      <c r="D140" s="219">
        <f>+'Rate Class Load Model'!D2</f>
        <v>197712.36</v>
      </c>
      <c r="E140" s="219">
        <f>+'Rate Class Load Model'!E2</f>
        <v>23226.94</v>
      </c>
      <c r="F140" s="219">
        <f>+'Rate Class Load Model'!F2</f>
        <v>126.50277777777779</v>
      </c>
      <c r="G140" s="250">
        <f>SUM(B140:F140)</f>
        <v>1376310.4427777778</v>
      </c>
    </row>
    <row r="141" spans="1:10" hidden="1" x14ac:dyDescent="0.2">
      <c r="A141" s="242">
        <v>2004</v>
      </c>
      <c r="B141" s="219">
        <f>+'Rate Class Load Model'!B3</f>
        <v>957450.82</v>
      </c>
      <c r="C141" s="219">
        <f>+'Rate Class Load Model'!C3</f>
        <v>243130.85</v>
      </c>
      <c r="D141" s="219">
        <f>+'Rate Class Load Model'!D3</f>
        <v>135213.89000000001</v>
      </c>
      <c r="E141" s="219">
        <f>+'Rate Class Load Model'!E3</f>
        <v>23584.5</v>
      </c>
      <c r="F141" s="219">
        <f>+'Rate Class Load Model'!F3</f>
        <v>123.24722222222222</v>
      </c>
      <c r="G141" s="250">
        <f t="shared" ref="G141:G152" si="65">SUM(B141:F141)</f>
        <v>1359503.3072222222</v>
      </c>
    </row>
    <row r="142" spans="1:10" hidden="1" x14ac:dyDescent="0.2">
      <c r="A142" s="241">
        <v>2005</v>
      </c>
      <c r="B142" s="219">
        <f>+'Rate Class Load Model'!B4</f>
        <v>913899.12999999989</v>
      </c>
      <c r="C142" s="219">
        <f>+'Rate Class Load Model'!C4</f>
        <v>154705.01</v>
      </c>
      <c r="D142" s="219">
        <f>+'Rate Class Load Model'!D4</f>
        <v>142187.47</v>
      </c>
      <c r="E142" s="219">
        <f>+'Rate Class Load Model'!E4</f>
        <v>24114.33</v>
      </c>
      <c r="F142" s="219">
        <f>+'Rate Class Load Model'!F4</f>
        <v>119.99166666666666</v>
      </c>
      <c r="G142" s="250">
        <f t="shared" si="65"/>
        <v>1235025.9316666666</v>
      </c>
    </row>
    <row r="143" spans="1:10" hidden="1" x14ac:dyDescent="0.2">
      <c r="A143" s="242">
        <v>2006</v>
      </c>
      <c r="B143" s="219">
        <f>+'Rate Class Load Model'!B5</f>
        <v>893943</v>
      </c>
      <c r="C143" s="219">
        <f>+'Rate Class Load Model'!C5</f>
        <v>134252</v>
      </c>
      <c r="D143" s="219">
        <f>+'Rate Class Load Model'!D5</f>
        <v>178422</v>
      </c>
      <c r="E143" s="219">
        <f>+'Rate Class Load Model'!E5</f>
        <v>24802</v>
      </c>
      <c r="F143" s="219">
        <f>+'Rate Class Load Model'!F5</f>
        <v>118.31944444444447</v>
      </c>
      <c r="G143" s="250">
        <f t="shared" si="65"/>
        <v>1231537.3194444445</v>
      </c>
    </row>
    <row r="144" spans="1:10" hidden="1" x14ac:dyDescent="0.2">
      <c r="A144" s="241">
        <v>2007</v>
      </c>
      <c r="B144" s="219">
        <f>+'Rate Class Load Model'!B6</f>
        <v>887017</v>
      </c>
      <c r="C144" s="219">
        <f>+'Rate Class Load Model'!C6</f>
        <v>135954</v>
      </c>
      <c r="D144" s="219">
        <f>+'Rate Class Load Model'!D6</f>
        <v>214029</v>
      </c>
      <c r="E144" s="219">
        <f>+'Rate Class Load Model'!E6</f>
        <v>25740</v>
      </c>
      <c r="F144" s="219">
        <f>+'Rate Class Load Model'!F6</f>
        <v>115.0222222222222</v>
      </c>
      <c r="G144" s="250">
        <f t="shared" si="65"/>
        <v>1262855.0222222223</v>
      </c>
    </row>
    <row r="145" spans="1:7" x14ac:dyDescent="0.2">
      <c r="A145" s="242">
        <v>2008</v>
      </c>
      <c r="B145" s="256">
        <f>+'Rate Class Load Model'!B7</f>
        <v>876464</v>
      </c>
      <c r="C145" s="256">
        <f>+'Rate Class Load Model'!C7</f>
        <v>124131</v>
      </c>
      <c r="D145" s="256">
        <f>+'Rate Class Load Model'!D7</f>
        <v>204487</v>
      </c>
      <c r="E145" s="256">
        <f>+'Rate Class Load Model'!E7</f>
        <v>26489</v>
      </c>
      <c r="F145" s="256">
        <f>+'Rate Class Load Model'!F7</f>
        <v>108.9805555555556</v>
      </c>
      <c r="G145" s="257">
        <f t="shared" si="65"/>
        <v>1231679.9805555556</v>
      </c>
    </row>
    <row r="146" spans="1:7" x14ac:dyDescent="0.2">
      <c r="A146" s="241">
        <v>2009</v>
      </c>
      <c r="B146" s="256">
        <f>+'Rate Class Load Model'!B8</f>
        <v>861503</v>
      </c>
      <c r="C146" s="256">
        <f>+'Rate Class Load Model'!C8</f>
        <v>89007</v>
      </c>
      <c r="D146" s="256">
        <f>+'Rate Class Load Model'!D8</f>
        <v>190299</v>
      </c>
      <c r="E146" s="256">
        <f>+'Rate Class Load Model'!E8</f>
        <v>27041</v>
      </c>
      <c r="F146" s="256">
        <f>+'Rate Class Load Model'!F8</f>
        <v>102.2</v>
      </c>
      <c r="G146" s="257">
        <f t="shared" si="65"/>
        <v>1167952.2</v>
      </c>
    </row>
    <row r="147" spans="1:7" x14ac:dyDescent="0.2">
      <c r="A147" s="242">
        <v>2010</v>
      </c>
      <c r="B147" s="256">
        <f>+'Rate Class Load Model'!B9</f>
        <v>871715</v>
      </c>
      <c r="C147" s="256">
        <f>+'Rate Class Load Model'!C9</f>
        <v>70585</v>
      </c>
      <c r="D147" s="256">
        <f>+'Rate Class Load Model'!D9</f>
        <v>195141</v>
      </c>
      <c r="E147" s="256">
        <f>+'Rate Class Load Model'!E9</f>
        <v>27634</v>
      </c>
      <c r="F147" s="256">
        <f>+'Rate Class Load Model'!F9</f>
        <v>99.477777777777803</v>
      </c>
      <c r="G147" s="257">
        <f t="shared" si="65"/>
        <v>1165174.4777777777</v>
      </c>
    </row>
    <row r="148" spans="1:7" x14ac:dyDescent="0.2">
      <c r="A148" s="242">
        <v>2011</v>
      </c>
      <c r="B148" s="256">
        <f>+'Rate Class Load Model'!B10</f>
        <v>867070</v>
      </c>
      <c r="C148" s="256">
        <f>+'Rate Class Load Model'!C10</f>
        <v>83704</v>
      </c>
      <c r="D148" s="256">
        <f>+'Rate Class Load Model'!D10</f>
        <v>192700</v>
      </c>
      <c r="E148" s="256">
        <f>+'Rate Class Load Model'!E10</f>
        <v>27830</v>
      </c>
      <c r="F148" s="256">
        <f>+'Rate Class Load Model'!F10</f>
        <v>100</v>
      </c>
      <c r="G148" s="257">
        <f t="shared" si="65"/>
        <v>1171404</v>
      </c>
    </row>
    <row r="149" spans="1:7" x14ac:dyDescent="0.2">
      <c r="A149" s="242">
        <v>2012</v>
      </c>
      <c r="B149" s="256">
        <f>+'Rate Class Load Model'!B11</f>
        <v>846459</v>
      </c>
      <c r="C149" s="256">
        <f>+'Rate Class Load Model'!C11</f>
        <v>89554</v>
      </c>
      <c r="D149" s="256">
        <f>+'Rate Class Load Model'!D11</f>
        <v>182189</v>
      </c>
      <c r="E149" s="256">
        <f>+'Rate Class Load Model'!E11</f>
        <v>27720</v>
      </c>
      <c r="F149" s="256">
        <f>+'Rate Class Load Model'!F11</f>
        <v>100</v>
      </c>
      <c r="G149" s="257">
        <f t="shared" si="65"/>
        <v>1146022</v>
      </c>
    </row>
    <row r="150" spans="1:7" x14ac:dyDescent="0.2">
      <c r="A150" s="382">
        <v>2013</v>
      </c>
      <c r="B150" s="256">
        <f>+'Rate Class Load Model'!B12</f>
        <v>843160</v>
      </c>
      <c r="C150" s="256">
        <f>+'Rate Class Load Model'!C12</f>
        <v>92753</v>
      </c>
      <c r="D150" s="256">
        <f>+'Rate Class Load Model'!D12</f>
        <v>184241</v>
      </c>
      <c r="E150" s="256">
        <f>+'Rate Class Load Model'!E12</f>
        <v>25276</v>
      </c>
      <c r="F150" s="256">
        <f>+'Rate Class Load Model'!F12</f>
        <v>100</v>
      </c>
      <c r="G150" s="257">
        <f t="shared" si="65"/>
        <v>1145530</v>
      </c>
    </row>
    <row r="151" spans="1:7" x14ac:dyDescent="0.2">
      <c r="A151" s="382">
        <v>2014</v>
      </c>
      <c r="B151" s="256">
        <f>+'Rate Class Load Model'!B13</f>
        <v>831789</v>
      </c>
      <c r="C151" s="256">
        <f>+'Rate Class Load Model'!C13</f>
        <v>93203</v>
      </c>
      <c r="D151" s="256">
        <f>+'Rate Class Load Model'!D13</f>
        <v>186714</v>
      </c>
      <c r="E151" s="256">
        <f>+'Rate Class Load Model'!E13</f>
        <v>25520</v>
      </c>
      <c r="F151" s="256">
        <f>+'Rate Class Load Model'!F13</f>
        <v>100</v>
      </c>
      <c r="G151" s="257">
        <f t="shared" si="65"/>
        <v>1137326</v>
      </c>
    </row>
    <row r="152" spans="1:7" x14ac:dyDescent="0.2">
      <c r="A152" s="382">
        <v>2015</v>
      </c>
      <c r="B152" s="256">
        <f>+'Rate Class Load Model'!B14</f>
        <v>847479</v>
      </c>
      <c r="C152" s="256">
        <f>+'Rate Class Load Model'!C14</f>
        <v>95584</v>
      </c>
      <c r="D152" s="256">
        <f>+'Rate Class Load Model'!D14</f>
        <v>190580</v>
      </c>
      <c r="E152" s="256">
        <f>+'Rate Class Load Model'!E14</f>
        <v>26032</v>
      </c>
      <c r="F152" s="256">
        <f>+'Rate Class Load Model'!F14</f>
        <v>100</v>
      </c>
      <c r="G152" s="257">
        <f t="shared" si="65"/>
        <v>1159775</v>
      </c>
    </row>
    <row r="153" spans="1:7" x14ac:dyDescent="0.2">
      <c r="A153" s="382">
        <v>2016</v>
      </c>
      <c r="B153" s="256">
        <f>+'Rate Class Load Model'!B15</f>
        <v>850825</v>
      </c>
      <c r="C153" s="256">
        <f>+'Rate Class Load Model'!C15</f>
        <v>99526</v>
      </c>
      <c r="D153" s="256">
        <f>+'Rate Class Load Model'!D15</f>
        <v>202815</v>
      </c>
      <c r="E153" s="256">
        <f>+'Rate Class Load Model'!E15</f>
        <v>26568</v>
      </c>
      <c r="F153" s="256">
        <f>+'Rate Class Load Model'!F15</f>
        <v>100</v>
      </c>
      <c r="G153" s="257">
        <f t="shared" ref="G153:G156" si="66">SUM(B153:F153)</f>
        <v>1179834</v>
      </c>
    </row>
    <row r="154" spans="1:7" x14ac:dyDescent="0.2">
      <c r="A154" s="382">
        <v>2017</v>
      </c>
      <c r="B154" s="256">
        <f>+'Rate Class Load Model'!B16</f>
        <v>832942.28011661058</v>
      </c>
      <c r="C154" s="256">
        <f>+'Rate Class Load Model'!C16</f>
        <v>92630.431850062916</v>
      </c>
      <c r="D154" s="256">
        <f>+'Rate Class Load Model'!D16</f>
        <v>176491.02826956642</v>
      </c>
      <c r="E154" s="256">
        <f>+'Rate Class Load Model'!E16</f>
        <v>19558.614180022891</v>
      </c>
      <c r="F154" s="256">
        <f>+'Rate Class Load Model'!F16</f>
        <v>100.62017532644411</v>
      </c>
      <c r="G154" s="257">
        <f t="shared" si="66"/>
        <v>1121722.9745915893</v>
      </c>
    </row>
    <row r="155" spans="1:7" x14ac:dyDescent="0.2">
      <c r="A155" s="382">
        <v>2018</v>
      </c>
      <c r="B155" s="256">
        <f>+'Rate Class Load Model'!B17</f>
        <v>834069.22595941229</v>
      </c>
      <c r="C155" s="256">
        <f>+'Rate Class Load Model'!C17</f>
        <v>90488.372107827323</v>
      </c>
      <c r="D155" s="256">
        <f>+'Rate Class Load Model'!D17</f>
        <v>167714.00346680533</v>
      </c>
      <c r="E155" s="256">
        <f>+'Rate Class Load Model'!E17</f>
        <v>13345.422407816242</v>
      </c>
      <c r="F155" s="256">
        <f>+'Rate Class Load Model'!F17</f>
        <v>96.768186330400098</v>
      </c>
      <c r="G155" s="257">
        <f t="shared" si="66"/>
        <v>1105713.7921281913</v>
      </c>
    </row>
    <row r="156" spans="1:7" ht="13.5" thickBot="1" x14ac:dyDescent="0.25">
      <c r="A156" s="243">
        <v>2019</v>
      </c>
      <c r="B156" s="232">
        <f>+'Rate Class Load Model'!B18</f>
        <v>835118.23784245062</v>
      </c>
      <c r="C156" s="232">
        <f>+'Rate Class Load Model'!C18</f>
        <v>88370.102609788868</v>
      </c>
      <c r="D156" s="232">
        <f>+'Rate Class Load Model'!D18</f>
        <v>169067.84371452243</v>
      </c>
      <c r="E156" s="232">
        <f>+'Rate Class Load Model'!E18</f>
        <v>13901.837880180767</v>
      </c>
      <c r="F156" s="232">
        <f>+'Rate Class Load Model'!F18</f>
        <v>93.036557088953359</v>
      </c>
      <c r="G156" s="251">
        <f t="shared" si="66"/>
        <v>1106551.0586040316</v>
      </c>
    </row>
    <row r="157" spans="1:7" ht="13.5" thickBot="1" x14ac:dyDescent="0.25"/>
    <row r="158" spans="1:7" ht="24.75" thickBot="1" x14ac:dyDescent="0.25">
      <c r="A158" s="224" t="s">
        <v>112</v>
      </c>
      <c r="B158" s="217" t="s">
        <v>234</v>
      </c>
      <c r="C158" s="217" t="s">
        <v>74</v>
      </c>
      <c r="D158" s="217" t="s">
        <v>236</v>
      </c>
      <c r="E158" s="217" t="s">
        <v>237</v>
      </c>
      <c r="F158" s="217" t="s">
        <v>238</v>
      </c>
      <c r="G158" s="218" t="s">
        <v>9</v>
      </c>
    </row>
    <row r="159" spans="1:7" x14ac:dyDescent="0.2">
      <c r="A159" s="244" t="s">
        <v>250</v>
      </c>
      <c r="B159" s="245"/>
      <c r="C159" s="245"/>
      <c r="D159" s="245"/>
      <c r="E159" s="245"/>
      <c r="F159" s="245"/>
      <c r="G159" s="246"/>
    </row>
    <row r="160" spans="1:7" x14ac:dyDescent="0.2">
      <c r="A160" s="241">
        <v>2003</v>
      </c>
      <c r="B160" s="219">
        <f>+D67</f>
        <v>281244125.5</v>
      </c>
      <c r="C160" s="219">
        <f>+E67</f>
        <v>169257212.5</v>
      </c>
      <c r="D160" s="219">
        <f t="shared" ref="D160" si="67">+F67</f>
        <v>96172091</v>
      </c>
      <c r="E160" s="219">
        <f>+G67</f>
        <v>8359780.5</v>
      </c>
      <c r="F160" s="219">
        <f>+H67</f>
        <v>45541</v>
      </c>
      <c r="G160" s="250">
        <f t="shared" ref="G160:G170" si="68">SUM(B160:F160)</f>
        <v>555078750.5</v>
      </c>
    </row>
    <row r="161" spans="1:7" x14ac:dyDescent="0.2">
      <c r="A161" s="242">
        <v>2004</v>
      </c>
      <c r="B161" s="219">
        <f t="shared" ref="B161:C161" si="69">+D68</f>
        <v>360631980</v>
      </c>
      <c r="C161" s="219">
        <f t="shared" si="69"/>
        <v>112144196</v>
      </c>
      <c r="D161" s="219">
        <f t="shared" ref="D161:F176" si="70">+F68</f>
        <v>65676068</v>
      </c>
      <c r="E161" s="219">
        <f t="shared" si="70"/>
        <v>8743099.0634733941</v>
      </c>
      <c r="F161" s="219">
        <f t="shared" si="70"/>
        <v>27821</v>
      </c>
      <c r="G161" s="250">
        <f t="shared" si="68"/>
        <v>547223164.06347334</v>
      </c>
    </row>
    <row r="162" spans="1:7" x14ac:dyDescent="0.2">
      <c r="A162" s="241">
        <v>2005</v>
      </c>
      <c r="B162" s="219">
        <f t="shared" ref="B162:C162" si="71">+D69</f>
        <v>361962669</v>
      </c>
      <c r="C162" s="219">
        <f t="shared" si="71"/>
        <v>62904833</v>
      </c>
      <c r="D162" s="219">
        <f t="shared" si="70"/>
        <v>67016961</v>
      </c>
      <c r="E162" s="219">
        <f t="shared" ref="E162:F162" si="72">+G69</f>
        <v>9182978</v>
      </c>
      <c r="F162" s="219">
        <f t="shared" si="72"/>
        <v>43197</v>
      </c>
      <c r="G162" s="250">
        <f t="shared" si="68"/>
        <v>501110638</v>
      </c>
    </row>
    <row r="163" spans="1:7" x14ac:dyDescent="0.2">
      <c r="A163" s="242">
        <v>2006</v>
      </c>
      <c r="B163" s="219">
        <f t="shared" ref="B163:C163" si="73">+D70</f>
        <v>357086593</v>
      </c>
      <c r="C163" s="219">
        <f t="shared" si="73"/>
        <v>59654446</v>
      </c>
      <c r="D163" s="219">
        <f t="shared" si="70"/>
        <v>80518764</v>
      </c>
      <c r="E163" s="219">
        <f t="shared" ref="E163:F163" si="74">+G70</f>
        <v>9398525</v>
      </c>
      <c r="F163" s="219">
        <f t="shared" si="74"/>
        <v>42595</v>
      </c>
      <c r="G163" s="250">
        <f t="shared" si="68"/>
        <v>506700923</v>
      </c>
    </row>
    <row r="164" spans="1:7" x14ac:dyDescent="0.2">
      <c r="A164" s="241">
        <v>2007</v>
      </c>
      <c r="B164" s="219">
        <f t="shared" ref="B164:C164" si="75">+D71</f>
        <v>359144720</v>
      </c>
      <c r="C164" s="219">
        <f t="shared" si="75"/>
        <v>61811846</v>
      </c>
      <c r="D164" s="219">
        <f t="shared" si="70"/>
        <v>103869997</v>
      </c>
      <c r="E164" s="219">
        <f t="shared" ref="E164:F164" si="76">+G71</f>
        <v>9704521</v>
      </c>
      <c r="F164" s="219">
        <f t="shared" si="76"/>
        <v>41408</v>
      </c>
      <c r="G164" s="250">
        <f t="shared" si="68"/>
        <v>534572492</v>
      </c>
    </row>
    <row r="165" spans="1:7" x14ac:dyDescent="0.2">
      <c r="A165" s="242">
        <v>2008</v>
      </c>
      <c r="B165" s="219">
        <f t="shared" ref="B165:C165" si="77">+D72</f>
        <v>352632150</v>
      </c>
      <c r="C165" s="219">
        <f t="shared" si="77"/>
        <v>46461021</v>
      </c>
      <c r="D165" s="219">
        <f t="shared" si="70"/>
        <v>102433272</v>
      </c>
      <c r="E165" s="219">
        <f t="shared" ref="E165:F165" si="78">+G72</f>
        <v>9725840</v>
      </c>
      <c r="F165" s="219">
        <f t="shared" si="78"/>
        <v>39233</v>
      </c>
      <c r="G165" s="257">
        <f t="shared" si="68"/>
        <v>511291516</v>
      </c>
    </row>
    <row r="166" spans="1:7" x14ac:dyDescent="0.2">
      <c r="A166" s="241">
        <v>2009</v>
      </c>
      <c r="B166" s="219">
        <f t="shared" ref="B166:C166" si="79">+D73</f>
        <v>349784301</v>
      </c>
      <c r="C166" s="219">
        <f t="shared" si="79"/>
        <v>36580289</v>
      </c>
      <c r="D166" s="219">
        <f t="shared" si="70"/>
        <v>87237589</v>
      </c>
      <c r="E166" s="219">
        <f t="shared" ref="E166:F166" si="80">+G73</f>
        <v>10202758</v>
      </c>
      <c r="F166" s="219">
        <f t="shared" si="80"/>
        <v>36792</v>
      </c>
      <c r="G166" s="257">
        <f t="shared" si="68"/>
        <v>483841729</v>
      </c>
    </row>
    <row r="167" spans="1:7" x14ac:dyDescent="0.2">
      <c r="A167" s="242">
        <v>2010</v>
      </c>
      <c r="B167" s="219">
        <f t="shared" ref="B167:C167" si="81">+D74</f>
        <v>355234224</v>
      </c>
      <c r="C167" s="219">
        <f t="shared" si="81"/>
        <v>33402763</v>
      </c>
      <c r="D167" s="219">
        <f t="shared" si="70"/>
        <v>80783141</v>
      </c>
      <c r="E167" s="219">
        <f t="shared" ref="E167:F167" si="82">+G74</f>
        <v>10427904</v>
      </c>
      <c r="F167" s="219">
        <f t="shared" si="82"/>
        <v>35812</v>
      </c>
      <c r="G167" s="257">
        <f t="shared" si="68"/>
        <v>479883844</v>
      </c>
    </row>
    <row r="168" spans="1:7" x14ac:dyDescent="0.2">
      <c r="A168" s="242">
        <v>2011</v>
      </c>
      <c r="B168" s="219">
        <f t="shared" ref="B168:C168" si="83">+D75</f>
        <v>359534375</v>
      </c>
      <c r="C168" s="219">
        <f t="shared" si="83"/>
        <v>37740699</v>
      </c>
      <c r="D168" s="219">
        <f t="shared" si="70"/>
        <v>79908016</v>
      </c>
      <c r="E168" s="219">
        <f t="shared" ref="E168:F168" si="84">+G75</f>
        <v>10253017</v>
      </c>
      <c r="F168" s="219">
        <f t="shared" si="84"/>
        <v>35812</v>
      </c>
      <c r="G168" s="257">
        <f t="shared" si="68"/>
        <v>487471919</v>
      </c>
    </row>
    <row r="169" spans="1:7" x14ac:dyDescent="0.2">
      <c r="A169" s="242">
        <v>2012</v>
      </c>
      <c r="B169" s="219">
        <f t="shared" ref="B169:C169" si="85">+D76</f>
        <v>338342507</v>
      </c>
      <c r="C169" s="219">
        <f t="shared" si="85"/>
        <v>40812737</v>
      </c>
      <c r="D169" s="219">
        <f t="shared" si="70"/>
        <v>76828137</v>
      </c>
      <c r="E169" s="219">
        <f t="shared" ref="E169:F169" si="86">+G76</f>
        <v>10139708</v>
      </c>
      <c r="F169" s="219">
        <f t="shared" si="86"/>
        <v>35812</v>
      </c>
      <c r="G169" s="257">
        <f t="shared" si="68"/>
        <v>466158901</v>
      </c>
    </row>
    <row r="170" spans="1:7" x14ac:dyDescent="0.2">
      <c r="A170" s="382">
        <v>2013</v>
      </c>
      <c r="B170" s="219">
        <f t="shared" ref="B170:C170" si="87">+D77</f>
        <v>337123668</v>
      </c>
      <c r="C170" s="219">
        <f t="shared" si="87"/>
        <v>42326219</v>
      </c>
      <c r="D170" s="219">
        <f t="shared" si="70"/>
        <v>79176233</v>
      </c>
      <c r="E170" s="219">
        <f t="shared" ref="E170:F170" si="88">+G77</f>
        <v>9082284</v>
      </c>
      <c r="F170" s="219">
        <f t="shared" si="88"/>
        <v>35812</v>
      </c>
      <c r="G170" s="257">
        <f t="shared" si="68"/>
        <v>467744216</v>
      </c>
    </row>
    <row r="171" spans="1:7" x14ac:dyDescent="0.2">
      <c r="A171" s="382">
        <v>2014</v>
      </c>
      <c r="B171" s="219">
        <f t="shared" ref="B171:C171" si="89">+D78</f>
        <v>336406114</v>
      </c>
      <c r="C171" s="219">
        <f t="shared" si="89"/>
        <v>42700435</v>
      </c>
      <c r="D171" s="219">
        <f t="shared" si="70"/>
        <v>81400346</v>
      </c>
      <c r="E171" s="219">
        <f t="shared" ref="E171:F171" si="90">+G78</f>
        <v>9155875</v>
      </c>
      <c r="F171" s="219">
        <f t="shared" si="90"/>
        <v>35812</v>
      </c>
      <c r="G171" s="257">
        <f t="shared" ref="G171:G172" si="91">SUM(B171:F171)</f>
        <v>469698582</v>
      </c>
    </row>
    <row r="172" spans="1:7" x14ac:dyDescent="0.2">
      <c r="A172" s="382">
        <v>2015</v>
      </c>
      <c r="B172" s="219">
        <f t="shared" ref="B172:C172" si="92">+D79</f>
        <v>333350818</v>
      </c>
      <c r="C172" s="219">
        <f t="shared" si="92"/>
        <v>41948976</v>
      </c>
      <c r="D172" s="219">
        <f t="shared" si="70"/>
        <v>81234207</v>
      </c>
      <c r="E172" s="219">
        <f t="shared" ref="E172:F172" si="93">+G79</f>
        <v>9302763</v>
      </c>
      <c r="F172" s="219">
        <f t="shared" si="93"/>
        <v>35813</v>
      </c>
      <c r="G172" s="257">
        <f t="shared" si="91"/>
        <v>465872577</v>
      </c>
    </row>
    <row r="173" spans="1:7" x14ac:dyDescent="0.2">
      <c r="A173" s="382">
        <v>2016</v>
      </c>
      <c r="B173" s="219">
        <f t="shared" ref="B173:C173" si="94">+D80</f>
        <v>330168199</v>
      </c>
      <c r="C173" s="219">
        <f t="shared" si="94"/>
        <v>41438246</v>
      </c>
      <c r="D173" s="219">
        <f t="shared" si="70"/>
        <v>83295745</v>
      </c>
      <c r="E173" s="219">
        <f t="shared" ref="E173:F173" si="95">+G80</f>
        <v>9490651</v>
      </c>
      <c r="F173" s="219">
        <f t="shared" si="95"/>
        <v>35814</v>
      </c>
      <c r="G173" s="257">
        <f t="shared" ref="G173:G176" si="96">SUM(B173:F173)</f>
        <v>464428655</v>
      </c>
    </row>
    <row r="174" spans="1:7" x14ac:dyDescent="0.2">
      <c r="A174" s="382">
        <v>2017</v>
      </c>
      <c r="B174" s="219">
        <f t="shared" ref="B174:C174" si="97">+D81</f>
        <v>329149932.35225224</v>
      </c>
      <c r="C174" s="219">
        <f t="shared" si="97"/>
        <v>40749633.793613337</v>
      </c>
      <c r="D174" s="219">
        <f t="shared" si="70"/>
        <v>78965334.810425088</v>
      </c>
      <c r="E174" s="219">
        <f t="shared" ref="E174:F174" si="98">+G81</f>
        <v>7199508.5400217902</v>
      </c>
      <c r="F174" s="219">
        <f t="shared" si="98"/>
        <v>34672.37733167367</v>
      </c>
      <c r="G174" s="257">
        <f t="shared" si="96"/>
        <v>456099081.87364411</v>
      </c>
    </row>
    <row r="175" spans="1:7" x14ac:dyDescent="0.2">
      <c r="A175" s="382">
        <v>2018</v>
      </c>
      <c r="B175" s="219">
        <f t="shared" ref="B175:C175" si="99">+D82</f>
        <v>329595262.30701321</v>
      </c>
      <c r="C175" s="219">
        <f t="shared" si="99"/>
        <v>39807306.868036307</v>
      </c>
      <c r="D175" s="219">
        <f t="shared" si="70"/>
        <v>75038332.350385889</v>
      </c>
      <c r="E175" s="219">
        <f t="shared" ref="E175:F175" si="100">+G82</f>
        <v>4912438.1569634676</v>
      </c>
      <c r="F175" s="219">
        <f t="shared" si="100"/>
        <v>33345.033034021741</v>
      </c>
      <c r="G175" s="257">
        <f t="shared" si="96"/>
        <v>449386684.71543294</v>
      </c>
    </row>
    <row r="176" spans="1:7" ht="13.5" thickBot="1" x14ac:dyDescent="0.25">
      <c r="A176" s="243">
        <v>2019</v>
      </c>
      <c r="B176" s="232">
        <f t="shared" ref="B176:C176" si="101">+D83</f>
        <v>330009795.46084768</v>
      </c>
      <c r="C176" s="232">
        <f t="shared" si="101"/>
        <v>38875445.657878414</v>
      </c>
      <c r="D176" s="232">
        <f t="shared" si="70"/>
        <v>75644065.398059711</v>
      </c>
      <c r="E176" s="232">
        <f t="shared" ref="E176:F176" si="102">+G83</f>
        <v>5117254.1990519855</v>
      </c>
      <c r="F176" s="232">
        <f t="shared" si="102"/>
        <v>32059.16311080223</v>
      </c>
      <c r="G176" s="251">
        <f t="shared" si="96"/>
        <v>449678619.87894857</v>
      </c>
    </row>
    <row r="177" spans="1:7" ht="13.5" thickBot="1" x14ac:dyDescent="0.25"/>
    <row r="178" spans="1:7" ht="24.75" thickBot="1" x14ac:dyDescent="0.25">
      <c r="A178" s="224" t="s">
        <v>112</v>
      </c>
      <c r="B178" s="217" t="s">
        <v>234</v>
      </c>
      <c r="C178" s="217" t="s">
        <v>74</v>
      </c>
      <c r="D178" s="217" t="s">
        <v>236</v>
      </c>
      <c r="E178" s="217" t="s">
        <v>237</v>
      </c>
      <c r="F178" s="217" t="s">
        <v>238</v>
      </c>
      <c r="G178" s="218" t="s">
        <v>9</v>
      </c>
    </row>
    <row r="179" spans="1:7" x14ac:dyDescent="0.2">
      <c r="A179" s="244" t="s">
        <v>251</v>
      </c>
      <c r="B179" s="245"/>
      <c r="C179" s="245"/>
      <c r="D179" s="245"/>
      <c r="E179" s="245"/>
      <c r="F179" s="245"/>
      <c r="G179" s="246"/>
    </row>
    <row r="180" spans="1:7" x14ac:dyDescent="0.2">
      <c r="A180" s="241">
        <v>2003</v>
      </c>
      <c r="B180" s="373">
        <f>+B140/B160</f>
        <v>2.8665469494401942E-3</v>
      </c>
      <c r="C180" s="373">
        <f t="shared" ref="C180:G180" si="103">+C140/C160</f>
        <v>2.0622172895586356E-3</v>
      </c>
      <c r="D180" s="373">
        <f t="shared" si="103"/>
        <v>2.05581845984819E-3</v>
      </c>
      <c r="E180" s="373">
        <f t="shared" si="103"/>
        <v>2.7784150552756736E-3</v>
      </c>
      <c r="F180" s="373">
        <f t="shared" si="103"/>
        <v>2.7777777777777783E-3</v>
      </c>
      <c r="G180" s="374">
        <f t="shared" si="103"/>
        <v>2.479486814326858E-3</v>
      </c>
    </row>
    <row r="181" spans="1:7" x14ac:dyDescent="0.2">
      <c r="A181" s="242">
        <v>2004</v>
      </c>
      <c r="B181" s="373">
        <f t="shared" ref="B181:G181" si="104">+B141/B161</f>
        <v>2.654924890465898E-3</v>
      </c>
      <c r="C181" s="373">
        <f t="shared" si="104"/>
        <v>2.1680199125062166E-3</v>
      </c>
      <c r="D181" s="373">
        <f t="shared" si="104"/>
        <v>2.0588000182958578E-3</v>
      </c>
      <c r="E181" s="373">
        <f t="shared" si="104"/>
        <v>2.6974988878406374E-3</v>
      </c>
      <c r="F181" s="373">
        <f t="shared" si="104"/>
        <v>4.4300069092492083E-3</v>
      </c>
      <c r="G181" s="374">
        <f t="shared" si="104"/>
        <v>2.484367249966288E-3</v>
      </c>
    </row>
    <row r="182" spans="1:7" x14ac:dyDescent="0.2">
      <c r="A182" s="241">
        <v>2005</v>
      </c>
      <c r="B182" s="373">
        <f t="shared" ref="B182:G182" si="105">+B142/B162</f>
        <v>2.5248436047972667E-3</v>
      </c>
      <c r="C182" s="373">
        <f t="shared" si="105"/>
        <v>2.459350142460437E-3</v>
      </c>
      <c r="D182" s="373">
        <f t="shared" si="105"/>
        <v>2.1216639471312343E-3</v>
      </c>
      <c r="E182" s="373">
        <f t="shared" si="105"/>
        <v>2.6259814626584102E-3</v>
      </c>
      <c r="F182" s="373">
        <f t="shared" si="105"/>
        <v>2.7777777777777775E-3</v>
      </c>
      <c r="G182" s="374">
        <f t="shared" si="105"/>
        <v>2.4645773568005287E-3</v>
      </c>
    </row>
    <row r="183" spans="1:7" x14ac:dyDescent="0.2">
      <c r="A183" s="242">
        <v>2006</v>
      </c>
      <c r="B183" s="373">
        <f t="shared" ref="B183:G183" si="106">+B143/B163</f>
        <v>2.503434790115461E-3</v>
      </c>
      <c r="C183" s="373">
        <f t="shared" si="106"/>
        <v>2.2504944560209311E-3</v>
      </c>
      <c r="D183" s="373">
        <f t="shared" si="106"/>
        <v>2.2159058477350694E-3</v>
      </c>
      <c r="E183" s="373">
        <f t="shared" si="106"/>
        <v>2.6389247248903417E-3</v>
      </c>
      <c r="F183" s="373">
        <f t="shared" si="106"/>
        <v>2.7777777777777783E-3</v>
      </c>
      <c r="G183" s="374">
        <f t="shared" si="106"/>
        <v>2.4305014329812943E-3</v>
      </c>
    </row>
    <row r="184" spans="1:7" x14ac:dyDescent="0.2">
      <c r="A184" s="241">
        <v>2007</v>
      </c>
      <c r="B184" s="373">
        <f t="shared" ref="B184:G184" si="107">+B144/B164</f>
        <v>2.4698038161329507E-3</v>
      </c>
      <c r="C184" s="373">
        <f t="shared" si="107"/>
        <v>2.1994813097800056E-3</v>
      </c>
      <c r="D184" s="373">
        <f t="shared" si="107"/>
        <v>2.0605468969061391E-3</v>
      </c>
      <c r="E184" s="373">
        <f t="shared" si="107"/>
        <v>2.6523720233074875E-3</v>
      </c>
      <c r="F184" s="373">
        <f t="shared" si="107"/>
        <v>2.777777777777777E-3</v>
      </c>
      <c r="G184" s="374">
        <f t="shared" si="107"/>
        <v>2.3623643960756259E-3</v>
      </c>
    </row>
    <row r="185" spans="1:7" x14ac:dyDescent="0.2">
      <c r="A185" s="242">
        <v>2008</v>
      </c>
      <c r="B185" s="375">
        <f t="shared" ref="B185:G185" si="108">+B145/B165</f>
        <v>2.4854909003617508E-3</v>
      </c>
      <c r="C185" s="375">
        <f t="shared" si="108"/>
        <v>2.6717234647081907E-3</v>
      </c>
      <c r="D185" s="375">
        <f t="shared" si="108"/>
        <v>1.9962947195516709E-3</v>
      </c>
      <c r="E185" s="375">
        <f t="shared" si="108"/>
        <v>2.7235693780691436E-3</v>
      </c>
      <c r="F185" s="375">
        <f t="shared" si="108"/>
        <v>2.7777777777777788E-3</v>
      </c>
      <c r="G185" s="376">
        <f t="shared" si="108"/>
        <v>2.408958376996726E-3</v>
      </c>
    </row>
    <row r="186" spans="1:7" x14ac:dyDescent="0.2">
      <c r="A186" s="241">
        <v>2009</v>
      </c>
      <c r="B186" s="375">
        <f t="shared" ref="B186:G186" si="109">+B146/B166</f>
        <v>2.462955019813768E-3</v>
      </c>
      <c r="C186" s="375">
        <f t="shared" si="109"/>
        <v>2.4331956480715612E-3</v>
      </c>
      <c r="D186" s="375">
        <f t="shared" si="109"/>
        <v>2.1813876584782736E-3</v>
      </c>
      <c r="E186" s="375">
        <f t="shared" si="109"/>
        <v>2.6503617943305132E-3</v>
      </c>
      <c r="F186" s="375">
        <f t="shared" si="109"/>
        <v>2.7777777777777779E-3</v>
      </c>
      <c r="G186" s="376">
        <f t="shared" si="109"/>
        <v>2.4139137449221541E-3</v>
      </c>
    </row>
    <row r="187" spans="1:7" x14ac:dyDescent="0.2">
      <c r="A187" s="242">
        <v>2010</v>
      </c>
      <c r="B187" s="375">
        <f t="shared" ref="B187:G187" si="110">+B147/B167</f>
        <v>2.4539161519527464E-3</v>
      </c>
      <c r="C187" s="375">
        <f t="shared" si="110"/>
        <v>2.1131485440291273E-3</v>
      </c>
      <c r="D187" s="375">
        <f t="shared" si="110"/>
        <v>2.4156154066849169E-3</v>
      </c>
      <c r="E187" s="375">
        <f t="shared" si="110"/>
        <v>2.6500052167722295E-3</v>
      </c>
      <c r="F187" s="375">
        <f t="shared" si="110"/>
        <v>2.7777777777777783E-3</v>
      </c>
      <c r="G187" s="376">
        <f t="shared" si="110"/>
        <v>2.4280343927931395E-3</v>
      </c>
    </row>
    <row r="188" spans="1:7" x14ac:dyDescent="0.2">
      <c r="A188" s="242">
        <v>2011</v>
      </c>
      <c r="B188" s="375">
        <f t="shared" ref="B188:G188" si="111">+B148/B168</f>
        <v>2.411647008717873E-3</v>
      </c>
      <c r="C188" s="375">
        <f t="shared" si="111"/>
        <v>2.2178709514627695E-3</v>
      </c>
      <c r="D188" s="375">
        <f t="shared" si="111"/>
        <v>2.411522768879658E-3</v>
      </c>
      <c r="E188" s="375">
        <f t="shared" si="111"/>
        <v>2.7143230134115647E-3</v>
      </c>
      <c r="F188" s="375">
        <f t="shared" si="111"/>
        <v>2.7923601027588516E-3</v>
      </c>
      <c r="G188" s="376">
        <f t="shared" si="111"/>
        <v>2.4030184187901907E-3</v>
      </c>
    </row>
    <row r="189" spans="1:7" x14ac:dyDescent="0.2">
      <c r="A189" s="242">
        <v>2012</v>
      </c>
      <c r="B189" s="375">
        <f t="shared" ref="B189:G190" si="112">+B149/B169</f>
        <v>2.5017814270673357E-3</v>
      </c>
      <c r="C189" s="375">
        <f t="shared" si="112"/>
        <v>2.1942659714294585E-3</v>
      </c>
      <c r="D189" s="375">
        <f t="shared" si="112"/>
        <v>2.3713838069508312E-3</v>
      </c>
      <c r="E189" s="375">
        <f t="shared" si="112"/>
        <v>2.7338065356517171E-3</v>
      </c>
      <c r="F189" s="375">
        <f t="shared" si="112"/>
        <v>2.7923601027588516E-3</v>
      </c>
      <c r="G189" s="376">
        <f t="shared" si="112"/>
        <v>2.45843637768487E-3</v>
      </c>
    </row>
    <row r="190" spans="1:7" x14ac:dyDescent="0.2">
      <c r="A190" s="242">
        <v>2013</v>
      </c>
      <c r="B190" s="373">
        <f t="shared" si="112"/>
        <v>2.5010406566886309E-3</v>
      </c>
      <c r="C190" s="373">
        <f t="shared" si="112"/>
        <v>2.1913840213320258E-3</v>
      </c>
      <c r="D190" s="373">
        <f t="shared" si="112"/>
        <v>2.326973550257184E-3</v>
      </c>
      <c r="E190" s="373">
        <f t="shared" si="112"/>
        <v>2.7830003994589905E-3</v>
      </c>
      <c r="F190" s="373">
        <f t="shared" si="112"/>
        <v>2.7923601027588516E-3</v>
      </c>
      <c r="G190" s="374">
        <f t="shared" si="112"/>
        <v>2.4490521973659211E-3</v>
      </c>
    </row>
    <row r="191" spans="1:7" x14ac:dyDescent="0.2">
      <c r="A191" s="242">
        <v>2014</v>
      </c>
      <c r="B191" s="373">
        <f t="shared" ref="B191:G191" si="113">+B151/B171</f>
        <v>2.472573967546856E-3</v>
      </c>
      <c r="C191" s="373">
        <f t="shared" si="113"/>
        <v>2.1827178107201952E-3</v>
      </c>
      <c r="D191" s="373">
        <f t="shared" si="113"/>
        <v>2.2937740338351878E-3</v>
      </c>
      <c r="E191" s="373">
        <f t="shared" si="113"/>
        <v>2.7872813903641104E-3</v>
      </c>
      <c r="F191" s="373">
        <f t="shared" si="113"/>
        <v>2.7923601027588516E-3</v>
      </c>
      <c r="G191" s="374">
        <f t="shared" si="113"/>
        <v>2.421395430144177E-3</v>
      </c>
    </row>
    <row r="192" spans="1:7" x14ac:dyDescent="0.2">
      <c r="A192" s="242">
        <v>2015</v>
      </c>
      <c r="B192" s="373">
        <f t="shared" ref="B192:G192" si="114">+B152/B172</f>
        <v>2.5423036460045525E-3</v>
      </c>
      <c r="C192" s="373">
        <f t="shared" si="114"/>
        <v>2.2785776701676817E-3</v>
      </c>
      <c r="D192" s="373">
        <f t="shared" si="114"/>
        <v>2.3460560155403498E-3</v>
      </c>
      <c r="E192" s="373">
        <f t="shared" si="114"/>
        <v>2.798308416542483E-3</v>
      </c>
      <c r="F192" s="373">
        <f t="shared" si="114"/>
        <v>2.7922821321866363E-3</v>
      </c>
      <c r="G192" s="374">
        <f t="shared" si="114"/>
        <v>2.4894682736391243E-3</v>
      </c>
    </row>
    <row r="193" spans="1:7" x14ac:dyDescent="0.2">
      <c r="A193" s="242">
        <v>2016</v>
      </c>
      <c r="B193" s="373">
        <f t="shared" ref="B193:G193" si="115">+B153/B173</f>
        <v>2.5769441229559482E-3</v>
      </c>
      <c r="C193" s="373">
        <f t="shared" si="115"/>
        <v>2.401790848000661E-3</v>
      </c>
      <c r="D193" s="373">
        <f t="shared" si="115"/>
        <v>2.4348782761952608E-3</v>
      </c>
      <c r="E193" s="373">
        <f t="shared" si="115"/>
        <v>2.7993864699060161E-3</v>
      </c>
      <c r="F193" s="373">
        <f t="shared" si="115"/>
        <v>2.7922041659686155E-3</v>
      </c>
      <c r="G193" s="374">
        <f t="shared" si="115"/>
        <v>2.5403988046344816E-3</v>
      </c>
    </row>
    <row r="194" spans="1:7" x14ac:dyDescent="0.2">
      <c r="A194" s="242">
        <v>2017</v>
      </c>
      <c r="B194" s="373">
        <f t="shared" ref="B194:G194" si="116">+B154/B174</f>
        <v>2.5305862108615166E-3</v>
      </c>
      <c r="C194" s="373">
        <f t="shared" si="116"/>
        <v>2.2731598600177071E-3</v>
      </c>
      <c r="D194" s="373">
        <f t="shared" si="116"/>
        <v>2.2350443861635584E-3</v>
      </c>
      <c r="E194" s="373">
        <f t="shared" si="116"/>
        <v>2.7166596263199509E-3</v>
      </c>
      <c r="F194" s="373">
        <f t="shared" si="116"/>
        <v>2.9020270044917361E-3</v>
      </c>
      <c r="G194" s="374">
        <f t="shared" si="116"/>
        <v>2.4593844170516157E-3</v>
      </c>
    </row>
    <row r="195" spans="1:7" x14ac:dyDescent="0.2">
      <c r="A195" s="242">
        <v>2018</v>
      </c>
      <c r="B195" s="373">
        <f t="shared" ref="B195:G195" si="117">+B155/B175</f>
        <v>2.5305862108615166E-3</v>
      </c>
      <c r="C195" s="373">
        <f t="shared" si="117"/>
        <v>2.2731598600177071E-3</v>
      </c>
      <c r="D195" s="373">
        <f t="shared" si="117"/>
        <v>2.2350443861635584E-3</v>
      </c>
      <c r="E195" s="373">
        <f t="shared" si="117"/>
        <v>2.7166596263199509E-3</v>
      </c>
      <c r="F195" s="373">
        <f t="shared" si="117"/>
        <v>2.9020270044917361E-3</v>
      </c>
      <c r="G195" s="374">
        <f t="shared" si="117"/>
        <v>2.4604952254612691E-3</v>
      </c>
    </row>
    <row r="196" spans="1:7" x14ac:dyDescent="0.2">
      <c r="A196" s="242">
        <v>2019</v>
      </c>
      <c r="B196" s="373">
        <f t="shared" ref="B196:G196" si="118">+B156/B176</f>
        <v>2.5305862108615166E-3</v>
      </c>
      <c r="C196" s="373">
        <f t="shared" si="118"/>
        <v>2.2731598600177071E-3</v>
      </c>
      <c r="D196" s="373">
        <f t="shared" si="118"/>
        <v>2.2350443861635584E-3</v>
      </c>
      <c r="E196" s="373">
        <f t="shared" si="118"/>
        <v>2.7166596263199509E-3</v>
      </c>
      <c r="F196" s="373">
        <f t="shared" si="118"/>
        <v>2.9020270044917361E-3</v>
      </c>
      <c r="G196" s="374">
        <f t="shared" si="118"/>
        <v>2.460759773061726E-3</v>
      </c>
    </row>
    <row r="197" spans="1:7" x14ac:dyDescent="0.2">
      <c r="A197" s="252" t="s">
        <v>242</v>
      </c>
      <c r="B197" s="377">
        <f>+'Rate Class Load Model'!B43</f>
        <v>2.5305862108615166E-3</v>
      </c>
      <c r="C197" s="377">
        <f>+'Rate Class Load Model'!C43</f>
        <v>2.2731598600177071E-3</v>
      </c>
      <c r="D197" s="377">
        <f>+'Rate Class Load Model'!D43</f>
        <v>2.2350443861635584E-3</v>
      </c>
      <c r="E197" s="377">
        <f>+'Rate Class Load Model'!E43</f>
        <v>2.7166596263199509E-3</v>
      </c>
      <c r="F197" s="377">
        <f>+'Rate Class Load Model'!F43</f>
        <v>2.9020270044917361E-3</v>
      </c>
      <c r="G197" s="378">
        <f>+'Rate Class Load Model'!G43</f>
        <v>2.4452838047943847E-3</v>
      </c>
    </row>
    <row r="198" spans="1:7" ht="13.5" thickBot="1" x14ac:dyDescent="0.25">
      <c r="A198" s="254" t="s">
        <v>240</v>
      </c>
      <c r="B198" s="379">
        <f>GEOMEAN(B180:B193)</f>
        <v>2.5283573867817513E-3</v>
      </c>
      <c r="C198" s="379">
        <f t="shared" ref="C198:F198" si="119">GEOMEAN(C180:C193)</f>
        <v>2.2679450863957173E-3</v>
      </c>
      <c r="D198" s="379">
        <f t="shared" si="119"/>
        <v>2.2299917382380303E-3</v>
      </c>
      <c r="E198" s="379">
        <f t="shared" si="119"/>
        <v>2.715940561667607E-3</v>
      </c>
      <c r="F198" s="379">
        <f t="shared" si="119"/>
        <v>2.8783824927763528E-3</v>
      </c>
      <c r="G198" s="380">
        <f>GEOMEAN(G180:G193)</f>
        <v>2.444900652197813E-3</v>
      </c>
    </row>
    <row r="199" spans="1:7" ht="13.5" thickBot="1" x14ac:dyDescent="0.25"/>
    <row r="200" spans="1:7" ht="24.75" thickBot="1" x14ac:dyDescent="0.25">
      <c r="A200" s="224" t="s">
        <v>112</v>
      </c>
      <c r="B200" s="217" t="s">
        <v>234</v>
      </c>
      <c r="C200" s="217" t="s">
        <v>74</v>
      </c>
      <c r="D200" s="217" t="s">
        <v>236</v>
      </c>
      <c r="E200" s="217" t="s">
        <v>237</v>
      </c>
      <c r="F200" s="217" t="s">
        <v>238</v>
      </c>
      <c r="G200" s="218" t="s">
        <v>9</v>
      </c>
    </row>
    <row r="201" spans="1:7" x14ac:dyDescent="0.2">
      <c r="A201" s="244" t="s">
        <v>277</v>
      </c>
      <c r="B201" s="245"/>
      <c r="C201" s="245"/>
      <c r="D201" s="245"/>
      <c r="E201" s="245"/>
      <c r="F201" s="245"/>
      <c r="G201" s="246"/>
    </row>
    <row r="202" spans="1:7" x14ac:dyDescent="0.2">
      <c r="A202" s="242" t="str">
        <f>+A133</f>
        <v>2017 Bridge Year (YTD Actual)</v>
      </c>
      <c r="B202" s="219">
        <f t="shared" ref="B202:F204" si="120">+D133*B$197</f>
        <v>832942.28011661058</v>
      </c>
      <c r="C202" s="219">
        <f t="shared" si="120"/>
        <v>92630.431850062916</v>
      </c>
      <c r="D202" s="219">
        <f t="shared" si="120"/>
        <v>176491.02826956642</v>
      </c>
      <c r="E202" s="368">
        <f t="shared" si="120"/>
        <v>19558.614180022891</v>
      </c>
      <c r="F202" s="219">
        <f t="shared" si="120"/>
        <v>100.62017532644411</v>
      </c>
      <c r="G202" s="250">
        <f t="shared" ref="G202:G204" si="121">SUM(B202:F202)</f>
        <v>1121722.9745915893</v>
      </c>
    </row>
    <row r="203" spans="1:7" x14ac:dyDescent="0.2">
      <c r="A203" s="242" t="str">
        <f>+A134</f>
        <v>2018 Test Year (Regression)</v>
      </c>
      <c r="B203" s="219">
        <f t="shared" si="120"/>
        <v>834069.22595941229</v>
      </c>
      <c r="C203" s="219">
        <f t="shared" si="120"/>
        <v>90488.372107827323</v>
      </c>
      <c r="D203" s="219">
        <f t="shared" si="120"/>
        <v>167714.00346680533</v>
      </c>
      <c r="E203" s="368">
        <f t="shared" si="120"/>
        <v>13345.422407816242</v>
      </c>
      <c r="F203" s="219">
        <f t="shared" si="120"/>
        <v>96.768186330400098</v>
      </c>
      <c r="G203" s="250">
        <f t="shared" si="121"/>
        <v>1105713.7921281913</v>
      </c>
    </row>
    <row r="204" spans="1:7" ht="13.5" thickBot="1" x14ac:dyDescent="0.25">
      <c r="A204" s="243" t="str">
        <f>+A135</f>
        <v>2019 Test Year (Regression)</v>
      </c>
      <c r="B204" s="232">
        <f t="shared" si="120"/>
        <v>835118.23784245062</v>
      </c>
      <c r="C204" s="232">
        <f t="shared" si="120"/>
        <v>88370.102609788868</v>
      </c>
      <c r="D204" s="232">
        <f t="shared" si="120"/>
        <v>169067.84371452243</v>
      </c>
      <c r="E204" s="369">
        <f t="shared" si="120"/>
        <v>13901.837880180767</v>
      </c>
      <c r="F204" s="232">
        <f t="shared" si="120"/>
        <v>93.036557088953359</v>
      </c>
      <c r="G204" s="251">
        <f t="shared" si="121"/>
        <v>1106551.0586040316</v>
      </c>
    </row>
    <row r="206" spans="1:7" x14ac:dyDescent="0.2">
      <c r="B206" s="159"/>
      <c r="C206" s="159"/>
      <c r="D206" s="159"/>
      <c r="E206" s="159"/>
      <c r="F206" s="159"/>
      <c r="G206" s="159"/>
    </row>
    <row r="207" spans="1:7" x14ac:dyDescent="0.2">
      <c r="B207" s="159"/>
      <c r="C207" s="159"/>
      <c r="D207" s="159"/>
      <c r="E207" s="159"/>
      <c r="F207" s="159"/>
    </row>
    <row r="208" spans="1:7" x14ac:dyDescent="0.2">
      <c r="B208" s="159"/>
      <c r="C208" s="159"/>
      <c r="D208" s="159"/>
      <c r="E208" s="159"/>
      <c r="F208" s="159"/>
    </row>
    <row r="209" spans="2:6" x14ac:dyDescent="0.2">
      <c r="B209" s="159"/>
      <c r="C209" s="159"/>
      <c r="D209" s="159"/>
      <c r="E209" s="159"/>
      <c r="F209" s="159"/>
    </row>
    <row r="210" spans="2:6" x14ac:dyDescent="0.2">
      <c r="B210" s="159"/>
      <c r="C210" s="159"/>
      <c r="D210" s="159"/>
      <c r="E210" s="159"/>
      <c r="F210" s="159"/>
    </row>
    <row r="211" spans="2:6" x14ac:dyDescent="0.2">
      <c r="B211" s="159"/>
      <c r="C211" s="159"/>
      <c r="D211" s="159"/>
      <c r="E211" s="159"/>
      <c r="F211" s="159"/>
    </row>
    <row r="212" spans="2:6" x14ac:dyDescent="0.2">
      <c r="B212" s="159"/>
      <c r="C212" s="159"/>
      <c r="D212" s="159"/>
      <c r="E212" s="159"/>
      <c r="F212" s="159"/>
    </row>
    <row r="213" spans="2:6" x14ac:dyDescent="0.2">
      <c r="B213" s="159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71"/>
  <sheetViews>
    <sheetView workbookViewId="0">
      <pane xSplit="1" ySplit="2" topLeftCell="B3" activePane="bottomRight" state="frozen"/>
      <selection activeCell="A3" sqref="A3"/>
      <selection pane="topRight" activeCell="A3" sqref="A3"/>
      <selection pane="bottomLeft" activeCell="A3" sqref="A3"/>
      <selection pane="bottomRight" activeCell="B3" sqref="B3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2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5.5703125" style="6" bestFit="1" customWidth="1"/>
    <col min="15" max="15" width="24.28515625" style="6" bestFit="1" customWidth="1"/>
    <col min="16" max="16" width="22.7109375" style="6" bestFit="1" customWidth="1"/>
    <col min="17" max="17" width="9.5703125" style="6" bestFit="1" customWidth="1"/>
    <col min="18" max="21" width="15.570312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64"/>
      <c r="M2" t="s">
        <v>18</v>
      </c>
      <c r="N2"/>
      <c r="O2"/>
      <c r="P2"/>
      <c r="Q2"/>
    </row>
    <row r="3" spans="1:18" ht="13.5" thickBot="1" x14ac:dyDescent="0.25">
      <c r="A3" s="453">
        <v>37622</v>
      </c>
      <c r="B3" s="454">
        <v>12159799</v>
      </c>
      <c r="C3" s="455">
        <f>+'Purchased Power Model '!C3</f>
        <v>786</v>
      </c>
      <c r="D3" s="455">
        <f>+'Purchased Power Model '!D3</f>
        <v>0</v>
      </c>
      <c r="E3" s="443">
        <f>+'Purchased Power Model '!E3</f>
        <v>5.2000000000000005E-2</v>
      </c>
      <c r="F3" s="53">
        <f>+'Purchased Power Model '!F3</f>
        <v>31</v>
      </c>
      <c r="G3" s="53">
        <f>+'Purchased Power Model '!G3</f>
        <v>0</v>
      </c>
      <c r="H3" s="171">
        <v>2</v>
      </c>
      <c r="I3" s="456">
        <f>$N$18+C3*$N$19+D3*$N$20+E3*$N$21+F3*$N$22+G3*$N$23</f>
        <v>7701049.8483099155</v>
      </c>
      <c r="J3" s="457">
        <f>I3-B3</f>
        <v>-4458749.1516900845</v>
      </c>
      <c r="K3" s="5">
        <f>J3/B3</f>
        <v>-0.36667951104208912</v>
      </c>
      <c r="M3"/>
      <c r="N3"/>
      <c r="O3"/>
      <c r="P3"/>
      <c r="Q3"/>
    </row>
    <row r="4" spans="1:18" x14ac:dyDescent="0.2">
      <c r="A4" s="453">
        <v>37653</v>
      </c>
      <c r="B4" s="454">
        <v>15334488</v>
      </c>
      <c r="C4" s="455">
        <f>+'Purchased Power Model '!C4</f>
        <v>686.5</v>
      </c>
      <c r="D4" s="455">
        <f>+'Purchased Power Model '!D4</f>
        <v>0</v>
      </c>
      <c r="E4" s="443">
        <f>+'Purchased Power Model '!E4</f>
        <v>5.2000000000000005E-2</v>
      </c>
      <c r="F4" s="53">
        <f>+'Purchased Power Model '!F4</f>
        <v>28</v>
      </c>
      <c r="G4" s="53">
        <f>+'Purchased Power Model '!G4</f>
        <v>0</v>
      </c>
      <c r="H4" s="171">
        <v>2</v>
      </c>
      <c r="I4" s="456">
        <f t="shared" ref="I4:I67" si="0">$N$18+C4*$N$19+D4*$N$20+E4*$N$21+F4*$N$22+G4*$N$23</f>
        <v>8131840.6606970634</v>
      </c>
      <c r="J4" s="457">
        <f t="shared" ref="J4:J67" si="1">I4-B4</f>
        <v>-7202647.3393029366</v>
      </c>
      <c r="K4" s="5">
        <f t="shared" ref="K4:K67" si="2">J4/B4</f>
        <v>-0.4697024993141562</v>
      </c>
      <c r="M4" s="49" t="s">
        <v>19</v>
      </c>
      <c r="N4" s="49"/>
      <c r="O4"/>
      <c r="P4"/>
      <c r="Q4"/>
    </row>
    <row r="5" spans="1:18" x14ac:dyDescent="0.2">
      <c r="A5" s="453">
        <v>37681</v>
      </c>
      <c r="B5" s="454">
        <v>14027949</v>
      </c>
      <c r="C5" s="455">
        <f>+'Purchased Power Model '!C5</f>
        <v>572.5</v>
      </c>
      <c r="D5" s="455">
        <f>+'Purchased Power Model '!D5</f>
        <v>0</v>
      </c>
      <c r="E5" s="443">
        <f>+'Purchased Power Model '!E5</f>
        <v>5.2000000000000005E-2</v>
      </c>
      <c r="F5" s="53">
        <f>+'Purchased Power Model '!F5</f>
        <v>31</v>
      </c>
      <c r="G5" s="53">
        <f>+'Purchased Power Model '!G5</f>
        <v>1</v>
      </c>
      <c r="H5" s="171">
        <v>2</v>
      </c>
      <c r="I5" s="456">
        <f t="shared" si="0"/>
        <v>7797709.7975577042</v>
      </c>
      <c r="J5" s="457">
        <f t="shared" si="1"/>
        <v>-6230239.2024422958</v>
      </c>
      <c r="K5" s="5">
        <f t="shared" si="2"/>
        <v>-0.44413044290667836</v>
      </c>
      <c r="M5" s="35" t="s">
        <v>20</v>
      </c>
      <c r="N5" s="466">
        <v>0.6245879146083948</v>
      </c>
      <c r="O5"/>
      <c r="P5"/>
      <c r="Q5"/>
    </row>
    <row r="6" spans="1:18" x14ac:dyDescent="0.2">
      <c r="A6" s="453">
        <v>37712</v>
      </c>
      <c r="B6" s="454">
        <v>16091782.488984304</v>
      </c>
      <c r="C6" s="455">
        <f>+'Purchased Power Model '!C6</f>
        <v>403.9</v>
      </c>
      <c r="D6" s="455">
        <f>+'Purchased Power Model '!D6</f>
        <v>0</v>
      </c>
      <c r="E6" s="443">
        <f>+'Purchased Power Model '!E6</f>
        <v>5.5999999999999994E-2</v>
      </c>
      <c r="F6" s="53">
        <f>+'Purchased Power Model '!F6</f>
        <v>30</v>
      </c>
      <c r="G6" s="53">
        <f>+'Purchased Power Model '!G6</f>
        <v>1</v>
      </c>
      <c r="H6" s="171">
        <v>2</v>
      </c>
      <c r="I6" s="456">
        <f t="shared" si="0"/>
        <v>7326797.8192123333</v>
      </c>
      <c r="J6" s="457">
        <f t="shared" si="1"/>
        <v>-8764984.6697719693</v>
      </c>
      <c r="K6" s="5">
        <f t="shared" si="2"/>
        <v>-0.54468699634562401</v>
      </c>
      <c r="M6" s="35" t="s">
        <v>21</v>
      </c>
      <c r="N6" s="466">
        <v>0.39011006307486351</v>
      </c>
      <c r="O6"/>
      <c r="P6"/>
      <c r="Q6"/>
    </row>
    <row r="7" spans="1:18" x14ac:dyDescent="0.2">
      <c r="A7" s="453">
        <v>37742</v>
      </c>
      <c r="B7" s="454">
        <v>12996205.511015696</v>
      </c>
      <c r="C7" s="455">
        <f>+'Purchased Power Model '!C7</f>
        <v>192</v>
      </c>
      <c r="D7" s="455">
        <f>+'Purchased Power Model '!D7</f>
        <v>0</v>
      </c>
      <c r="E7" s="443">
        <f>+'Purchased Power Model '!E7</f>
        <v>5.5999999999999994E-2</v>
      </c>
      <c r="F7" s="53">
        <f>+'Purchased Power Model '!F7</f>
        <v>31</v>
      </c>
      <c r="G7" s="53">
        <f>+'Purchased Power Model '!G7</f>
        <v>1</v>
      </c>
      <c r="H7" s="171">
        <v>2</v>
      </c>
      <c r="I7" s="456">
        <f t="shared" si="0"/>
        <v>7048258.5531733334</v>
      </c>
      <c r="J7" s="457">
        <f t="shared" si="1"/>
        <v>-5947946.957842363</v>
      </c>
      <c r="K7" s="5">
        <f t="shared" si="2"/>
        <v>-0.45766796722326619</v>
      </c>
      <c r="M7" s="35" t="s">
        <v>22</v>
      </c>
      <c r="N7" s="466">
        <v>0.37162854983470783</v>
      </c>
      <c r="O7"/>
      <c r="P7"/>
      <c r="Q7"/>
    </row>
    <row r="8" spans="1:18" x14ac:dyDescent="0.2">
      <c r="A8" s="453">
        <v>37773</v>
      </c>
      <c r="B8" s="454">
        <v>14700512</v>
      </c>
      <c r="C8" s="455">
        <f>+'Purchased Power Model '!C8</f>
        <v>55.1</v>
      </c>
      <c r="D8" s="455">
        <f>+'Purchased Power Model '!D8</f>
        <v>31</v>
      </c>
      <c r="E8" s="443">
        <f>+'Purchased Power Model '!E8</f>
        <v>5.5999999999999994E-2</v>
      </c>
      <c r="F8" s="53">
        <f>+'Purchased Power Model '!F8</f>
        <v>30</v>
      </c>
      <c r="G8" s="53">
        <f>+'Purchased Power Model '!G8</f>
        <v>0</v>
      </c>
      <c r="H8" s="171">
        <v>2</v>
      </c>
      <c r="I8" s="456">
        <f t="shared" si="0"/>
        <v>6883435.6658756891</v>
      </c>
      <c r="J8" s="457">
        <f t="shared" si="1"/>
        <v>-7817076.3341243109</v>
      </c>
      <c r="K8" s="5">
        <f t="shared" si="2"/>
        <v>-0.53175537927687899</v>
      </c>
      <c r="M8" s="35" t="s">
        <v>23</v>
      </c>
      <c r="N8" s="59">
        <v>2474940.0895942859</v>
      </c>
      <c r="O8"/>
      <c r="P8"/>
      <c r="Q8"/>
    </row>
    <row r="9" spans="1:18" ht="13.5" thickBot="1" x14ac:dyDescent="0.25">
      <c r="A9" s="453">
        <v>37803</v>
      </c>
      <c r="B9" s="454">
        <v>13956069</v>
      </c>
      <c r="C9" s="455">
        <f>+'Purchased Power Model '!C9</f>
        <v>5.7</v>
      </c>
      <c r="D9" s="455">
        <f>+'Purchased Power Model '!D9</f>
        <v>59.1</v>
      </c>
      <c r="E9" s="443">
        <f>+'Purchased Power Model '!E9</f>
        <v>5.0999999999999997E-2</v>
      </c>
      <c r="F9" s="53">
        <f>+'Purchased Power Model '!F9</f>
        <v>31</v>
      </c>
      <c r="G9" s="53">
        <f>+'Purchased Power Model '!G9</f>
        <v>0</v>
      </c>
      <c r="H9" s="171">
        <v>3</v>
      </c>
      <c r="I9" s="456">
        <f t="shared" si="0"/>
        <v>7335681.5507351272</v>
      </c>
      <c r="J9" s="457">
        <f t="shared" si="1"/>
        <v>-6620387.4492648728</v>
      </c>
      <c r="K9" s="5">
        <f t="shared" si="2"/>
        <v>-0.47437336754818804</v>
      </c>
      <c r="M9" s="47" t="s">
        <v>24</v>
      </c>
      <c r="N9" s="60">
        <v>171</v>
      </c>
      <c r="O9"/>
      <c r="P9"/>
      <c r="Q9"/>
    </row>
    <row r="10" spans="1:18" x14ac:dyDescent="0.2">
      <c r="A10" s="453">
        <v>37834</v>
      </c>
      <c r="B10" s="454">
        <v>11751775</v>
      </c>
      <c r="C10" s="455">
        <f>+'Purchased Power Model '!C10</f>
        <v>10.4</v>
      </c>
      <c r="D10" s="455">
        <f>+'Purchased Power Model '!D10</f>
        <v>106.5</v>
      </c>
      <c r="E10" s="443">
        <f>+'Purchased Power Model '!E10</f>
        <v>5.0999999999999997E-2</v>
      </c>
      <c r="F10" s="53">
        <f>+'Purchased Power Model '!F10</f>
        <v>31</v>
      </c>
      <c r="G10" s="53">
        <f>+'Purchased Power Model '!G10</f>
        <v>0</v>
      </c>
      <c r="H10" s="171">
        <v>3</v>
      </c>
      <c r="I10" s="456">
        <f t="shared" si="0"/>
        <v>7281572.9567985125</v>
      </c>
      <c r="J10" s="457">
        <f t="shared" si="1"/>
        <v>-4470202.0432014875</v>
      </c>
      <c r="K10" s="5">
        <f t="shared" si="2"/>
        <v>-0.38038526462610861</v>
      </c>
      <c r="M10"/>
      <c r="N10"/>
      <c r="O10"/>
      <c r="P10"/>
      <c r="Q10"/>
    </row>
    <row r="11" spans="1:18" ht="13.5" thickBot="1" x14ac:dyDescent="0.25">
      <c r="A11" s="453">
        <v>37865</v>
      </c>
      <c r="B11" s="454">
        <v>14022194</v>
      </c>
      <c r="C11" s="455">
        <f>+'Purchased Power Model '!C11</f>
        <v>55.2</v>
      </c>
      <c r="D11" s="455">
        <f>+'Purchased Power Model '!D11</f>
        <v>12.1</v>
      </c>
      <c r="E11" s="443">
        <f>+'Purchased Power Model '!E11</f>
        <v>5.0999999999999997E-2</v>
      </c>
      <c r="F11" s="53">
        <f>+'Purchased Power Model '!F11</f>
        <v>30</v>
      </c>
      <c r="G11" s="53">
        <f>+'Purchased Power Model '!G11</f>
        <v>1</v>
      </c>
      <c r="H11" s="171">
        <v>3</v>
      </c>
      <c r="I11" s="456">
        <f t="shared" si="0"/>
        <v>7795236.3509623939</v>
      </c>
      <c r="J11" s="457">
        <f t="shared" si="1"/>
        <v>-6226957.6490376061</v>
      </c>
      <c r="K11" s="5">
        <f t="shared" si="2"/>
        <v>-0.44407869760164537</v>
      </c>
      <c r="M11" t="s">
        <v>25</v>
      </c>
      <c r="N11"/>
      <c r="O11"/>
      <c r="P11"/>
      <c r="Q11"/>
    </row>
    <row r="12" spans="1:18" x14ac:dyDescent="0.2">
      <c r="A12" s="453">
        <v>37895</v>
      </c>
      <c r="B12" s="454">
        <v>15169809</v>
      </c>
      <c r="C12" s="455">
        <f>+'Purchased Power Model '!C12</f>
        <v>289.7</v>
      </c>
      <c r="D12" s="455">
        <f>+'Purchased Power Model '!D12</f>
        <v>0</v>
      </c>
      <c r="E12" s="443">
        <f>+'Purchased Power Model '!E12</f>
        <v>4.8000000000000001E-2</v>
      </c>
      <c r="F12" s="53">
        <f>+'Purchased Power Model '!F12</f>
        <v>31</v>
      </c>
      <c r="G12" s="53">
        <f>+'Purchased Power Model '!G12</f>
        <v>1</v>
      </c>
      <c r="H12" s="171">
        <v>3</v>
      </c>
      <c r="I12" s="456">
        <f t="shared" si="0"/>
        <v>8181924.7257905379</v>
      </c>
      <c r="J12" s="457">
        <f t="shared" si="1"/>
        <v>-6987884.2742094621</v>
      </c>
      <c r="K12" s="5">
        <f t="shared" si="2"/>
        <v>-0.46064418307504479</v>
      </c>
      <c r="M12" s="48"/>
      <c r="N12" s="48" t="s">
        <v>29</v>
      </c>
      <c r="O12" s="48" t="s">
        <v>30</v>
      </c>
      <c r="P12" s="48" t="s">
        <v>31</v>
      </c>
      <c r="Q12" s="48" t="s">
        <v>32</v>
      </c>
      <c r="R12" s="48" t="s">
        <v>33</v>
      </c>
    </row>
    <row r="13" spans="1:18" x14ac:dyDescent="0.2">
      <c r="A13" s="453">
        <v>37926</v>
      </c>
      <c r="B13" s="454">
        <v>14680145</v>
      </c>
      <c r="C13" s="455">
        <f>+'Purchased Power Model '!C13</f>
        <v>387.6</v>
      </c>
      <c r="D13" s="455">
        <f>+'Purchased Power Model '!D13</f>
        <v>0</v>
      </c>
      <c r="E13" s="443">
        <f>+'Purchased Power Model '!E13</f>
        <v>4.8000000000000001E-2</v>
      </c>
      <c r="F13" s="53">
        <f>+'Purchased Power Model '!F13</f>
        <v>30</v>
      </c>
      <c r="G13" s="53">
        <f>+'Purchased Power Model '!G13</f>
        <v>1</v>
      </c>
      <c r="H13" s="171">
        <v>3</v>
      </c>
      <c r="I13" s="456">
        <f t="shared" si="0"/>
        <v>8397691.5810934044</v>
      </c>
      <c r="J13" s="457">
        <f t="shared" si="1"/>
        <v>-6282453.4189065956</v>
      </c>
      <c r="K13" s="5">
        <f t="shared" si="2"/>
        <v>-0.42795581507584535</v>
      </c>
      <c r="M13" s="35" t="s">
        <v>26</v>
      </c>
      <c r="N13" s="59">
        <v>5</v>
      </c>
      <c r="O13" s="59">
        <v>646470945261430.5</v>
      </c>
      <c r="P13" s="59">
        <v>129294189052286.09</v>
      </c>
      <c r="Q13" s="59">
        <v>21.108123453184181</v>
      </c>
      <c r="R13" s="59">
        <v>2.773324140149001E-16</v>
      </c>
    </row>
    <row r="14" spans="1:18" x14ac:dyDescent="0.2">
      <c r="A14" s="453">
        <v>37956</v>
      </c>
      <c r="B14" s="454">
        <v>14366484.5</v>
      </c>
      <c r="C14" s="455">
        <f>+'Purchased Power Model '!C14</f>
        <v>548.20000000000005</v>
      </c>
      <c r="D14" s="455">
        <f>+'Purchased Power Model '!D14</f>
        <v>0</v>
      </c>
      <c r="E14" s="443">
        <f>+'Purchased Power Model '!E14</f>
        <v>4.8000000000000001E-2</v>
      </c>
      <c r="F14" s="53">
        <f>+'Purchased Power Model '!F14</f>
        <v>31</v>
      </c>
      <c r="G14" s="53">
        <f>+'Purchased Power Model '!G14</f>
        <v>0</v>
      </c>
      <c r="H14" s="171">
        <v>3</v>
      </c>
      <c r="I14" s="456">
        <f t="shared" si="0"/>
        <v>8110043.3597280644</v>
      </c>
      <c r="J14" s="457">
        <f t="shared" si="1"/>
        <v>-6256441.1402719356</v>
      </c>
      <c r="K14" s="5">
        <f t="shared" si="2"/>
        <v>-0.4354886639297133</v>
      </c>
      <c r="M14" s="35" t="s">
        <v>27</v>
      </c>
      <c r="N14" s="59">
        <v>165</v>
      </c>
      <c r="O14" s="59">
        <v>1010679193768360.2</v>
      </c>
      <c r="P14" s="59">
        <v>6125328447080.9717</v>
      </c>
      <c r="Q14" s="59"/>
      <c r="R14" s="59"/>
    </row>
    <row r="15" spans="1:18" ht="13.5" thickBot="1" x14ac:dyDescent="0.25">
      <c r="A15" s="453">
        <v>37987</v>
      </c>
      <c r="B15" s="454">
        <v>12464314</v>
      </c>
      <c r="C15" s="455">
        <f>+'Purchased Power Model '!C15</f>
        <v>828.8</v>
      </c>
      <c r="D15" s="455">
        <f>+'Purchased Power Model '!D15</f>
        <v>0</v>
      </c>
      <c r="E15" s="443">
        <f>+'Purchased Power Model '!E15</f>
        <v>5.0999999999999997E-2</v>
      </c>
      <c r="F15" s="53">
        <f>+'Purchased Power Model '!F15</f>
        <v>31</v>
      </c>
      <c r="G15" s="53">
        <f>+'Purchased Power Model '!G15</f>
        <v>0</v>
      </c>
      <c r="H15" s="171">
        <v>3</v>
      </c>
      <c r="I15" s="456">
        <f t="shared" si="0"/>
        <v>7859600.6735133082</v>
      </c>
      <c r="J15" s="457">
        <f t="shared" si="1"/>
        <v>-4604713.3264866918</v>
      </c>
      <c r="K15" s="5">
        <f t="shared" si="2"/>
        <v>-0.36943174943175305</v>
      </c>
      <c r="M15" s="47" t="s">
        <v>9</v>
      </c>
      <c r="N15" s="60">
        <v>170</v>
      </c>
      <c r="O15" s="60">
        <v>1657150139029790.7</v>
      </c>
      <c r="P15" s="60"/>
      <c r="Q15" s="60"/>
      <c r="R15" s="60"/>
    </row>
    <row r="16" spans="1:18" ht="13.5" thickBot="1" x14ac:dyDescent="0.25">
      <c r="A16" s="453">
        <v>38018</v>
      </c>
      <c r="B16" s="454">
        <v>12419310</v>
      </c>
      <c r="C16" s="455">
        <f>+'Purchased Power Model '!C16</f>
        <v>615.6</v>
      </c>
      <c r="D16" s="455">
        <f>+'Purchased Power Model '!D16</f>
        <v>0</v>
      </c>
      <c r="E16" s="443">
        <f>+'Purchased Power Model '!E16</f>
        <v>5.0999999999999997E-2</v>
      </c>
      <c r="F16" s="53">
        <f>+'Purchased Power Model '!F16</f>
        <v>29</v>
      </c>
      <c r="G16" s="53">
        <f>+'Purchased Power Model '!G16</f>
        <v>0</v>
      </c>
      <c r="H16" s="171">
        <v>3</v>
      </c>
      <c r="I16" s="456">
        <f t="shared" si="0"/>
        <v>8065924.5947236279</v>
      </c>
      <c r="J16" s="457">
        <f t="shared" si="1"/>
        <v>-4353385.4052763721</v>
      </c>
      <c r="K16" s="5">
        <f t="shared" si="2"/>
        <v>-0.35053359689679797</v>
      </c>
      <c r="M16"/>
      <c r="N16"/>
      <c r="O16"/>
      <c r="P16"/>
      <c r="Q16"/>
    </row>
    <row r="17" spans="1:21" x14ac:dyDescent="0.2">
      <c r="A17" s="453">
        <v>38047</v>
      </c>
      <c r="B17" s="454">
        <v>11160560</v>
      </c>
      <c r="C17" s="455">
        <f>+'Purchased Power Model '!C17</f>
        <v>487.1</v>
      </c>
      <c r="D17" s="455">
        <f>+'Purchased Power Model '!D17</f>
        <v>0</v>
      </c>
      <c r="E17" s="443">
        <f>+'Purchased Power Model '!E17</f>
        <v>5.0999999999999997E-2</v>
      </c>
      <c r="F17" s="53">
        <f>+'Purchased Power Model '!F17</f>
        <v>31</v>
      </c>
      <c r="G17" s="53">
        <f>+'Purchased Power Model '!G17</f>
        <v>1</v>
      </c>
      <c r="H17" s="171">
        <v>3</v>
      </c>
      <c r="I17" s="456">
        <f t="shared" si="0"/>
        <v>7885669.1924420446</v>
      </c>
      <c r="J17" s="457">
        <f t="shared" si="1"/>
        <v>-3274890.8075579554</v>
      </c>
      <c r="K17" s="5">
        <f t="shared" si="2"/>
        <v>-0.29343427279257989</v>
      </c>
      <c r="M17" s="48"/>
      <c r="N17" s="48" t="s">
        <v>34</v>
      </c>
      <c r="O17" s="48" t="s">
        <v>23</v>
      </c>
      <c r="P17" s="48" t="s">
        <v>35</v>
      </c>
      <c r="Q17" s="48" t="s">
        <v>36</v>
      </c>
      <c r="R17" s="48" t="s">
        <v>37</v>
      </c>
      <c r="S17" s="48" t="s">
        <v>38</v>
      </c>
      <c r="T17" s="48" t="s">
        <v>39</v>
      </c>
      <c r="U17" s="48" t="s">
        <v>40</v>
      </c>
    </row>
    <row r="18" spans="1:21" x14ac:dyDescent="0.2">
      <c r="A18" s="453">
        <v>38078</v>
      </c>
      <c r="B18" s="454">
        <v>11229906</v>
      </c>
      <c r="C18" s="455">
        <f>+'Purchased Power Model '!C18</f>
        <v>345</v>
      </c>
      <c r="D18" s="455">
        <f>+'Purchased Power Model '!D18</f>
        <v>0</v>
      </c>
      <c r="E18" s="443">
        <f>+'Purchased Power Model '!E18</f>
        <v>5.2999999999999999E-2</v>
      </c>
      <c r="F18" s="53">
        <f>+'Purchased Power Model '!F18</f>
        <v>30</v>
      </c>
      <c r="G18" s="53">
        <f>+'Purchased Power Model '!G18</f>
        <v>1</v>
      </c>
      <c r="H18" s="171">
        <v>3</v>
      </c>
      <c r="I18" s="456">
        <f t="shared" si="0"/>
        <v>7699316.3252534075</v>
      </c>
      <c r="J18" s="457">
        <f t="shared" si="1"/>
        <v>-3530589.6747465925</v>
      </c>
      <c r="K18" s="5">
        <f t="shared" si="2"/>
        <v>-0.31439173887533811</v>
      </c>
      <c r="M18" s="35" t="s">
        <v>28</v>
      </c>
      <c r="N18" s="59">
        <v>19305049.645941742</v>
      </c>
      <c r="O18" s="59">
        <v>7350375.1389404284</v>
      </c>
      <c r="P18" s="59">
        <v>2.6264033169774521</v>
      </c>
      <c r="Q18" s="59">
        <v>9.4416076778465769E-3</v>
      </c>
      <c r="R18" s="59">
        <v>4792133.5733211283</v>
      </c>
      <c r="S18" s="59">
        <v>33817965.718562357</v>
      </c>
      <c r="T18" s="59">
        <v>4792133.5733211283</v>
      </c>
      <c r="U18" s="59">
        <v>33817965.718562357</v>
      </c>
    </row>
    <row r="19" spans="1:21" x14ac:dyDescent="0.2">
      <c r="A19" s="453">
        <v>38108</v>
      </c>
      <c r="B19" s="454">
        <v>10076064</v>
      </c>
      <c r="C19" s="455">
        <f>+'Purchased Power Model '!C19</f>
        <v>177.5</v>
      </c>
      <c r="D19" s="455">
        <f>+'Purchased Power Model '!D19</f>
        <v>0</v>
      </c>
      <c r="E19" s="443">
        <f>+'Purchased Power Model '!E19</f>
        <v>5.2999999999999999E-2</v>
      </c>
      <c r="F19" s="53">
        <f>+'Purchased Power Model '!F19</f>
        <v>31</v>
      </c>
      <c r="G19" s="53">
        <f>+'Purchased Power Model '!G19</f>
        <v>1</v>
      </c>
      <c r="H19" s="171">
        <v>3</v>
      </c>
      <c r="I19" s="456">
        <f t="shared" si="0"/>
        <v>7445225.2612905856</v>
      </c>
      <c r="J19" s="457">
        <f t="shared" si="1"/>
        <v>-2630838.7387094144</v>
      </c>
      <c r="K19" s="5">
        <f t="shared" si="2"/>
        <v>-0.26109785911536632</v>
      </c>
      <c r="M19" s="35" t="s">
        <v>3</v>
      </c>
      <c r="N19" s="59">
        <v>550.6351818958816</v>
      </c>
      <c r="O19" s="59">
        <v>1142.7445559803948</v>
      </c>
      <c r="P19" s="59">
        <v>0.48185325321762323</v>
      </c>
      <c r="Q19" s="59">
        <v>0.63054870267726004</v>
      </c>
      <c r="R19" s="59">
        <v>-1705.6518129714686</v>
      </c>
      <c r="S19" s="59">
        <v>2806.9221767632316</v>
      </c>
      <c r="T19" s="59">
        <v>-1705.6518129714686</v>
      </c>
      <c r="U19" s="59">
        <v>2806.9221767632316</v>
      </c>
    </row>
    <row r="20" spans="1:21" x14ac:dyDescent="0.2">
      <c r="A20" s="453">
        <v>38139</v>
      </c>
      <c r="B20" s="454">
        <v>10438431</v>
      </c>
      <c r="C20" s="455">
        <f>+'Purchased Power Model '!C20</f>
        <v>73.2</v>
      </c>
      <c r="D20" s="455">
        <f>+'Purchased Power Model '!D20</f>
        <v>15.6</v>
      </c>
      <c r="E20" s="443">
        <f>+'Purchased Power Model '!E20</f>
        <v>5.2999999999999999E-2</v>
      </c>
      <c r="F20" s="53">
        <f>+'Purchased Power Model '!F20</f>
        <v>30</v>
      </c>
      <c r="G20" s="53">
        <f>+'Purchased Power Model '!G20</f>
        <v>0</v>
      </c>
      <c r="H20" s="171">
        <v>3</v>
      </c>
      <c r="I20" s="456">
        <f t="shared" si="0"/>
        <v>7316773.4885406634</v>
      </c>
      <c r="J20" s="457">
        <f t="shared" si="1"/>
        <v>-3121657.5114593366</v>
      </c>
      <c r="K20" s="5">
        <f t="shared" si="2"/>
        <v>-0.29905428425587494</v>
      </c>
      <c r="M20" s="35" t="s">
        <v>4</v>
      </c>
      <c r="N20" s="59">
        <v>-1196.1303648000478</v>
      </c>
      <c r="O20" s="59">
        <v>8800.3140727864829</v>
      </c>
      <c r="P20" s="59">
        <v>-0.1359190541277252</v>
      </c>
      <c r="Q20" s="59">
        <v>0.89205095564983661</v>
      </c>
      <c r="R20" s="59">
        <v>-18571.872029253809</v>
      </c>
      <c r="S20" s="59">
        <v>16179.611299653714</v>
      </c>
      <c r="T20" s="59">
        <v>-18571.872029253809</v>
      </c>
      <c r="U20" s="59">
        <v>16179.611299653714</v>
      </c>
    </row>
    <row r="21" spans="1:21" x14ac:dyDescent="0.2">
      <c r="A21" s="453">
        <v>38169</v>
      </c>
      <c r="B21" s="454">
        <v>10556569</v>
      </c>
      <c r="C21" s="455">
        <f>+'Purchased Power Model '!C21</f>
        <v>2</v>
      </c>
      <c r="D21" s="455">
        <f>+'Purchased Power Model '!D21</f>
        <v>69.3</v>
      </c>
      <c r="E21" s="443">
        <f>+'Purchased Power Model '!E21</f>
        <v>5.2999999999999999E-2</v>
      </c>
      <c r="F21" s="53">
        <f>+'Purchased Power Model '!F21</f>
        <v>31</v>
      </c>
      <c r="G21" s="53">
        <f>+'Purchased Power Model '!G21</f>
        <v>0</v>
      </c>
      <c r="H21" s="171">
        <v>3</v>
      </c>
      <c r="I21" s="456">
        <f t="shared" si="0"/>
        <v>7051476.3920046557</v>
      </c>
      <c r="J21" s="457">
        <f t="shared" si="1"/>
        <v>-3505092.6079953443</v>
      </c>
      <c r="K21" s="5">
        <f t="shared" si="2"/>
        <v>-0.33202952663837504</v>
      </c>
      <c r="M21" s="35" t="s">
        <v>217</v>
      </c>
      <c r="N21" s="59">
        <v>-134983639.41824728</v>
      </c>
      <c r="O21" s="59">
        <v>13244759.321968775</v>
      </c>
      <c r="P21" s="59">
        <v>-10.191475446016829</v>
      </c>
      <c r="Q21" s="59">
        <v>3.1675572443481737E-19</v>
      </c>
      <c r="R21" s="59">
        <v>-161134696.58313388</v>
      </c>
      <c r="S21" s="59">
        <v>-108832582.25336069</v>
      </c>
      <c r="T21" s="59">
        <v>-161134696.58313388</v>
      </c>
      <c r="U21" s="59">
        <v>-108832582.25336069</v>
      </c>
    </row>
    <row r="22" spans="1:21" x14ac:dyDescent="0.2">
      <c r="A22" s="453">
        <v>38200</v>
      </c>
      <c r="B22" s="454">
        <v>4679798</v>
      </c>
      <c r="C22" s="455">
        <f>+'Purchased Power Model '!C22</f>
        <v>19.600000000000001</v>
      </c>
      <c r="D22" s="455">
        <f>+'Purchased Power Model '!D22</f>
        <v>53.6</v>
      </c>
      <c r="E22" s="443">
        <f>+'Purchased Power Model '!E22</f>
        <v>5.2999999999999999E-2</v>
      </c>
      <c r="F22" s="53">
        <f>+'Purchased Power Model '!F22</f>
        <v>31</v>
      </c>
      <c r="G22" s="53">
        <f>+'Purchased Power Model '!G22</f>
        <v>0</v>
      </c>
      <c r="H22" s="171">
        <v>2</v>
      </c>
      <c r="I22" s="456">
        <f t="shared" si="0"/>
        <v>7079946.8179333862</v>
      </c>
      <c r="J22" s="457">
        <f t="shared" si="1"/>
        <v>2400148.8179333862</v>
      </c>
      <c r="K22" s="5">
        <f t="shared" si="2"/>
        <v>0.51287444841281316</v>
      </c>
      <c r="M22" s="35" t="s">
        <v>5</v>
      </c>
      <c r="N22" s="59">
        <v>-161859.67099526225</v>
      </c>
      <c r="O22" s="59">
        <v>240184.3782501308</v>
      </c>
      <c r="P22" s="59">
        <v>-0.6738975789120627</v>
      </c>
      <c r="Q22" s="59">
        <v>0.50131939245836787</v>
      </c>
      <c r="R22" s="59">
        <v>-636090.66704768874</v>
      </c>
      <c r="S22" s="59">
        <v>312371.3250571643</v>
      </c>
      <c r="T22" s="59">
        <v>-636090.66704768874</v>
      </c>
      <c r="U22" s="59">
        <v>312371.3250571643</v>
      </c>
    </row>
    <row r="23" spans="1:21" ht="13.5" thickBot="1" x14ac:dyDescent="0.25">
      <c r="A23" s="453">
        <v>38231</v>
      </c>
      <c r="B23" s="454">
        <v>7568908</v>
      </c>
      <c r="C23" s="455">
        <f>+'Purchased Power Model '!C23</f>
        <v>41.7</v>
      </c>
      <c r="D23" s="455">
        <f>+'Purchased Power Model '!D23</f>
        <v>26.7</v>
      </c>
      <c r="E23" s="443">
        <f>+'Purchased Power Model '!E23</f>
        <v>5.2999999999999999E-2</v>
      </c>
      <c r="F23" s="53">
        <f>+'Purchased Power Model '!F23</f>
        <v>30</v>
      </c>
      <c r="G23" s="53">
        <f>+'Purchased Power Model '!G23</f>
        <v>1</v>
      </c>
      <c r="H23" s="171">
        <v>2</v>
      </c>
      <c r="I23" s="456">
        <f t="shared" si="0"/>
        <v>7500371.9938442251</v>
      </c>
      <c r="J23" s="457">
        <f t="shared" si="1"/>
        <v>-68536.006155774929</v>
      </c>
      <c r="K23" s="5">
        <f t="shared" si="2"/>
        <v>-9.054939782036581E-3</v>
      </c>
      <c r="M23" s="47" t="s">
        <v>17</v>
      </c>
      <c r="N23" s="60">
        <v>214220.56058255921</v>
      </c>
      <c r="O23" s="60">
        <v>482998.80369370687</v>
      </c>
      <c r="P23" s="60">
        <v>0.44352192788950867</v>
      </c>
      <c r="Q23" s="60">
        <v>0.65796928772725793</v>
      </c>
      <c r="R23" s="60">
        <v>-739434.31671032857</v>
      </c>
      <c r="S23" s="60">
        <v>1167875.4378754469</v>
      </c>
      <c r="T23" s="60">
        <v>-739434.31671032857</v>
      </c>
      <c r="U23" s="60">
        <v>1167875.4378754469</v>
      </c>
    </row>
    <row r="24" spans="1:21" x14ac:dyDescent="0.2">
      <c r="A24" s="453">
        <v>38261</v>
      </c>
      <c r="B24" s="454">
        <v>6828234</v>
      </c>
      <c r="C24" s="455">
        <f>+'Purchased Power Model '!C24</f>
        <v>235</v>
      </c>
      <c r="D24" s="455">
        <f>+'Purchased Power Model '!D24</f>
        <v>0</v>
      </c>
      <c r="E24" s="443">
        <f>+'Purchased Power Model '!E24</f>
        <v>5.7999999999999996E-2</v>
      </c>
      <c r="F24" s="53">
        <f>+'Purchased Power Model '!F24</f>
        <v>31</v>
      </c>
      <c r="G24" s="53">
        <f>+'Purchased Power Model '!G24</f>
        <v>1</v>
      </c>
      <c r="H24" s="171">
        <v>2</v>
      </c>
      <c r="I24" s="456">
        <f t="shared" si="0"/>
        <v>6801968.5871583633</v>
      </c>
      <c r="J24" s="457">
        <f t="shared" si="1"/>
        <v>-26265.412841636688</v>
      </c>
      <c r="K24" s="5">
        <f t="shared" si="2"/>
        <v>-3.8465894463541651E-3</v>
      </c>
      <c r="M24"/>
      <c r="N24"/>
      <c r="O24"/>
      <c r="P24"/>
      <c r="Q24"/>
    </row>
    <row r="25" spans="1:21" x14ac:dyDescent="0.2">
      <c r="A25" s="453">
        <v>38292</v>
      </c>
      <c r="B25" s="454">
        <v>7250002</v>
      </c>
      <c r="C25" s="455">
        <f>+'Purchased Power Model '!C25</f>
        <v>385.7</v>
      </c>
      <c r="D25" s="455">
        <f>+'Purchased Power Model '!D25</f>
        <v>0</v>
      </c>
      <c r="E25" s="443">
        <f>+'Purchased Power Model '!E25</f>
        <v>5.7999999999999996E-2</v>
      </c>
      <c r="F25" s="53">
        <f>+'Purchased Power Model '!F25</f>
        <v>30</v>
      </c>
      <c r="G25" s="53">
        <f>+'Purchased Power Model '!G25</f>
        <v>1</v>
      </c>
      <c r="H25" s="171">
        <v>2</v>
      </c>
      <c r="I25" s="456">
        <f t="shared" si="0"/>
        <v>7046808.9800653355</v>
      </c>
      <c r="J25" s="457">
        <f t="shared" si="1"/>
        <v>-203193.01993466448</v>
      </c>
      <c r="K25" s="5">
        <f t="shared" si="2"/>
        <v>-2.8026615707783871E-2</v>
      </c>
      <c r="M25"/>
      <c r="N25"/>
      <c r="O25"/>
      <c r="P25"/>
      <c r="Q25"/>
    </row>
    <row r="26" spans="1:21" x14ac:dyDescent="0.2">
      <c r="A26" s="453">
        <v>38322</v>
      </c>
      <c r="B26" s="454">
        <v>7472100</v>
      </c>
      <c r="C26" s="455">
        <f>+'Purchased Power Model '!C26</f>
        <v>627.5</v>
      </c>
      <c r="D26" s="455">
        <f>+'Purchased Power Model '!D26</f>
        <v>0</v>
      </c>
      <c r="E26" s="443">
        <f>+'Purchased Power Model '!E26</f>
        <v>5.7999999999999996E-2</v>
      </c>
      <c r="F26" s="53">
        <f>+'Purchased Power Model '!F26</f>
        <v>31</v>
      </c>
      <c r="G26" s="53">
        <f>+'Purchased Power Model '!G26</f>
        <v>0</v>
      </c>
      <c r="H26" s="171">
        <v>2</v>
      </c>
      <c r="I26" s="456">
        <f t="shared" si="0"/>
        <v>6803872.3354699388</v>
      </c>
      <c r="J26" s="457">
        <f t="shared" si="1"/>
        <v>-668227.66453006119</v>
      </c>
      <c r="K26" s="5">
        <f t="shared" si="2"/>
        <v>-8.9429700422914732E-2</v>
      </c>
      <c r="M26"/>
      <c r="N26"/>
      <c r="O26"/>
      <c r="P26"/>
      <c r="Q26"/>
    </row>
    <row r="27" spans="1:21" x14ac:dyDescent="0.2">
      <c r="A27" s="453">
        <v>38353</v>
      </c>
      <c r="B27" s="454">
        <v>6007595</v>
      </c>
      <c r="C27" s="455">
        <f>+'Purchased Power Model '!C27</f>
        <v>745.5</v>
      </c>
      <c r="D27" s="455">
        <f>+'Purchased Power Model '!D27</f>
        <v>0</v>
      </c>
      <c r="E27" s="443">
        <f>+'Purchased Power Model '!E27</f>
        <v>7.2000000000000008E-2</v>
      </c>
      <c r="F27" s="53">
        <f>+'Purchased Power Model '!F27</f>
        <v>31</v>
      </c>
      <c r="G27" s="53">
        <f>+'Purchased Power Model '!G27</f>
        <v>0</v>
      </c>
      <c r="H27" s="171">
        <v>2</v>
      </c>
      <c r="I27" s="456">
        <f t="shared" si="0"/>
        <v>4979076.3350781873</v>
      </c>
      <c r="J27" s="457">
        <f t="shared" si="1"/>
        <v>-1028518.6649218127</v>
      </c>
      <c r="K27" s="5">
        <f t="shared" si="2"/>
        <v>-0.17120306294312662</v>
      </c>
      <c r="M27"/>
      <c r="N27"/>
      <c r="O27"/>
      <c r="P27"/>
      <c r="Q27"/>
    </row>
    <row r="28" spans="1:21" x14ac:dyDescent="0.2">
      <c r="A28" s="453">
        <v>38384</v>
      </c>
      <c r="B28" s="454">
        <v>6533504</v>
      </c>
      <c r="C28" s="455">
        <f>+'Purchased Power Model '!C28</f>
        <v>589.5</v>
      </c>
      <c r="D28" s="455">
        <f>+'Purchased Power Model '!D28</f>
        <v>0</v>
      </c>
      <c r="E28" s="443">
        <f>+'Purchased Power Model '!E28</f>
        <v>7.2000000000000008E-2</v>
      </c>
      <c r="F28" s="53">
        <f>+'Purchased Power Model '!F28</f>
        <v>28</v>
      </c>
      <c r="G28" s="53">
        <f>+'Purchased Power Model '!G28</f>
        <v>0</v>
      </c>
      <c r="H28" s="171">
        <v>2</v>
      </c>
      <c r="I28" s="456">
        <f t="shared" si="0"/>
        <v>5378756.2596882153</v>
      </c>
      <c r="J28" s="457">
        <f t="shared" si="1"/>
        <v>-1154747.7403117847</v>
      </c>
      <c r="K28" s="5">
        <f t="shared" si="2"/>
        <v>-0.17674248616236932</v>
      </c>
    </row>
    <row r="29" spans="1:21" x14ac:dyDescent="0.2">
      <c r="A29" s="453">
        <v>38412</v>
      </c>
      <c r="B29" s="454">
        <v>5745442</v>
      </c>
      <c r="C29" s="455">
        <f>+'Purchased Power Model '!C29</f>
        <v>578.29999999999995</v>
      </c>
      <c r="D29" s="455">
        <f>+'Purchased Power Model '!D29</f>
        <v>0</v>
      </c>
      <c r="E29" s="443">
        <f>+'Purchased Power Model '!E29</f>
        <v>7.2000000000000008E-2</v>
      </c>
      <c r="F29" s="53">
        <f>+'Purchased Power Model '!F29</f>
        <v>31</v>
      </c>
      <c r="G29" s="53">
        <f>+'Purchased Power Model '!G29</f>
        <v>1</v>
      </c>
      <c r="H29" s="171">
        <v>2</v>
      </c>
      <c r="I29" s="456">
        <f t="shared" si="0"/>
        <v>5101230.6932477541</v>
      </c>
      <c r="J29" s="457">
        <f t="shared" si="1"/>
        <v>-644211.30675224587</v>
      </c>
      <c r="K29" s="5">
        <f t="shared" si="2"/>
        <v>-0.11212563050018534</v>
      </c>
    </row>
    <row r="30" spans="1:21" x14ac:dyDescent="0.2">
      <c r="A30" s="453">
        <v>38443</v>
      </c>
      <c r="B30" s="454">
        <v>5866282</v>
      </c>
      <c r="C30" s="455">
        <f>+'Purchased Power Model '!C30</f>
        <v>325.3</v>
      </c>
      <c r="D30" s="455">
        <f>+'Purchased Power Model '!D30</f>
        <v>0</v>
      </c>
      <c r="E30" s="443">
        <f>+'Purchased Power Model '!E30</f>
        <v>6.3E-2</v>
      </c>
      <c r="F30" s="53">
        <f>+'Purchased Power Model '!F30</f>
        <v>30</v>
      </c>
      <c r="G30" s="53">
        <f>+'Purchased Power Model '!G30</f>
        <v>1</v>
      </c>
      <c r="H30" s="171">
        <v>2</v>
      </c>
      <c r="I30" s="456">
        <f t="shared" si="0"/>
        <v>6338632.4179875841</v>
      </c>
      <c r="J30" s="457">
        <f t="shared" si="1"/>
        <v>472350.41798758414</v>
      </c>
      <c r="K30" s="5">
        <f t="shared" si="2"/>
        <v>8.0519555314180966E-2</v>
      </c>
    </row>
    <row r="31" spans="1:21" x14ac:dyDescent="0.2">
      <c r="A31" s="453">
        <v>38473</v>
      </c>
      <c r="B31" s="454">
        <v>4245124</v>
      </c>
      <c r="C31" s="455">
        <f>+'Purchased Power Model '!C31</f>
        <v>216.1</v>
      </c>
      <c r="D31" s="455">
        <f>+'Purchased Power Model '!D31</f>
        <v>0.3</v>
      </c>
      <c r="E31" s="443">
        <f>+'Purchased Power Model '!E31</f>
        <v>6.3E-2</v>
      </c>
      <c r="F31" s="53">
        <f>+'Purchased Power Model '!F31</f>
        <v>31</v>
      </c>
      <c r="G31" s="53">
        <f>+'Purchased Power Model '!G31</f>
        <v>1</v>
      </c>
      <c r="H31" s="171">
        <v>2</v>
      </c>
      <c r="I31" s="456">
        <f t="shared" si="0"/>
        <v>6116284.546019854</v>
      </c>
      <c r="J31" s="457">
        <f t="shared" si="1"/>
        <v>1871160.546019854</v>
      </c>
      <c r="K31" s="5">
        <f t="shared" si="2"/>
        <v>0.44077877254465453</v>
      </c>
    </row>
    <row r="32" spans="1:21" x14ac:dyDescent="0.2">
      <c r="A32" s="453">
        <v>38504</v>
      </c>
      <c r="B32" s="454">
        <v>4759004</v>
      </c>
      <c r="C32" s="455">
        <f>+'Purchased Power Model '!C32</f>
        <v>13.7</v>
      </c>
      <c r="D32" s="455">
        <f>+'Purchased Power Model '!D32</f>
        <v>89.9</v>
      </c>
      <c r="E32" s="443">
        <f>+'Purchased Power Model '!E32</f>
        <v>6.3E-2</v>
      </c>
      <c r="F32" s="53">
        <f>+'Purchased Power Model '!F32</f>
        <v>30</v>
      </c>
      <c r="G32" s="53">
        <f>+'Purchased Power Model '!G32</f>
        <v>0</v>
      </c>
      <c r="H32" s="171">
        <v>2</v>
      </c>
      <c r="I32" s="456">
        <f t="shared" si="0"/>
        <v>5845301.8149307473</v>
      </c>
      <c r="J32" s="457">
        <f t="shared" si="1"/>
        <v>1086297.8149307473</v>
      </c>
      <c r="K32" s="5">
        <f t="shared" si="2"/>
        <v>0.22826158896499085</v>
      </c>
    </row>
    <row r="33" spans="1:11" x14ac:dyDescent="0.2">
      <c r="A33" s="453">
        <v>38534</v>
      </c>
      <c r="B33" s="454">
        <v>5063378</v>
      </c>
      <c r="C33" s="455">
        <f>+'Purchased Power Model '!C33</f>
        <v>2.2000000000000002</v>
      </c>
      <c r="D33" s="455">
        <f>+'Purchased Power Model '!D33</f>
        <v>153</v>
      </c>
      <c r="E33" s="443">
        <f>+'Purchased Power Model '!E33</f>
        <v>5.7000000000000002E-2</v>
      </c>
      <c r="F33" s="53">
        <f>+'Purchased Power Model '!F33</f>
        <v>31</v>
      </c>
      <c r="G33" s="53">
        <f>+'Purchased Power Model '!G33</f>
        <v>0</v>
      </c>
      <c r="H33" s="171">
        <v>2</v>
      </c>
      <c r="I33" s="456">
        <f t="shared" si="0"/>
        <v>6411535.8498342782</v>
      </c>
      <c r="J33" s="457">
        <f t="shared" si="1"/>
        <v>1348157.8498342782</v>
      </c>
      <c r="K33" s="5">
        <f t="shared" si="2"/>
        <v>0.26625660771016468</v>
      </c>
    </row>
    <row r="34" spans="1:11" x14ac:dyDescent="0.2">
      <c r="A34" s="453">
        <v>38565</v>
      </c>
      <c r="B34" s="454">
        <v>2558029</v>
      </c>
      <c r="C34" s="455">
        <f>+'Purchased Power Model '!C34</f>
        <v>0</v>
      </c>
      <c r="D34" s="455">
        <f>+'Purchased Power Model '!D34</f>
        <v>108</v>
      </c>
      <c r="E34" s="443">
        <f>+'Purchased Power Model '!E34</f>
        <v>5.7000000000000002E-2</v>
      </c>
      <c r="F34" s="53">
        <f>+'Purchased Power Model '!F34</f>
        <v>31</v>
      </c>
      <c r="G34" s="53">
        <f>+'Purchased Power Model '!G34</f>
        <v>0</v>
      </c>
      <c r="H34" s="171">
        <v>2</v>
      </c>
      <c r="I34" s="456">
        <f t="shared" si="0"/>
        <v>6464150.3188501112</v>
      </c>
      <c r="J34" s="457">
        <f t="shared" si="1"/>
        <v>3906121.3188501112</v>
      </c>
      <c r="K34" s="5">
        <f t="shared" si="2"/>
        <v>1.5270043142005472</v>
      </c>
    </row>
    <row r="35" spans="1:11" x14ac:dyDescent="0.2">
      <c r="A35" s="453">
        <v>38596</v>
      </c>
      <c r="B35" s="454">
        <v>5748577</v>
      </c>
      <c r="C35" s="455">
        <f>+'Purchased Power Model '!C35</f>
        <v>36.700000000000003</v>
      </c>
      <c r="D35" s="455">
        <f>+'Purchased Power Model '!D35</f>
        <v>32.799999999999997</v>
      </c>
      <c r="E35" s="443">
        <f>+'Purchased Power Model '!E35</f>
        <v>5.7000000000000002E-2</v>
      </c>
      <c r="F35" s="53">
        <f>+'Purchased Power Model '!F35</f>
        <v>30</v>
      </c>
      <c r="G35" s="53">
        <f>+'Purchased Power Model '!G35</f>
        <v>1</v>
      </c>
      <c r="H35" s="171">
        <v>2</v>
      </c>
      <c r="I35" s="456">
        <f t="shared" si="0"/>
        <v>6950387.8650364736</v>
      </c>
      <c r="J35" s="457">
        <f t="shared" si="1"/>
        <v>1201810.8650364736</v>
      </c>
      <c r="K35" s="5">
        <f t="shared" si="2"/>
        <v>0.20906232360399341</v>
      </c>
    </row>
    <row r="36" spans="1:11" x14ac:dyDescent="0.2">
      <c r="A36" s="453">
        <v>38626</v>
      </c>
      <c r="B36" s="454">
        <v>5257080</v>
      </c>
      <c r="C36" s="455">
        <f>+'Purchased Power Model '!C36</f>
        <v>223.8</v>
      </c>
      <c r="D36" s="455">
        <f>+'Purchased Power Model '!D36</f>
        <v>0.5</v>
      </c>
      <c r="E36" s="443">
        <f>+'Purchased Power Model '!E36</f>
        <v>6.7000000000000004E-2</v>
      </c>
      <c r="F36" s="53">
        <f>+'Purchased Power Model '!F36</f>
        <v>31</v>
      </c>
      <c r="G36" s="53">
        <f>+'Purchased Power Model '!G36</f>
        <v>1</v>
      </c>
      <c r="H36" s="171">
        <v>2</v>
      </c>
      <c r="I36" s="456">
        <f t="shared" si="0"/>
        <v>5580350.6531745028</v>
      </c>
      <c r="J36" s="457">
        <f t="shared" si="1"/>
        <v>323270.65317450278</v>
      </c>
      <c r="K36" s="5">
        <f t="shared" si="2"/>
        <v>6.1492435567749165E-2</v>
      </c>
    </row>
    <row r="37" spans="1:11" x14ac:dyDescent="0.2">
      <c r="A37" s="453">
        <v>38657</v>
      </c>
      <c r="B37" s="454">
        <v>5644531</v>
      </c>
      <c r="C37" s="455">
        <f>+'Purchased Power Model '!C37</f>
        <v>398.5</v>
      </c>
      <c r="D37" s="455">
        <f>+'Purchased Power Model '!D37</f>
        <v>0</v>
      </c>
      <c r="E37" s="443">
        <f>+'Purchased Power Model '!E37</f>
        <v>6.7000000000000004E-2</v>
      </c>
      <c r="F37" s="53">
        <f>+'Purchased Power Model '!F37</f>
        <v>30</v>
      </c>
      <c r="G37" s="53">
        <f>+'Purchased Power Model '!G37</f>
        <v>1</v>
      </c>
      <c r="H37" s="171">
        <v>2</v>
      </c>
      <c r="I37" s="456">
        <f t="shared" si="0"/>
        <v>5839004.3556293761</v>
      </c>
      <c r="J37" s="457">
        <f t="shared" si="1"/>
        <v>194473.35562937614</v>
      </c>
      <c r="K37" s="5">
        <f t="shared" si="2"/>
        <v>3.4453412627085601E-2</v>
      </c>
    </row>
    <row r="38" spans="1:11" x14ac:dyDescent="0.2">
      <c r="A38" s="453">
        <v>38687</v>
      </c>
      <c r="B38" s="454">
        <v>5476287</v>
      </c>
      <c r="C38" s="455">
        <f>+'Purchased Power Model '!C38</f>
        <v>641.1</v>
      </c>
      <c r="D38" s="455">
        <f>+'Purchased Power Model '!D38</f>
        <v>0</v>
      </c>
      <c r="E38" s="443">
        <f>+'Purchased Power Model '!E38</f>
        <v>6.7000000000000004E-2</v>
      </c>
      <c r="F38" s="53">
        <f>+'Purchased Power Model '!F38</f>
        <v>31</v>
      </c>
      <c r="G38" s="53">
        <f>+'Purchased Power Model '!G38</f>
        <v>0</v>
      </c>
      <c r="H38" s="171">
        <v>2</v>
      </c>
      <c r="I38" s="456">
        <f t="shared" si="0"/>
        <v>5596508.2191794943</v>
      </c>
      <c r="J38" s="457">
        <f t="shared" si="1"/>
        <v>120221.21917949431</v>
      </c>
      <c r="K38" s="5">
        <f t="shared" si="2"/>
        <v>2.195305307765906E-2</v>
      </c>
    </row>
    <row r="39" spans="1:11" x14ac:dyDescent="0.2">
      <c r="A39" s="453">
        <v>38718</v>
      </c>
      <c r="B39" s="96">
        <v>4556858</v>
      </c>
      <c r="C39" s="455">
        <f>+'Purchased Power Model '!C39</f>
        <v>558.20000000000005</v>
      </c>
      <c r="D39" s="455">
        <f>+'Purchased Power Model '!D39</f>
        <v>0</v>
      </c>
      <c r="E39" s="443">
        <f>+'Purchased Power Model '!E39</f>
        <v>6.7000000000000004E-2</v>
      </c>
      <c r="F39" s="53">
        <f>+'Purchased Power Model '!F39</f>
        <v>31</v>
      </c>
      <c r="G39" s="53">
        <f>+'Purchased Power Model '!G39</f>
        <v>0</v>
      </c>
      <c r="H39" s="171">
        <v>2</v>
      </c>
      <c r="I39" s="456">
        <f t="shared" si="0"/>
        <v>5550860.5626003239</v>
      </c>
      <c r="J39" s="457">
        <f t="shared" si="1"/>
        <v>994002.56260032393</v>
      </c>
      <c r="K39" s="5">
        <f t="shared" si="2"/>
        <v>0.21813331962512852</v>
      </c>
    </row>
    <row r="40" spans="1:11" x14ac:dyDescent="0.2">
      <c r="A40" s="453">
        <v>38749</v>
      </c>
      <c r="B40" s="96">
        <v>5213640</v>
      </c>
      <c r="C40" s="455">
        <f>+'Purchased Power Model '!C40</f>
        <v>608.79999999999995</v>
      </c>
      <c r="D40" s="455">
        <f>+'Purchased Power Model '!D40</f>
        <v>0</v>
      </c>
      <c r="E40" s="443">
        <f>+'Purchased Power Model '!E40</f>
        <v>6.7000000000000004E-2</v>
      </c>
      <c r="F40" s="53">
        <f>+'Purchased Power Model '!F40</f>
        <v>28</v>
      </c>
      <c r="G40" s="53">
        <f>+'Purchased Power Model '!G40</f>
        <v>0</v>
      </c>
      <c r="H40" s="171">
        <v>2</v>
      </c>
      <c r="I40" s="456">
        <f t="shared" si="0"/>
        <v>6064301.7157900445</v>
      </c>
      <c r="J40" s="457">
        <f t="shared" si="1"/>
        <v>850661.71579004452</v>
      </c>
      <c r="K40" s="5">
        <f t="shared" si="2"/>
        <v>0.16316080814748324</v>
      </c>
    </row>
    <row r="41" spans="1:11" x14ac:dyDescent="0.2">
      <c r="A41" s="453">
        <v>38777</v>
      </c>
      <c r="B41" s="96">
        <v>5061031</v>
      </c>
      <c r="C41" s="455">
        <f>+'Purchased Power Model '!C41</f>
        <v>534</v>
      </c>
      <c r="D41" s="455">
        <f>+'Purchased Power Model '!D41</f>
        <v>0</v>
      </c>
      <c r="E41" s="443">
        <f>+'Purchased Power Model '!E41</f>
        <v>6.7000000000000004E-2</v>
      </c>
      <c r="F41" s="53">
        <f>+'Purchased Power Model '!F41</f>
        <v>31</v>
      </c>
      <c r="G41" s="53">
        <f>+'Purchased Power Model '!G41</f>
        <v>1</v>
      </c>
      <c r="H41" s="171">
        <v>2</v>
      </c>
      <c r="I41" s="456">
        <f t="shared" si="0"/>
        <v>5751755.7517810035</v>
      </c>
      <c r="J41" s="457">
        <f t="shared" si="1"/>
        <v>690724.75178100355</v>
      </c>
      <c r="K41" s="5">
        <f t="shared" si="2"/>
        <v>0.13647905965820079</v>
      </c>
    </row>
    <row r="42" spans="1:11" x14ac:dyDescent="0.2">
      <c r="A42" s="453">
        <v>38808</v>
      </c>
      <c r="B42" s="96">
        <v>5324775</v>
      </c>
      <c r="C42" s="455">
        <f>+'Purchased Power Model '!C42</f>
        <v>323.60000000000002</v>
      </c>
      <c r="D42" s="455">
        <f>+'Purchased Power Model '!D42</f>
        <v>0</v>
      </c>
      <c r="E42" s="443">
        <f>+'Purchased Power Model '!E42</f>
        <v>6.3E-2</v>
      </c>
      <c r="F42" s="53">
        <f>+'Purchased Power Model '!F42</f>
        <v>30</v>
      </c>
      <c r="G42" s="53">
        <f>+'Purchased Power Model '!G42</f>
        <v>1</v>
      </c>
      <c r="H42" s="171">
        <v>2</v>
      </c>
      <c r="I42" s="456">
        <f t="shared" si="0"/>
        <v>6337696.3381783618</v>
      </c>
      <c r="J42" s="457">
        <f t="shared" si="1"/>
        <v>1012921.3381783618</v>
      </c>
      <c r="K42" s="5">
        <f t="shared" si="2"/>
        <v>0.19022800741409013</v>
      </c>
    </row>
    <row r="43" spans="1:11" x14ac:dyDescent="0.2">
      <c r="A43" s="453">
        <v>38838</v>
      </c>
      <c r="B43" s="96">
        <v>4314623</v>
      </c>
      <c r="C43" s="455">
        <f>+'Purchased Power Model '!C43</f>
        <v>172.6</v>
      </c>
      <c r="D43" s="455">
        <f>+'Purchased Power Model '!D43</f>
        <v>12.8</v>
      </c>
      <c r="E43" s="443">
        <f>+'Purchased Power Model '!E43</f>
        <v>6.3E-2</v>
      </c>
      <c r="F43" s="53">
        <f>+'Purchased Power Model '!F43</f>
        <v>31</v>
      </c>
      <c r="G43" s="53">
        <f>+'Purchased Power Model '!G43</f>
        <v>1</v>
      </c>
      <c r="H43" s="171">
        <v>2</v>
      </c>
      <c r="I43" s="456">
        <f t="shared" si="0"/>
        <v>6077380.2860473823</v>
      </c>
      <c r="J43" s="457">
        <f t="shared" si="1"/>
        <v>1762757.2860473823</v>
      </c>
      <c r="K43" s="5">
        <f t="shared" si="2"/>
        <v>0.40855418562580842</v>
      </c>
    </row>
    <row r="44" spans="1:11" x14ac:dyDescent="0.2">
      <c r="A44" s="453">
        <v>38869</v>
      </c>
      <c r="B44" s="96">
        <v>5115928</v>
      </c>
      <c r="C44" s="455">
        <f>+'Purchased Power Model '!C44</f>
        <v>22.6</v>
      </c>
      <c r="D44" s="455">
        <f>+'Purchased Power Model '!D44</f>
        <v>36.200000000000003</v>
      </c>
      <c r="E44" s="443">
        <f>+'Purchased Power Model '!E44</f>
        <v>6.3E-2</v>
      </c>
      <c r="F44" s="53">
        <f>+'Purchased Power Model '!F44</f>
        <v>30</v>
      </c>
      <c r="G44" s="53">
        <f>+'Purchased Power Model '!G44</f>
        <v>0</v>
      </c>
      <c r="H44" s="171">
        <v>2</v>
      </c>
      <c r="I44" s="456">
        <f t="shared" si="0"/>
        <v>5914434.6686393796</v>
      </c>
      <c r="J44" s="457">
        <f t="shared" si="1"/>
        <v>798506.66863937955</v>
      </c>
      <c r="K44" s="5">
        <f t="shared" si="2"/>
        <v>0.156082468056505</v>
      </c>
    </row>
    <row r="45" spans="1:11" x14ac:dyDescent="0.2">
      <c r="A45" s="453">
        <v>38899</v>
      </c>
      <c r="B45" s="96">
        <v>5489699</v>
      </c>
      <c r="C45" s="455">
        <f>+'Purchased Power Model '!C45</f>
        <v>1.7</v>
      </c>
      <c r="D45" s="455">
        <f>+'Purchased Power Model '!D45</f>
        <v>107.6</v>
      </c>
      <c r="E45" s="443">
        <f>+'Purchased Power Model '!E45</f>
        <v>6.6000000000000003E-2</v>
      </c>
      <c r="F45" s="53">
        <f>+'Purchased Power Model '!F45</f>
        <v>31</v>
      </c>
      <c r="G45" s="53">
        <f>+'Purchased Power Model '!G45</f>
        <v>0</v>
      </c>
      <c r="H45" s="171">
        <v>2</v>
      </c>
      <c r="I45" s="456">
        <f t="shared" si="0"/>
        <v>5250712.0960410275</v>
      </c>
      <c r="J45" s="457">
        <f t="shared" si="1"/>
        <v>-238986.90395897254</v>
      </c>
      <c r="K45" s="5">
        <f t="shared" si="2"/>
        <v>-4.3533699016826341E-2</v>
      </c>
    </row>
    <row r="46" spans="1:11" x14ac:dyDescent="0.2">
      <c r="A46" s="453">
        <v>38930</v>
      </c>
      <c r="B46" s="96">
        <v>3330944</v>
      </c>
      <c r="C46" s="455">
        <f>+'Purchased Power Model '!C46</f>
        <v>4.4000000000000004</v>
      </c>
      <c r="D46" s="455">
        <f>+'Purchased Power Model '!D46</f>
        <v>82.1</v>
      </c>
      <c r="E46" s="443">
        <f>+'Purchased Power Model '!E46</f>
        <v>6.6000000000000003E-2</v>
      </c>
      <c r="F46" s="53">
        <f>+'Purchased Power Model '!F46</f>
        <v>31</v>
      </c>
      <c r="G46" s="53">
        <f>+'Purchased Power Model '!G46</f>
        <v>0</v>
      </c>
      <c r="H46" s="171">
        <v>2</v>
      </c>
      <c r="I46" s="456">
        <f t="shared" si="0"/>
        <v>5282700.1353345476</v>
      </c>
      <c r="J46" s="457">
        <f t="shared" si="1"/>
        <v>1951756.1353345476</v>
      </c>
      <c r="K46" s="5">
        <f t="shared" si="2"/>
        <v>0.58594684730050928</v>
      </c>
    </row>
    <row r="47" spans="1:11" x14ac:dyDescent="0.2">
      <c r="A47" s="453">
        <v>38961</v>
      </c>
      <c r="B47" s="96">
        <v>5290589</v>
      </c>
      <c r="C47" s="455">
        <f>+'Purchased Power Model '!C47</f>
        <v>70.7</v>
      </c>
      <c r="D47" s="455">
        <f>+'Purchased Power Model '!D47</f>
        <v>5.0999999999999996</v>
      </c>
      <c r="E47" s="443">
        <f>+'Purchased Power Model '!E47</f>
        <v>6.6000000000000003E-2</v>
      </c>
      <c r="F47" s="53">
        <f>+'Purchased Power Model '!F47</f>
        <v>30</v>
      </c>
      <c r="G47" s="53">
        <f>+'Purchased Power Model '!G47</f>
        <v>1</v>
      </c>
      <c r="H47" s="171">
        <v>2</v>
      </c>
      <c r="I47" s="456">
        <f t="shared" si="0"/>
        <v>5787389.5175616713</v>
      </c>
      <c r="J47" s="457">
        <f t="shared" si="1"/>
        <v>496800.51756167132</v>
      </c>
      <c r="K47" s="5">
        <f t="shared" si="2"/>
        <v>9.3902685988586782E-2</v>
      </c>
    </row>
    <row r="48" spans="1:11" x14ac:dyDescent="0.2">
      <c r="A48" s="453">
        <v>38991</v>
      </c>
      <c r="B48" s="96">
        <v>5101474</v>
      </c>
      <c r="C48" s="455">
        <f>+'Purchased Power Model '!C48</f>
        <v>274.60000000000002</v>
      </c>
      <c r="D48" s="455">
        <f>+'Purchased Power Model '!D48</f>
        <v>0</v>
      </c>
      <c r="E48" s="443">
        <f>+'Purchased Power Model '!E48</f>
        <v>6.7000000000000004E-2</v>
      </c>
      <c r="F48" s="53">
        <f>+'Purchased Power Model '!F48</f>
        <v>31</v>
      </c>
      <c r="G48" s="53">
        <f>+'Purchased Power Model '!G48</f>
        <v>1</v>
      </c>
      <c r="H48" s="171">
        <v>2</v>
      </c>
      <c r="I48" s="456">
        <f t="shared" si="0"/>
        <v>5608920.9855972137</v>
      </c>
      <c r="J48" s="457">
        <f t="shared" si="1"/>
        <v>507446.98559721373</v>
      </c>
      <c r="K48" s="5">
        <f t="shared" si="2"/>
        <v>9.9470659969493863E-2</v>
      </c>
    </row>
    <row r="49" spans="1:11" x14ac:dyDescent="0.2">
      <c r="A49" s="453">
        <v>39022</v>
      </c>
      <c r="B49" s="96">
        <v>5392532</v>
      </c>
      <c r="C49" s="455">
        <f>+'Purchased Power Model '!C49</f>
        <v>367.5</v>
      </c>
      <c r="D49" s="455">
        <f>+'Purchased Power Model '!D49</f>
        <v>0</v>
      </c>
      <c r="E49" s="443">
        <f>+'Purchased Power Model '!E49</f>
        <v>6.7000000000000004E-2</v>
      </c>
      <c r="F49" s="53">
        <f>+'Purchased Power Model '!F49</f>
        <v>30</v>
      </c>
      <c r="G49" s="53">
        <f>+'Purchased Power Model '!G49</f>
        <v>1</v>
      </c>
      <c r="H49" s="171">
        <v>2</v>
      </c>
      <c r="I49" s="456">
        <f t="shared" si="0"/>
        <v>5821934.664990603</v>
      </c>
      <c r="J49" s="457">
        <f t="shared" si="1"/>
        <v>429402.66499060299</v>
      </c>
      <c r="K49" s="5">
        <f t="shared" si="2"/>
        <v>7.9629136181408475E-2</v>
      </c>
    </row>
    <row r="50" spans="1:11" x14ac:dyDescent="0.2">
      <c r="A50" s="453">
        <v>39052</v>
      </c>
      <c r="B50" s="96">
        <v>5462353</v>
      </c>
      <c r="C50" s="455">
        <f>+'Purchased Power Model '!C50</f>
        <v>471.5</v>
      </c>
      <c r="D50" s="455">
        <f>+'Purchased Power Model '!D50</f>
        <v>0</v>
      </c>
      <c r="E50" s="443">
        <f>+'Purchased Power Model '!E50</f>
        <v>6.7000000000000004E-2</v>
      </c>
      <c r="F50" s="53">
        <f>+'Purchased Power Model '!F50</f>
        <v>31</v>
      </c>
      <c r="G50" s="53">
        <f>+'Purchased Power Model '!G50</f>
        <v>0</v>
      </c>
      <c r="H50" s="171">
        <v>2</v>
      </c>
      <c r="I50" s="456">
        <f t="shared" si="0"/>
        <v>5503120.4923299532</v>
      </c>
      <c r="J50" s="457">
        <f t="shared" si="1"/>
        <v>40767.492329953238</v>
      </c>
      <c r="K50" s="5">
        <f t="shared" si="2"/>
        <v>7.4633573351911234E-3</v>
      </c>
    </row>
    <row r="51" spans="1:11" x14ac:dyDescent="0.2">
      <c r="A51" s="453">
        <v>39083</v>
      </c>
      <c r="B51" s="96">
        <v>4545991</v>
      </c>
      <c r="C51" s="455">
        <f>+'Purchased Power Model '!C51</f>
        <v>573.1</v>
      </c>
      <c r="D51" s="455">
        <f>+'Purchased Power Model '!D51</f>
        <v>0</v>
      </c>
      <c r="E51" s="443">
        <f>+'Purchased Power Model '!E51</f>
        <v>6.2E-2</v>
      </c>
      <c r="F51" s="53">
        <f>+'Purchased Power Model '!F51</f>
        <v>31</v>
      </c>
      <c r="G51" s="53">
        <f>+'Purchased Power Model '!G51</f>
        <v>0</v>
      </c>
      <c r="H51" s="171">
        <v>2</v>
      </c>
      <c r="I51" s="456">
        <f t="shared" si="0"/>
        <v>6233983.2239018101</v>
      </c>
      <c r="J51" s="457">
        <f t="shared" si="1"/>
        <v>1687992.2239018101</v>
      </c>
      <c r="K51" s="5">
        <f t="shared" si="2"/>
        <v>0.37131446672503532</v>
      </c>
    </row>
    <row r="52" spans="1:11" x14ac:dyDescent="0.2">
      <c r="A52" s="453">
        <v>39114</v>
      </c>
      <c r="B52" s="96">
        <v>5217876</v>
      </c>
      <c r="C52" s="455">
        <f>+'Purchased Power Model '!C52</f>
        <v>693.5</v>
      </c>
      <c r="D52" s="455">
        <f>+'Purchased Power Model '!D52</f>
        <v>0</v>
      </c>
      <c r="E52" s="443">
        <f>+'Purchased Power Model '!E52</f>
        <v>6.2E-2</v>
      </c>
      <c r="F52" s="53">
        <f>+'Purchased Power Model '!F52</f>
        <v>28</v>
      </c>
      <c r="G52" s="53">
        <f>+'Purchased Power Model '!G52</f>
        <v>0</v>
      </c>
      <c r="H52" s="171">
        <v>2</v>
      </c>
      <c r="I52" s="456">
        <f t="shared" si="0"/>
        <v>6785858.7127878629</v>
      </c>
      <c r="J52" s="457">
        <f t="shared" si="1"/>
        <v>1567982.7127878629</v>
      </c>
      <c r="K52" s="5">
        <f t="shared" si="2"/>
        <v>0.30050210330560995</v>
      </c>
    </row>
    <row r="53" spans="1:11" x14ac:dyDescent="0.2">
      <c r="A53" s="453">
        <v>39142</v>
      </c>
      <c r="B53" s="96">
        <v>5122252</v>
      </c>
      <c r="C53" s="455">
        <f>+'Purchased Power Model '!C53</f>
        <v>477.9</v>
      </c>
      <c r="D53" s="455">
        <f>+'Purchased Power Model '!D53</f>
        <v>0</v>
      </c>
      <c r="E53" s="443">
        <f>+'Purchased Power Model '!E53</f>
        <v>6.2E-2</v>
      </c>
      <c r="F53" s="53">
        <f>+'Purchased Power Model '!F53</f>
        <v>31</v>
      </c>
      <c r="G53" s="53">
        <f>+'Purchased Power Model '!G53</f>
        <v>1</v>
      </c>
      <c r="H53" s="171">
        <v>2</v>
      </c>
      <c r="I53" s="456">
        <f t="shared" si="0"/>
        <v>6395783.3151678834</v>
      </c>
      <c r="J53" s="457">
        <f t="shared" si="1"/>
        <v>1273531.3151678834</v>
      </c>
      <c r="K53" s="5">
        <f t="shared" si="2"/>
        <v>0.24862722786147254</v>
      </c>
    </row>
    <row r="54" spans="1:11" x14ac:dyDescent="0.2">
      <c r="A54" s="453">
        <v>39173</v>
      </c>
      <c r="B54" s="96">
        <v>5766945</v>
      </c>
      <c r="C54" s="455">
        <f>+'Purchased Power Model '!C54</f>
        <v>280.39999999999998</v>
      </c>
      <c r="D54" s="455">
        <f>+'Purchased Power Model '!D54</f>
        <v>0</v>
      </c>
      <c r="E54" s="443">
        <f>+'Purchased Power Model '!E54</f>
        <v>5.9000000000000004E-2</v>
      </c>
      <c r="F54" s="53">
        <f>+'Purchased Power Model '!F54</f>
        <v>30</v>
      </c>
      <c r="G54" s="53">
        <f>+'Purchased Power Model '!G54</f>
        <v>1</v>
      </c>
      <c r="H54" s="171">
        <v>2</v>
      </c>
      <c r="I54" s="456">
        <f t="shared" si="0"/>
        <v>6853843.4559934502</v>
      </c>
      <c r="J54" s="457">
        <f t="shared" si="1"/>
        <v>1086898.4559934502</v>
      </c>
      <c r="K54" s="5">
        <f t="shared" si="2"/>
        <v>0.18847040434640008</v>
      </c>
    </row>
    <row r="55" spans="1:11" x14ac:dyDescent="0.2">
      <c r="A55" s="453">
        <v>39203</v>
      </c>
      <c r="B55" s="96">
        <v>5127178</v>
      </c>
      <c r="C55" s="455">
        <f>+'Purchased Power Model '!C55</f>
        <v>72.8</v>
      </c>
      <c r="D55" s="455">
        <f>+'Purchased Power Model '!D55</f>
        <v>4.5</v>
      </c>
      <c r="E55" s="443">
        <f>+'Purchased Power Model '!E55</f>
        <v>5.9000000000000004E-2</v>
      </c>
      <c r="F55" s="53">
        <f>+'Purchased Power Model '!F55</f>
        <v>31</v>
      </c>
      <c r="G55" s="53">
        <f>+'Purchased Power Model '!G55</f>
        <v>1</v>
      </c>
      <c r="H55" s="171">
        <v>2</v>
      </c>
      <c r="I55" s="456">
        <f t="shared" si="0"/>
        <v>6572289.3345950041</v>
      </c>
      <c r="J55" s="457">
        <f t="shared" si="1"/>
        <v>1445111.3345950041</v>
      </c>
      <c r="K55" s="5">
        <f t="shared" si="2"/>
        <v>0.28185316261596616</v>
      </c>
    </row>
    <row r="56" spans="1:11" x14ac:dyDescent="0.2">
      <c r="A56" s="453">
        <v>39234</v>
      </c>
      <c r="B56" s="96">
        <v>5685202</v>
      </c>
      <c r="C56" s="455">
        <f>+'Purchased Power Model '!C56</f>
        <v>6.2</v>
      </c>
      <c r="D56" s="455">
        <f>+'Purchased Power Model '!D56</f>
        <v>32.799999999999997</v>
      </c>
      <c r="E56" s="443">
        <f>+'Purchased Power Model '!E56</f>
        <v>5.9000000000000004E-2</v>
      </c>
      <c r="F56" s="53">
        <f>+'Purchased Power Model '!F56</f>
        <v>30</v>
      </c>
      <c r="G56" s="53">
        <f>+'Purchased Power Model '!G56</f>
        <v>0</v>
      </c>
      <c r="H56" s="171">
        <v>2</v>
      </c>
      <c r="I56" s="456">
        <f t="shared" si="0"/>
        <v>6449405.6525695985</v>
      </c>
      <c r="J56" s="457">
        <f t="shared" si="1"/>
        <v>764203.65256959852</v>
      </c>
      <c r="K56" s="5">
        <f t="shared" si="2"/>
        <v>0.13441978887814338</v>
      </c>
    </row>
    <row r="57" spans="1:11" x14ac:dyDescent="0.2">
      <c r="A57" s="453">
        <v>39264</v>
      </c>
      <c r="B57" s="96">
        <v>5692333</v>
      </c>
      <c r="C57" s="455">
        <f>+'Purchased Power Model '!C57</f>
        <v>8.6999999999999993</v>
      </c>
      <c r="D57" s="455">
        <f>+'Purchased Power Model '!D57</f>
        <v>41.6</v>
      </c>
      <c r="E57" s="443">
        <f>+'Purchased Power Model '!E57</f>
        <v>6.4000000000000001E-2</v>
      </c>
      <c r="F57" s="53">
        <f>+'Purchased Power Model '!F57</f>
        <v>31</v>
      </c>
      <c r="G57" s="53">
        <f>+'Purchased Power Model '!G57</f>
        <v>0</v>
      </c>
      <c r="H57" s="171">
        <v>2</v>
      </c>
      <c r="I57" s="456">
        <f t="shared" si="0"/>
        <v>5603478.4252275974</v>
      </c>
      <c r="J57" s="457">
        <f t="shared" si="1"/>
        <v>-88854.574772402644</v>
      </c>
      <c r="K57" s="5">
        <f t="shared" si="2"/>
        <v>-1.5609518060943139E-2</v>
      </c>
    </row>
    <row r="58" spans="1:11" x14ac:dyDescent="0.2">
      <c r="A58" s="453">
        <v>39295</v>
      </c>
      <c r="B58" s="96">
        <v>4060885</v>
      </c>
      <c r="C58" s="455">
        <f>+'Purchased Power Model '!C58</f>
        <v>4</v>
      </c>
      <c r="D58" s="455">
        <f>+'Purchased Power Model '!D58</f>
        <v>87.8</v>
      </c>
      <c r="E58" s="443">
        <f>+'Purchased Power Model '!E58</f>
        <v>6.4000000000000001E-2</v>
      </c>
      <c r="F58" s="53">
        <f>+'Purchased Power Model '!F58</f>
        <v>31</v>
      </c>
      <c r="G58" s="53">
        <f>+'Purchased Power Model '!G58</f>
        <v>0</v>
      </c>
      <c r="H58" s="171">
        <v>2</v>
      </c>
      <c r="I58" s="456">
        <f t="shared" si="0"/>
        <v>5545629.2170189247</v>
      </c>
      <c r="J58" s="457">
        <f t="shared" si="1"/>
        <v>1484744.2170189247</v>
      </c>
      <c r="K58" s="5">
        <f t="shared" si="2"/>
        <v>0.36562084792327898</v>
      </c>
    </row>
    <row r="59" spans="1:11" x14ac:dyDescent="0.2">
      <c r="A59" s="453">
        <v>39326</v>
      </c>
      <c r="B59" s="96">
        <v>5553257</v>
      </c>
      <c r="C59" s="455">
        <f>+'Purchased Power Model '!C59</f>
        <v>20.100000000000001</v>
      </c>
      <c r="D59" s="455">
        <f>+'Purchased Power Model '!D59</f>
        <v>12.3</v>
      </c>
      <c r="E59" s="443">
        <f>+'Purchased Power Model '!E59</f>
        <v>6.4000000000000001E-2</v>
      </c>
      <c r="F59" s="53">
        <f>+'Purchased Power Model '!F59</f>
        <v>30</v>
      </c>
      <c r="G59" s="53">
        <f>+'Purchased Power Model '!G59</f>
        <v>1</v>
      </c>
      <c r="H59" s="171">
        <v>2</v>
      </c>
      <c r="I59" s="456">
        <f t="shared" si="0"/>
        <v>6020882.5175676728</v>
      </c>
      <c r="J59" s="457">
        <f t="shared" si="1"/>
        <v>467625.51756767277</v>
      </c>
      <c r="K59" s="5">
        <f t="shared" si="2"/>
        <v>8.4207433145570748E-2</v>
      </c>
    </row>
    <row r="60" spans="1:11" x14ac:dyDescent="0.2">
      <c r="A60" s="453">
        <v>39356</v>
      </c>
      <c r="B60" s="96">
        <v>4722610</v>
      </c>
      <c r="C60" s="455">
        <f>+'Purchased Power Model '!C60</f>
        <v>101.5</v>
      </c>
      <c r="D60" s="455">
        <f>+'Purchased Power Model '!D60</f>
        <v>0</v>
      </c>
      <c r="E60" s="443">
        <f>+'Purchased Power Model '!E60</f>
        <v>6.0999999999999999E-2</v>
      </c>
      <c r="F60" s="53">
        <f>+'Purchased Power Model '!F60</f>
        <v>31</v>
      </c>
      <c r="G60" s="53">
        <f>+'Purchased Power Model '!G60</f>
        <v>1</v>
      </c>
      <c r="H60" s="171">
        <v>2</v>
      </c>
      <c r="I60" s="456">
        <f t="shared" si="0"/>
        <v>6323507.8721205182</v>
      </c>
      <c r="J60" s="457">
        <f t="shared" si="1"/>
        <v>1600897.8721205182</v>
      </c>
      <c r="K60" s="5">
        <f t="shared" si="2"/>
        <v>0.3389858303185142</v>
      </c>
    </row>
    <row r="61" spans="1:11" x14ac:dyDescent="0.2">
      <c r="A61" s="453">
        <v>39387</v>
      </c>
      <c r="B61" s="96">
        <v>5138930</v>
      </c>
      <c r="C61" s="455">
        <f>+'Purchased Power Model '!C61</f>
        <v>314.10000000000002</v>
      </c>
      <c r="D61" s="455">
        <f>+'Purchased Power Model '!D61</f>
        <v>0</v>
      </c>
      <c r="E61" s="443">
        <f>+'Purchased Power Model '!E61</f>
        <v>6.0999999999999999E-2</v>
      </c>
      <c r="F61" s="53">
        <f>+'Purchased Power Model '!F61</f>
        <v>30</v>
      </c>
      <c r="G61" s="53">
        <f>+'Purchased Power Model '!G61</f>
        <v>1</v>
      </c>
      <c r="H61" s="171">
        <v>2</v>
      </c>
      <c r="I61" s="456">
        <f t="shared" si="0"/>
        <v>6602432.5827868441</v>
      </c>
      <c r="J61" s="457">
        <f t="shared" si="1"/>
        <v>1463502.5827868441</v>
      </c>
      <c r="K61" s="5">
        <f t="shared" si="2"/>
        <v>0.28478741348624015</v>
      </c>
    </row>
    <row r="62" spans="1:11" x14ac:dyDescent="0.2">
      <c r="A62" s="453">
        <v>39417</v>
      </c>
      <c r="B62" s="96">
        <v>5178387</v>
      </c>
      <c r="C62" s="455">
        <f>+'Purchased Power Model '!C62</f>
        <v>337.8</v>
      </c>
      <c r="D62" s="455">
        <f>+'Purchased Power Model '!D62</f>
        <v>0</v>
      </c>
      <c r="E62" s="443">
        <f>+'Purchased Power Model '!E62</f>
        <v>6.0999999999999999E-2</v>
      </c>
      <c r="F62" s="53">
        <f>+'Purchased Power Model '!F62</f>
        <v>31</v>
      </c>
      <c r="G62" s="53">
        <f>+'Purchased Power Model '!G62</f>
        <v>0</v>
      </c>
      <c r="H62" s="171">
        <v>2</v>
      </c>
      <c r="I62" s="456">
        <f t="shared" si="0"/>
        <v>6239402.4050199576</v>
      </c>
      <c r="J62" s="457">
        <f t="shared" si="1"/>
        <v>1061015.4050199576</v>
      </c>
      <c r="K62" s="5">
        <f t="shared" si="2"/>
        <v>0.20489303040115728</v>
      </c>
    </row>
    <row r="63" spans="1:11" x14ac:dyDescent="0.2">
      <c r="A63" s="453">
        <v>39448</v>
      </c>
      <c r="B63" s="171">
        <v>3766565</v>
      </c>
      <c r="C63" s="458">
        <f>+'Purchased Power Model '!C63</f>
        <v>432.8</v>
      </c>
      <c r="D63" s="458">
        <f>+'Purchased Power Model '!D63</f>
        <v>0</v>
      </c>
      <c r="E63" s="443">
        <f>+'Purchased Power Model '!E63</f>
        <v>6.6000000000000003E-2</v>
      </c>
      <c r="F63" s="53">
        <f>+'Purchased Power Model '!F63</f>
        <v>31</v>
      </c>
      <c r="G63" s="53">
        <f>+'Purchased Power Model '!G63</f>
        <v>0</v>
      </c>
      <c r="H63" s="171">
        <v>2</v>
      </c>
      <c r="I63" s="456">
        <f t="shared" si="0"/>
        <v>5616794.5502088293</v>
      </c>
      <c r="J63" s="457">
        <f t="shared" si="1"/>
        <v>1850229.5502088293</v>
      </c>
      <c r="K63" s="5">
        <f t="shared" si="2"/>
        <v>0.49122464372945357</v>
      </c>
    </row>
    <row r="64" spans="1:11" x14ac:dyDescent="0.2">
      <c r="A64" s="453">
        <v>39479</v>
      </c>
      <c r="B64" s="171">
        <v>3664377</v>
      </c>
      <c r="C64" s="458">
        <f>+'Purchased Power Model '!C64</f>
        <v>317.60000000000002</v>
      </c>
      <c r="D64" s="458">
        <f>+'Purchased Power Model '!D64</f>
        <v>0</v>
      </c>
      <c r="E64" s="443">
        <f>+'Purchased Power Model '!E64</f>
        <v>6.6000000000000003E-2</v>
      </c>
      <c r="F64" s="53">
        <f>+'Purchased Power Model '!F64</f>
        <v>29</v>
      </c>
      <c r="G64" s="53">
        <f>+'Purchased Power Model '!G64</f>
        <v>0</v>
      </c>
      <c r="H64" s="171">
        <v>2</v>
      </c>
      <c r="I64" s="456">
        <f t="shared" si="0"/>
        <v>5877080.7192449467</v>
      </c>
      <c r="J64" s="457">
        <f t="shared" si="1"/>
        <v>2212703.7192449467</v>
      </c>
      <c r="K64" s="5">
        <f t="shared" si="2"/>
        <v>0.60384172241146228</v>
      </c>
    </row>
    <row r="65" spans="1:17" x14ac:dyDescent="0.2">
      <c r="A65" s="453">
        <v>39508</v>
      </c>
      <c r="B65" s="171">
        <v>3693203</v>
      </c>
      <c r="C65" s="458">
        <f>+'Purchased Power Model '!C65</f>
        <v>430</v>
      </c>
      <c r="D65" s="458">
        <f>+'Purchased Power Model '!D65</f>
        <v>0</v>
      </c>
      <c r="E65" s="443">
        <f>+'Purchased Power Model '!E65</f>
        <v>6.6000000000000003E-2</v>
      </c>
      <c r="F65" s="53">
        <f>+'Purchased Power Model '!F65</f>
        <v>31</v>
      </c>
      <c r="G65" s="53">
        <f>+'Purchased Power Model '!G65</f>
        <v>1</v>
      </c>
      <c r="H65" s="171">
        <v>2</v>
      </c>
      <c r="I65" s="456">
        <f t="shared" si="0"/>
        <v>5829473.3322820775</v>
      </c>
      <c r="J65" s="457">
        <f t="shared" si="1"/>
        <v>2136270.3322820775</v>
      </c>
      <c r="K65" s="5">
        <f t="shared" si="2"/>
        <v>0.5784329570516642</v>
      </c>
    </row>
    <row r="66" spans="1:17" x14ac:dyDescent="0.2">
      <c r="A66" s="453">
        <v>39539</v>
      </c>
      <c r="B66" s="171">
        <v>3278711</v>
      </c>
      <c r="C66" s="458">
        <f>+'Purchased Power Model '!C66</f>
        <v>144.6</v>
      </c>
      <c r="D66" s="458">
        <f>+'Purchased Power Model '!D66</f>
        <v>0</v>
      </c>
      <c r="E66" s="443">
        <f>+'Purchased Power Model '!E66</f>
        <v>7.400000000000001E-2</v>
      </c>
      <c r="F66" s="53">
        <f>+'Purchased Power Model '!F66</f>
        <v>30</v>
      </c>
      <c r="G66" s="53">
        <f>+'Purchased Power Model '!G66</f>
        <v>1</v>
      </c>
      <c r="H66" s="171">
        <v>2</v>
      </c>
      <c r="I66" s="456">
        <f t="shared" si="0"/>
        <v>4754312.6070182798</v>
      </c>
      <c r="J66" s="457">
        <f t="shared" si="1"/>
        <v>1475601.6070182798</v>
      </c>
      <c r="K66" s="5">
        <f t="shared" si="2"/>
        <v>0.45005540501077401</v>
      </c>
    </row>
    <row r="67" spans="1:17" x14ac:dyDescent="0.2">
      <c r="A67" s="453">
        <v>39569</v>
      </c>
      <c r="B67" s="171">
        <v>3060394</v>
      </c>
      <c r="C67" s="458">
        <f>+'Purchased Power Model '!C67</f>
        <v>151</v>
      </c>
      <c r="D67" s="458">
        <f>+'Purchased Power Model '!D67</f>
        <v>0</v>
      </c>
      <c r="E67" s="443">
        <f>+'Purchased Power Model '!E67</f>
        <v>7.400000000000001E-2</v>
      </c>
      <c r="F67" s="53">
        <f>+'Purchased Power Model '!F67</f>
        <v>31</v>
      </c>
      <c r="G67" s="53">
        <f>+'Purchased Power Model '!G67</f>
        <v>1</v>
      </c>
      <c r="H67" s="171">
        <v>2</v>
      </c>
      <c r="I67" s="456">
        <f t="shared" si="0"/>
        <v>4595977.0011871476</v>
      </c>
      <c r="J67" s="457">
        <f t="shared" si="1"/>
        <v>1535583.0011871476</v>
      </c>
      <c r="K67" s="5">
        <f t="shared" si="2"/>
        <v>0.50175990450482766</v>
      </c>
    </row>
    <row r="68" spans="1:17" x14ac:dyDescent="0.2">
      <c r="A68" s="453">
        <v>39600</v>
      </c>
      <c r="B68" s="171">
        <v>3072635</v>
      </c>
      <c r="C68" s="458">
        <f>+'Purchased Power Model '!C68</f>
        <v>15.5</v>
      </c>
      <c r="D68" s="458">
        <f>+'Purchased Power Model '!D68</f>
        <v>23.6</v>
      </c>
      <c r="E68" s="443">
        <f>+'Purchased Power Model '!E68</f>
        <v>7.400000000000001E-2</v>
      </c>
      <c r="F68" s="53">
        <f>+'Purchased Power Model '!F68</f>
        <v>30</v>
      </c>
      <c r="G68" s="53">
        <f>+'Purchased Power Model '!G68</f>
        <v>0</v>
      </c>
      <c r="H68" s="171">
        <v>2</v>
      </c>
      <c r="I68" s="456">
        <f t="shared" ref="I68:I131" si="3">$N$18+C68*$N$19+D68*$N$20+E68*$N$21+F68*$N$22+G68*$N$23</f>
        <v>4440776.3678436792</v>
      </c>
      <c r="J68" s="457">
        <f t="shared" ref="J68:J131" si="4">I68-B68</f>
        <v>1368141.3678436792</v>
      </c>
      <c r="K68" s="5">
        <f t="shared" ref="K68:K131" si="5">J68/B68</f>
        <v>0.44526647904605626</v>
      </c>
    </row>
    <row r="69" spans="1:17" x14ac:dyDescent="0.2">
      <c r="A69" s="453">
        <v>39630</v>
      </c>
      <c r="B69" s="171">
        <v>3517541</v>
      </c>
      <c r="C69" s="458">
        <f>+'Purchased Power Model '!C69</f>
        <v>1</v>
      </c>
      <c r="D69" s="458">
        <f>+'Purchased Power Model '!D69</f>
        <v>61.4</v>
      </c>
      <c r="E69" s="443">
        <f>+'Purchased Power Model '!E69</f>
        <v>6.8000000000000005E-2</v>
      </c>
      <c r="F69" s="53">
        <f>+'Purchased Power Model '!F69</f>
        <v>31</v>
      </c>
      <c r="G69" s="53">
        <f>+'Purchased Power Model '!G69</f>
        <v>0</v>
      </c>
      <c r="H69" s="171">
        <v>2</v>
      </c>
      <c r="I69" s="456">
        <f t="shared" si="3"/>
        <v>5035620.5954309683</v>
      </c>
      <c r="J69" s="457">
        <f t="shared" si="4"/>
        <v>1518079.5954309683</v>
      </c>
      <c r="K69" s="5">
        <f t="shared" si="5"/>
        <v>0.43157410117777401</v>
      </c>
    </row>
    <row r="70" spans="1:17" x14ac:dyDescent="0.2">
      <c r="A70" s="453">
        <v>39661</v>
      </c>
      <c r="B70" s="171">
        <v>2956895</v>
      </c>
      <c r="C70" s="458">
        <f>+'Purchased Power Model '!C70</f>
        <v>13.8</v>
      </c>
      <c r="D70" s="458">
        <f>+'Purchased Power Model '!D70</f>
        <v>29.9</v>
      </c>
      <c r="E70" s="443">
        <f>+'Purchased Power Model '!E70</f>
        <v>6.8000000000000005E-2</v>
      </c>
      <c r="F70" s="53">
        <f>+'Purchased Power Model '!F70</f>
        <v>31</v>
      </c>
      <c r="G70" s="53">
        <f>+'Purchased Power Model '!G70</f>
        <v>0</v>
      </c>
      <c r="H70" s="171">
        <v>2</v>
      </c>
      <c r="I70" s="456">
        <f t="shared" si="3"/>
        <v>5080346.8322504405</v>
      </c>
      <c r="J70" s="457">
        <f t="shared" si="4"/>
        <v>2123451.8322504405</v>
      </c>
      <c r="K70" s="5">
        <f t="shared" si="5"/>
        <v>0.71813569039497194</v>
      </c>
    </row>
    <row r="71" spans="1:17" x14ac:dyDescent="0.2">
      <c r="A71" s="453">
        <v>39692</v>
      </c>
      <c r="B71" s="171">
        <v>2964191</v>
      </c>
      <c r="C71" s="458">
        <f>+'Purchased Power Model '!C71</f>
        <v>51.6</v>
      </c>
      <c r="D71" s="458">
        <f>+'Purchased Power Model '!D71</f>
        <v>15.1</v>
      </c>
      <c r="E71" s="443">
        <f>+'Purchased Power Model '!E71</f>
        <v>6.8000000000000005E-2</v>
      </c>
      <c r="F71" s="53">
        <f>+'Purchased Power Model '!F71</f>
        <v>30</v>
      </c>
      <c r="G71" s="53">
        <f>+'Purchased Power Model '!G71</f>
        <v>1</v>
      </c>
      <c r="H71" s="171">
        <v>3</v>
      </c>
      <c r="I71" s="456">
        <f t="shared" si="3"/>
        <v>5494943.8031029655</v>
      </c>
      <c r="J71" s="457">
        <f t="shared" si="4"/>
        <v>2530752.8031029655</v>
      </c>
      <c r="K71" s="5">
        <f t="shared" si="5"/>
        <v>0.85377521323793426</v>
      </c>
    </row>
    <row r="72" spans="1:17" x14ac:dyDescent="0.2">
      <c r="A72" s="453">
        <v>39722</v>
      </c>
      <c r="B72" s="171">
        <v>5786813</v>
      </c>
      <c r="C72" s="458">
        <f>+'Purchased Power Model '!C72</f>
        <v>203.1</v>
      </c>
      <c r="D72" s="458">
        <f>+'Purchased Power Model '!D72</f>
        <v>0</v>
      </c>
      <c r="E72" s="443">
        <f>+'Purchased Power Model '!E72</f>
        <v>0.08</v>
      </c>
      <c r="F72" s="53">
        <f>+'Purchased Power Model '!F72</f>
        <v>31</v>
      </c>
      <c r="G72" s="53">
        <f>+'Purchased Power Model '!G72</f>
        <v>1</v>
      </c>
      <c r="H72" s="171">
        <v>3</v>
      </c>
      <c r="I72" s="456">
        <f t="shared" si="3"/>
        <v>3814763.2576544429</v>
      </c>
      <c r="J72" s="457">
        <f t="shared" si="4"/>
        <v>-1972049.7423455571</v>
      </c>
      <c r="K72" s="5">
        <f t="shared" si="5"/>
        <v>-0.34078338842909855</v>
      </c>
    </row>
    <row r="73" spans="1:17" x14ac:dyDescent="0.2">
      <c r="A73" s="453">
        <v>39753</v>
      </c>
      <c r="B73" s="171">
        <v>5505321</v>
      </c>
      <c r="C73" s="458">
        <f>+'Purchased Power Model '!C73</f>
        <v>268.8</v>
      </c>
      <c r="D73" s="458">
        <f>+'Purchased Power Model '!D73</f>
        <v>0</v>
      </c>
      <c r="E73" s="443">
        <f>+'Purchased Power Model '!E73</f>
        <v>0.08</v>
      </c>
      <c r="F73" s="53">
        <f>+'Purchased Power Model '!F73</f>
        <v>30</v>
      </c>
      <c r="G73" s="53">
        <f>+'Purchased Power Model '!G73</f>
        <v>1</v>
      </c>
      <c r="H73" s="171">
        <v>3</v>
      </c>
      <c r="I73" s="456">
        <f t="shared" si="3"/>
        <v>4012799.6601002631</v>
      </c>
      <c r="J73" s="457">
        <f t="shared" si="4"/>
        <v>-1492521.3398997369</v>
      </c>
      <c r="K73" s="5">
        <f t="shared" si="5"/>
        <v>-0.27110523435413431</v>
      </c>
    </row>
    <row r="74" spans="1:17" x14ac:dyDescent="0.2">
      <c r="A74" s="453">
        <v>39783</v>
      </c>
      <c r="B74" s="171">
        <v>5194375</v>
      </c>
      <c r="C74" s="458">
        <f>+'Purchased Power Model '!C74</f>
        <v>378.9</v>
      </c>
      <c r="D74" s="458">
        <f>+'Purchased Power Model '!D74</f>
        <v>0</v>
      </c>
      <c r="E74" s="443">
        <f>+'Purchased Power Model '!E74</f>
        <v>0.08</v>
      </c>
      <c r="F74" s="53">
        <f>+'Purchased Power Model '!F74</f>
        <v>31</v>
      </c>
      <c r="G74" s="53">
        <f>+'Purchased Power Model '!G74</f>
        <v>0</v>
      </c>
      <c r="H74" s="171">
        <v>3</v>
      </c>
      <c r="I74" s="456">
        <f t="shared" si="3"/>
        <v>3697344.3620491773</v>
      </c>
      <c r="J74" s="457">
        <f t="shared" si="4"/>
        <v>-1497030.6379508227</v>
      </c>
      <c r="K74" s="5">
        <f t="shared" si="5"/>
        <v>-0.28820226455556686</v>
      </c>
    </row>
    <row r="75" spans="1:17" s="14" customFormat="1" x14ac:dyDescent="0.2">
      <c r="A75" s="453">
        <v>39814</v>
      </c>
      <c r="B75" s="171">
        <v>4191683</v>
      </c>
      <c r="C75" s="458">
        <f>+'Purchased Power Model '!C75</f>
        <v>684.3</v>
      </c>
      <c r="D75" s="458">
        <f>+'Purchased Power Model '!D75</f>
        <v>0</v>
      </c>
      <c r="E75" s="443">
        <f>+'Purchased Power Model '!E75</f>
        <v>8.3000000000000004E-2</v>
      </c>
      <c r="F75" s="53">
        <f>+'Purchased Power Model '!F75</f>
        <v>31</v>
      </c>
      <c r="G75" s="53">
        <f>+'Purchased Power Model '!G75</f>
        <v>0</v>
      </c>
      <c r="H75" s="171">
        <v>2</v>
      </c>
      <c r="I75" s="456">
        <f t="shared" si="3"/>
        <v>3460557.4283454381</v>
      </c>
      <c r="J75" s="457">
        <f t="shared" si="4"/>
        <v>-731125.57165456191</v>
      </c>
      <c r="K75" s="5">
        <f t="shared" si="5"/>
        <v>-0.17442291596348339</v>
      </c>
      <c r="L75" s="11"/>
      <c r="M75" s="11"/>
      <c r="N75" s="11"/>
      <c r="O75" s="11"/>
      <c r="P75" s="11"/>
      <c r="Q75" s="11"/>
    </row>
    <row r="76" spans="1:17" x14ac:dyDescent="0.2">
      <c r="A76" s="453">
        <v>39845</v>
      </c>
      <c r="B76" s="171">
        <v>3622325</v>
      </c>
      <c r="C76" s="458">
        <f>+'Purchased Power Model '!C76</f>
        <v>595.29999999999995</v>
      </c>
      <c r="D76" s="458">
        <f>+'Purchased Power Model '!D76</f>
        <v>0</v>
      </c>
      <c r="E76" s="443">
        <f>+'Purchased Power Model '!E76</f>
        <v>8.3000000000000004E-2</v>
      </c>
      <c r="F76" s="53">
        <f>+'Purchased Power Model '!F76</f>
        <v>28</v>
      </c>
      <c r="G76" s="53">
        <f>+'Purchased Power Model '!G76</f>
        <v>0</v>
      </c>
      <c r="H76" s="171">
        <v>2</v>
      </c>
      <c r="I76" s="456">
        <f t="shared" si="3"/>
        <v>3897129.9101424944</v>
      </c>
      <c r="J76" s="457">
        <f t="shared" si="4"/>
        <v>274804.91014249437</v>
      </c>
      <c r="K76" s="5">
        <f t="shared" si="5"/>
        <v>7.5864233646206342E-2</v>
      </c>
    </row>
    <row r="77" spans="1:17" x14ac:dyDescent="0.2">
      <c r="A77" s="453">
        <v>39873</v>
      </c>
      <c r="B77" s="171">
        <v>2717396</v>
      </c>
      <c r="C77" s="458">
        <f>+'Purchased Power Model '!C77</f>
        <v>442.2</v>
      </c>
      <c r="D77" s="458">
        <f>+'Purchased Power Model '!D77</f>
        <v>0</v>
      </c>
      <c r="E77" s="443">
        <f>+'Purchased Power Model '!E77</f>
        <v>8.3000000000000004E-2</v>
      </c>
      <c r="F77" s="53">
        <f>+'Purchased Power Model '!F77</f>
        <v>31</v>
      </c>
      <c r="G77" s="53">
        <f>+'Purchased Power Model '!G77</f>
        <v>1</v>
      </c>
      <c r="H77" s="171">
        <v>2</v>
      </c>
      <c r="I77" s="456">
        <f t="shared" si="3"/>
        <v>3541469.2113910052</v>
      </c>
      <c r="J77" s="457">
        <f t="shared" si="4"/>
        <v>824073.2113910052</v>
      </c>
      <c r="K77" s="5">
        <f t="shared" si="5"/>
        <v>0.30325841776134405</v>
      </c>
    </row>
    <row r="78" spans="1:17" x14ac:dyDescent="0.2">
      <c r="A78" s="453">
        <v>39904</v>
      </c>
      <c r="B78" s="171">
        <v>2842222</v>
      </c>
      <c r="C78" s="458">
        <f>+'Purchased Power Model '!C78</f>
        <v>313.8</v>
      </c>
      <c r="D78" s="458">
        <f>+'Purchased Power Model '!D78</f>
        <v>0</v>
      </c>
      <c r="E78" s="443">
        <f>+'Purchased Power Model '!E78</f>
        <v>8.8000000000000009E-2</v>
      </c>
      <c r="F78" s="53">
        <f>+'Purchased Power Model '!F78</f>
        <v>30</v>
      </c>
      <c r="G78" s="53">
        <f>+'Purchased Power Model '!G78</f>
        <v>1</v>
      </c>
      <c r="H78" s="171">
        <v>2</v>
      </c>
      <c r="I78" s="456">
        <f t="shared" si="3"/>
        <v>2957709.1279395991</v>
      </c>
      <c r="J78" s="457">
        <f t="shared" si="4"/>
        <v>115487.1279395991</v>
      </c>
      <c r="K78" s="5">
        <f t="shared" si="5"/>
        <v>4.0632690880444633E-2</v>
      </c>
    </row>
    <row r="79" spans="1:17" x14ac:dyDescent="0.2">
      <c r="A79" s="453">
        <v>39934</v>
      </c>
      <c r="B79" s="171">
        <v>2701951</v>
      </c>
      <c r="C79" s="458">
        <f>+'Purchased Power Model '!C79</f>
        <v>170.1</v>
      </c>
      <c r="D79" s="458">
        <f>+'Purchased Power Model '!D79</f>
        <v>0</v>
      </c>
      <c r="E79" s="443">
        <f>+'Purchased Power Model '!E79</f>
        <v>8.8000000000000009E-2</v>
      </c>
      <c r="F79" s="53">
        <f>+'Purchased Power Model '!F79</f>
        <v>31</v>
      </c>
      <c r="G79" s="53">
        <f>+'Purchased Power Model '!G79</f>
        <v>1</v>
      </c>
      <c r="H79" s="171">
        <v>1</v>
      </c>
      <c r="I79" s="456">
        <f t="shared" si="3"/>
        <v>2716723.1813058979</v>
      </c>
      <c r="J79" s="457">
        <f t="shared" si="4"/>
        <v>14772.181305897888</v>
      </c>
      <c r="K79" s="5">
        <f t="shared" si="5"/>
        <v>5.4672276832177522E-3</v>
      </c>
    </row>
    <row r="80" spans="1:17" x14ac:dyDescent="0.2">
      <c r="A80" s="453">
        <v>39965</v>
      </c>
      <c r="B80" s="171">
        <v>2813462</v>
      </c>
      <c r="C80" s="458">
        <f>+'Purchased Power Model '!C80</f>
        <v>57.9</v>
      </c>
      <c r="D80" s="458">
        <f>+'Purchased Power Model '!D80</f>
        <v>26.3</v>
      </c>
      <c r="E80" s="443">
        <f>+'Purchased Power Model '!E80</f>
        <v>8.8000000000000009E-2</v>
      </c>
      <c r="F80" s="53">
        <f>+'Purchased Power Model '!F80</f>
        <v>30</v>
      </c>
      <c r="G80" s="53">
        <f>+'Purchased Power Model '!G80</f>
        <v>0</v>
      </c>
      <c r="H80" s="171">
        <v>1</v>
      </c>
      <c r="I80" s="456">
        <f t="shared" si="3"/>
        <v>2571122.795715644</v>
      </c>
      <c r="J80" s="457">
        <f t="shared" si="4"/>
        <v>-242339.20428435598</v>
      </c>
      <c r="K80" s="5">
        <f t="shared" si="5"/>
        <v>-8.613558821279832E-2</v>
      </c>
    </row>
    <row r="81" spans="1:17" x14ac:dyDescent="0.2">
      <c r="A81" s="453">
        <v>39995</v>
      </c>
      <c r="B81" s="171">
        <v>2931617</v>
      </c>
      <c r="C81" s="458">
        <f>+'Purchased Power Model '!C81</f>
        <v>16.8</v>
      </c>
      <c r="D81" s="458">
        <f>+'Purchased Power Model '!D81</f>
        <v>25.6</v>
      </c>
      <c r="E81" s="443">
        <f>+'Purchased Power Model '!E81</f>
        <v>9.5000000000000001E-2</v>
      </c>
      <c r="F81" s="53">
        <f>+'Purchased Power Model '!F81</f>
        <v>31</v>
      </c>
      <c r="G81" s="53">
        <f>+'Purchased Power Model '!G81</f>
        <v>0</v>
      </c>
      <c r="H81" s="171">
        <v>1</v>
      </c>
      <c r="I81" s="456">
        <f t="shared" si="3"/>
        <v>1442583.8340720888</v>
      </c>
      <c r="J81" s="457">
        <f t="shared" si="4"/>
        <v>-1489033.1659279112</v>
      </c>
      <c r="K81" s="5">
        <f t="shared" si="5"/>
        <v>-0.50792213509742612</v>
      </c>
    </row>
    <row r="82" spans="1:17" x14ac:dyDescent="0.2">
      <c r="A82" s="453">
        <v>40026</v>
      </c>
      <c r="B82" s="171">
        <v>3253407</v>
      </c>
      <c r="C82" s="458">
        <f>+'Purchased Power Model '!C82</f>
        <v>13.1</v>
      </c>
      <c r="D82" s="458">
        <f>+'Purchased Power Model '!D82</f>
        <v>77.7</v>
      </c>
      <c r="E82" s="443">
        <f>+'Purchased Power Model '!E82</f>
        <v>9.5000000000000001E-2</v>
      </c>
      <c r="F82" s="53">
        <f>+'Purchased Power Model '!F82</f>
        <v>31</v>
      </c>
      <c r="G82" s="53">
        <f>+'Purchased Power Model '!G82</f>
        <v>0</v>
      </c>
      <c r="H82" s="171">
        <v>1</v>
      </c>
      <c r="I82" s="456">
        <f t="shared" si="3"/>
        <v>1378228.0918929894</v>
      </c>
      <c r="J82" s="457">
        <f t="shared" si="4"/>
        <v>-1875178.9081070106</v>
      </c>
      <c r="K82" s="5">
        <f t="shared" si="5"/>
        <v>-0.57637390836959856</v>
      </c>
    </row>
    <row r="83" spans="1:17" x14ac:dyDescent="0.2">
      <c r="A83" s="453">
        <v>40057</v>
      </c>
      <c r="B83" s="171">
        <v>3293269</v>
      </c>
      <c r="C83" s="458">
        <f>+'Purchased Power Model '!C83</f>
        <v>64.8</v>
      </c>
      <c r="D83" s="458">
        <f>+'Purchased Power Model '!D83</f>
        <v>9</v>
      </c>
      <c r="E83" s="443">
        <f>+'Purchased Power Model '!E83</f>
        <v>9.5000000000000001E-2</v>
      </c>
      <c r="F83" s="53">
        <f>+'Purchased Power Model '!F83</f>
        <v>30</v>
      </c>
      <c r="G83" s="53">
        <f>+'Purchased Power Model '!G83</f>
        <v>1</v>
      </c>
      <c r="H83" s="171">
        <v>1</v>
      </c>
      <c r="I83" s="456">
        <f t="shared" si="3"/>
        <v>1864950.3184365951</v>
      </c>
      <c r="J83" s="457">
        <f t="shared" si="4"/>
        <v>-1428318.6815634049</v>
      </c>
      <c r="K83" s="5">
        <f t="shared" si="5"/>
        <v>-0.43370847676378849</v>
      </c>
    </row>
    <row r="84" spans="1:17" x14ac:dyDescent="0.2">
      <c r="A84" s="453">
        <v>40087</v>
      </c>
      <c r="B84" s="171">
        <v>3145414</v>
      </c>
      <c r="C84" s="458">
        <f>+'Purchased Power Model '!C84</f>
        <v>287.89999999999998</v>
      </c>
      <c r="D84" s="458">
        <f>+'Purchased Power Model '!D84</f>
        <v>0</v>
      </c>
      <c r="E84" s="443">
        <f>+'Purchased Power Model '!E84</f>
        <v>0.1</v>
      </c>
      <c r="F84" s="53">
        <f>+'Purchased Power Model '!F84</f>
        <v>31</v>
      </c>
      <c r="G84" s="53">
        <f>+'Purchased Power Model '!G84</f>
        <v>1</v>
      </c>
      <c r="H84" s="171">
        <v>1</v>
      </c>
      <c r="I84" s="456">
        <f t="shared" si="3"/>
        <v>1161784.3327142685</v>
      </c>
      <c r="J84" s="457">
        <f t="shared" si="4"/>
        <v>-1983629.6672857315</v>
      </c>
      <c r="K84" s="5">
        <f t="shared" si="5"/>
        <v>-0.63064183833534526</v>
      </c>
    </row>
    <row r="85" spans="1:17" x14ac:dyDescent="0.2">
      <c r="A85" s="453">
        <v>40118</v>
      </c>
      <c r="B85" s="171">
        <v>2862881</v>
      </c>
      <c r="C85" s="458">
        <f>+'Purchased Power Model '!C85</f>
        <v>347.4</v>
      </c>
      <c r="D85" s="458">
        <f>+'Purchased Power Model '!D85</f>
        <v>0</v>
      </c>
      <c r="E85" s="443">
        <f>+'Purchased Power Model '!E85</f>
        <v>0.1</v>
      </c>
      <c r="F85" s="53">
        <f>+'Purchased Power Model '!F85</f>
        <v>30</v>
      </c>
      <c r="G85" s="53">
        <f>+'Purchased Power Model '!G85</f>
        <v>1</v>
      </c>
      <c r="H85" s="171">
        <v>1</v>
      </c>
      <c r="I85" s="456">
        <f t="shared" si="3"/>
        <v>1356406.7970323362</v>
      </c>
      <c r="J85" s="457">
        <f t="shared" si="4"/>
        <v>-1506474.2029676638</v>
      </c>
      <c r="K85" s="5">
        <f t="shared" si="5"/>
        <v>-0.52620915887445685</v>
      </c>
    </row>
    <row r="86" spans="1:17" s="31" customFormat="1" x14ac:dyDescent="0.2">
      <c r="A86" s="453">
        <v>40148</v>
      </c>
      <c r="B86" s="171">
        <v>2204662</v>
      </c>
      <c r="C86" s="458">
        <f>+'Purchased Power Model '!C86</f>
        <v>619.1</v>
      </c>
      <c r="D86" s="458">
        <f>+'Purchased Power Model '!D86</f>
        <v>0</v>
      </c>
      <c r="E86" s="443">
        <f>+'Purchased Power Model '!E86</f>
        <v>0.1</v>
      </c>
      <c r="F86" s="53">
        <f>+'Purchased Power Model '!F86</f>
        <v>31</v>
      </c>
      <c r="G86" s="53">
        <f>+'Purchased Power Model '!G86</f>
        <v>0</v>
      </c>
      <c r="H86" s="171">
        <v>1</v>
      </c>
      <c r="I86" s="456">
        <f t="shared" si="3"/>
        <v>1129934.1443756241</v>
      </c>
      <c r="J86" s="457">
        <f t="shared" si="4"/>
        <v>-1074727.8556243759</v>
      </c>
      <c r="K86" s="5">
        <f t="shared" si="5"/>
        <v>-0.48747964795709087</v>
      </c>
      <c r="L86" s="27"/>
      <c r="M86" s="27"/>
      <c r="N86" s="27"/>
      <c r="O86" s="27"/>
      <c r="P86" s="27"/>
      <c r="Q86" s="27"/>
    </row>
    <row r="87" spans="1:17" x14ac:dyDescent="0.2">
      <c r="A87" s="453">
        <v>40179</v>
      </c>
      <c r="B87" s="454">
        <v>2338497</v>
      </c>
      <c r="C87" s="458">
        <f>+'Purchased Power Model '!C87</f>
        <v>699.9</v>
      </c>
      <c r="D87" s="458">
        <f>+'Purchased Power Model '!D87</f>
        <v>0</v>
      </c>
      <c r="E87" s="443">
        <f>+'Purchased Power Model '!E87</f>
        <v>0.10300000000000001</v>
      </c>
      <c r="F87" s="53">
        <f>+'Purchased Power Model '!F87</f>
        <v>31</v>
      </c>
      <c r="G87" s="53">
        <f>+'Purchased Power Model '!G87</f>
        <v>0</v>
      </c>
      <c r="H87" s="171">
        <v>1</v>
      </c>
      <c r="I87" s="456">
        <f t="shared" si="3"/>
        <v>769474.54881807044</v>
      </c>
      <c r="J87" s="457">
        <f t="shared" si="4"/>
        <v>-1569022.4511819296</v>
      </c>
      <c r="K87" s="5">
        <f t="shared" si="5"/>
        <v>-0.67095337354802231</v>
      </c>
    </row>
    <row r="88" spans="1:17" x14ac:dyDescent="0.2">
      <c r="A88" s="453">
        <v>40210</v>
      </c>
      <c r="B88" s="454">
        <v>2504282</v>
      </c>
      <c r="C88" s="458">
        <f>+'Purchased Power Model '!C88</f>
        <v>583.79999999999995</v>
      </c>
      <c r="D88" s="458">
        <f>+'Purchased Power Model '!D88</f>
        <v>0</v>
      </c>
      <c r="E88" s="443">
        <f>+'Purchased Power Model '!E88</f>
        <v>0.10300000000000001</v>
      </c>
      <c r="F88" s="53">
        <f>+'Purchased Power Model '!F88</f>
        <v>28</v>
      </c>
      <c r="G88" s="53">
        <f>+'Purchased Power Model '!G88</f>
        <v>0</v>
      </c>
      <c r="H88" s="171">
        <v>1</v>
      </c>
      <c r="I88" s="456">
        <f t="shared" si="3"/>
        <v>1191124.8171857428</v>
      </c>
      <c r="J88" s="457">
        <f t="shared" si="4"/>
        <v>-1313157.1828142572</v>
      </c>
      <c r="K88" s="5">
        <f t="shared" si="5"/>
        <v>-0.52436474119698073</v>
      </c>
    </row>
    <row r="89" spans="1:17" x14ac:dyDescent="0.2">
      <c r="A89" s="453">
        <v>40238</v>
      </c>
      <c r="B89" s="454">
        <v>2178313</v>
      </c>
      <c r="C89" s="458">
        <f>+'Purchased Power Model '!C89</f>
        <v>411</v>
      </c>
      <c r="D89" s="458">
        <f>+'Purchased Power Model '!D89</f>
        <v>0</v>
      </c>
      <c r="E89" s="443">
        <f>+'Purchased Power Model '!E89</f>
        <v>0.10300000000000001</v>
      </c>
      <c r="F89" s="53">
        <f>+'Purchased Power Model '!F89</f>
        <v>31</v>
      </c>
      <c r="G89" s="53">
        <f>+'Purchased Power Model '!G89</f>
        <v>1</v>
      </c>
      <c r="H89" s="171">
        <v>1</v>
      </c>
      <c r="I89" s="456">
        <f t="shared" si="3"/>
        <v>824616.60535090754</v>
      </c>
      <c r="J89" s="457">
        <f t="shared" si="4"/>
        <v>-1353696.3946490926</v>
      </c>
      <c r="K89" s="5">
        <f t="shared" si="5"/>
        <v>-0.6214425542376566</v>
      </c>
    </row>
    <row r="90" spans="1:17" x14ac:dyDescent="0.2">
      <c r="A90" s="453">
        <v>40269</v>
      </c>
      <c r="B90" s="454">
        <v>2685540</v>
      </c>
      <c r="C90" s="458">
        <f>+'Purchased Power Model '!C90</f>
        <v>244</v>
      </c>
      <c r="D90" s="458">
        <f>+'Purchased Power Model '!D90</f>
        <v>0</v>
      </c>
      <c r="E90" s="443">
        <f>+'Purchased Power Model '!E90</f>
        <v>9.9000000000000005E-2</v>
      </c>
      <c r="F90" s="53">
        <f>+'Purchased Power Model '!F90</f>
        <v>30</v>
      </c>
      <c r="G90" s="53">
        <f>+'Purchased Power Model '!G90</f>
        <v>1</v>
      </c>
      <c r="H90" s="171">
        <v>1</v>
      </c>
      <c r="I90" s="456">
        <f t="shared" si="3"/>
        <v>1434454.7586425473</v>
      </c>
      <c r="J90" s="457">
        <f t="shared" si="4"/>
        <v>-1251085.2413574527</v>
      </c>
      <c r="K90" s="5">
        <f t="shared" si="5"/>
        <v>-0.46585984247393547</v>
      </c>
    </row>
    <row r="91" spans="1:17" x14ac:dyDescent="0.2">
      <c r="A91" s="453">
        <v>40299</v>
      </c>
      <c r="B91" s="454">
        <v>2719789</v>
      </c>
      <c r="C91" s="458">
        <f>+'Purchased Power Model '!C91</f>
        <v>121.7</v>
      </c>
      <c r="D91" s="458">
        <f>+'Purchased Power Model '!D91</f>
        <v>23.2</v>
      </c>
      <c r="E91" s="443">
        <f>+'Purchased Power Model '!E91</f>
        <v>9.9000000000000005E-2</v>
      </c>
      <c r="F91" s="53">
        <f>+'Purchased Power Model '!F91</f>
        <v>31</v>
      </c>
      <c r="G91" s="53">
        <f>+'Purchased Power Model '!G91</f>
        <v>1</v>
      </c>
      <c r="H91" s="171">
        <v>1</v>
      </c>
      <c r="I91" s="456">
        <f t="shared" si="3"/>
        <v>1177502.1804380561</v>
      </c>
      <c r="J91" s="457">
        <f t="shared" si="4"/>
        <v>-1542286.8195619439</v>
      </c>
      <c r="K91" s="5">
        <f t="shared" si="5"/>
        <v>-0.56706120201307675</v>
      </c>
    </row>
    <row r="92" spans="1:17" x14ac:dyDescent="0.2">
      <c r="A92" s="453">
        <v>40330</v>
      </c>
      <c r="B92" s="454">
        <v>2764026</v>
      </c>
      <c r="C92" s="458">
        <f>+'Purchased Power Model '!C92</f>
        <v>19.399999999999999</v>
      </c>
      <c r="D92" s="458">
        <f>+'Purchased Power Model '!D92</f>
        <v>46.6</v>
      </c>
      <c r="E92" s="443">
        <f>+'Purchased Power Model '!E92</f>
        <v>9.9000000000000005E-2</v>
      </c>
      <c r="F92" s="53">
        <f>+'Purchased Power Model '!F92</f>
        <v>30</v>
      </c>
      <c r="G92" s="53">
        <f>+'Purchased Power Model '!G92</f>
        <v>0</v>
      </c>
      <c r="H92" s="171">
        <v>1</v>
      </c>
      <c r="I92" s="456">
        <f t="shared" si="3"/>
        <v>1040821.8612064878</v>
      </c>
      <c r="J92" s="457">
        <f t="shared" si="4"/>
        <v>-1723204.1387935122</v>
      </c>
      <c r="K92" s="5">
        <f t="shared" si="5"/>
        <v>-0.62343991655415409</v>
      </c>
    </row>
    <row r="93" spans="1:17" x14ac:dyDescent="0.2">
      <c r="A93" s="453">
        <v>40360</v>
      </c>
      <c r="B93" s="454">
        <v>2736535</v>
      </c>
      <c r="C93" s="458">
        <f>+'Purchased Power Model '!C93</f>
        <v>3.5</v>
      </c>
      <c r="D93" s="458">
        <f>+'Purchased Power Model '!D93</f>
        <v>124</v>
      </c>
      <c r="E93" s="443">
        <f>+'Purchased Power Model '!E93</f>
        <v>0.10099999999999999</v>
      </c>
      <c r="F93" s="53">
        <f>+'Purchased Power Model '!F93</f>
        <v>31</v>
      </c>
      <c r="G93" s="53">
        <f>+'Purchased Power Model '!G93</f>
        <v>0</v>
      </c>
      <c r="H93" s="171">
        <v>1</v>
      </c>
      <c r="I93" s="456">
        <f t="shared" si="3"/>
        <v>507659.32174706832</v>
      </c>
      <c r="J93" s="457">
        <f t="shared" si="4"/>
        <v>-2228875.6782529317</v>
      </c>
      <c r="K93" s="5">
        <f t="shared" si="5"/>
        <v>-0.81448827742123953</v>
      </c>
    </row>
    <row r="94" spans="1:17" x14ac:dyDescent="0.2">
      <c r="A94" s="453">
        <v>40391</v>
      </c>
      <c r="B94" s="454">
        <v>3218359</v>
      </c>
      <c r="C94" s="458">
        <f>+'Purchased Power Model '!C94</f>
        <v>3.2</v>
      </c>
      <c r="D94" s="458">
        <f>+'Purchased Power Model '!D94</f>
        <v>96.8</v>
      </c>
      <c r="E94" s="443">
        <f>+'Purchased Power Model '!E94</f>
        <v>0.10099999999999999</v>
      </c>
      <c r="F94" s="53">
        <f>+'Purchased Power Model '!F94</f>
        <v>31</v>
      </c>
      <c r="G94" s="53">
        <f>+'Purchased Power Model '!G94</f>
        <v>0</v>
      </c>
      <c r="H94" s="171">
        <v>1</v>
      </c>
      <c r="I94" s="456">
        <f t="shared" si="3"/>
        <v>540028.87711505964</v>
      </c>
      <c r="J94" s="457">
        <f t="shared" si="4"/>
        <v>-2678330.1228849404</v>
      </c>
      <c r="K94" s="5">
        <f t="shared" si="5"/>
        <v>-0.83220365499465421</v>
      </c>
    </row>
    <row r="95" spans="1:17" x14ac:dyDescent="0.2">
      <c r="A95" s="453">
        <v>40422</v>
      </c>
      <c r="B95" s="454">
        <v>3274455</v>
      </c>
      <c r="C95" s="458">
        <f>+'Purchased Power Model '!C95</f>
        <v>85.5</v>
      </c>
      <c r="D95" s="458">
        <f>+'Purchased Power Model '!D95</f>
        <v>18.5</v>
      </c>
      <c r="E95" s="443">
        <f>+'Purchased Power Model '!E95</f>
        <v>0.10099999999999999</v>
      </c>
      <c r="F95" s="53">
        <f>+'Purchased Power Model '!F95</f>
        <v>30</v>
      </c>
      <c r="G95" s="53">
        <f>+'Purchased Power Model '!G95</f>
        <v>1</v>
      </c>
      <c r="H95" s="171">
        <v>1</v>
      </c>
      <c r="I95" s="456">
        <f t="shared" si="3"/>
        <v>1055083.3917267551</v>
      </c>
      <c r="J95" s="457">
        <f t="shared" si="4"/>
        <v>-2219371.6082732449</v>
      </c>
      <c r="K95" s="5">
        <f t="shared" si="5"/>
        <v>-0.67778351153802541</v>
      </c>
    </row>
    <row r="96" spans="1:17" x14ac:dyDescent="0.2">
      <c r="A96" s="453">
        <v>40452</v>
      </c>
      <c r="B96" s="454">
        <v>3318812</v>
      </c>
      <c r="C96" s="458">
        <f>+'Purchased Power Model '!C96</f>
        <v>247.8</v>
      </c>
      <c r="D96" s="458">
        <f>+'Purchased Power Model '!D96</f>
        <v>0</v>
      </c>
      <c r="E96" s="443">
        <f>+'Purchased Power Model '!E96</f>
        <v>9.3000000000000013E-2</v>
      </c>
      <c r="F96" s="53">
        <f>+'Purchased Power Model '!F96</f>
        <v>31</v>
      </c>
      <c r="G96" s="53">
        <f>+'Purchased Power Model '!G96</f>
        <v>1</v>
      </c>
      <c r="H96" s="171">
        <v>1</v>
      </c>
      <c r="I96" s="456">
        <f t="shared" si="3"/>
        <v>2084589.3378479718</v>
      </c>
      <c r="J96" s="457">
        <f t="shared" si="4"/>
        <v>-1234222.6621520282</v>
      </c>
      <c r="K96" s="5">
        <f t="shared" si="5"/>
        <v>-0.37188688667873571</v>
      </c>
    </row>
    <row r="97" spans="1:11" x14ac:dyDescent="0.2">
      <c r="A97" s="453">
        <v>40483</v>
      </c>
      <c r="B97" s="454">
        <v>2858543</v>
      </c>
      <c r="C97" s="458">
        <f>+'Purchased Power Model '!C97</f>
        <v>389.2</v>
      </c>
      <c r="D97" s="458">
        <f>+'Purchased Power Model '!D97</f>
        <v>0</v>
      </c>
      <c r="E97" s="443">
        <f>+'Purchased Power Model '!E97</f>
        <v>9.3000000000000013E-2</v>
      </c>
      <c r="F97" s="53">
        <f>+'Purchased Power Model '!F97</f>
        <v>30</v>
      </c>
      <c r="G97" s="53">
        <f>+'Purchased Power Model '!G97</f>
        <v>1</v>
      </c>
      <c r="H97" s="171">
        <v>1</v>
      </c>
      <c r="I97" s="456">
        <f t="shared" si="3"/>
        <v>2324308.8235633099</v>
      </c>
      <c r="J97" s="457">
        <f t="shared" si="4"/>
        <v>-534234.17643669015</v>
      </c>
      <c r="K97" s="5">
        <f t="shared" si="5"/>
        <v>-0.18689037612402198</v>
      </c>
    </row>
    <row r="98" spans="1:11" x14ac:dyDescent="0.2">
      <c r="A98" s="453">
        <v>40513</v>
      </c>
      <c r="B98" s="454">
        <v>2805612</v>
      </c>
      <c r="C98" s="458">
        <f>+'Purchased Power Model '!C98</f>
        <v>628.70000000000005</v>
      </c>
      <c r="D98" s="458">
        <f>+'Purchased Power Model '!D98</f>
        <v>0</v>
      </c>
      <c r="E98" s="443">
        <f>+'Purchased Power Model '!E98</f>
        <v>9.3000000000000013E-2</v>
      </c>
      <c r="F98" s="53">
        <f>+'Purchased Power Model '!F98</f>
        <v>31</v>
      </c>
      <c r="G98" s="53">
        <f>+'Purchased Power Model '!G98</f>
        <v>0</v>
      </c>
      <c r="H98" s="171">
        <v>1</v>
      </c>
      <c r="I98" s="456">
        <f t="shared" si="3"/>
        <v>2080105.7180495542</v>
      </c>
      <c r="J98" s="457">
        <f t="shared" si="4"/>
        <v>-725506.28195044585</v>
      </c>
      <c r="K98" s="5">
        <f t="shared" si="5"/>
        <v>-0.25859109597137658</v>
      </c>
    </row>
    <row r="99" spans="1:11" x14ac:dyDescent="0.2">
      <c r="A99" s="453">
        <v>40544</v>
      </c>
      <c r="B99" s="27">
        <v>2686101</v>
      </c>
      <c r="C99" s="458">
        <f>+'Purchased Power Model '!C99</f>
        <v>760.9</v>
      </c>
      <c r="D99" s="458">
        <f>+'Purchased Power Model '!D99</f>
        <v>0</v>
      </c>
      <c r="E99" s="443">
        <f>+'Purchased Power Model '!E99</f>
        <v>8.8000000000000009E-2</v>
      </c>
      <c r="F99" s="53">
        <f>+'Purchased Power Model '!F99</f>
        <v>31</v>
      </c>
      <c r="G99" s="53">
        <f>+'Purchased Power Model '!G99</f>
        <v>0</v>
      </c>
      <c r="H99" s="171">
        <v>1</v>
      </c>
      <c r="I99" s="456">
        <f t="shared" si="3"/>
        <v>2827817.8861874249</v>
      </c>
      <c r="J99" s="457">
        <f t="shared" si="4"/>
        <v>141716.88618742488</v>
      </c>
      <c r="K99" s="5">
        <f t="shared" si="5"/>
        <v>5.275932892598785E-2</v>
      </c>
    </row>
    <row r="100" spans="1:11" x14ac:dyDescent="0.2">
      <c r="A100" s="453">
        <v>40575</v>
      </c>
      <c r="B100" s="27">
        <v>2882506</v>
      </c>
      <c r="C100" s="458">
        <f>+'Purchased Power Model '!C100</f>
        <v>634.19999999999993</v>
      </c>
      <c r="D100" s="458">
        <f>+'Purchased Power Model '!D100</f>
        <v>0</v>
      </c>
      <c r="E100" s="443">
        <f>+'Purchased Power Model '!E100</f>
        <v>8.8000000000000009E-2</v>
      </c>
      <c r="F100" s="53">
        <f>+'Purchased Power Model '!F100</f>
        <v>28</v>
      </c>
      <c r="G100" s="53">
        <f>+'Purchased Power Model '!G100</f>
        <v>0</v>
      </c>
      <c r="H100" s="171">
        <v>1</v>
      </c>
      <c r="I100" s="456">
        <f t="shared" si="3"/>
        <v>3243631.4216270037</v>
      </c>
      <c r="J100" s="457">
        <f t="shared" si="4"/>
        <v>361125.4216270037</v>
      </c>
      <c r="K100" s="5">
        <f t="shared" si="5"/>
        <v>0.1252817588678059</v>
      </c>
    </row>
    <row r="101" spans="1:11" x14ac:dyDescent="0.2">
      <c r="A101" s="453">
        <v>40603</v>
      </c>
      <c r="B101" s="27">
        <v>2542043</v>
      </c>
      <c r="C101" s="458">
        <f>+'Purchased Power Model '!C101</f>
        <v>559.80000000000007</v>
      </c>
      <c r="D101" s="458">
        <f>+'Purchased Power Model '!D101</f>
        <v>0</v>
      </c>
      <c r="E101" s="443">
        <f>+'Purchased Power Model '!E101</f>
        <v>8.8000000000000009E-2</v>
      </c>
      <c r="F101" s="53">
        <f>+'Purchased Power Model '!F101</f>
        <v>31</v>
      </c>
      <c r="G101" s="53">
        <f>+'Purchased Power Model '!G101</f>
        <v>1</v>
      </c>
      <c r="H101" s="171">
        <v>1</v>
      </c>
      <c r="I101" s="456">
        <f t="shared" si="3"/>
        <v>2931305.7116907216</v>
      </c>
      <c r="J101" s="457">
        <f t="shared" si="4"/>
        <v>389262.71169072157</v>
      </c>
      <c r="K101" s="5">
        <f t="shared" si="5"/>
        <v>0.15312986904262499</v>
      </c>
    </row>
    <row r="102" spans="1:11" x14ac:dyDescent="0.2">
      <c r="A102" s="453">
        <v>40634</v>
      </c>
      <c r="B102" s="27">
        <v>2789869</v>
      </c>
      <c r="C102" s="458">
        <f>+'Purchased Power Model '!C102</f>
        <v>350.79999999999995</v>
      </c>
      <c r="D102" s="458">
        <f>+'Purchased Power Model '!D102</f>
        <v>0</v>
      </c>
      <c r="E102" s="443">
        <f>+'Purchased Power Model '!E102</f>
        <v>9.0999999999999998E-2</v>
      </c>
      <c r="F102" s="53">
        <f>+'Purchased Power Model '!F102</f>
        <v>30</v>
      </c>
      <c r="G102" s="53">
        <f>+'Purchased Power Model '!G102</f>
        <v>1</v>
      </c>
      <c r="H102" s="171">
        <v>1</v>
      </c>
      <c r="I102" s="456">
        <f t="shared" si="3"/>
        <v>2573131.7114150063</v>
      </c>
      <c r="J102" s="457">
        <f t="shared" si="4"/>
        <v>-216737.28858499369</v>
      </c>
      <c r="K102" s="5">
        <f t="shared" si="5"/>
        <v>-7.7687263661839923E-2</v>
      </c>
    </row>
    <row r="103" spans="1:11" x14ac:dyDescent="0.2">
      <c r="A103" s="453">
        <v>40664</v>
      </c>
      <c r="B103" s="27">
        <v>2721007</v>
      </c>
      <c r="C103" s="458">
        <f>+'Purchased Power Model '!C103</f>
        <v>157.69999999999996</v>
      </c>
      <c r="D103" s="458">
        <f>+'Purchased Power Model '!D103</f>
        <v>2.8</v>
      </c>
      <c r="E103" s="443">
        <f>+'Purchased Power Model '!E103</f>
        <v>9.0999999999999998E-2</v>
      </c>
      <c r="F103" s="53">
        <f>+'Purchased Power Model '!F103</f>
        <v>31</v>
      </c>
      <c r="G103" s="53">
        <f>+'Purchased Power Model '!G103</f>
        <v>1</v>
      </c>
      <c r="H103" s="171">
        <v>1</v>
      </c>
      <c r="I103" s="456">
        <f t="shared" si="3"/>
        <v>2301595.221774207</v>
      </c>
      <c r="J103" s="457">
        <f t="shared" si="4"/>
        <v>-419411.77822579304</v>
      </c>
      <c r="K103" s="5">
        <f t="shared" si="5"/>
        <v>-0.15413844147618622</v>
      </c>
    </row>
    <row r="104" spans="1:11" x14ac:dyDescent="0.2">
      <c r="A104" s="453">
        <v>40695</v>
      </c>
      <c r="B104" s="27">
        <v>3001831</v>
      </c>
      <c r="C104" s="458">
        <f>+'Purchased Power Model '!C104</f>
        <v>26.699999999999996</v>
      </c>
      <c r="D104" s="458">
        <f>+'Purchased Power Model '!D104</f>
        <v>36.900000000000006</v>
      </c>
      <c r="E104" s="443">
        <f>+'Purchased Power Model '!E104</f>
        <v>9.0999999999999998E-2</v>
      </c>
      <c r="F104" s="53">
        <f>+'Purchased Power Model '!F104</f>
        <v>30</v>
      </c>
      <c r="G104" s="53">
        <f>+'Purchased Power Model '!G104</f>
        <v>0</v>
      </c>
      <c r="H104" s="171">
        <v>1</v>
      </c>
      <c r="I104" s="456">
        <f t="shared" si="3"/>
        <v>2136313.0779188713</v>
      </c>
      <c r="J104" s="457">
        <f t="shared" si="4"/>
        <v>-865517.92208112869</v>
      </c>
      <c r="K104" s="5">
        <f t="shared" si="5"/>
        <v>-0.28832999661910635</v>
      </c>
    </row>
    <row r="105" spans="1:11" x14ac:dyDescent="0.2">
      <c r="A105" s="453">
        <v>40725</v>
      </c>
      <c r="B105" s="27">
        <v>3204634</v>
      </c>
      <c r="C105" s="458">
        <f>+'Purchased Power Model '!C105</f>
        <v>0.2</v>
      </c>
      <c r="D105" s="458">
        <f>+'Purchased Power Model '!D105</f>
        <v>141.19999999999999</v>
      </c>
      <c r="E105" s="443">
        <f>+'Purchased Power Model '!E105</f>
        <v>7.2999999999999995E-2</v>
      </c>
      <c r="F105" s="53">
        <f>+'Purchased Power Model '!F105</f>
        <v>31</v>
      </c>
      <c r="G105" s="53">
        <f>+'Purchased Power Model '!G105</f>
        <v>0</v>
      </c>
      <c r="H105" s="171">
        <v>1</v>
      </c>
      <c r="I105" s="456">
        <f t="shared" si="3"/>
        <v>4264810.6870831735</v>
      </c>
      <c r="J105" s="457">
        <f t="shared" si="4"/>
        <v>1060176.6870831735</v>
      </c>
      <c r="K105" s="5">
        <f t="shared" si="5"/>
        <v>0.33082613711368397</v>
      </c>
    </row>
    <row r="106" spans="1:11" x14ac:dyDescent="0.2">
      <c r="A106" s="453">
        <v>40756</v>
      </c>
      <c r="B106" s="27">
        <v>3925006</v>
      </c>
      <c r="C106" s="458">
        <f>+'Purchased Power Model '!C106</f>
        <v>3.7</v>
      </c>
      <c r="D106" s="458">
        <f>+'Purchased Power Model '!D106</f>
        <v>80.499999999999957</v>
      </c>
      <c r="E106" s="443">
        <f>+'Purchased Power Model '!E106</f>
        <v>7.2999999999999995E-2</v>
      </c>
      <c r="F106" s="53">
        <f>+'Purchased Power Model '!F106</f>
        <v>31</v>
      </c>
      <c r="G106" s="53">
        <f>+'Purchased Power Model '!G106</f>
        <v>0</v>
      </c>
      <c r="H106" s="171">
        <v>1</v>
      </c>
      <c r="I106" s="456">
        <f t="shared" si="3"/>
        <v>4339343.023363173</v>
      </c>
      <c r="J106" s="457">
        <f t="shared" si="4"/>
        <v>414337.02336317301</v>
      </c>
      <c r="K106" s="5">
        <f t="shared" si="5"/>
        <v>0.10556341146056158</v>
      </c>
    </row>
    <row r="107" spans="1:11" x14ac:dyDescent="0.2">
      <c r="A107" s="453">
        <v>40787</v>
      </c>
      <c r="B107" s="27">
        <v>3836000</v>
      </c>
      <c r="C107" s="458">
        <f>+'Purchased Power Model '!C107</f>
        <v>48.900000000000006</v>
      </c>
      <c r="D107" s="458">
        <f>+'Purchased Power Model '!D107</f>
        <v>34.6</v>
      </c>
      <c r="E107" s="443">
        <f>+'Purchased Power Model '!E107</f>
        <v>7.2999999999999995E-2</v>
      </c>
      <c r="F107" s="53">
        <f>+'Purchased Power Model '!F107</f>
        <v>30</v>
      </c>
      <c r="G107" s="53">
        <f>+'Purchased Power Model '!G107</f>
        <v>1</v>
      </c>
      <c r="H107" s="171">
        <v>1</v>
      </c>
      <c r="I107" s="456">
        <f t="shared" si="3"/>
        <v>4795214.3489070097</v>
      </c>
      <c r="J107" s="457">
        <f t="shared" si="4"/>
        <v>959214.3489070097</v>
      </c>
      <c r="K107" s="5">
        <f t="shared" si="5"/>
        <v>0.25005587823436126</v>
      </c>
    </row>
    <row r="108" spans="1:11" x14ac:dyDescent="0.2">
      <c r="A108" s="453">
        <v>40817</v>
      </c>
      <c r="B108" s="27">
        <v>3713124</v>
      </c>
      <c r="C108" s="458">
        <f>+'Purchased Power Model '!C108</f>
        <v>225.29999999999998</v>
      </c>
      <c r="D108" s="458">
        <f>+'Purchased Power Model '!D108</f>
        <v>0</v>
      </c>
      <c r="E108" s="443">
        <f>+'Purchased Power Model '!E108</f>
        <v>7.400000000000001E-2</v>
      </c>
      <c r="F108" s="53">
        <f>+'Purchased Power Model '!F108</f>
        <v>31</v>
      </c>
      <c r="G108" s="53">
        <f>+'Purchased Power Model '!G108</f>
        <v>1</v>
      </c>
      <c r="H108" s="171">
        <v>1</v>
      </c>
      <c r="I108" s="456">
        <f t="shared" si="3"/>
        <v>4636889.1952020135</v>
      </c>
      <c r="J108" s="457">
        <f t="shared" si="4"/>
        <v>923765.19520201348</v>
      </c>
      <c r="K108" s="5">
        <f t="shared" si="5"/>
        <v>0.24878382601874149</v>
      </c>
    </row>
    <row r="109" spans="1:11" x14ac:dyDescent="0.2">
      <c r="A109" s="453">
        <v>40848</v>
      </c>
      <c r="B109" s="27">
        <v>3269758</v>
      </c>
      <c r="C109" s="458">
        <f>+'Purchased Power Model '!C109</f>
        <v>349.69999999999993</v>
      </c>
      <c r="D109" s="458">
        <f>+'Purchased Power Model '!D109</f>
        <v>0</v>
      </c>
      <c r="E109" s="443">
        <f>+'Purchased Power Model '!E109</f>
        <v>7.400000000000001E-2</v>
      </c>
      <c r="F109" s="53">
        <f>+'Purchased Power Model '!F109</f>
        <v>30</v>
      </c>
      <c r="G109" s="53">
        <f>+'Purchased Power Model '!G109</f>
        <v>1</v>
      </c>
      <c r="H109" s="171">
        <v>1</v>
      </c>
      <c r="I109" s="456">
        <f t="shared" si="3"/>
        <v>4867247.8828251241</v>
      </c>
      <c r="J109" s="457">
        <f t="shared" si="4"/>
        <v>1597489.8828251241</v>
      </c>
      <c r="K109" s="5">
        <f t="shared" si="5"/>
        <v>0.48856517296543783</v>
      </c>
    </row>
    <row r="110" spans="1:11" x14ac:dyDescent="0.2">
      <c r="A110" s="453">
        <v>40878</v>
      </c>
      <c r="B110" s="27">
        <v>3168820</v>
      </c>
      <c r="C110" s="458">
        <f>+'Purchased Power Model '!C110</f>
        <v>531.20000000000005</v>
      </c>
      <c r="D110" s="458">
        <f>+'Purchased Power Model '!D110</f>
        <v>0</v>
      </c>
      <c r="E110" s="443">
        <f>+'Purchased Power Model '!E110</f>
        <v>7.400000000000001E-2</v>
      </c>
      <c r="F110" s="53">
        <f>+'Purchased Power Model '!F110</f>
        <v>31</v>
      </c>
      <c r="G110" s="53">
        <f>+'Purchased Power Model '!G110</f>
        <v>0</v>
      </c>
      <c r="H110" s="171">
        <v>1</v>
      </c>
      <c r="I110" s="456">
        <f t="shared" si="3"/>
        <v>4591107.9367614035</v>
      </c>
      <c r="J110" s="457">
        <f t="shared" si="4"/>
        <v>1422287.9367614035</v>
      </c>
      <c r="K110" s="5">
        <f t="shared" si="5"/>
        <v>0.44883834890003327</v>
      </c>
    </row>
    <row r="111" spans="1:11" x14ac:dyDescent="0.2">
      <c r="A111" s="453">
        <v>40909</v>
      </c>
      <c r="B111" s="27">
        <v>2959871</v>
      </c>
      <c r="C111" s="458">
        <f>+'Purchased Power Model '!C111</f>
        <v>611</v>
      </c>
      <c r="D111" s="458">
        <f>+'Purchased Power Model '!D111</f>
        <v>0</v>
      </c>
      <c r="E111" s="443">
        <f>+'Purchased Power Model '!E111</f>
        <v>7.9000000000000001E-2</v>
      </c>
      <c r="F111" s="53">
        <f>+'Purchased Power Model '!F111</f>
        <v>31</v>
      </c>
      <c r="G111" s="53">
        <f>+'Purchased Power Model '!G111</f>
        <v>0</v>
      </c>
      <c r="H111" s="171">
        <v>1</v>
      </c>
      <c r="I111" s="456">
        <f t="shared" si="3"/>
        <v>3960130.4271854609</v>
      </c>
      <c r="J111" s="457">
        <f t="shared" si="4"/>
        <v>1000259.4271854609</v>
      </c>
      <c r="K111" s="5">
        <f t="shared" si="5"/>
        <v>0.33794020995694102</v>
      </c>
    </row>
    <row r="112" spans="1:11" x14ac:dyDescent="0.2">
      <c r="A112" s="453">
        <v>40940</v>
      </c>
      <c r="B112" s="27">
        <v>3287020</v>
      </c>
      <c r="C112" s="458">
        <f>+'Purchased Power Model '!C112</f>
        <v>536.20000000000005</v>
      </c>
      <c r="D112" s="458">
        <f>+'Purchased Power Model '!D112</f>
        <v>0</v>
      </c>
      <c r="E112" s="443">
        <f>+'Purchased Power Model '!E112</f>
        <v>7.9000000000000001E-2</v>
      </c>
      <c r="F112" s="53">
        <f>+'Purchased Power Model '!F112</f>
        <v>29</v>
      </c>
      <c r="G112" s="53">
        <f>+'Purchased Power Model '!G112</f>
        <v>0</v>
      </c>
      <c r="H112" s="171">
        <v>1</v>
      </c>
      <c r="I112" s="456">
        <f t="shared" si="3"/>
        <v>4242662.2575701708</v>
      </c>
      <c r="J112" s="457">
        <f t="shared" si="4"/>
        <v>955642.2575701708</v>
      </c>
      <c r="K112" s="5">
        <f t="shared" si="5"/>
        <v>0.29073210919622355</v>
      </c>
    </row>
    <row r="113" spans="1:11" x14ac:dyDescent="0.2">
      <c r="A113" s="453">
        <v>40969</v>
      </c>
      <c r="B113" s="27">
        <v>2969109</v>
      </c>
      <c r="C113" s="458">
        <f>+'Purchased Power Model '!C113</f>
        <v>399.39999999999992</v>
      </c>
      <c r="D113" s="458">
        <f>+'Purchased Power Model '!D113</f>
        <v>0</v>
      </c>
      <c r="E113" s="443">
        <f>+'Purchased Power Model '!E113</f>
        <v>7.9000000000000001E-2</v>
      </c>
      <c r="F113" s="53">
        <f>+'Purchased Power Model '!F113</f>
        <v>31</v>
      </c>
      <c r="G113" s="53">
        <f>+'Purchased Power Model '!G113</f>
        <v>1</v>
      </c>
      <c r="H113" s="171">
        <v>1</v>
      </c>
      <c r="I113" s="456">
        <f t="shared" si="3"/>
        <v>4057836.5832788493</v>
      </c>
      <c r="J113" s="457">
        <f t="shared" si="4"/>
        <v>1088727.5832788493</v>
      </c>
      <c r="K113" s="5">
        <f t="shared" si="5"/>
        <v>0.36668494934973733</v>
      </c>
    </row>
    <row r="114" spans="1:11" x14ac:dyDescent="0.2">
      <c r="A114" s="453">
        <v>41000</v>
      </c>
      <c r="B114" s="27">
        <v>3450052</v>
      </c>
      <c r="C114" s="458">
        <f>+'Purchased Power Model '!C114</f>
        <v>336.89999999999992</v>
      </c>
      <c r="D114" s="458">
        <f>+'Purchased Power Model '!D114</f>
        <v>0</v>
      </c>
      <c r="E114" s="443">
        <f>+'Purchased Power Model '!E114</f>
        <v>8.4000000000000005E-2</v>
      </c>
      <c r="F114" s="53">
        <f>+'Purchased Power Model '!F114</f>
        <v>30</v>
      </c>
      <c r="G114" s="53">
        <f>+'Purchased Power Model '!G114</f>
        <v>1</v>
      </c>
      <c r="H114" s="171">
        <v>1</v>
      </c>
      <c r="I114" s="456">
        <f t="shared" si="3"/>
        <v>3510363.3583143842</v>
      </c>
      <c r="J114" s="457">
        <f t="shared" si="4"/>
        <v>60311.358314384241</v>
      </c>
      <c r="K114" s="5">
        <f t="shared" si="5"/>
        <v>1.7481289648499279E-2</v>
      </c>
    </row>
    <row r="115" spans="1:11" x14ac:dyDescent="0.2">
      <c r="A115" s="453">
        <v>41030</v>
      </c>
      <c r="B115" s="27">
        <v>3188267</v>
      </c>
      <c r="C115" s="458">
        <f>+'Purchased Power Model '!C115</f>
        <v>109.30000000000001</v>
      </c>
      <c r="D115" s="458">
        <f>+'Purchased Power Model '!D115</f>
        <v>21.8</v>
      </c>
      <c r="E115" s="443">
        <f>+'Purchased Power Model '!E115</f>
        <v>8.4000000000000005E-2</v>
      </c>
      <c r="F115" s="53">
        <f>+'Purchased Power Model '!F115</f>
        <v>31</v>
      </c>
      <c r="G115" s="53">
        <f>+'Purchased Power Model '!G115</f>
        <v>1</v>
      </c>
      <c r="H115" s="171">
        <v>1</v>
      </c>
      <c r="I115" s="456">
        <f t="shared" si="3"/>
        <v>3197103.4779669787</v>
      </c>
      <c r="J115" s="457">
        <f t="shared" si="4"/>
        <v>8836.4779669786803</v>
      </c>
      <c r="K115" s="5">
        <f t="shared" si="5"/>
        <v>2.7715614680259466E-3</v>
      </c>
    </row>
    <row r="116" spans="1:11" x14ac:dyDescent="0.2">
      <c r="A116" s="453">
        <v>41061</v>
      </c>
      <c r="B116" s="27">
        <v>3602012</v>
      </c>
      <c r="C116" s="458">
        <f>+'Purchased Power Model '!C116</f>
        <v>28.2</v>
      </c>
      <c r="D116" s="458">
        <f>+'Purchased Power Model '!D116</f>
        <v>64.3</v>
      </c>
      <c r="E116" s="443">
        <f>+'Purchased Power Model '!E116</f>
        <v>8.4000000000000005E-2</v>
      </c>
      <c r="F116" s="53">
        <f>+'Purchased Power Model '!F116</f>
        <v>30</v>
      </c>
      <c r="G116" s="53">
        <f>+'Purchased Power Model '!G116</f>
        <v>0</v>
      </c>
      <c r="H116" s="171">
        <v>1</v>
      </c>
      <c r="I116" s="456">
        <f t="shared" si="3"/>
        <v>3049250.5346239256</v>
      </c>
      <c r="J116" s="457">
        <f t="shared" si="4"/>
        <v>-552761.46537607443</v>
      </c>
      <c r="K116" s="5">
        <f t="shared" si="5"/>
        <v>-0.15345908491589547</v>
      </c>
    </row>
    <row r="117" spans="1:11" x14ac:dyDescent="0.2">
      <c r="A117" s="453">
        <v>41091</v>
      </c>
      <c r="B117" s="27">
        <v>3485626</v>
      </c>
      <c r="C117" s="458">
        <f>+'Purchased Power Model '!C117</f>
        <v>0</v>
      </c>
      <c r="D117" s="458">
        <f>+'Purchased Power Model '!D117</f>
        <v>155.30000000000001</v>
      </c>
      <c r="E117" s="443">
        <f>+'Purchased Power Model '!E117</f>
        <v>8.900000000000001E-2</v>
      </c>
      <c r="F117" s="53">
        <f>+'Purchased Power Model '!F117</f>
        <v>31</v>
      </c>
      <c r="G117" s="53">
        <f>+'Purchased Power Model '!G117</f>
        <v>0</v>
      </c>
      <c r="H117" s="171">
        <v>1</v>
      </c>
      <c r="I117" s="456">
        <f t="shared" si="3"/>
        <v>2088096.8912111558</v>
      </c>
      <c r="J117" s="457">
        <f t="shared" si="4"/>
        <v>-1397529.1087888442</v>
      </c>
      <c r="K117" s="5">
        <f t="shared" si="5"/>
        <v>-0.40094063700145804</v>
      </c>
    </row>
    <row r="118" spans="1:11" x14ac:dyDescent="0.2">
      <c r="A118" s="453">
        <v>41122</v>
      </c>
      <c r="B118" s="27">
        <v>3748751</v>
      </c>
      <c r="C118" s="458">
        <f>+'Purchased Power Model '!C118</f>
        <v>4.4000000000000004</v>
      </c>
      <c r="D118" s="458">
        <f>+'Purchased Power Model '!D118</f>
        <v>102.79999999999998</v>
      </c>
      <c r="E118" s="443">
        <f>+'Purchased Power Model '!E118</f>
        <v>8.900000000000001E-2</v>
      </c>
      <c r="F118" s="53">
        <f>+'Purchased Power Model '!F118</f>
        <v>31</v>
      </c>
      <c r="G118" s="53">
        <f>+'Purchased Power Model '!G118</f>
        <v>0</v>
      </c>
      <c r="H118" s="171">
        <v>1</v>
      </c>
      <c r="I118" s="456">
        <f t="shared" si="3"/>
        <v>2153316.5301635005</v>
      </c>
      <c r="J118" s="457">
        <f t="shared" si="4"/>
        <v>-1595434.4698364995</v>
      </c>
      <c r="K118" s="5">
        <f t="shared" si="5"/>
        <v>-0.42559094211285292</v>
      </c>
    </row>
    <row r="119" spans="1:11" x14ac:dyDescent="0.2">
      <c r="A119" s="453">
        <v>41153</v>
      </c>
      <c r="B119" s="27">
        <v>3917950</v>
      </c>
      <c r="C119" s="458">
        <f>+'Purchased Power Model '!C119</f>
        <v>84</v>
      </c>
      <c r="D119" s="458">
        <f>+'Purchased Power Model '!D119</f>
        <v>24.400000000000002</v>
      </c>
      <c r="E119" s="443">
        <f>+'Purchased Power Model '!E119</f>
        <v>8.900000000000001E-2</v>
      </c>
      <c r="F119" s="53">
        <f>+'Purchased Power Model '!F119</f>
        <v>30</v>
      </c>
      <c r="G119" s="53">
        <f>+'Purchased Power Model '!G119</f>
        <v>1</v>
      </c>
      <c r="H119" s="171">
        <v>1</v>
      </c>
      <c r="I119" s="456">
        <f t="shared" si="3"/>
        <v>2667003.9428205607</v>
      </c>
      <c r="J119" s="457">
        <f t="shared" si="4"/>
        <v>-1250946.0571794393</v>
      </c>
      <c r="K119" s="5">
        <f t="shared" si="5"/>
        <v>-0.31928586561325167</v>
      </c>
    </row>
    <row r="120" spans="1:11" x14ac:dyDescent="0.2">
      <c r="A120" s="453">
        <v>41183</v>
      </c>
      <c r="B120" s="27">
        <v>3658530</v>
      </c>
      <c r="C120" s="458">
        <f>+'Purchased Power Model '!C120</f>
        <v>228.99999999999994</v>
      </c>
      <c r="D120" s="458">
        <f>+'Purchased Power Model '!D120</f>
        <v>0</v>
      </c>
      <c r="E120" s="443">
        <f>+'Purchased Power Model '!E120</f>
        <v>9.1999999999999998E-2</v>
      </c>
      <c r="F120" s="53">
        <f>+'Purchased Power Model '!F120</f>
        <v>31</v>
      </c>
      <c r="G120" s="53">
        <f>+'Purchased Power Model '!G120</f>
        <v>1</v>
      </c>
      <c r="H120" s="171">
        <v>1</v>
      </c>
      <c r="I120" s="456">
        <f t="shared" si="3"/>
        <v>2209221.0358465794</v>
      </c>
      <c r="J120" s="457">
        <f t="shared" si="4"/>
        <v>-1449308.9641534206</v>
      </c>
      <c r="K120" s="5">
        <f t="shared" si="5"/>
        <v>-0.39614516326322885</v>
      </c>
    </row>
    <row r="121" spans="1:11" x14ac:dyDescent="0.2">
      <c r="A121" s="453">
        <v>41214</v>
      </c>
      <c r="B121" s="27">
        <v>3306121</v>
      </c>
      <c r="C121" s="458">
        <f>+'Purchased Power Model '!C121</f>
        <v>427.89999999999992</v>
      </c>
      <c r="D121" s="458">
        <f>+'Purchased Power Model '!D121</f>
        <v>0</v>
      </c>
      <c r="E121" s="443">
        <f>+'Purchased Power Model '!E121</f>
        <v>9.1999999999999998E-2</v>
      </c>
      <c r="F121" s="53">
        <f>+'Purchased Power Model '!F121</f>
        <v>30</v>
      </c>
      <c r="G121" s="53">
        <f>+'Purchased Power Model '!G121</f>
        <v>1</v>
      </c>
      <c r="H121" s="171">
        <v>1</v>
      </c>
      <c r="I121" s="456">
        <f t="shared" si="3"/>
        <v>2480602.0445209336</v>
      </c>
      <c r="J121" s="457">
        <f t="shared" si="4"/>
        <v>-825518.95547906635</v>
      </c>
      <c r="K121" s="5">
        <f t="shared" si="5"/>
        <v>-0.2496941144861505</v>
      </c>
    </row>
    <row r="122" spans="1:11" x14ac:dyDescent="0.2">
      <c r="A122" s="453">
        <v>41244</v>
      </c>
      <c r="B122" s="27">
        <v>3239428</v>
      </c>
      <c r="C122" s="458">
        <f>+'Purchased Power Model '!C122</f>
        <v>451.09999999999997</v>
      </c>
      <c r="D122" s="458">
        <f>+'Purchased Power Model '!D122</f>
        <v>0</v>
      </c>
      <c r="E122" s="443">
        <f>+'Purchased Power Model '!E122</f>
        <v>9.1999999999999998E-2</v>
      </c>
      <c r="F122" s="53">
        <f>+'Purchased Power Model '!F122</f>
        <v>31</v>
      </c>
      <c r="G122" s="53">
        <f>+'Purchased Power Model '!G122</f>
        <v>0</v>
      </c>
      <c r="H122" s="171">
        <v>1</v>
      </c>
      <c r="I122" s="456">
        <f t="shared" si="3"/>
        <v>2117296.5491630957</v>
      </c>
      <c r="J122" s="457">
        <f t="shared" si="4"/>
        <v>-1122131.4508369043</v>
      </c>
      <c r="K122" s="5">
        <f t="shared" si="5"/>
        <v>-0.346398021760911</v>
      </c>
    </row>
    <row r="123" spans="1:11" x14ac:dyDescent="0.2">
      <c r="A123" s="453">
        <v>41275</v>
      </c>
      <c r="B123" s="27">
        <v>3277833</v>
      </c>
      <c r="C123" s="458">
        <f>+'Purchased Power Model '!C123</f>
        <v>615.40000000000009</v>
      </c>
      <c r="D123" s="458">
        <f>+'Purchased Power Model '!D123</f>
        <v>0</v>
      </c>
      <c r="E123" s="443">
        <f>+'Purchased Power Model '!E123</f>
        <v>8.8000000000000009E-2</v>
      </c>
      <c r="F123" s="53">
        <f>+'Purchased Power Model '!F123</f>
        <v>31</v>
      </c>
      <c r="G123" s="53">
        <f>+'Purchased Power Model '!G123</f>
        <v>0</v>
      </c>
      <c r="H123" s="171">
        <v>1</v>
      </c>
      <c r="I123" s="456">
        <f t="shared" si="3"/>
        <v>2747700.4672215749</v>
      </c>
      <c r="J123" s="457">
        <f t="shared" si="4"/>
        <v>-530132.53277842514</v>
      </c>
      <c r="K123" s="5">
        <f t="shared" si="5"/>
        <v>-0.16173262419971521</v>
      </c>
    </row>
    <row r="124" spans="1:11" x14ac:dyDescent="0.2">
      <c r="A124" s="453">
        <v>41306</v>
      </c>
      <c r="B124" s="27">
        <v>3479368</v>
      </c>
      <c r="C124" s="458">
        <f>+'Purchased Power Model '!C124</f>
        <v>611.5</v>
      </c>
      <c r="D124" s="458">
        <f>+'Purchased Power Model '!D124</f>
        <v>0</v>
      </c>
      <c r="E124" s="443">
        <f>+'Purchased Power Model '!E124</f>
        <v>8.8000000000000009E-2</v>
      </c>
      <c r="F124" s="53">
        <f>+'Purchased Power Model '!F124</f>
        <v>28</v>
      </c>
      <c r="G124" s="53">
        <f>+'Purchased Power Model '!G124</f>
        <v>0</v>
      </c>
      <c r="H124" s="171">
        <v>1</v>
      </c>
      <c r="I124" s="456">
        <f t="shared" si="3"/>
        <v>3231132.0029979683</v>
      </c>
      <c r="J124" s="457">
        <f t="shared" si="4"/>
        <v>-248235.99700203165</v>
      </c>
      <c r="K124" s="5">
        <f t="shared" si="5"/>
        <v>-7.1345139980028463E-2</v>
      </c>
    </row>
    <row r="125" spans="1:11" x14ac:dyDescent="0.2">
      <c r="A125" s="453">
        <v>41334</v>
      </c>
      <c r="B125" s="27">
        <v>3193324</v>
      </c>
      <c r="C125" s="458">
        <f>+'Purchased Power Model '!C125</f>
        <v>545</v>
      </c>
      <c r="D125" s="458">
        <f>+'Purchased Power Model '!D125</f>
        <v>0</v>
      </c>
      <c r="E125" s="443">
        <f>+'Purchased Power Model '!E125</f>
        <v>8.8000000000000009E-2</v>
      </c>
      <c r="F125" s="53">
        <f>+'Purchased Power Model '!F125</f>
        <v>31</v>
      </c>
      <c r="G125" s="53">
        <f>+'Purchased Power Model '!G125</f>
        <v>1</v>
      </c>
      <c r="H125" s="171">
        <v>1</v>
      </c>
      <c r="I125" s="456">
        <f t="shared" si="3"/>
        <v>2923156.3109986647</v>
      </c>
      <c r="J125" s="457">
        <f t="shared" si="4"/>
        <v>-270167.6890013353</v>
      </c>
      <c r="K125" s="5">
        <f t="shared" si="5"/>
        <v>-8.4603907715388504E-2</v>
      </c>
    </row>
    <row r="126" spans="1:11" x14ac:dyDescent="0.2">
      <c r="A126" s="453">
        <v>41365</v>
      </c>
      <c r="B126" s="27">
        <v>3548485</v>
      </c>
      <c r="C126" s="458">
        <f>+'Purchased Power Model '!C126</f>
        <v>366.49999999999994</v>
      </c>
      <c r="D126" s="458">
        <f>+'Purchased Power Model '!D126</f>
        <v>0</v>
      </c>
      <c r="E126" s="443">
        <f>+'Purchased Power Model '!E126</f>
        <v>7.400000000000001E-2</v>
      </c>
      <c r="F126" s="53">
        <f>+'Purchased Power Model '!F126</f>
        <v>30</v>
      </c>
      <c r="G126" s="53">
        <f>+'Purchased Power Model '!G126</f>
        <v>1</v>
      </c>
      <c r="H126" s="171">
        <v>1</v>
      </c>
      <c r="I126" s="456">
        <f t="shared" si="3"/>
        <v>4876498.5538809737</v>
      </c>
      <c r="J126" s="457">
        <f t="shared" si="4"/>
        <v>1328013.5538809737</v>
      </c>
      <c r="K126" s="5">
        <f t="shared" si="5"/>
        <v>0.37424803934100714</v>
      </c>
    </row>
    <row r="127" spans="1:11" x14ac:dyDescent="0.2">
      <c r="A127" s="453">
        <v>41395</v>
      </c>
      <c r="B127" s="27">
        <v>3540879</v>
      </c>
      <c r="C127" s="458">
        <f>+'Purchased Power Model '!C127</f>
        <v>133.4</v>
      </c>
      <c r="D127" s="458">
        <f>+'Purchased Power Model '!D127</f>
        <v>3</v>
      </c>
      <c r="E127" s="443">
        <f>+'Purchased Power Model '!E127</f>
        <v>7.400000000000001E-2</v>
      </c>
      <c r="F127" s="53">
        <f>+'Purchased Power Model '!F127</f>
        <v>31</v>
      </c>
      <c r="G127" s="53">
        <f>+'Purchased Power Model '!G127</f>
        <v>1</v>
      </c>
      <c r="H127" s="171">
        <v>1</v>
      </c>
      <c r="I127" s="456">
        <f t="shared" si="3"/>
        <v>4582697.4308913816</v>
      </c>
      <c r="J127" s="457">
        <f t="shared" si="4"/>
        <v>1041818.4308913816</v>
      </c>
      <c r="K127" s="5">
        <f t="shared" si="5"/>
        <v>0.29422593398175467</v>
      </c>
    </row>
    <row r="128" spans="1:11" x14ac:dyDescent="0.2">
      <c r="A128" s="453">
        <v>41426</v>
      </c>
      <c r="B128" s="27">
        <v>3666680</v>
      </c>
      <c r="C128" s="458">
        <f>+'Purchased Power Model '!C128</f>
        <v>42.900000000000006</v>
      </c>
      <c r="D128" s="458">
        <f>+'Purchased Power Model '!D128</f>
        <v>32.200000000000003</v>
      </c>
      <c r="E128" s="443">
        <f>+'Purchased Power Model '!E128</f>
        <v>7.400000000000001E-2</v>
      </c>
      <c r="F128" s="53">
        <f>+'Purchased Power Model '!F128</f>
        <v>30</v>
      </c>
      <c r="G128" s="53">
        <f>+'Purchased Power Model '!G128</f>
        <v>0</v>
      </c>
      <c r="H128" s="171">
        <v>1</v>
      </c>
      <c r="I128" s="456">
        <f t="shared" si="3"/>
        <v>4445577.0506903445</v>
      </c>
      <c r="J128" s="457">
        <f t="shared" si="4"/>
        <v>778897.05069034453</v>
      </c>
      <c r="K128" s="5">
        <f t="shared" si="5"/>
        <v>0.21242569591301791</v>
      </c>
    </row>
    <row r="129" spans="1:11" x14ac:dyDescent="0.2">
      <c r="A129" s="453">
        <v>41456</v>
      </c>
      <c r="B129" s="27">
        <v>3569231</v>
      </c>
      <c r="C129" s="458">
        <f>+'Purchased Power Model '!C129</f>
        <v>4.4000000000000004</v>
      </c>
      <c r="D129" s="458">
        <f>+'Purchased Power Model '!D129</f>
        <v>109.99999999999999</v>
      </c>
      <c r="E129" s="443">
        <f>+'Purchased Power Model '!E129</f>
        <v>6.2E-2</v>
      </c>
      <c r="F129" s="53">
        <f>+'Purchased Power Model '!F129</f>
        <v>31</v>
      </c>
      <c r="G129" s="53">
        <f>+'Purchased Power Model '!G129</f>
        <v>0</v>
      </c>
      <c r="H129" s="171">
        <v>1</v>
      </c>
      <c r="I129" s="456">
        <f t="shared" si="3"/>
        <v>5789262.6558296178</v>
      </c>
      <c r="J129" s="457">
        <f t="shared" si="4"/>
        <v>2220031.6558296178</v>
      </c>
      <c r="K129" s="5">
        <f t="shared" si="5"/>
        <v>0.62199158749591099</v>
      </c>
    </row>
    <row r="130" spans="1:11" x14ac:dyDescent="0.2">
      <c r="A130" s="453">
        <v>41487</v>
      </c>
      <c r="B130" s="27">
        <v>3684619</v>
      </c>
      <c r="C130" s="458">
        <f>+'Purchased Power Model '!C130</f>
        <v>11</v>
      </c>
      <c r="D130" s="458">
        <f>+'Purchased Power Model '!D130</f>
        <v>57.899999999999991</v>
      </c>
      <c r="E130" s="443">
        <f>+'Purchased Power Model '!E130</f>
        <v>6.2E-2</v>
      </c>
      <c r="F130" s="53">
        <f>+'Purchased Power Model '!F130</f>
        <v>31</v>
      </c>
      <c r="G130" s="53">
        <f>+'Purchased Power Model '!G130</f>
        <v>0</v>
      </c>
      <c r="H130" s="171">
        <v>1</v>
      </c>
      <c r="I130" s="456">
        <f t="shared" si="3"/>
        <v>5855215.2400362138</v>
      </c>
      <c r="J130" s="457">
        <f t="shared" si="4"/>
        <v>2170596.2400362138</v>
      </c>
      <c r="K130" s="5">
        <f t="shared" si="5"/>
        <v>0.58909652260822998</v>
      </c>
    </row>
    <row r="131" spans="1:11" x14ac:dyDescent="0.2">
      <c r="A131" s="453">
        <v>41518</v>
      </c>
      <c r="B131" s="27">
        <v>3802385</v>
      </c>
      <c r="C131" s="458">
        <f>+'Purchased Power Model '!C131</f>
        <v>96.600000000000009</v>
      </c>
      <c r="D131" s="458">
        <f>+'Purchased Power Model '!D131</f>
        <v>15.700000000000001</v>
      </c>
      <c r="E131" s="443">
        <f>+'Purchased Power Model '!E131</f>
        <v>6.2E-2</v>
      </c>
      <c r="F131" s="53">
        <f>+'Purchased Power Model '!F131</f>
        <v>30</v>
      </c>
      <c r="G131" s="53">
        <f>+'Purchased Power Model '!G131</f>
        <v>1</v>
      </c>
      <c r="H131" s="171">
        <v>1</v>
      </c>
      <c r="I131" s="456">
        <f t="shared" si="3"/>
        <v>6328906.5445788829</v>
      </c>
      <c r="J131" s="457">
        <f t="shared" si="4"/>
        <v>2526521.5445788829</v>
      </c>
      <c r="K131" s="5">
        <f t="shared" si="5"/>
        <v>0.66445705644717268</v>
      </c>
    </row>
    <row r="132" spans="1:11" x14ac:dyDescent="0.2">
      <c r="A132" s="453">
        <v>41548</v>
      </c>
      <c r="B132" s="27">
        <v>3795973</v>
      </c>
      <c r="C132" s="458">
        <f>+'Purchased Power Model '!C132</f>
        <v>221</v>
      </c>
      <c r="D132" s="458">
        <f>+'Purchased Power Model '!D132</f>
        <v>3</v>
      </c>
      <c r="E132" s="443">
        <f>+'Purchased Power Model '!E132</f>
        <v>7.5999999999999998E-2</v>
      </c>
      <c r="F132" s="53">
        <f>+'Purchased Power Model '!F132</f>
        <v>31</v>
      </c>
      <c r="G132" s="53">
        <f>+'Purchased Power Model '!G132</f>
        <v>1</v>
      </c>
      <c r="H132" s="171">
        <v>1</v>
      </c>
      <c r="I132" s="456">
        <f t="shared" ref="I132:I195" si="6">$N$18+C132*$N$19+D132*$N$20+E132*$N$21+F132*$N$22+G132*$N$23</f>
        <v>4360965.7939889673</v>
      </c>
      <c r="J132" s="457">
        <f t="shared" ref="J132:J133" si="7">I132-B132</f>
        <v>564992.79398896731</v>
      </c>
      <c r="K132" s="5">
        <f t="shared" ref="K132:K133" si="8">J132/B132</f>
        <v>0.14884004548740662</v>
      </c>
    </row>
    <row r="133" spans="1:11" x14ac:dyDescent="0.2">
      <c r="A133" s="453">
        <v>41579</v>
      </c>
      <c r="B133" s="27">
        <v>3374463</v>
      </c>
      <c r="C133" s="458">
        <f>+'Purchased Power Model '!C133</f>
        <v>458.6</v>
      </c>
      <c r="D133" s="458">
        <f>+'Purchased Power Model '!D133</f>
        <v>0</v>
      </c>
      <c r="E133" s="443">
        <f>+'Purchased Power Model '!E133</f>
        <v>7.5999999999999998E-2</v>
      </c>
      <c r="F133" s="53">
        <f>+'Purchased Power Model '!F133</f>
        <v>30</v>
      </c>
      <c r="G133" s="53">
        <f>+'Purchased Power Model '!G133</f>
        <v>1</v>
      </c>
      <c r="H133" s="171">
        <v>1</v>
      </c>
      <c r="I133" s="456">
        <f t="shared" si="6"/>
        <v>4657244.7752970932</v>
      </c>
      <c r="J133" s="457">
        <f t="shared" si="7"/>
        <v>1282781.7752970932</v>
      </c>
      <c r="K133" s="5">
        <f t="shared" si="8"/>
        <v>0.38014397410701889</v>
      </c>
    </row>
    <row r="134" spans="1:11" x14ac:dyDescent="0.2">
      <c r="A134" s="453">
        <v>41609</v>
      </c>
      <c r="B134" s="27">
        <v>3392979</v>
      </c>
      <c r="C134" s="458">
        <f>+'Purchased Power Model '!C134</f>
        <v>472.8</v>
      </c>
      <c r="D134" s="458">
        <f ca="1">+'Purchased Power Model '!D134</f>
        <v>0</v>
      </c>
      <c r="E134" s="443">
        <f>+'Purchased Power Model '!E134</f>
        <v>7.5999999999999998E-2</v>
      </c>
      <c r="F134" s="53">
        <f>+'Purchased Power Model '!F134</f>
        <v>31</v>
      </c>
      <c r="G134" s="53">
        <f>+'Purchased Power Model '!G134</f>
        <v>0</v>
      </c>
      <c r="H134" s="171">
        <v>1</v>
      </c>
      <c r="I134" s="456">
        <f t="shared" ca="1" si="6"/>
        <v>4288983.563302191</v>
      </c>
      <c r="J134" s="457">
        <f t="shared" ref="J134" ca="1" si="9">I134-B134</f>
        <v>896004.56330219097</v>
      </c>
      <c r="K134" s="5">
        <f t="shared" ref="K134" ca="1" si="10">J134/B134</f>
        <v>0.26407607099902208</v>
      </c>
    </row>
    <row r="135" spans="1:11" x14ac:dyDescent="0.2">
      <c r="A135" s="453">
        <v>41640</v>
      </c>
      <c r="B135" s="27">
        <v>3344486</v>
      </c>
      <c r="C135" s="458">
        <f>+'Purchased Power Model '!C135</f>
        <v>771.3</v>
      </c>
      <c r="D135" s="458">
        <f>+'Purchased Power Model '!D135</f>
        <v>0</v>
      </c>
      <c r="E135" s="443">
        <f>+'Purchased Power Model '!E135</f>
        <v>7.6999999999999999E-2</v>
      </c>
      <c r="F135" s="53">
        <f>+'Purchased Power Model '!F135</f>
        <v>31</v>
      </c>
      <c r="G135" s="53">
        <f>+'Purchased Power Model '!G135</f>
        <v>0</v>
      </c>
      <c r="H135" s="171">
        <v>1</v>
      </c>
      <c r="I135" s="456">
        <f t="shared" si="6"/>
        <v>4318364.5256798659</v>
      </c>
      <c r="J135" s="457"/>
      <c r="K135" s="5"/>
    </row>
    <row r="136" spans="1:11" x14ac:dyDescent="0.2">
      <c r="A136" s="453">
        <v>41671</v>
      </c>
      <c r="B136" s="27">
        <v>3641313</v>
      </c>
      <c r="C136" s="458">
        <f>+'Purchased Power Model '!C136</f>
        <v>690.84999999999991</v>
      </c>
      <c r="D136" s="458">
        <f>+'Purchased Power Model '!D136</f>
        <v>0</v>
      </c>
      <c r="E136" s="443">
        <f>+'Purchased Power Model '!E136</f>
        <v>7.6999999999999999E-2</v>
      </c>
      <c r="F136" s="53">
        <f>+'Purchased Power Model '!F136</f>
        <v>28</v>
      </c>
      <c r="G136" s="53">
        <f>+'Purchased Power Model '!G136</f>
        <v>0</v>
      </c>
      <c r="H136" s="171">
        <v>1</v>
      </c>
      <c r="I136" s="456">
        <f t="shared" si="6"/>
        <v>4759644.9382821284</v>
      </c>
      <c r="J136" s="457"/>
      <c r="K136" s="5"/>
    </row>
    <row r="137" spans="1:11" x14ac:dyDescent="0.2">
      <c r="A137" s="453">
        <v>41699</v>
      </c>
      <c r="B137" s="27">
        <v>3195183</v>
      </c>
      <c r="C137" s="458">
        <f>+'Purchased Power Model '!C137</f>
        <v>677.95</v>
      </c>
      <c r="D137" s="458">
        <f>+'Purchased Power Model '!D137</f>
        <v>0</v>
      </c>
      <c r="E137" s="443">
        <f>+'Purchased Power Model '!E137</f>
        <v>7.6999999999999999E-2</v>
      </c>
      <c r="F137" s="53">
        <f>+'Purchased Power Model '!F137</f>
        <v>31</v>
      </c>
      <c r="G137" s="53">
        <f>+'Purchased Power Model '!G137</f>
        <v>1</v>
      </c>
      <c r="H137" s="171">
        <v>1</v>
      </c>
      <c r="I137" s="456">
        <f t="shared" si="6"/>
        <v>4481183.2920324448</v>
      </c>
      <c r="J137" s="457"/>
      <c r="K137" s="5"/>
    </row>
    <row r="138" spans="1:11" x14ac:dyDescent="0.2">
      <c r="A138" s="453">
        <v>41730</v>
      </c>
      <c r="B138" s="27">
        <v>3465780</v>
      </c>
      <c r="C138" s="458">
        <f>+'Purchased Power Model '!C138</f>
        <v>371.2999999999999</v>
      </c>
      <c r="D138" s="458">
        <f>+'Purchased Power Model '!D138</f>
        <v>0</v>
      </c>
      <c r="E138" s="443">
        <f>+'Purchased Power Model '!E138</f>
        <v>6.7000000000000004E-2</v>
      </c>
      <c r="F138" s="53">
        <f>+'Purchased Power Model '!F138</f>
        <v>30</v>
      </c>
      <c r="G138" s="53">
        <f>+'Purchased Power Model '!G138</f>
        <v>1</v>
      </c>
      <c r="H138" s="171">
        <v>1</v>
      </c>
      <c r="I138" s="456">
        <f t="shared" si="6"/>
        <v>5824027.078681807</v>
      </c>
      <c r="J138" s="457"/>
      <c r="K138" s="5"/>
    </row>
    <row r="139" spans="1:11" x14ac:dyDescent="0.2">
      <c r="A139" s="453">
        <v>41760</v>
      </c>
      <c r="B139" s="27">
        <v>3295872</v>
      </c>
      <c r="C139" s="458">
        <f>+'Purchased Power Model '!C139</f>
        <v>160.49999999999994</v>
      </c>
      <c r="D139" s="458">
        <f>+'Purchased Power Model '!D139</f>
        <v>1.3</v>
      </c>
      <c r="E139" s="443">
        <f>+'Purchased Power Model '!E139</f>
        <v>6.7000000000000004E-2</v>
      </c>
      <c r="F139" s="53">
        <f>+'Purchased Power Model '!F139</f>
        <v>31</v>
      </c>
      <c r="G139" s="53">
        <f>+'Purchased Power Model '!G139</f>
        <v>1</v>
      </c>
      <c r="H139" s="171">
        <v>1</v>
      </c>
      <c r="I139" s="456">
        <f t="shared" si="6"/>
        <v>5544538.5418686513</v>
      </c>
      <c r="J139" s="457"/>
      <c r="K139" s="5"/>
    </row>
    <row r="140" spans="1:11" x14ac:dyDescent="0.2">
      <c r="A140" s="453">
        <v>41791</v>
      </c>
      <c r="B140" s="27">
        <v>3402507</v>
      </c>
      <c r="C140" s="458">
        <f>+'Purchased Power Model '!C140</f>
        <v>26.9</v>
      </c>
      <c r="D140" s="458">
        <f>+'Purchased Power Model '!D140</f>
        <v>40.1</v>
      </c>
      <c r="E140" s="443">
        <f>+'Purchased Power Model '!E140</f>
        <v>6.7000000000000004E-2</v>
      </c>
      <c r="F140" s="53">
        <f>+'Purchased Power Model '!F140</f>
        <v>30</v>
      </c>
      <c r="G140" s="53">
        <f>+'Purchased Power Model '!G140</f>
        <v>0</v>
      </c>
      <c r="H140" s="171">
        <v>1</v>
      </c>
      <c r="I140" s="456">
        <f t="shared" si="6"/>
        <v>5372202.9338258235</v>
      </c>
      <c r="J140" s="457"/>
      <c r="K140" s="5"/>
    </row>
    <row r="141" spans="1:11" x14ac:dyDescent="0.2">
      <c r="A141" s="453">
        <v>41821</v>
      </c>
      <c r="B141" s="27">
        <v>3555897</v>
      </c>
      <c r="C141" s="458">
        <f>+'Purchased Power Model '!C141</f>
        <v>9.5999999999999979</v>
      </c>
      <c r="D141" s="458">
        <f>+'Purchased Power Model '!D141</f>
        <v>54.599999999999994</v>
      </c>
      <c r="E141" s="443">
        <f>+'Purchased Power Model '!E141</f>
        <v>7.5999999999999998E-2</v>
      </c>
      <c r="F141" s="53">
        <f>+'Purchased Power Model '!F141</f>
        <v>31</v>
      </c>
      <c r="G141" s="53">
        <f>+'Purchased Power Model '!G141</f>
        <v>0</v>
      </c>
      <c r="H141" s="171">
        <v>1</v>
      </c>
      <c r="I141" s="456">
        <f t="shared" si="6"/>
        <v>3968620.6291299369</v>
      </c>
      <c r="J141" s="457"/>
      <c r="K141" s="5"/>
    </row>
    <row r="142" spans="1:11" x14ac:dyDescent="0.2">
      <c r="A142" s="453">
        <v>41852</v>
      </c>
      <c r="B142" s="27">
        <v>3730175</v>
      </c>
      <c r="C142" s="458">
        <f>+'Purchased Power Model '!C142</f>
        <v>12.7</v>
      </c>
      <c r="D142" s="458">
        <f>+'Purchased Power Model '!D142</f>
        <v>58</v>
      </c>
      <c r="E142" s="443">
        <f>+'Purchased Power Model '!E142</f>
        <v>7.5999999999999998E-2</v>
      </c>
      <c r="F142" s="53">
        <f>+'Purchased Power Model '!F142</f>
        <v>31</v>
      </c>
      <c r="G142" s="53">
        <f>+'Purchased Power Model '!G142</f>
        <v>0</v>
      </c>
      <c r="H142" s="171">
        <v>1</v>
      </c>
      <c r="I142" s="456">
        <f t="shared" si="6"/>
        <v>3966260.7549534943</v>
      </c>
      <c r="J142" s="457"/>
      <c r="K142" s="5"/>
    </row>
    <row r="143" spans="1:11" x14ac:dyDescent="0.2">
      <c r="A143" s="453">
        <v>41883</v>
      </c>
      <c r="B143" s="27">
        <v>3915106</v>
      </c>
      <c r="C143" s="458">
        <f>+'Purchased Power Model '!C143</f>
        <v>77.400000000000006</v>
      </c>
      <c r="D143" s="458">
        <f>+'Purchased Power Model '!D143</f>
        <v>22.5</v>
      </c>
      <c r="E143" s="443">
        <f>+'Purchased Power Model '!E143</f>
        <v>7.5999999999999998E-2</v>
      </c>
      <c r="F143" s="53">
        <f>+'Purchased Power Model '!F143</f>
        <v>30</v>
      </c>
      <c r="G143" s="53">
        <f>+'Purchased Power Model '!G143</f>
        <v>1</v>
      </c>
      <c r="H143" s="171">
        <v>1</v>
      </c>
      <c r="I143" s="456">
        <f t="shared" si="6"/>
        <v>4420429.7107503815</v>
      </c>
      <c r="J143" s="457"/>
      <c r="K143" s="5"/>
    </row>
    <row r="144" spans="1:11" x14ac:dyDescent="0.2">
      <c r="A144" s="453">
        <v>41913</v>
      </c>
      <c r="B144" s="27">
        <v>3925976</v>
      </c>
      <c r="C144" s="458">
        <f>+'Purchased Power Model '!C144</f>
        <v>216.29999999999998</v>
      </c>
      <c r="D144" s="458">
        <f>+'Purchased Power Model '!D144</f>
        <v>0.5</v>
      </c>
      <c r="E144" s="443">
        <f>+'Purchased Power Model '!E144</f>
        <v>7.400000000000001E-2</v>
      </c>
      <c r="F144" s="53">
        <f>+'Purchased Power Model '!F144</f>
        <v>31</v>
      </c>
      <c r="G144" s="53">
        <f>+'Purchased Power Model '!G144</f>
        <v>1</v>
      </c>
      <c r="H144" s="171">
        <v>1</v>
      </c>
      <c r="I144" s="456">
        <f t="shared" si="6"/>
        <v>4631335.4133825507</v>
      </c>
      <c r="J144" s="457"/>
      <c r="K144" s="5"/>
    </row>
    <row r="145" spans="1:11" x14ac:dyDescent="0.2">
      <c r="A145" s="453">
        <v>41944</v>
      </c>
      <c r="B145" s="27">
        <v>3823200</v>
      </c>
      <c r="C145" s="458">
        <f>+'Purchased Power Model '!C145</f>
        <v>407.30000000000013</v>
      </c>
      <c r="D145" s="458">
        <f>+'Purchased Power Model '!D145</f>
        <v>0</v>
      </c>
      <c r="E145" s="443">
        <f>+'Purchased Power Model '!E145</f>
        <v>6.8000000000000005E-2</v>
      </c>
      <c r="F145" s="53">
        <f>+'Purchased Power Model '!F145</f>
        <v>30</v>
      </c>
      <c r="G145" s="53">
        <f>+'Purchased Power Model '!G145</f>
        <v>1</v>
      </c>
      <c r="H145" s="171">
        <v>1</v>
      </c>
      <c r="I145" s="456">
        <f t="shared" si="6"/>
        <v>5708866.3058118103</v>
      </c>
      <c r="J145" s="457"/>
      <c r="K145" s="5"/>
    </row>
    <row r="146" spans="1:11" x14ac:dyDescent="0.2">
      <c r="A146" s="453">
        <v>41974</v>
      </c>
      <c r="B146" s="27">
        <v>3404940</v>
      </c>
      <c r="C146" s="458">
        <f>+'Purchased Power Model '!C146</f>
        <v>551.79999999999995</v>
      </c>
      <c r="D146" s="458">
        <f>+'Purchased Power Model '!D146</f>
        <v>0</v>
      </c>
      <c r="E146" s="443">
        <f>+'Purchased Power Model '!E146</f>
        <v>6.6000000000000003E-2</v>
      </c>
      <c r="F146" s="53">
        <f>+'Purchased Power Model '!F146</f>
        <v>31</v>
      </c>
      <c r="G146" s="53">
        <f>+'Purchased Power Model '!G146</f>
        <v>0</v>
      </c>
      <c r="H146" s="171">
        <v>1</v>
      </c>
      <c r="I146" s="456">
        <f t="shared" si="6"/>
        <v>5682320.1368544362</v>
      </c>
      <c r="J146" s="457"/>
      <c r="K146" s="5"/>
    </row>
    <row r="147" spans="1:11" x14ac:dyDescent="0.2">
      <c r="A147" s="453">
        <v>42005</v>
      </c>
      <c r="B147" s="27">
        <v>2940637</v>
      </c>
      <c r="C147" s="458">
        <f>+'Purchased Power Model '!C147</f>
        <v>775.6</v>
      </c>
      <c r="D147" s="458">
        <f>+'Purchased Power Model '!D147</f>
        <v>0</v>
      </c>
      <c r="E147" s="443">
        <f>+'Purchased Power Model '!E147</f>
        <v>6.7000000000000004E-2</v>
      </c>
      <c r="F147" s="53">
        <f>+'Purchased Power Model '!F147</f>
        <v>31</v>
      </c>
      <c r="G147" s="53">
        <f>+'Purchased Power Model '!G147</f>
        <v>0</v>
      </c>
      <c r="H147" s="171"/>
      <c r="I147" s="456">
        <f t="shared" si="6"/>
        <v>5670568.6511444915</v>
      </c>
      <c r="J147" s="457"/>
      <c r="K147" s="5"/>
    </row>
    <row r="148" spans="1:11" x14ac:dyDescent="0.2">
      <c r="A148" s="453">
        <v>42036</v>
      </c>
      <c r="B148" s="27">
        <v>3314736</v>
      </c>
      <c r="C148" s="458">
        <f>+'Purchased Power Model '!C148</f>
        <v>809.4</v>
      </c>
      <c r="D148" s="458">
        <f>+'Purchased Power Model '!D148</f>
        <v>0</v>
      </c>
      <c r="E148" s="443">
        <f>+'Purchased Power Model '!E148</f>
        <v>6.8000000000000005E-2</v>
      </c>
      <c r="F148" s="53">
        <f>+'Purchased Power Model '!F148</f>
        <v>28</v>
      </c>
      <c r="G148" s="53">
        <f>+'Purchased Power Model '!G148</f>
        <v>0</v>
      </c>
      <c r="H148" s="171"/>
      <c r="I148" s="456">
        <f t="shared" si="6"/>
        <v>6039775.4938601106</v>
      </c>
      <c r="J148" s="457"/>
      <c r="K148" s="5"/>
    </row>
    <row r="149" spans="1:11" x14ac:dyDescent="0.2">
      <c r="A149" s="453">
        <v>42064</v>
      </c>
      <c r="B149" s="27">
        <v>3184545</v>
      </c>
      <c r="C149" s="458">
        <f>+'Purchased Power Model '!C149</f>
        <v>611.6</v>
      </c>
      <c r="D149" s="458">
        <f>+'Purchased Power Model '!D149</f>
        <v>0</v>
      </c>
      <c r="E149" s="443">
        <f>+'Purchased Power Model '!E149</f>
        <v>7.2000000000000008E-2</v>
      </c>
      <c r="F149" s="53">
        <f>+'Purchased Power Model '!F149</f>
        <v>31</v>
      </c>
      <c r="G149" s="53">
        <f>+'Purchased Power Model '!G149</f>
        <v>1</v>
      </c>
      <c r="H149" s="171"/>
      <c r="I149" s="456">
        <f t="shared" si="6"/>
        <v>5119566.8448048867</v>
      </c>
      <c r="J149" s="457"/>
      <c r="K149" s="5"/>
    </row>
    <row r="150" spans="1:11" x14ac:dyDescent="0.2">
      <c r="A150" s="453">
        <v>42095</v>
      </c>
      <c r="B150" s="27">
        <v>3527344</v>
      </c>
      <c r="C150" s="458">
        <f>+'Purchased Power Model '!C150</f>
        <v>335.6</v>
      </c>
      <c r="D150" s="458">
        <f>+'Purchased Power Model '!D150</f>
        <v>0</v>
      </c>
      <c r="E150" s="443">
        <f>+'Purchased Power Model '!E150</f>
        <v>7.5999999999999998E-2</v>
      </c>
      <c r="F150" s="53">
        <f>+'Purchased Power Model '!F150</f>
        <v>30</v>
      </c>
      <c r="G150" s="53">
        <f>+'Purchased Power Model '!G150</f>
        <v>1</v>
      </c>
      <c r="H150" s="171"/>
      <c r="I150" s="456">
        <f t="shared" si="6"/>
        <v>4589516.6479239007</v>
      </c>
      <c r="J150" s="457"/>
      <c r="K150" s="5"/>
    </row>
    <row r="151" spans="1:11" x14ac:dyDescent="0.2">
      <c r="A151" s="453">
        <v>42125</v>
      </c>
      <c r="B151" s="27">
        <v>3280257</v>
      </c>
      <c r="C151" s="458">
        <f>+'Purchased Power Model '!C151</f>
        <v>120.5</v>
      </c>
      <c r="D151" s="458">
        <f>+'Purchased Power Model '!D151</f>
        <v>1.8</v>
      </c>
      <c r="E151" s="443">
        <f>+'Purchased Power Model '!E151</f>
        <v>7.8E-2</v>
      </c>
      <c r="F151" s="53">
        <f>+'Purchased Power Model '!F151</f>
        <v>31</v>
      </c>
      <c r="G151" s="53">
        <f>+'Purchased Power Model '!G151</f>
        <v>1</v>
      </c>
      <c r="H151" s="171"/>
      <c r="I151" s="456">
        <f t="shared" si="6"/>
        <v>4037095.035809699</v>
      </c>
      <c r="J151" s="457"/>
      <c r="K151" s="5"/>
    </row>
    <row r="152" spans="1:11" x14ac:dyDescent="0.2">
      <c r="A152" s="453">
        <v>42156</v>
      </c>
      <c r="B152" s="27">
        <v>3634274</v>
      </c>
      <c r="C152" s="458">
        <f>+'Purchased Power Model '!C152</f>
        <v>50.2</v>
      </c>
      <c r="D152" s="458">
        <f>+'Purchased Power Model '!D152</f>
        <v>13.1</v>
      </c>
      <c r="E152" s="443">
        <f>+'Purchased Power Model '!E152</f>
        <v>7.8E-2</v>
      </c>
      <c r="F152" s="53">
        <f>+'Purchased Power Model '!F152</f>
        <v>30</v>
      </c>
      <c r="G152" s="53">
        <f>+'Purchased Power Model '!G152</f>
        <v>0</v>
      </c>
      <c r="H152" s="171"/>
      <c r="I152" s="456">
        <f t="shared" si="6"/>
        <v>3932508.2198128821</v>
      </c>
      <c r="J152" s="457"/>
      <c r="K152" s="5"/>
    </row>
    <row r="153" spans="1:11" x14ac:dyDescent="0.2">
      <c r="A153" s="453">
        <v>42186</v>
      </c>
      <c r="B153" s="27">
        <v>3520239</v>
      </c>
      <c r="C153" s="458">
        <f>+'Purchased Power Model '!C153</f>
        <v>6.8</v>
      </c>
      <c r="D153" s="458">
        <f>+'Purchased Power Model '!D153</f>
        <v>71.5</v>
      </c>
      <c r="E153" s="443">
        <f>+'Purchased Power Model '!E153</f>
        <v>7.8E-2</v>
      </c>
      <c r="F153" s="53">
        <f>+'Purchased Power Model '!F153</f>
        <v>31</v>
      </c>
      <c r="G153" s="53">
        <f>+'Purchased Power Model '!G153</f>
        <v>0</v>
      </c>
      <c r="H153" s="171"/>
      <c r="I153" s="456">
        <f t="shared" si="6"/>
        <v>3676896.9686190151</v>
      </c>
      <c r="J153" s="457"/>
      <c r="K153" s="5"/>
    </row>
    <row r="154" spans="1:11" x14ac:dyDescent="0.2">
      <c r="A154" s="453">
        <v>42217</v>
      </c>
      <c r="B154" s="27">
        <v>3908695</v>
      </c>
      <c r="C154" s="458">
        <f>+'Purchased Power Model '!C154</f>
        <v>4.9000000000000004</v>
      </c>
      <c r="D154" s="458">
        <f>+'Purchased Power Model '!D154</f>
        <v>62</v>
      </c>
      <c r="E154" s="443">
        <f>+'Purchased Power Model '!E154</f>
        <v>0.08</v>
      </c>
      <c r="F154" s="53">
        <f>+'Purchased Power Model '!F154</f>
        <v>31</v>
      </c>
      <c r="G154" s="53">
        <f>+'Purchased Power Model '!G154</f>
        <v>0</v>
      </c>
      <c r="H154" s="171"/>
      <c r="I154" s="456">
        <f t="shared" si="6"/>
        <v>3417246.7214025147</v>
      </c>
      <c r="J154" s="457"/>
      <c r="K154" s="5"/>
    </row>
    <row r="155" spans="1:11" x14ac:dyDescent="0.2">
      <c r="A155" s="453">
        <v>42248</v>
      </c>
      <c r="B155" s="27">
        <v>3939890</v>
      </c>
      <c r="C155" s="458">
        <f>+'Purchased Power Model '!C155</f>
        <v>37</v>
      </c>
      <c r="D155" s="458">
        <f>+'Purchased Power Model '!D155</f>
        <v>48.6</v>
      </c>
      <c r="E155" s="443">
        <f>+'Purchased Power Model '!E155</f>
        <v>8.3000000000000004E-2</v>
      </c>
      <c r="F155" s="53">
        <f>+'Purchased Power Model '!F155</f>
        <v>30</v>
      </c>
      <c r="G155" s="53">
        <f>+'Purchased Power Model '!G155</f>
        <v>1</v>
      </c>
      <c r="H155" s="171"/>
      <c r="I155" s="456">
        <f t="shared" si="6"/>
        <v>3422079.5709527736</v>
      </c>
      <c r="J155" s="457"/>
      <c r="K155" s="5"/>
    </row>
    <row r="156" spans="1:11" x14ac:dyDescent="0.2">
      <c r="A156" s="453">
        <v>42278</v>
      </c>
      <c r="B156" s="27">
        <v>3838758</v>
      </c>
      <c r="C156" s="458">
        <f>+'Purchased Power Model '!C156</f>
        <v>248.1</v>
      </c>
      <c r="D156" s="458">
        <f>+'Purchased Power Model '!D156</f>
        <v>0</v>
      </c>
      <c r="E156" s="443">
        <f>+'Purchased Power Model '!E156</f>
        <v>8.1000000000000003E-2</v>
      </c>
      <c r="F156" s="53">
        <f>+'Purchased Power Model '!F156</f>
        <v>31</v>
      </c>
      <c r="G156" s="53">
        <f>+'Purchased Power Model '!G156</f>
        <v>1</v>
      </c>
      <c r="H156" s="171"/>
      <c r="I156" s="456">
        <f t="shared" si="6"/>
        <v>3704558.2014215081</v>
      </c>
      <c r="J156" s="457"/>
      <c r="K156" s="5"/>
    </row>
    <row r="157" spans="1:11" x14ac:dyDescent="0.2">
      <c r="A157" s="453">
        <v>42309</v>
      </c>
      <c r="B157" s="27">
        <v>3434519</v>
      </c>
      <c r="C157" s="458">
        <f>+'Purchased Power Model '!C157</f>
        <v>345.6</v>
      </c>
      <c r="D157" s="458">
        <f>+'Purchased Power Model '!D157</f>
        <v>0</v>
      </c>
      <c r="E157" s="443">
        <f>+'Purchased Power Model '!E157</f>
        <v>7.8E-2</v>
      </c>
      <c r="F157" s="53">
        <f>+'Purchased Power Model '!F157</f>
        <v>30</v>
      </c>
      <c r="G157" s="53">
        <f>+'Purchased Power Model '!G157</f>
        <v>1</v>
      </c>
      <c r="H157" s="171"/>
      <c r="I157" s="456">
        <f t="shared" si="6"/>
        <v>4325055.7209063629</v>
      </c>
      <c r="J157" s="457"/>
      <c r="K157" s="5"/>
    </row>
    <row r="158" spans="1:11" x14ac:dyDescent="0.2">
      <c r="A158" s="453">
        <v>42339</v>
      </c>
      <c r="B158" s="27">
        <v>3425082</v>
      </c>
      <c r="C158" s="458">
        <f>+'Purchased Power Model '!C158</f>
        <v>415</v>
      </c>
      <c r="D158" s="458">
        <f>+'Purchased Power Model '!D158</f>
        <v>0</v>
      </c>
      <c r="E158" s="443">
        <f>+'Purchased Power Model '!E158</f>
        <v>7.0000000000000007E-2</v>
      </c>
      <c r="F158" s="53">
        <f>+'Purchased Power Model '!F158</f>
        <v>31</v>
      </c>
      <c r="G158" s="53">
        <f>+'Purchased Power Model '!G158</f>
        <v>0</v>
      </c>
      <c r="H158" s="171"/>
      <c r="I158" s="456">
        <f t="shared" si="6"/>
        <v>5067058.6862980947</v>
      </c>
      <c r="J158" s="457"/>
      <c r="K158" s="5"/>
    </row>
    <row r="159" spans="1:11" x14ac:dyDescent="0.2">
      <c r="A159" s="453">
        <v>42370</v>
      </c>
      <c r="B159" s="27">
        <v>2998276</v>
      </c>
      <c r="C159" s="458">
        <f>+'Purchased Power Model '!C159</f>
        <v>689.4</v>
      </c>
      <c r="D159" s="458">
        <f>+'Purchased Power Model '!D159</f>
        <v>0</v>
      </c>
      <c r="E159" s="443">
        <f>+'Purchased Power Model '!E159</f>
        <v>6.4000000000000001E-2</v>
      </c>
      <c r="F159" s="53">
        <f>+'Purchased Power Model '!F159</f>
        <v>31</v>
      </c>
      <c r="G159" s="53">
        <f>+'Purchased Power Model '!G159</f>
        <v>0</v>
      </c>
      <c r="H159" s="171"/>
      <c r="I159" s="456">
        <f t="shared" si="6"/>
        <v>6028054.8167198077</v>
      </c>
      <c r="J159" s="457"/>
      <c r="K159" s="5"/>
    </row>
    <row r="160" spans="1:11" x14ac:dyDescent="0.2">
      <c r="A160" s="453">
        <v>42401</v>
      </c>
      <c r="B160" s="27">
        <v>3219553</v>
      </c>
      <c r="C160" s="458">
        <f>+'Purchased Power Model '!C160</f>
        <v>623.20000000000005</v>
      </c>
      <c r="D160" s="458">
        <f>+'Purchased Power Model '!D160</f>
        <v>0</v>
      </c>
      <c r="E160" s="443">
        <f>+'Purchased Power Model '!E160</f>
        <v>6.0999999999999999E-2</v>
      </c>
      <c r="F160" s="53">
        <f>+'Purchased Power Model '!F160</f>
        <v>29</v>
      </c>
      <c r="G160" s="53">
        <f>+'Purchased Power Model '!G160</f>
        <v>0</v>
      </c>
      <c r="H160" s="171"/>
      <c r="I160" s="456">
        <f t="shared" si="6"/>
        <v>6720273.0279235663</v>
      </c>
      <c r="J160" s="457"/>
      <c r="K160" s="5"/>
    </row>
    <row r="161" spans="1:11" x14ac:dyDescent="0.2">
      <c r="A161" s="453">
        <v>42430</v>
      </c>
      <c r="B161" s="27">
        <v>3434379</v>
      </c>
      <c r="C161" s="458">
        <f>+'Purchased Power Model '!C161</f>
        <v>531.20000000000005</v>
      </c>
      <c r="D161" s="458">
        <f>+'Purchased Power Model '!D161</f>
        <v>0</v>
      </c>
      <c r="E161" s="443">
        <f>+'Purchased Power Model '!E161</f>
        <v>6.0999999999999999E-2</v>
      </c>
      <c r="F161" s="53">
        <f>+'Purchased Power Model '!F161</f>
        <v>31</v>
      </c>
      <c r="G161" s="53">
        <f>+'Purchased Power Model '!G161</f>
        <v>1</v>
      </c>
      <c r="H161" s="171"/>
      <c r="I161" s="456">
        <f t="shared" si="6"/>
        <v>6560115.8097811788</v>
      </c>
      <c r="J161" s="457"/>
      <c r="K161" s="5"/>
    </row>
    <row r="162" spans="1:11" x14ac:dyDescent="0.2">
      <c r="A162" s="453">
        <v>42461</v>
      </c>
      <c r="B162" s="27">
        <v>3626630</v>
      </c>
      <c r="C162" s="458">
        <f>+'Purchased Power Model '!C162</f>
        <v>421.9</v>
      </c>
      <c r="D162" s="458">
        <f>+'Purchased Power Model '!D162</f>
        <v>0</v>
      </c>
      <c r="E162" s="443">
        <f>+'Purchased Power Model '!E162</f>
        <v>6.0999999999999999E-2</v>
      </c>
      <c r="F162" s="53">
        <f>+'Purchased Power Model '!F162</f>
        <v>30</v>
      </c>
      <c r="G162" s="53">
        <f>+'Purchased Power Model '!G162</f>
        <v>1</v>
      </c>
      <c r="H162" s="171"/>
      <c r="I162" s="456">
        <f t="shared" si="6"/>
        <v>6661791.0553952204</v>
      </c>
      <c r="J162" s="457"/>
      <c r="K162" s="5"/>
    </row>
    <row r="163" spans="1:11" x14ac:dyDescent="0.2">
      <c r="A163" s="453">
        <v>42491</v>
      </c>
      <c r="B163" s="27">
        <v>3457351</v>
      </c>
      <c r="C163" s="458">
        <f>+'Purchased Power Model '!C163</f>
        <v>164.3</v>
      </c>
      <c r="D163" s="458">
        <f>+'Purchased Power Model '!D163</f>
        <v>19.399999999999999</v>
      </c>
      <c r="E163" s="443">
        <f>+'Purchased Power Model '!E163</f>
        <v>5.7999999999999996E-2</v>
      </c>
      <c r="F163" s="53">
        <f>+'Purchased Power Model '!F163</f>
        <v>31</v>
      </c>
      <c r="G163" s="53">
        <f>+'Purchased Power Model '!G163</f>
        <v>1</v>
      </c>
      <c r="H163" s="171"/>
      <c r="I163" s="456">
        <f t="shared" si="6"/>
        <v>6739833.7507212013</v>
      </c>
      <c r="J163" s="457"/>
      <c r="K163" s="5"/>
    </row>
    <row r="164" spans="1:11" x14ac:dyDescent="0.2">
      <c r="A164" s="453">
        <v>42522</v>
      </c>
      <c r="B164" s="27">
        <v>3401660</v>
      </c>
      <c r="C164" s="458">
        <f>+'Purchased Power Model '!C164</f>
        <v>39.1</v>
      </c>
      <c r="D164" s="458">
        <f>+'Purchased Power Model '!D164</f>
        <v>43.8</v>
      </c>
      <c r="E164" s="443">
        <f>+'Purchased Power Model '!E164</f>
        <v>6.5000000000000002E-2</v>
      </c>
      <c r="F164" s="53">
        <f>+'Purchased Power Model '!F164</f>
        <v>30</v>
      </c>
      <c r="G164" s="53">
        <f>+'Purchased Power Model '!G164</f>
        <v>0</v>
      </c>
      <c r="H164" s="171"/>
      <c r="I164" s="456">
        <f t="shared" si="6"/>
        <v>5644462.2795316884</v>
      </c>
      <c r="J164" s="457"/>
      <c r="K164" s="5"/>
    </row>
    <row r="165" spans="1:11" x14ac:dyDescent="0.2">
      <c r="A165" s="453">
        <v>42552</v>
      </c>
      <c r="B165" s="27">
        <v>3376613</v>
      </c>
      <c r="C165" s="458">
        <f>+'Purchased Power Model '!C165</f>
        <v>2.4</v>
      </c>
      <c r="D165" s="458">
        <f>+'Purchased Power Model '!D165</f>
        <v>120.7</v>
      </c>
      <c r="E165" s="443">
        <f>+'Purchased Power Model '!E165</f>
        <v>6.5000000000000002E-2</v>
      </c>
      <c r="F165" s="53">
        <f>+'Purchased Power Model '!F165</f>
        <v>31</v>
      </c>
      <c r="G165" s="53">
        <f>+'Purchased Power Model '!G165</f>
        <v>0</v>
      </c>
      <c r="H165" s="171"/>
      <c r="I165" s="456">
        <f t="shared" si="6"/>
        <v>5370411.8723077215</v>
      </c>
      <c r="J165" s="457"/>
      <c r="K165" s="5"/>
    </row>
    <row r="166" spans="1:11" x14ac:dyDescent="0.2">
      <c r="A166" s="453">
        <v>42583</v>
      </c>
      <c r="B166" s="27">
        <v>3725738</v>
      </c>
      <c r="C166" s="458">
        <f>+'Purchased Power Model '!C166</f>
        <v>1.4</v>
      </c>
      <c r="D166" s="458">
        <f>+'Purchased Power Model '!D166</f>
        <v>135.6</v>
      </c>
      <c r="E166" s="443">
        <f>+'Purchased Power Model '!E166</f>
        <v>6.9000000000000006E-2</v>
      </c>
      <c r="F166" s="53">
        <f>+'Purchased Power Model '!F166</f>
        <v>31</v>
      </c>
      <c r="G166" s="53">
        <f>+'Purchased Power Model '!G166</f>
        <v>0</v>
      </c>
      <c r="H166" s="171"/>
      <c r="I166" s="456">
        <f t="shared" si="6"/>
        <v>4812104.3370173182</v>
      </c>
      <c r="J166" s="457"/>
      <c r="K166" s="5"/>
    </row>
    <row r="167" spans="1:11" x14ac:dyDescent="0.2">
      <c r="A167" s="453">
        <v>42614</v>
      </c>
      <c r="B167" s="27">
        <v>3660720</v>
      </c>
      <c r="C167" s="458">
        <f>+'Purchased Power Model '!C167</f>
        <v>50.8</v>
      </c>
      <c r="D167" s="458">
        <f>+'Purchased Power Model '!D167</f>
        <v>35.299999999999997</v>
      </c>
      <c r="E167" s="443">
        <f>+'Purchased Power Model '!E167</f>
        <v>6.4000000000000001E-2</v>
      </c>
      <c r="F167" s="53">
        <f>+'Purchased Power Model '!F167</f>
        <v>30</v>
      </c>
      <c r="G167" s="53">
        <f>+'Purchased Power Model '!G167</f>
        <v>1</v>
      </c>
      <c r="H167" s="171"/>
      <c r="I167" s="456">
        <f t="shared" si="6"/>
        <v>6010276.0192614803</v>
      </c>
      <c r="J167" s="457"/>
      <c r="K167" s="5"/>
    </row>
    <row r="168" spans="1:11" x14ac:dyDescent="0.2">
      <c r="A168" s="453">
        <v>42644</v>
      </c>
      <c r="B168" s="27">
        <v>3779805</v>
      </c>
      <c r="C168" s="458">
        <f>+'Purchased Power Model '!C168</f>
        <v>204</v>
      </c>
      <c r="D168" s="458">
        <f>+'Purchased Power Model '!D168</f>
        <v>0.3</v>
      </c>
      <c r="E168" s="443">
        <f>+'Purchased Power Model '!E168</f>
        <v>0.06</v>
      </c>
      <c r="F168" s="53">
        <f>+'Purchased Power Model '!F168</f>
        <v>31</v>
      </c>
      <c r="G168" s="53">
        <f>+'Purchased Power Model '!G168</f>
        <v>1</v>
      </c>
      <c r="H168" s="171"/>
      <c r="I168" s="456">
        <f t="shared" si="6"/>
        <v>6514572.7785736546</v>
      </c>
      <c r="J168" s="457"/>
      <c r="K168" s="5"/>
    </row>
    <row r="169" spans="1:11" x14ac:dyDescent="0.2">
      <c r="A169" s="453">
        <v>42675</v>
      </c>
      <c r="B169" s="27">
        <v>3488997</v>
      </c>
      <c r="C169" s="458">
        <f>+'Purchased Power Model '!C169</f>
        <v>298.5</v>
      </c>
      <c r="D169" s="458">
        <f>+'Purchased Power Model '!D169</f>
        <v>0</v>
      </c>
      <c r="E169" s="443">
        <f>+'Purchased Power Model '!E169</f>
        <v>5.4000000000000006E-2</v>
      </c>
      <c r="F169" s="53">
        <f>+'Purchased Power Model '!F169</f>
        <v>30</v>
      </c>
      <c r="G169" s="53">
        <f>+'Purchased Power Model '!G169</f>
        <v>1</v>
      </c>
      <c r="H169" s="171"/>
      <c r="I169" s="456">
        <f t="shared" si="6"/>
        <v>7538728.1498769997</v>
      </c>
      <c r="J169" s="457"/>
      <c r="K169" s="5"/>
    </row>
    <row r="170" spans="1:11" x14ac:dyDescent="0.2">
      <c r="A170" s="453">
        <v>42705</v>
      </c>
      <c r="B170" s="27">
        <v>3268524</v>
      </c>
      <c r="C170" s="458">
        <f>+'Purchased Power Model '!C170</f>
        <v>483.4</v>
      </c>
      <c r="D170" s="458">
        <f>+'Purchased Power Model '!D170</f>
        <v>0</v>
      </c>
      <c r="E170" s="443">
        <f>+'Purchased Power Model '!E170</f>
        <v>5.2000000000000005E-2</v>
      </c>
      <c r="F170" s="53">
        <f>+'Purchased Power Model '!F170</f>
        <v>31</v>
      </c>
      <c r="G170" s="53">
        <f>+'Purchased Power Model '!G170</f>
        <v>0</v>
      </c>
      <c r="H170" s="171"/>
      <c r="I170" s="456">
        <f t="shared" si="6"/>
        <v>7534427.6422682218</v>
      </c>
      <c r="J170" s="457"/>
      <c r="K170" s="5"/>
    </row>
    <row r="171" spans="1:11" x14ac:dyDescent="0.2">
      <c r="A171" s="453">
        <v>42736</v>
      </c>
      <c r="B171" s="27">
        <v>3047573</v>
      </c>
      <c r="C171" s="458">
        <f>+'Purchased Power Model '!C171</f>
        <v>584</v>
      </c>
      <c r="D171" s="458">
        <f ca="1">+'Purchased Power Model '!D171</f>
        <v>0</v>
      </c>
      <c r="E171" s="443">
        <f>+'Purchased Power Model '!E171</f>
        <v>5.2999999999999999E-2</v>
      </c>
      <c r="F171" s="53">
        <f>+'Purchased Power Model '!F171</f>
        <v>31</v>
      </c>
      <c r="G171" s="53">
        <f>+'Purchased Power Model '!G171</f>
        <v>0</v>
      </c>
      <c r="H171" s="171"/>
      <c r="I171" s="456">
        <f t="shared" ca="1" si="6"/>
        <v>7454837.9021487031</v>
      </c>
      <c r="J171" s="457"/>
      <c r="K171" s="5"/>
    </row>
    <row r="172" spans="1:11" x14ac:dyDescent="0.2">
      <c r="A172" s="453">
        <v>42767</v>
      </c>
      <c r="B172" s="27">
        <v>3444792</v>
      </c>
      <c r="C172" s="458">
        <f>+'Purchased Power Model '!C172</f>
        <v>506</v>
      </c>
      <c r="D172" s="458">
        <f ca="1">+'Purchased Power Model '!D172</f>
        <v>0</v>
      </c>
      <c r="E172" s="443">
        <f>+'Purchased Power Model '!E172</f>
        <v>5.9000000000000004E-2</v>
      </c>
      <c r="F172" s="53">
        <f>+'Purchased Power Model '!F172</f>
        <v>28</v>
      </c>
      <c r="G172" s="53">
        <f>+'Purchased Power Model '!G172</f>
        <v>0</v>
      </c>
      <c r="H172" s="171"/>
      <c r="I172" s="456">
        <f t="shared" ca="1" si="6"/>
        <v>7087565.5344371237</v>
      </c>
      <c r="J172" s="457"/>
      <c r="K172" s="5"/>
    </row>
    <row r="173" spans="1:11" x14ac:dyDescent="0.2">
      <c r="A173" s="453">
        <v>42795</v>
      </c>
      <c r="B173" s="27">
        <v>2936789</v>
      </c>
      <c r="C173" s="458">
        <f>+'Purchased Power Model '!C173</f>
        <v>561</v>
      </c>
      <c r="D173" s="458">
        <f ca="1">+'Purchased Power Model '!D173</f>
        <v>0</v>
      </c>
      <c r="E173" s="443">
        <f>+'Purchased Power Model '!E173</f>
        <v>6.2E-2</v>
      </c>
      <c r="F173" s="53">
        <f>+'Purchased Power Model '!F173</f>
        <v>31</v>
      </c>
      <c r="G173" s="53">
        <f>+'Purchased Power Model '!G173</f>
        <v>1</v>
      </c>
      <c r="H173" s="171"/>
      <c r="I173" s="456">
        <f t="shared" ca="1" si="6"/>
        <v>6441541.0987834316</v>
      </c>
      <c r="J173" s="457"/>
      <c r="K173" s="5"/>
    </row>
    <row r="174" spans="1:11" x14ac:dyDescent="0.2">
      <c r="A174" s="460">
        <v>42826</v>
      </c>
      <c r="B174" s="435"/>
      <c r="C174" s="461">
        <f>+'Purchased Power Model '!C174</f>
        <v>410.06381244743028</v>
      </c>
      <c r="D174" s="461">
        <f ca="1">+'Purchased Power Model '!D174</f>
        <v>0</v>
      </c>
      <c r="E174" s="437">
        <f>+'Purchased Power Model '!E174</f>
        <v>6.7312499999999997E-2</v>
      </c>
      <c r="F174" s="462">
        <f>+'Purchased Power Model '!F174</f>
        <v>30</v>
      </c>
      <c r="G174" s="462">
        <f>+'Purchased Power Model '!G174</f>
        <v>1</v>
      </c>
      <c r="H174" s="465"/>
      <c r="I174" s="464">
        <f t="shared" ca="1" si="6"/>
        <v>5803189.4102815753</v>
      </c>
      <c r="J174" s="36"/>
      <c r="K174" s="5"/>
    </row>
    <row r="175" spans="1:11" x14ac:dyDescent="0.2">
      <c r="A175" s="460">
        <v>42856</v>
      </c>
      <c r="B175" s="435"/>
      <c r="C175" s="461">
        <f>+'Purchased Power Model '!C175</f>
        <v>159.69064798557193</v>
      </c>
      <c r="D175" s="461">
        <f ca="1">+'Purchased Power Model '!D175</f>
        <v>14.000793761762511</v>
      </c>
      <c r="E175" s="437">
        <f>+'Purchased Power Model '!E175</f>
        <v>6.7312499999999997E-2</v>
      </c>
      <c r="F175" s="462">
        <f>+'Purchased Power Model '!F175</f>
        <v>31</v>
      </c>
      <c r="G175" s="462">
        <f>+'Purchased Power Model '!G175</f>
        <v>1</v>
      </c>
      <c r="H175" s="465"/>
      <c r="I175" s="464">
        <f t="shared" ca="1" si="6"/>
        <v>5486718.6917812619</v>
      </c>
      <c r="J175" s="36"/>
      <c r="K175" s="5"/>
    </row>
    <row r="176" spans="1:11" x14ac:dyDescent="0.2">
      <c r="A176" s="460">
        <v>42887</v>
      </c>
      <c r="B176" s="435"/>
      <c r="C176" s="461">
        <f>+'Purchased Power Model '!C176</f>
        <v>38.003069605817792</v>
      </c>
      <c r="D176" s="461">
        <f ca="1">+'Purchased Power Model '!D176</f>
        <v>31.610039523979275</v>
      </c>
      <c r="E176" s="437">
        <f>+'Purchased Power Model '!E176</f>
        <v>6.7312499999999997E-2</v>
      </c>
      <c r="F176" s="462">
        <f>+'Purchased Power Model '!F176</f>
        <v>30</v>
      </c>
      <c r="G176" s="462">
        <f>+'Purchased Power Model '!G176</f>
        <v>0</v>
      </c>
      <c r="H176" s="465"/>
      <c r="I176" s="464">
        <f t="shared" ca="1" si="6"/>
        <v>5346289.3867809465</v>
      </c>
      <c r="J176" s="36"/>
      <c r="K176" s="5"/>
    </row>
    <row r="177" spans="1:11" x14ac:dyDescent="0.2">
      <c r="A177" s="460">
        <v>42917</v>
      </c>
      <c r="B177" s="435"/>
      <c r="C177" s="461">
        <f>+'Purchased Power Model '!C177</f>
        <v>2.3326692341166928</v>
      </c>
      <c r="D177" s="461">
        <f ca="1">+'Purchased Power Model '!D177</f>
        <v>87.108031290965727</v>
      </c>
      <c r="E177" s="437">
        <f>+'Purchased Power Model '!E177</f>
        <v>6.6562659999999996E-2</v>
      </c>
      <c r="F177" s="462">
        <f>+'Purchased Power Model '!F177</f>
        <v>31</v>
      </c>
      <c r="G177" s="462">
        <f>+'Purchased Power Model '!G177</f>
        <v>0</v>
      </c>
      <c r="H177" s="465"/>
      <c r="I177" s="464">
        <f t="shared" ca="1" si="6"/>
        <v>5199621.6374321766</v>
      </c>
      <c r="J177" s="36"/>
      <c r="K177" s="5"/>
    </row>
    <row r="178" spans="1:11" x14ac:dyDescent="0.2">
      <c r="A178" s="460">
        <v>42948</v>
      </c>
      <c r="B178" s="435"/>
      <c r="C178" s="461">
        <f>+'Purchased Power Model '!C178</f>
        <v>1.3607237199014042</v>
      </c>
      <c r="D178" s="461">
        <f ca="1">+'Purchased Power Model '!D178</f>
        <v>97.861218252319404</v>
      </c>
      <c r="E178" s="437">
        <f>+'Purchased Power Model '!E178</f>
        <v>6.6562659999999996E-2</v>
      </c>
      <c r="F178" s="462">
        <f>+'Purchased Power Model '!F178</f>
        <v>31</v>
      </c>
      <c r="G178" s="462">
        <f>+'Purchased Power Model '!G178</f>
        <v>0</v>
      </c>
      <c r="H178" s="465"/>
      <c r="I178" s="464">
        <f t="shared" ca="1" si="6"/>
        <v>5186224.2365943156</v>
      </c>
      <c r="J178" s="36"/>
      <c r="K178" s="5"/>
    </row>
    <row r="179" spans="1:11" x14ac:dyDescent="0.2">
      <c r="A179" s="460">
        <v>42979</v>
      </c>
      <c r="B179" s="435"/>
      <c r="C179" s="461">
        <f>+'Purchased Power Model '!C179</f>
        <v>49.374832122136667</v>
      </c>
      <c r="D179" s="461">
        <f ca="1">+'Purchased Power Model '!D179</f>
        <v>25.475671123207043</v>
      </c>
      <c r="E179" s="437">
        <f>+'Purchased Power Model '!E179</f>
        <v>6.6562659999999996E-2</v>
      </c>
      <c r="F179" s="462">
        <f>+'Purchased Power Model '!F179</f>
        <v>30</v>
      </c>
      <c r="G179" s="462">
        <f>+'Purchased Power Model '!G179</f>
        <v>1</v>
      </c>
      <c r="H179" s="465"/>
      <c r="I179" s="464">
        <f t="shared" ca="1" si="6"/>
        <v>5675325.2763795676</v>
      </c>
      <c r="J179" s="36"/>
      <c r="K179" s="5"/>
    </row>
    <row r="180" spans="1:11" x14ac:dyDescent="0.2">
      <c r="A180" s="460">
        <v>43009</v>
      </c>
      <c r="B180" s="435"/>
      <c r="C180" s="461">
        <f>+'Purchased Power Model '!C180</f>
        <v>198.27688489991891</v>
      </c>
      <c r="D180" s="461">
        <f ca="1">+'Purchased Power Model '!D180</f>
        <v>0.21650712002725533</v>
      </c>
      <c r="E180" s="437">
        <f>+'Purchased Power Model '!E180</f>
        <v>6.5937659999999995E-2</v>
      </c>
      <c r="F180" s="462">
        <f>+'Purchased Power Model '!F180</f>
        <v>31</v>
      </c>
      <c r="G180" s="462">
        <f>+'Purchased Power Model '!G180</f>
        <v>1</v>
      </c>
      <c r="H180" s="465"/>
      <c r="I180" s="464">
        <f t="shared" ca="1" si="6"/>
        <v>5710034.3419903424</v>
      </c>
      <c r="J180" s="36"/>
      <c r="K180" s="5"/>
    </row>
    <row r="181" spans="1:11" x14ac:dyDescent="0.2">
      <c r="A181" s="460">
        <v>43040</v>
      </c>
      <c r="B181" s="435"/>
      <c r="C181" s="461">
        <f>+'Purchased Power Model '!C181</f>
        <v>290.12573599326367</v>
      </c>
      <c r="D181" s="461">
        <f ca="1">+'Purchased Power Model '!D181</f>
        <v>0</v>
      </c>
      <c r="E181" s="437">
        <f>+'Purchased Power Model '!E181</f>
        <v>6.5937659999999995E-2</v>
      </c>
      <c r="F181" s="462">
        <f>+'Purchased Power Model '!F181</f>
        <v>30</v>
      </c>
      <c r="G181" s="462">
        <f>+'Purchased Power Model '!G181</f>
        <v>1</v>
      </c>
      <c r="H181" s="465"/>
      <c r="I181" s="464">
        <f t="shared" ca="1" si="6"/>
        <v>5922728.1925547747</v>
      </c>
      <c r="J181" s="36"/>
      <c r="K181" s="5"/>
    </row>
    <row r="182" spans="1:11" x14ac:dyDescent="0.2">
      <c r="A182" s="460">
        <v>43070</v>
      </c>
      <c r="B182" s="435"/>
      <c r="C182" s="461">
        <f>+'Purchased Power Model '!C182</f>
        <v>469.83846157167056</v>
      </c>
      <c r="D182" s="461">
        <f ca="1">+'Purchased Power Model '!D182</f>
        <v>0</v>
      </c>
      <c r="E182" s="437">
        <f>+'Purchased Power Model '!E182</f>
        <v>6.5937659999999995E-2</v>
      </c>
      <c r="F182" s="462">
        <f>+'Purchased Power Model '!F182</f>
        <v>31</v>
      </c>
      <c r="G182" s="462">
        <f>+'Purchased Power Model '!G182</f>
        <v>0</v>
      </c>
      <c r="H182" s="465"/>
      <c r="I182" s="464">
        <f t="shared" ca="1" si="6"/>
        <v>5645604.1103148255</v>
      </c>
      <c r="J182" s="36"/>
      <c r="K182" s="5"/>
    </row>
    <row r="183" spans="1:11" x14ac:dyDescent="0.2">
      <c r="A183" s="460">
        <v>43101</v>
      </c>
      <c r="B183" s="435"/>
      <c r="C183" s="461">
        <f>+'Purchased Power Model '!C183</f>
        <v>607.71046849740094</v>
      </c>
      <c r="D183" s="461">
        <f ca="1">+'Purchased Power Model '!D183</f>
        <v>0</v>
      </c>
      <c r="E183" s="437">
        <f>+'Purchased Power Model '!E183</f>
        <v>6.6219020000000003E-2</v>
      </c>
      <c r="F183" s="462">
        <f>+'Purchased Power Model '!F183</f>
        <v>31</v>
      </c>
      <c r="G183" s="462">
        <f>+'Purchased Power Model '!G183</f>
        <v>0</v>
      </c>
      <c r="H183" s="465"/>
      <c r="I183" s="464">
        <f t="shared" ca="1" si="6"/>
        <v>5683542.291140005</v>
      </c>
      <c r="J183" s="36"/>
      <c r="K183" s="5"/>
    </row>
    <row r="184" spans="1:11" x14ac:dyDescent="0.2">
      <c r="A184" s="460">
        <v>43132</v>
      </c>
      <c r="B184" s="435"/>
      <c r="C184" s="461">
        <f>+'Purchased Power Model '!C184</f>
        <v>526.54365934877546</v>
      </c>
      <c r="D184" s="461">
        <f ca="1">+'Purchased Power Model '!D184</f>
        <v>0</v>
      </c>
      <c r="E184" s="437">
        <f>+'Purchased Power Model '!E184</f>
        <v>6.6219020000000003E-2</v>
      </c>
      <c r="F184" s="462">
        <f>+'Purchased Power Model '!F184</f>
        <v>28</v>
      </c>
      <c r="G184" s="462">
        <f>+'Purchased Power Model '!G184</f>
        <v>0</v>
      </c>
      <c r="H184" s="465"/>
      <c r="I184" s="464">
        <f t="shared" ca="1" si="6"/>
        <v>6124428.0034063291</v>
      </c>
      <c r="J184" s="36"/>
      <c r="K184" s="5"/>
    </row>
    <row r="185" spans="1:11" x14ac:dyDescent="0.2">
      <c r="A185" s="460">
        <v>43160</v>
      </c>
      <c r="B185" s="435"/>
      <c r="C185" s="461">
        <f>+'Purchased Power Model '!C185</f>
        <v>583.77666579972936</v>
      </c>
      <c r="D185" s="461">
        <f ca="1">+'Purchased Power Model '!D185</f>
        <v>0</v>
      </c>
      <c r="E185" s="437">
        <f>+'Purchased Power Model '!E185</f>
        <v>6.6219020000000003E-2</v>
      </c>
      <c r="F185" s="462">
        <f>+'Purchased Power Model '!F185</f>
        <v>31</v>
      </c>
      <c r="G185" s="462">
        <f>+'Purchased Power Model '!G185</f>
        <v>1</v>
      </c>
      <c r="H185" s="465"/>
      <c r="I185" s="464">
        <f t="shared" ca="1" si="6"/>
        <v>5884584.057920672</v>
      </c>
      <c r="J185" s="36"/>
      <c r="K185" s="5"/>
    </row>
    <row r="186" spans="1:11" x14ac:dyDescent="0.2">
      <c r="A186" s="460">
        <v>43191</v>
      </c>
      <c r="B186" s="435"/>
      <c r="C186" s="461">
        <f>+'Purchased Power Model '!C186</f>
        <v>426.71245132920933</v>
      </c>
      <c r="D186" s="461">
        <f ca="1">+'Purchased Power Model '!D186</f>
        <v>0</v>
      </c>
      <c r="E186" s="437">
        <f>+'Purchased Power Model '!E186</f>
        <v>6.5531039999999999E-2</v>
      </c>
      <c r="F186" s="462">
        <f>+'Purchased Power Model '!F186</f>
        <v>30</v>
      </c>
      <c r="G186" s="462">
        <f>+'Purchased Power Model '!G186</f>
        <v>1</v>
      </c>
      <c r="H186" s="465"/>
      <c r="I186" s="464">
        <f t="shared" ca="1" si="6"/>
        <v>6052824.6908585904</v>
      </c>
      <c r="J186" s="36"/>
      <c r="K186" s="5"/>
    </row>
    <row r="187" spans="1:11" x14ac:dyDescent="0.2">
      <c r="A187" s="460">
        <v>43221</v>
      </c>
      <c r="B187" s="435"/>
      <c r="C187" s="461">
        <f>+'Purchased Power Model '!C187</f>
        <v>166.17410702391345</v>
      </c>
      <c r="D187" s="461">
        <f ca="1">+'Purchased Power Model '!D187</f>
        <v>14.136286176978922</v>
      </c>
      <c r="E187" s="437">
        <f>+'Purchased Power Model '!E187</f>
        <v>6.5531039999999999E-2</v>
      </c>
      <c r="F187" s="462">
        <f>+'Purchased Power Model '!F187</f>
        <v>31</v>
      </c>
      <c r="G187" s="462">
        <f>+'Purchased Power Model '!G187</f>
        <v>1</v>
      </c>
      <c r="H187" s="465"/>
      <c r="I187" s="464">
        <f t="shared" ca="1" si="6"/>
        <v>5730594.6001141425</v>
      </c>
      <c r="J187" s="36"/>
      <c r="K187" s="5"/>
    </row>
    <row r="188" spans="1:11" x14ac:dyDescent="0.2">
      <c r="A188" s="460">
        <v>43252</v>
      </c>
      <c r="B188" s="435"/>
      <c r="C188" s="461">
        <f>+'Purchased Power Model '!C188</f>
        <v>39.545998689196693</v>
      </c>
      <c r="D188" s="461">
        <f ca="1">+'Purchased Power Model '!D188</f>
        <v>31.915945079983338</v>
      </c>
      <c r="E188" s="437">
        <f>+'Purchased Power Model '!E188</f>
        <v>6.5531039999999999E-2</v>
      </c>
      <c r="F188" s="462">
        <f>+'Purchased Power Model '!F188</f>
        <v>30</v>
      </c>
      <c r="G188" s="462">
        <f>+'Purchased Power Model '!G188</f>
        <v>0</v>
      </c>
      <c r="H188" s="465"/>
      <c r="I188" s="464">
        <f t="shared" ca="1" si="6"/>
        <v>5587241.0291711567</v>
      </c>
      <c r="J188" s="36"/>
      <c r="K188" s="5"/>
    </row>
    <row r="189" spans="1:11" x14ac:dyDescent="0.2">
      <c r="A189" s="460">
        <v>43282</v>
      </c>
      <c r="B189" s="435"/>
      <c r="C189" s="461">
        <f>+'Purchased Power Model '!C189</f>
        <v>2.4273758786207686</v>
      </c>
      <c r="D189" s="461">
        <f ca="1">+'Purchased Power Model '!D189</f>
        <v>87.951017606255462</v>
      </c>
      <c r="E189" s="437">
        <f>+'Purchased Power Model '!E189</f>
        <v>6.4656290000000005E-2</v>
      </c>
      <c r="F189" s="462">
        <f>+'Purchased Power Model '!F189</f>
        <v>31</v>
      </c>
      <c r="G189" s="462">
        <f>+'Purchased Power Model '!G189</f>
        <v>0</v>
      </c>
      <c r="H189" s="465"/>
      <c r="I189" s="464">
        <f t="shared" ca="1" si="6"/>
        <v>5455994.2253915332</v>
      </c>
      <c r="J189" s="36"/>
      <c r="K189" s="5"/>
    </row>
    <row r="190" spans="1:11" x14ac:dyDescent="0.2">
      <c r="A190" s="460">
        <v>43313</v>
      </c>
      <c r="B190" s="435"/>
      <c r="C190" s="461">
        <f>+'Purchased Power Model '!C190</f>
        <v>1.4159692625287819</v>
      </c>
      <c r="D190" s="461">
        <f ca="1">+'Purchased Power Model '!D190</f>
        <v>98.80826832981144</v>
      </c>
      <c r="E190" s="437">
        <f>+'Purchased Power Model '!E190</f>
        <v>6.4656290000000005E-2</v>
      </c>
      <c r="F190" s="462">
        <f>+'Purchased Power Model '!F190</f>
        <v>31</v>
      </c>
      <c r="G190" s="462">
        <f>+'Purchased Power Model '!G190</f>
        <v>0</v>
      </c>
      <c r="H190" s="465"/>
      <c r="I190" s="464">
        <f t="shared" ca="1" si="6"/>
        <v>5442450.6220568158</v>
      </c>
      <c r="J190" s="36"/>
      <c r="K190" s="5"/>
    </row>
    <row r="191" spans="1:11" x14ac:dyDescent="0.2">
      <c r="A191" s="460">
        <v>43344</v>
      </c>
      <c r="B191" s="435"/>
      <c r="C191" s="461">
        <f>+'Purchased Power Model '!C191</f>
        <v>51.379456097472939</v>
      </c>
      <c r="D191" s="461">
        <f ca="1">+'Purchased Power Model '!D191</f>
        <v>25.722211445739998</v>
      </c>
      <c r="E191" s="437">
        <f>+'Purchased Power Model '!E191</f>
        <v>6.4656290000000005E-2</v>
      </c>
      <c r="F191" s="462">
        <f>+'Purchased Power Model '!F191</f>
        <v>30</v>
      </c>
      <c r="G191" s="462">
        <f>+'Purchased Power Model '!G191</f>
        <v>1</v>
      </c>
      <c r="H191" s="465"/>
      <c r="I191" s="464">
        <f t="shared" ca="1" si="6"/>
        <v>5933462.9591786908</v>
      </c>
      <c r="J191" s="36"/>
      <c r="K191" s="5"/>
    </row>
    <row r="192" spans="1:11" x14ac:dyDescent="0.2">
      <c r="A192" s="460">
        <v>43374</v>
      </c>
      <c r="B192" s="435"/>
      <c r="C192" s="461">
        <f>+'Purchased Power Model '!C192</f>
        <v>206.32694968276536</v>
      </c>
      <c r="D192" s="461">
        <f ca="1">+'Purchased Power Model '!D192</f>
        <v>0.21860236356152973</v>
      </c>
      <c r="E192" s="437">
        <f>+'Purchased Power Model '!E192</f>
        <v>6.3593549999999999E-2</v>
      </c>
      <c r="F192" s="462">
        <f>+'Purchased Power Model '!F192</f>
        <v>31</v>
      </c>
      <c r="G192" s="462">
        <f>+'Purchased Power Model '!G192</f>
        <v>1</v>
      </c>
      <c r="H192" s="465"/>
      <c r="I192" s="464">
        <f t="shared" ca="1" si="6"/>
        <v>6030880.9836886115</v>
      </c>
      <c r="J192" s="36"/>
      <c r="K192" s="5"/>
    </row>
    <row r="193" spans="1:11" x14ac:dyDescent="0.2">
      <c r="A193" s="460">
        <v>43405</v>
      </c>
      <c r="B193" s="435"/>
      <c r="C193" s="461">
        <f>+'Purchased Power Model '!C193</f>
        <v>301.90487490345811</v>
      </c>
      <c r="D193" s="461">
        <f ca="1">+'Purchased Power Model '!D193</f>
        <v>0</v>
      </c>
      <c r="E193" s="437">
        <f>+'Purchased Power Model '!E193</f>
        <v>6.3593549999999999E-2</v>
      </c>
      <c r="F193" s="462">
        <f>+'Purchased Power Model '!F193</f>
        <v>30</v>
      </c>
      <c r="G193" s="462">
        <f>+'Purchased Power Model '!G193</f>
        <v>1</v>
      </c>
      <c r="H193" s="465"/>
      <c r="I193" s="464">
        <f t="shared" ca="1" si="6"/>
        <v>6245630.6998478742</v>
      </c>
      <c r="J193" s="36"/>
      <c r="K193" s="5"/>
    </row>
    <row r="194" spans="1:11" x14ac:dyDescent="0.2">
      <c r="A194" s="460">
        <v>43435</v>
      </c>
      <c r="B194" s="435"/>
      <c r="C194" s="461">
        <f>+'Purchased Power Model '!C194</f>
        <v>488.91395821886647</v>
      </c>
      <c r="D194" s="461">
        <f ca="1">+'Purchased Power Model '!D194</f>
        <v>0</v>
      </c>
      <c r="E194" s="437">
        <f>+'Purchased Power Model '!E194</f>
        <v>6.3593549999999999E-2</v>
      </c>
      <c r="F194" s="462">
        <f>+'Purchased Power Model '!F194</f>
        <v>31</v>
      </c>
      <c r="G194" s="462">
        <f>+'Purchased Power Model '!G194</f>
        <v>0</v>
      </c>
      <c r="H194" s="465"/>
      <c r="I194" s="464">
        <f t="shared" ca="1" si="6"/>
        <v>5972524.2488776147</v>
      </c>
      <c r="J194" s="36"/>
      <c r="K194" s="5"/>
    </row>
    <row r="195" spans="1:11" x14ac:dyDescent="0.2">
      <c r="A195" s="460">
        <v>43466</v>
      </c>
      <c r="B195" s="435"/>
      <c r="C195" s="461">
        <f>+'Purchased Power Model '!C195</f>
        <v>606.22673842566678</v>
      </c>
      <c r="D195" s="461">
        <f ca="1">+'Purchased Power Model '!D195</f>
        <v>0</v>
      </c>
      <c r="E195" s="437">
        <f>+'Purchased Power Model '!E195</f>
        <v>6.2343830000000003E-2</v>
      </c>
      <c r="F195" s="462">
        <f>+'Purchased Power Model '!F195</f>
        <v>31</v>
      </c>
      <c r="G195" s="462">
        <f>+'Purchased Power Model '!G195</f>
        <v>0</v>
      </c>
      <c r="H195" s="465"/>
      <c r="I195" s="464">
        <f t="shared" ca="1" si="6"/>
        <v>6205812.5467992686</v>
      </c>
      <c r="J195" s="36"/>
      <c r="K195" s="5"/>
    </row>
    <row r="196" spans="1:11" x14ac:dyDescent="0.2">
      <c r="A196" s="460">
        <v>43497</v>
      </c>
      <c r="B196" s="435"/>
      <c r="C196" s="461">
        <f>+'Purchased Power Model '!C196</f>
        <v>525.25809870443049</v>
      </c>
      <c r="D196" s="461">
        <f ca="1">+'Purchased Power Model '!D196</f>
        <v>0</v>
      </c>
      <c r="E196" s="437">
        <f>+'Purchased Power Model '!E196</f>
        <v>6.2343830000000003E-2</v>
      </c>
      <c r="F196" s="462">
        <f>+'Purchased Power Model '!F196</f>
        <v>28</v>
      </c>
      <c r="G196" s="462">
        <f>+'Purchased Power Model '!G196</f>
        <v>0</v>
      </c>
      <c r="H196" s="465"/>
      <c r="I196" s="464">
        <f t="shared" ref="I196:I206" ca="1" si="11">$N$18+C196*$N$19+D196*$N$20+E196*$N$21+F196*$N$22+G196*$N$23</f>
        <v>6646807.3781242911</v>
      </c>
      <c r="J196" s="36"/>
      <c r="K196" s="5"/>
    </row>
    <row r="197" spans="1:11" x14ac:dyDescent="0.2">
      <c r="A197" s="460">
        <v>43525</v>
      </c>
      <c r="B197" s="435"/>
      <c r="C197" s="461">
        <f>+'Purchased Power Model '!C197</f>
        <v>582.35137030273825</v>
      </c>
      <c r="D197" s="461">
        <f ca="1">+'Purchased Power Model '!D197</f>
        <v>0</v>
      </c>
      <c r="E197" s="437">
        <f>+'Purchased Power Model '!E197</f>
        <v>6.2343830000000003E-2</v>
      </c>
      <c r="F197" s="462">
        <f>+'Purchased Power Model '!F197</f>
        <v>31</v>
      </c>
      <c r="G197" s="462">
        <f>+'Purchased Power Model '!G197</f>
        <v>1</v>
      </c>
      <c r="H197" s="465"/>
      <c r="I197" s="464">
        <f t="shared" ca="1" si="11"/>
        <v>6406886.4897126295</v>
      </c>
      <c r="J197" s="36"/>
      <c r="K197" s="5"/>
    </row>
    <row r="198" spans="1:11" x14ac:dyDescent="0.2">
      <c r="A198" s="460">
        <v>43556</v>
      </c>
      <c r="B198" s="435"/>
      <c r="C198" s="461">
        <f>+'Purchased Power Model '!C198</f>
        <v>425.67062939452069</v>
      </c>
      <c r="D198" s="461">
        <f ca="1">+'Purchased Power Model '!D198</f>
        <v>0</v>
      </c>
      <c r="E198" s="437">
        <f>+'Purchased Power Model '!E198</f>
        <v>6.0906349999999998E-2</v>
      </c>
      <c r="F198" s="462">
        <f>+'Purchased Power Model '!F198</f>
        <v>30</v>
      </c>
      <c r="G198" s="462">
        <f>+'Purchased Power Model '!G198</f>
        <v>1</v>
      </c>
      <c r="H198" s="465"/>
      <c r="I198" s="464">
        <f t="shared" ca="1" si="11"/>
        <v>6676508.5144292535</v>
      </c>
      <c r="J198" s="36"/>
      <c r="K198" s="5"/>
    </row>
    <row r="199" spans="1:11" x14ac:dyDescent="0.2">
      <c r="A199" s="460">
        <v>43586</v>
      </c>
      <c r="B199" s="435"/>
      <c r="C199" s="461">
        <f>+'Purchased Power Model '!C199</f>
        <v>165.76839158454547</v>
      </c>
      <c r="D199" s="461">
        <f ca="1">+'Purchased Power Model '!D199</f>
        <v>14.271778592195387</v>
      </c>
      <c r="E199" s="437">
        <f>+'Purchased Power Model '!E199</f>
        <v>6.0906349999999998E-2</v>
      </c>
      <c r="F199" s="462">
        <f>+'Purchased Power Model '!F199</f>
        <v>31</v>
      </c>
      <c r="G199" s="462">
        <f>+'Purchased Power Model '!G199</f>
        <v>1</v>
      </c>
      <c r="H199" s="465"/>
      <c r="I199" s="464">
        <f t="shared" ca="1" si="11"/>
        <v>6354466.6197085232</v>
      </c>
      <c r="J199" s="36"/>
      <c r="K199" s="5"/>
    </row>
    <row r="200" spans="1:11" x14ac:dyDescent="0.2">
      <c r="A200" s="460">
        <v>43617</v>
      </c>
      <c r="B200" s="435"/>
      <c r="C200" s="461">
        <f>+'Purchased Power Model '!C200</f>
        <v>39.449446810442659</v>
      </c>
      <c r="D200" s="461">
        <f ca="1">+'Purchased Power Model '!D200</f>
        <v>32.221850635987522</v>
      </c>
      <c r="E200" s="437">
        <f>+'Purchased Power Model '!E200</f>
        <v>6.0906349999999998E-2</v>
      </c>
      <c r="F200" s="462">
        <f>+'Purchased Power Model '!F200</f>
        <v>30</v>
      </c>
      <c r="G200" s="462">
        <f>+'Purchased Power Model '!G200</f>
        <v>0</v>
      </c>
      <c r="H200" s="465"/>
      <c r="I200" s="464">
        <f t="shared" ca="1" si="11"/>
        <v>6211079.448766713</v>
      </c>
      <c r="J200" s="36"/>
      <c r="K200" s="5"/>
    </row>
    <row r="201" spans="1:11" x14ac:dyDescent="0.2">
      <c r="A201" s="460">
        <v>43647</v>
      </c>
      <c r="B201" s="435"/>
      <c r="C201" s="461">
        <f>+'Purchased Power Model '!C201</f>
        <v>2.4214494205898305</v>
      </c>
      <c r="D201" s="461">
        <f ca="1">+'Purchased Power Model '!D201</f>
        <v>88.794003921545524</v>
      </c>
      <c r="E201" s="437">
        <f>+'Purchased Power Model '!E201</f>
        <v>5.928129E-2</v>
      </c>
      <c r="F201" s="462">
        <f>+'Purchased Power Model '!F201</f>
        <v>31</v>
      </c>
      <c r="G201" s="462">
        <f>+'Purchased Power Model '!G201</f>
        <v>0</v>
      </c>
      <c r="H201" s="465"/>
      <c r="I201" s="464">
        <f t="shared" ca="1" si="11"/>
        <v>6180519.7024194878</v>
      </c>
      <c r="J201" s="36"/>
      <c r="K201" s="5"/>
    </row>
    <row r="202" spans="1:11" x14ac:dyDescent="0.2">
      <c r="A202" s="460">
        <v>43678</v>
      </c>
      <c r="B202" s="435"/>
      <c r="C202" s="461">
        <f>+'Purchased Power Model '!C202</f>
        <v>1.4125121620107346</v>
      </c>
      <c r="D202" s="461">
        <f ca="1">+'Purchased Power Model '!D202</f>
        <v>99.755318407303832</v>
      </c>
      <c r="E202" s="437">
        <f>+'Purchased Power Model '!E202</f>
        <v>5.928129E-2</v>
      </c>
      <c r="F202" s="462">
        <f>+'Purchased Power Model '!F202</f>
        <v>31</v>
      </c>
      <c r="G202" s="462">
        <f>+'Purchased Power Model '!G202</f>
        <v>0</v>
      </c>
      <c r="H202" s="465"/>
      <c r="I202" s="464">
        <f t="shared" ca="1" si="11"/>
        <v>6166852.9849740472</v>
      </c>
      <c r="J202" s="36"/>
      <c r="K202" s="5"/>
    </row>
    <row r="203" spans="1:11" x14ac:dyDescent="0.2">
      <c r="A203" s="460">
        <v>43709</v>
      </c>
      <c r="B203" s="435"/>
      <c r="C203" s="461">
        <f>+'Purchased Power Model '!C203</f>
        <v>51.254012735818087</v>
      </c>
      <c r="D203" s="461">
        <f ca="1">+'Purchased Power Model '!D203</f>
        <v>25.968751768273048</v>
      </c>
      <c r="E203" s="437">
        <f>+'Purchased Power Model '!E203</f>
        <v>5.928129E-2</v>
      </c>
      <c r="F203" s="462">
        <f>+'Purchased Power Model '!F203</f>
        <v>30</v>
      </c>
      <c r="G203" s="462">
        <f>+'Purchased Power Model '!G203</f>
        <v>1</v>
      </c>
      <c r="H203" s="465"/>
      <c r="I203" s="464">
        <f t="shared" ca="1" si="11"/>
        <v>6658636.0531575782</v>
      </c>
      <c r="J203" s="36"/>
      <c r="K203" s="5"/>
    </row>
    <row r="204" spans="1:11" x14ac:dyDescent="0.2">
      <c r="A204" s="460">
        <v>43739</v>
      </c>
      <c r="B204" s="435"/>
      <c r="C204" s="461">
        <f>+'Purchased Power Model '!C204</f>
        <v>205.82320075013561</v>
      </c>
      <c r="D204" s="461">
        <f ca="1">+'Purchased Power Model '!D204</f>
        <v>0.22069760709580494</v>
      </c>
      <c r="E204" s="437">
        <f>+'Purchased Power Model '!E204</f>
        <v>5.7468579999999998E-2</v>
      </c>
      <c r="F204" s="462">
        <f>+'Purchased Power Model '!F204</f>
        <v>31</v>
      </c>
      <c r="G204" s="462">
        <f>+'Purchased Power Model '!G204</f>
        <v>1</v>
      </c>
      <c r="H204" s="465"/>
      <c r="I204" s="464">
        <f t="shared" ca="1" si="11"/>
        <v>6857371.8375466354</v>
      </c>
      <c r="J204" s="36"/>
      <c r="K204" s="5"/>
    </row>
    <row r="205" spans="1:11" x14ac:dyDescent="0.2">
      <c r="A205" s="460">
        <v>43770</v>
      </c>
      <c r="B205" s="435"/>
      <c r="C205" s="461">
        <f>+'Purchased Power Model '!C205</f>
        <v>301.1677716858602</v>
      </c>
      <c r="D205" s="461">
        <f ca="1">+'Purchased Power Model '!D205</f>
        <v>0</v>
      </c>
      <c r="E205" s="437">
        <f>+'Purchased Power Model '!E205</f>
        <v>5.7468579999999998E-2</v>
      </c>
      <c r="F205" s="462">
        <f>+'Purchased Power Model '!F205</f>
        <v>30</v>
      </c>
      <c r="G205" s="462">
        <f>+'Purchased Power Model '!G205</f>
        <v>1</v>
      </c>
      <c r="H205" s="465"/>
      <c r="I205" s="464">
        <f t="shared" ca="1" si="11"/>
        <v>7071995.5668111565</v>
      </c>
      <c r="J205" s="36"/>
      <c r="K205" s="5"/>
    </row>
    <row r="206" spans="1:11" x14ac:dyDescent="0.2">
      <c r="A206" s="460">
        <v>43800</v>
      </c>
      <c r="B206" s="435"/>
      <c r="C206" s="461">
        <f>+'Purchased Power Model '!C206</f>
        <v>487.72027079713502</v>
      </c>
      <c r="D206" s="461">
        <f ca="1">+'Purchased Power Model '!D206</f>
        <v>0</v>
      </c>
      <c r="E206" s="437">
        <f>+'Purchased Power Model '!E206</f>
        <v>5.7468579999999998E-2</v>
      </c>
      <c r="F206" s="462">
        <f>+'Purchased Power Model '!F206</f>
        <v>31</v>
      </c>
      <c r="G206" s="462">
        <f>+'Purchased Power Model '!G206</f>
        <v>0</v>
      </c>
      <c r="H206" s="465"/>
      <c r="I206" s="464">
        <f t="shared" ca="1" si="11"/>
        <v>6798637.7045146041</v>
      </c>
      <c r="J206" s="36"/>
      <c r="K206" s="5"/>
    </row>
    <row r="207" spans="1:11" x14ac:dyDescent="0.2">
      <c r="A207" s="3"/>
      <c r="J207" s="11"/>
      <c r="K207" s="11"/>
    </row>
    <row r="208" spans="1:11" x14ac:dyDescent="0.2">
      <c r="A208" s="3"/>
      <c r="C208" s="18"/>
      <c r="D208" s="55" t="s">
        <v>60</v>
      </c>
      <c r="I208" s="43">
        <f ca="1">SUM(I3:I206)</f>
        <v>1036968541.0427251</v>
      </c>
    </row>
    <row r="209" spans="1:11" x14ac:dyDescent="0.2">
      <c r="A209" s="3"/>
      <c r="C209" s="23"/>
      <c r="D209" s="23"/>
      <c r="F209" s="164"/>
      <c r="G209" s="164"/>
      <c r="H209"/>
      <c r="I209" s="164"/>
      <c r="J209" s="36"/>
      <c r="K209" s="5" t="s">
        <v>196</v>
      </c>
    </row>
    <row r="210" spans="1:11" x14ac:dyDescent="0.2">
      <c r="A210" s="16">
        <v>2003</v>
      </c>
      <c r="B210" s="6">
        <f>SUM(B3:B14)</f>
        <v>169257212.5</v>
      </c>
      <c r="C210" s="96"/>
      <c r="D210" s="23" t="s">
        <v>195</v>
      </c>
      <c r="E210" s="97" t="s">
        <v>107</v>
      </c>
      <c r="F210" s="164"/>
      <c r="G210" s="164"/>
      <c r="H210"/>
      <c r="I210" s="6">
        <f>SUM(I3:I14)</f>
        <v>91991242.869934082</v>
      </c>
      <c r="J210" s="36">
        <f>I210-B210</f>
        <v>-77265969.630065918</v>
      </c>
      <c r="K210" s="5">
        <f>J210/B210</f>
        <v>-0.45650030795624685</v>
      </c>
    </row>
    <row r="211" spans="1:11" x14ac:dyDescent="0.2">
      <c r="A211">
        <v>2004</v>
      </c>
      <c r="B211" s="6">
        <f>SUM(B15:B26)</f>
        <v>112144196</v>
      </c>
      <c r="C211" s="96">
        <f>+B211-B210</f>
        <v>-57113016.5</v>
      </c>
      <c r="D211" s="98">
        <f>+C211/B210</f>
        <v>-0.33743328072356149</v>
      </c>
      <c r="E211" s="98">
        <f>RATE(1,0,-B$210,B211)</f>
        <v>-0.33743328072356149</v>
      </c>
      <c r="F211" s="164"/>
      <c r="G211" s="164"/>
      <c r="H211"/>
      <c r="I211" s="6">
        <f>SUM(I15:I26)</f>
        <v>88556954.642239541</v>
      </c>
      <c r="J211" s="36">
        <f t="shared" ref="J211:J226" si="12">I211-B211</f>
        <v>-23587241.357760459</v>
      </c>
      <c r="K211" s="5">
        <f t="shared" ref="K211:K226" si="13">J211/B211</f>
        <v>-0.21032957744652661</v>
      </c>
    </row>
    <row r="212" spans="1:11" x14ac:dyDescent="0.2">
      <c r="A212" s="16">
        <v>2005</v>
      </c>
      <c r="B212" s="6">
        <f>SUM(B27:B38)</f>
        <v>62904833</v>
      </c>
      <c r="C212" s="96">
        <f t="shared" ref="C212:C226" si="14">+B212-B211</f>
        <v>-49239363</v>
      </c>
      <c r="D212" s="98">
        <f t="shared" ref="D212:D226" si="15">+C212/B211</f>
        <v>-0.43907188027813765</v>
      </c>
      <c r="E212" s="98">
        <f>RATE(2,0,-B$210,B212)</f>
        <v>-0.39036707435210188</v>
      </c>
      <c r="F212" s="164"/>
      <c r="G212" s="164"/>
      <c r="H212"/>
      <c r="I212" s="6">
        <f>SUM(I27:I38)</f>
        <v>70601219.328656569</v>
      </c>
      <c r="J212" s="36">
        <f t="shared" si="12"/>
        <v>7696386.3286565691</v>
      </c>
      <c r="K212" s="5">
        <f t="shared" si="13"/>
        <v>0.12234968223596697</v>
      </c>
    </row>
    <row r="213" spans="1:11" x14ac:dyDescent="0.2">
      <c r="A213">
        <v>2006</v>
      </c>
      <c r="B213" s="6">
        <f>SUM(B39:B50)</f>
        <v>59654446</v>
      </c>
      <c r="C213" s="96">
        <f t="shared" si="14"/>
        <v>-3250387</v>
      </c>
      <c r="D213" s="98">
        <f t="shared" si="15"/>
        <v>-5.1671498754316703E-2</v>
      </c>
      <c r="E213" s="98">
        <f>RATE(3,0,-B$210,B213)</f>
        <v>-0.29363059957985366</v>
      </c>
      <c r="F213" s="164"/>
      <c r="G213" s="164"/>
      <c r="H213"/>
      <c r="I213" s="6">
        <f>SUM(I39:I50)</f>
        <v>68951207.214891508</v>
      </c>
      <c r="J213" s="36">
        <f t="shared" si="12"/>
        <v>9296761.2148915082</v>
      </c>
      <c r="K213" s="5">
        <f t="shared" si="13"/>
        <v>0.15584355967183919</v>
      </c>
    </row>
    <row r="214" spans="1:11" x14ac:dyDescent="0.2">
      <c r="A214" s="16">
        <v>2007</v>
      </c>
      <c r="B214" s="6">
        <f>SUM(B51:B62)</f>
        <v>61811846</v>
      </c>
      <c r="C214" s="96">
        <f t="shared" si="14"/>
        <v>2157400</v>
      </c>
      <c r="D214" s="98">
        <f t="shared" si="15"/>
        <v>3.6164949046714807E-2</v>
      </c>
      <c r="E214" s="98">
        <f>RATE(4,0,-B$210,B214)</f>
        <v>-0.2226239929459839</v>
      </c>
      <c r="F214" s="164"/>
      <c r="G214" s="164"/>
      <c r="H214"/>
      <c r="I214" s="6">
        <f>SUM(I51:I62)</f>
        <v>75626496.714757115</v>
      </c>
      <c r="J214" s="36">
        <f t="shared" si="12"/>
        <v>13814650.714757115</v>
      </c>
      <c r="K214" s="5">
        <f t="shared" si="13"/>
        <v>0.22349519725971481</v>
      </c>
    </row>
    <row r="215" spans="1:11" x14ac:dyDescent="0.2">
      <c r="A215">
        <v>2008</v>
      </c>
      <c r="B215" s="6">
        <f>SUM(B63:B74)</f>
        <v>46461021</v>
      </c>
      <c r="C215" s="96">
        <f t="shared" si="14"/>
        <v>-15350825</v>
      </c>
      <c r="D215" s="98">
        <f t="shared" si="15"/>
        <v>-0.24834762255765666</v>
      </c>
      <c r="E215" s="98">
        <f>RATE(5,0,-B$210,B215)</f>
        <v>-0.22783819926497662</v>
      </c>
      <c r="F215" s="164"/>
      <c r="G215" s="164"/>
      <c r="H215"/>
      <c r="I215" s="6">
        <f>SUM(I63:I74)</f>
        <v>58250233.088373221</v>
      </c>
      <c r="J215" s="36">
        <f t="shared" si="12"/>
        <v>11789212.088373221</v>
      </c>
      <c r="K215" s="5">
        <f t="shared" si="13"/>
        <v>0.25374414583728633</v>
      </c>
    </row>
    <row r="216" spans="1:11" x14ac:dyDescent="0.2">
      <c r="A216" s="16">
        <v>2009</v>
      </c>
      <c r="B216" s="6">
        <f>SUM(B75:B86)</f>
        <v>36580289</v>
      </c>
      <c r="C216" s="96">
        <f t="shared" si="14"/>
        <v>-9880732</v>
      </c>
      <c r="D216" s="98">
        <f t="shared" si="15"/>
        <v>-0.21266713015196115</v>
      </c>
      <c r="E216" s="98">
        <f>RATE(6,0,-B$210,B216)</f>
        <v>-0.22533014219921019</v>
      </c>
      <c r="F216" s="164"/>
      <c r="G216" s="164"/>
      <c r="H216"/>
      <c r="I216" s="6">
        <f>SUM(I75:I86)</f>
        <v>27478599.173363976</v>
      </c>
      <c r="J216" s="36">
        <f t="shared" si="12"/>
        <v>-9101689.8266360238</v>
      </c>
      <c r="K216" s="5">
        <f t="shared" si="13"/>
        <v>-0.24881404919015329</v>
      </c>
    </row>
    <row r="217" spans="1:11" x14ac:dyDescent="0.2">
      <c r="A217">
        <v>2010</v>
      </c>
      <c r="B217" s="6">
        <f>SUM(B87:B98)</f>
        <v>33402763</v>
      </c>
      <c r="C217" s="96">
        <f t="shared" si="14"/>
        <v>-3177526</v>
      </c>
      <c r="D217" s="98">
        <f t="shared" si="15"/>
        <v>-8.6864431278823415E-2</v>
      </c>
      <c r="E217" s="98">
        <f>RATE(7,0,-B$210,B217)</f>
        <v>-0.20691576791731983</v>
      </c>
      <c r="F217" s="164"/>
      <c r="G217" s="164"/>
      <c r="H217"/>
      <c r="I217" s="6">
        <f>SUM(I87:I98)</f>
        <v>15029770.241691532</v>
      </c>
      <c r="J217" s="36">
        <f t="shared" si="12"/>
        <v>-18372992.75830847</v>
      </c>
      <c r="K217" s="5">
        <f t="shared" si="13"/>
        <v>-0.55004410139090798</v>
      </c>
    </row>
    <row r="218" spans="1:11" x14ac:dyDescent="0.2">
      <c r="A218">
        <v>2011</v>
      </c>
      <c r="B218" s="6">
        <f>SUM(B99:B110)</f>
        <v>37740699</v>
      </c>
      <c r="C218" s="96">
        <f t="shared" si="14"/>
        <v>4337936</v>
      </c>
      <c r="D218" s="98">
        <f t="shared" si="15"/>
        <v>0.12986758011605207</v>
      </c>
      <c r="E218" s="98">
        <f>RATE(8,0,-B$210,B218)</f>
        <v>-0.17104139439277968</v>
      </c>
      <c r="F218" s="164"/>
      <c r="G218" s="164"/>
      <c r="H218"/>
      <c r="I218" s="6">
        <f>SUM(I99:I110)</f>
        <v>43508408.104755126</v>
      </c>
      <c r="J218" s="36">
        <f t="shared" si="12"/>
        <v>5767709.1047551259</v>
      </c>
      <c r="K218" s="5">
        <f t="shared" si="13"/>
        <v>0.15282464971714291</v>
      </c>
    </row>
    <row r="219" spans="1:11" x14ac:dyDescent="0.2">
      <c r="A219">
        <v>2012</v>
      </c>
      <c r="B219" s="6">
        <f>SUM(B111:B122)</f>
        <v>40812737</v>
      </c>
      <c r="C219" s="96">
        <f t="shared" si="14"/>
        <v>3072038</v>
      </c>
      <c r="D219" s="98">
        <f t="shared" si="15"/>
        <v>8.1398545374053624E-2</v>
      </c>
      <c r="E219" s="98">
        <f>RATE(9,0,-B$210,B219)</f>
        <v>-0.14619056729559121</v>
      </c>
      <c r="F219" s="164"/>
      <c r="G219" s="164"/>
      <c r="H219"/>
      <c r="I219" s="6">
        <f>SUM(I111:I122)</f>
        <v>35732883.632665597</v>
      </c>
      <c r="J219" s="36">
        <f t="shared" si="12"/>
        <v>-5079853.3673344031</v>
      </c>
      <c r="K219" s="5">
        <f t="shared" si="13"/>
        <v>-0.12446735359440371</v>
      </c>
    </row>
    <row r="220" spans="1:11" x14ac:dyDescent="0.2">
      <c r="A220">
        <v>2013</v>
      </c>
      <c r="B220" s="6">
        <f>SUM(B123:B134)</f>
        <v>42326219</v>
      </c>
      <c r="C220" s="96">
        <f t="shared" si="14"/>
        <v>1513482</v>
      </c>
      <c r="D220" s="98">
        <f t="shared" si="15"/>
        <v>3.7083570258961071E-2</v>
      </c>
      <c r="E220" s="98">
        <f>RATE(10,0,-B$210,B220)</f>
        <v>-0.12942492476197995</v>
      </c>
      <c r="F220" s="164"/>
      <c r="G220" s="164"/>
      <c r="H220"/>
      <c r="I220" s="6">
        <f ca="1">SUM(I123:I134)</f>
        <v>54087340.389713861</v>
      </c>
      <c r="J220" s="36">
        <f t="shared" ca="1" si="12"/>
        <v>11761121.389713861</v>
      </c>
      <c r="K220" s="5">
        <f t="shared" ca="1" si="13"/>
        <v>0.27786846232860679</v>
      </c>
    </row>
    <row r="221" spans="1:11" x14ac:dyDescent="0.2">
      <c r="A221">
        <v>2014</v>
      </c>
      <c r="B221" s="6">
        <f>SUM(B135:B146)</f>
        <v>42700435</v>
      </c>
      <c r="C221" s="96">
        <f t="shared" ref="C221" si="16">+B221-B220</f>
        <v>374216</v>
      </c>
      <c r="D221" s="98">
        <f t="shared" ref="D221" si="17">+C221/B220</f>
        <v>8.8412338460943079E-3</v>
      </c>
      <c r="E221" s="98">
        <f>RATE(10,0,-B$210,B221)</f>
        <v>-0.12865827421917983</v>
      </c>
      <c r="F221" s="92"/>
      <c r="G221" s="164"/>
      <c r="H221"/>
      <c r="I221" s="6">
        <f>SUM(I135:I146)</f>
        <v>58677794.261253327</v>
      </c>
      <c r="J221" s="36">
        <f t="shared" si="12"/>
        <v>15977359.261253327</v>
      </c>
      <c r="K221" s="5">
        <f t="shared" si="13"/>
        <v>0.37417322004455755</v>
      </c>
    </row>
    <row r="222" spans="1:11" x14ac:dyDescent="0.2">
      <c r="A222">
        <v>2015</v>
      </c>
      <c r="B222" s="6">
        <f>SUM(B147:B158)</f>
        <v>41948976</v>
      </c>
      <c r="C222" s="96">
        <f t="shared" si="14"/>
        <v>-751459</v>
      </c>
      <c r="D222" s="98">
        <f t="shared" si="15"/>
        <v>-1.7598392147527304E-2</v>
      </c>
      <c r="E222" s="98">
        <f>RATE(12,0,-B$210,B222)</f>
        <v>-0.10974480840783463</v>
      </c>
      <c r="F222" s="92"/>
      <c r="G222" s="164"/>
      <c r="H222"/>
      <c r="I222" s="6">
        <f>SUM(I147:I158)</f>
        <v>53001926.762956239</v>
      </c>
      <c r="J222" s="36">
        <f t="shared" si="12"/>
        <v>11052950.762956239</v>
      </c>
      <c r="K222" s="5">
        <f t="shared" si="13"/>
        <v>0.26348559170922881</v>
      </c>
    </row>
    <row r="223" spans="1:11" x14ac:dyDescent="0.2">
      <c r="A223">
        <v>2016</v>
      </c>
      <c r="B223" s="6">
        <f>SUM(B159:B170)</f>
        <v>41438246</v>
      </c>
      <c r="C223" s="96">
        <f t="shared" si="14"/>
        <v>-510730</v>
      </c>
      <c r="D223" s="98">
        <f t="shared" si="15"/>
        <v>-1.2175029016202923E-2</v>
      </c>
      <c r="E223" s="98">
        <f>RATE(13,0,-B$210,B223)</f>
        <v>-0.10259438390385232</v>
      </c>
      <c r="F223" s="92"/>
      <c r="G223" s="164"/>
      <c r="H223"/>
      <c r="I223" s="6">
        <f>SUM(I159:I170)</f>
        <v>76135051.539378062</v>
      </c>
      <c r="J223" s="36">
        <f t="shared" si="12"/>
        <v>34696805.539378062</v>
      </c>
      <c r="K223" s="5">
        <f t="shared" si="13"/>
        <v>0.83731356629761944</v>
      </c>
    </row>
    <row r="224" spans="1:11" x14ac:dyDescent="0.2">
      <c r="A224">
        <v>2017</v>
      </c>
      <c r="B224" s="6">
        <f t="shared" ref="B224:B226" ca="1" si="18">+I224</f>
        <v>70959679.819479048</v>
      </c>
      <c r="C224" s="96">
        <f t="shared" ca="1" si="14"/>
        <v>29521433.819479048</v>
      </c>
      <c r="D224" s="98">
        <f t="shared" ca="1" si="15"/>
        <v>0.71241996631515359</v>
      </c>
      <c r="E224" s="98">
        <f ca="1">RATE(14,0,-B$210,B224)</f>
        <v>-6.0204900850074787E-2</v>
      </c>
      <c r="F224" s="92"/>
      <c r="G224" s="164"/>
      <c r="H224"/>
      <c r="I224" s="6">
        <f ca="1">SUM(I171:I182)</f>
        <v>70959679.819479048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70144158.411652043</v>
      </c>
      <c r="C225" s="96">
        <f t="shared" ca="1" si="14"/>
        <v>-815521.40782700479</v>
      </c>
      <c r="D225" s="98">
        <f t="shared" ca="1" si="15"/>
        <v>-1.1492743624290383E-2</v>
      </c>
      <c r="E225" s="98">
        <f ca="1">RATE(15,0,-B$210,B225)</f>
        <v>-5.7033447608574497E-2</v>
      </c>
      <c r="F225" s="92"/>
      <c r="G225" s="164"/>
      <c r="H225"/>
      <c r="I225" s="6">
        <f ca="1">SUM(I183:I194)</f>
        <v>70144158.411652043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78235574.846964195</v>
      </c>
      <c r="C226" s="96">
        <f t="shared" ca="1" si="14"/>
        <v>8091416.4353121519</v>
      </c>
      <c r="D226" s="98">
        <f t="shared" ca="1" si="15"/>
        <v>0.11535410244465975</v>
      </c>
      <c r="E226" s="98">
        <f ca="1">RATE(16,0,-B$210,B226)</f>
        <v>-4.7086305411777621E-2</v>
      </c>
      <c r="F226" s="92"/>
      <c r="G226" s="164"/>
      <c r="H226"/>
      <c r="I226" s="6">
        <f ca="1">SUM(I195:I206)</f>
        <v>78235574.846964195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90"/>
      <c r="D227" s="164"/>
      <c r="F227" s="164"/>
      <c r="G227" s="164"/>
      <c r="H227"/>
      <c r="J227" s="164"/>
      <c r="K227" s="164"/>
    </row>
    <row r="228" spans="1:11" x14ac:dyDescent="0.2">
      <c r="A228" t="s">
        <v>9</v>
      </c>
      <c r="B228" s="6">
        <f ca="1">SUM(B210:B226)</f>
        <v>1048523331.5780953</v>
      </c>
      <c r="C228" s="90"/>
      <c r="D228" s="164"/>
      <c r="F228" s="164"/>
      <c r="G228" s="164"/>
      <c r="H228"/>
      <c r="I228" s="6">
        <f ca="1">SUM(I210:I226)</f>
        <v>1036968541.0427252</v>
      </c>
      <c r="J228" s="168">
        <f ca="1">I228-B228</f>
        <v>-11554790.535370111</v>
      </c>
      <c r="K228" s="164"/>
    </row>
    <row r="229" spans="1:11" x14ac:dyDescent="0.2">
      <c r="C229" s="164"/>
      <c r="D229" s="164"/>
      <c r="F229" s="164"/>
      <c r="G229" s="164"/>
      <c r="H229"/>
      <c r="I229" s="164"/>
      <c r="J229" s="54"/>
      <c r="K229" s="164"/>
    </row>
    <row r="230" spans="1:11" x14ac:dyDescent="0.2">
      <c r="C230" s="164"/>
      <c r="D230" s="164"/>
      <c r="F230" s="164"/>
      <c r="G230" s="164"/>
      <c r="H230"/>
      <c r="I230" s="6">
        <f ca="1">SUM(I210:I226)</f>
        <v>1036968541.0427252</v>
      </c>
      <c r="J230" s="168">
        <f ca="1">I208-I230</f>
        <v>0</v>
      </c>
      <c r="K230" s="164"/>
    </row>
    <row r="231" spans="1:11" x14ac:dyDescent="0.2">
      <c r="C231" s="164"/>
      <c r="D231" s="164"/>
      <c r="F231" s="164"/>
      <c r="G231" s="164"/>
      <c r="H231"/>
      <c r="I231" s="23"/>
      <c r="J231" s="169" t="s">
        <v>69</v>
      </c>
      <c r="K231" s="18"/>
    </row>
    <row r="242" spans="9:11" x14ac:dyDescent="0.2">
      <c r="I242" s="11"/>
    </row>
    <row r="243" spans="9:11" x14ac:dyDescent="0.2">
      <c r="J243" s="11"/>
      <c r="K243" s="11"/>
    </row>
    <row r="247" spans="9:11" x14ac:dyDescent="0.2">
      <c r="I247" s="11"/>
    </row>
    <row r="271" spans="9:9" x14ac:dyDescent="0.2">
      <c r="I271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topLeftCell="A140" workbookViewId="0">
      <selection activeCell="B159" sqref="B159:B170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2.5703125" style="6" customWidth="1"/>
    <col min="10" max="10" width="19.8554687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3" style="6" bestFit="1" customWidth="1"/>
    <col min="15" max="15" width="20.5703125" style="6" bestFit="1" customWidth="1"/>
    <col min="16" max="16" width="19" style="6" bestFit="1" customWidth="1"/>
    <col min="17" max="17" width="9.5703125" style="6" bestFit="1" customWidth="1"/>
    <col min="18" max="18" width="13.5703125" bestFit="1" customWidth="1"/>
    <col min="19" max="19" width="13" bestFit="1" customWidth="1"/>
    <col min="20" max="20" width="13.5703125" bestFit="1" customWidth="1"/>
    <col min="21" max="21" width="13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64"/>
      <c r="M2" t="s">
        <v>18</v>
      </c>
      <c r="N2"/>
      <c r="O2"/>
      <c r="P2"/>
      <c r="Q2"/>
    </row>
    <row r="3" spans="1:18" ht="13.5" thickBot="1" x14ac:dyDescent="0.25">
      <c r="A3" s="453">
        <v>37622</v>
      </c>
      <c r="B3" s="454">
        <v>891460</v>
      </c>
      <c r="C3" s="455">
        <f>+'Purchased Power Model '!C3</f>
        <v>786</v>
      </c>
      <c r="D3" s="455">
        <f>+'Purchased Power Model '!D3</f>
        <v>0</v>
      </c>
      <c r="E3" s="443">
        <f>+'Purchased Power Model '!E3</f>
        <v>5.2000000000000005E-2</v>
      </c>
      <c r="F3" s="53">
        <f>+'Purchased Power Model '!F3</f>
        <v>31</v>
      </c>
      <c r="G3" s="53">
        <f>+'Purchased Power Model '!G3</f>
        <v>0</v>
      </c>
      <c r="H3" s="171">
        <v>10151</v>
      </c>
      <c r="I3" s="456">
        <f>$N$18+C3*$N$19+D3*$N$20+E3*$N$21+F3*$N$22+G3*$N$23</f>
        <v>944638.47582773725</v>
      </c>
      <c r="J3" s="457">
        <f>I3-B3</f>
        <v>53178.475827737246</v>
      </c>
      <c r="K3" s="5">
        <f>J3/B3</f>
        <v>5.9653238314380054E-2</v>
      </c>
      <c r="M3"/>
      <c r="N3"/>
      <c r="O3"/>
      <c r="P3"/>
      <c r="Q3"/>
    </row>
    <row r="4" spans="1:18" x14ac:dyDescent="0.2">
      <c r="A4" s="453">
        <v>37653</v>
      </c>
      <c r="B4" s="454">
        <v>880341</v>
      </c>
      <c r="C4" s="455">
        <f>+'Purchased Power Model '!C4</f>
        <v>686.5</v>
      </c>
      <c r="D4" s="455">
        <f>+'Purchased Power Model '!D4</f>
        <v>0</v>
      </c>
      <c r="E4" s="443">
        <f>+'Purchased Power Model '!E4</f>
        <v>5.2000000000000005E-2</v>
      </c>
      <c r="F4" s="53">
        <f>+'Purchased Power Model '!F4</f>
        <v>28</v>
      </c>
      <c r="G4" s="53">
        <f>+'Purchased Power Model '!G4</f>
        <v>0</v>
      </c>
      <c r="H4" s="171">
        <v>10151</v>
      </c>
      <c r="I4" s="456">
        <f t="shared" ref="I4:I67" si="0">$N$18+C4*$N$19+D4*$N$20+E4*$N$21+F4*$N$22+G4*$N$23</f>
        <v>985812.36222158396</v>
      </c>
      <c r="J4" s="457">
        <f t="shared" ref="J4:J67" si="1">I4-B4</f>
        <v>105471.36222158396</v>
      </c>
      <c r="K4" s="5">
        <f t="shared" ref="K4:K67" si="2">J4/B4</f>
        <v>0.11980739534065091</v>
      </c>
      <c r="M4" s="49" t="s">
        <v>19</v>
      </c>
      <c r="N4" s="49"/>
      <c r="O4"/>
      <c r="P4"/>
      <c r="Q4"/>
    </row>
    <row r="5" spans="1:18" x14ac:dyDescent="0.2">
      <c r="A5" s="453">
        <v>37681</v>
      </c>
      <c r="B5" s="454">
        <v>725424</v>
      </c>
      <c r="C5" s="455">
        <f>+'Purchased Power Model '!C5</f>
        <v>572.5</v>
      </c>
      <c r="D5" s="455">
        <f>+'Purchased Power Model '!D5</f>
        <v>0</v>
      </c>
      <c r="E5" s="443">
        <f>+'Purchased Power Model '!E5</f>
        <v>5.2000000000000005E-2</v>
      </c>
      <c r="F5" s="53">
        <f>+'Purchased Power Model '!F5</f>
        <v>31</v>
      </c>
      <c r="G5" s="53">
        <f>+'Purchased Power Model '!G5</f>
        <v>1</v>
      </c>
      <c r="H5" s="171">
        <v>10151</v>
      </c>
      <c r="I5" s="456">
        <f t="shared" si="0"/>
        <v>842650.9976099747</v>
      </c>
      <c r="J5" s="457">
        <f t="shared" si="1"/>
        <v>117226.9976099747</v>
      </c>
      <c r="K5" s="5">
        <f t="shared" si="2"/>
        <v>0.16159790358462733</v>
      </c>
      <c r="M5" s="35" t="s">
        <v>20</v>
      </c>
      <c r="N5" s="466">
        <v>0.62281249018778151</v>
      </c>
      <c r="O5"/>
      <c r="P5"/>
      <c r="Q5"/>
    </row>
    <row r="6" spans="1:18" x14ac:dyDescent="0.2">
      <c r="A6" s="453">
        <v>37712</v>
      </c>
      <c r="B6" s="454">
        <v>718245.99001238751</v>
      </c>
      <c r="C6" s="455">
        <f>+'Purchased Power Model '!C6</f>
        <v>403.9</v>
      </c>
      <c r="D6" s="455">
        <f>+'Purchased Power Model '!D6</f>
        <v>0</v>
      </c>
      <c r="E6" s="443">
        <f>+'Purchased Power Model '!E6</f>
        <v>5.5999999999999994E-2</v>
      </c>
      <c r="F6" s="53">
        <f>+'Purchased Power Model '!F6</f>
        <v>30</v>
      </c>
      <c r="G6" s="53">
        <f>+'Purchased Power Model '!G6</f>
        <v>1</v>
      </c>
      <c r="H6" s="171">
        <v>10151</v>
      </c>
      <c r="I6" s="456">
        <f t="shared" si="0"/>
        <v>814930.0045354499</v>
      </c>
      <c r="J6" s="457">
        <f t="shared" si="1"/>
        <v>96684.014523062389</v>
      </c>
      <c r="K6" s="5">
        <f t="shared" si="2"/>
        <v>0.1346112834147461</v>
      </c>
      <c r="M6" s="35" t="s">
        <v>21</v>
      </c>
      <c r="N6" s="466">
        <v>0.38789539793390548</v>
      </c>
      <c r="O6"/>
      <c r="P6"/>
      <c r="Q6"/>
    </row>
    <row r="7" spans="1:18" x14ac:dyDescent="0.2">
      <c r="A7" s="453">
        <v>37742</v>
      </c>
      <c r="B7" s="454">
        <v>612166.00998761237</v>
      </c>
      <c r="C7" s="455">
        <f>+'Purchased Power Model '!C7</f>
        <v>192</v>
      </c>
      <c r="D7" s="455">
        <f>+'Purchased Power Model '!D7</f>
        <v>0</v>
      </c>
      <c r="E7" s="443">
        <f>+'Purchased Power Model '!E7</f>
        <v>5.5999999999999994E-2</v>
      </c>
      <c r="F7" s="53">
        <f>+'Purchased Power Model '!F7</f>
        <v>31</v>
      </c>
      <c r="G7" s="53">
        <f>+'Purchased Power Model '!G7</f>
        <v>1</v>
      </c>
      <c r="H7" s="171">
        <v>10151</v>
      </c>
      <c r="I7" s="456">
        <f t="shared" si="0"/>
        <v>705253.37358760566</v>
      </c>
      <c r="J7" s="457">
        <f t="shared" si="1"/>
        <v>93087.363599993289</v>
      </c>
      <c r="K7" s="5">
        <f t="shared" si="2"/>
        <v>0.15206228715945366</v>
      </c>
      <c r="M7" s="35" t="s">
        <v>22</v>
      </c>
      <c r="N7" s="466">
        <v>0.3693467736288723</v>
      </c>
      <c r="O7"/>
      <c r="P7"/>
      <c r="Q7"/>
    </row>
    <row r="8" spans="1:18" x14ac:dyDescent="0.2">
      <c r="A8" s="453">
        <v>37773</v>
      </c>
      <c r="B8" s="454">
        <v>565234</v>
      </c>
      <c r="C8" s="455">
        <f>+'Purchased Power Model '!C8</f>
        <v>55.1</v>
      </c>
      <c r="D8" s="455">
        <f>+'Purchased Power Model '!D8</f>
        <v>31</v>
      </c>
      <c r="E8" s="443">
        <f>+'Purchased Power Model '!E8</f>
        <v>5.5999999999999994E-2</v>
      </c>
      <c r="F8" s="53">
        <f>+'Purchased Power Model '!F8</f>
        <v>30</v>
      </c>
      <c r="G8" s="53">
        <f>+'Purchased Power Model '!G8</f>
        <v>0</v>
      </c>
      <c r="H8" s="171">
        <v>10151</v>
      </c>
      <c r="I8" s="456">
        <f t="shared" si="0"/>
        <v>657182.38904827891</v>
      </c>
      <c r="J8" s="457">
        <f t="shared" si="1"/>
        <v>91948.389048278914</v>
      </c>
      <c r="K8" s="5">
        <f t="shared" si="2"/>
        <v>0.16267313899779368</v>
      </c>
      <c r="M8" s="35" t="s">
        <v>23</v>
      </c>
      <c r="N8" s="59">
        <v>181346.4308270991</v>
      </c>
      <c r="O8"/>
      <c r="P8"/>
      <c r="Q8"/>
    </row>
    <row r="9" spans="1:18" ht="13.5" thickBot="1" x14ac:dyDescent="0.25">
      <c r="A9" s="453">
        <v>37803</v>
      </c>
      <c r="B9" s="454">
        <v>501712</v>
      </c>
      <c r="C9" s="455">
        <f>+'Purchased Power Model '!C9</f>
        <v>5.7</v>
      </c>
      <c r="D9" s="455">
        <f>+'Purchased Power Model '!D9</f>
        <v>59.1</v>
      </c>
      <c r="E9" s="443">
        <f>+'Purchased Power Model '!E9</f>
        <v>5.0999999999999997E-2</v>
      </c>
      <c r="F9" s="53">
        <f>+'Purchased Power Model '!F9</f>
        <v>31</v>
      </c>
      <c r="G9" s="53">
        <f>+'Purchased Power Model '!G9</f>
        <v>0</v>
      </c>
      <c r="H9" s="171">
        <v>10151</v>
      </c>
      <c r="I9" s="456">
        <f t="shared" si="0"/>
        <v>560780.46150765428</v>
      </c>
      <c r="J9" s="457">
        <f t="shared" si="1"/>
        <v>59068.461507654283</v>
      </c>
      <c r="K9" s="5">
        <f t="shared" si="2"/>
        <v>0.117733802475632</v>
      </c>
      <c r="M9" s="47" t="s">
        <v>24</v>
      </c>
      <c r="N9" s="60">
        <v>171</v>
      </c>
      <c r="O9"/>
      <c r="P9"/>
      <c r="Q9"/>
    </row>
    <row r="10" spans="1:18" x14ac:dyDescent="0.2">
      <c r="A10" s="453">
        <v>37834</v>
      </c>
      <c r="B10" s="454">
        <v>545972</v>
      </c>
      <c r="C10" s="455">
        <f>+'Purchased Power Model '!C10</f>
        <v>10.4</v>
      </c>
      <c r="D10" s="455">
        <f>+'Purchased Power Model '!D10</f>
        <v>106.5</v>
      </c>
      <c r="E10" s="443">
        <f>+'Purchased Power Model '!E10</f>
        <v>5.0999999999999997E-2</v>
      </c>
      <c r="F10" s="53">
        <f>+'Purchased Power Model '!F10</f>
        <v>31</v>
      </c>
      <c r="G10" s="53">
        <f>+'Purchased Power Model '!G10</f>
        <v>0</v>
      </c>
      <c r="H10" s="171">
        <v>10151</v>
      </c>
      <c r="I10" s="456">
        <f t="shared" si="0"/>
        <v>502108.66269446444</v>
      </c>
      <c r="J10" s="457">
        <f t="shared" si="1"/>
        <v>-43863.337305535562</v>
      </c>
      <c r="K10" s="5">
        <f t="shared" si="2"/>
        <v>-8.0339902605876423E-2</v>
      </c>
      <c r="M10"/>
      <c r="N10"/>
      <c r="O10"/>
      <c r="P10"/>
      <c r="Q10"/>
    </row>
    <row r="11" spans="1:18" ht="13.5" thickBot="1" x14ac:dyDescent="0.25">
      <c r="A11" s="453">
        <v>37865</v>
      </c>
      <c r="B11" s="454">
        <v>607347</v>
      </c>
      <c r="C11" s="455">
        <f>+'Purchased Power Model '!C11</f>
        <v>55.2</v>
      </c>
      <c r="D11" s="455">
        <f>+'Purchased Power Model '!D11</f>
        <v>12.1</v>
      </c>
      <c r="E11" s="443">
        <f>+'Purchased Power Model '!E11</f>
        <v>5.0999999999999997E-2</v>
      </c>
      <c r="F11" s="53">
        <f>+'Purchased Power Model '!F11</f>
        <v>30</v>
      </c>
      <c r="G11" s="53">
        <f>+'Purchased Power Model '!G11</f>
        <v>1</v>
      </c>
      <c r="H11" s="171">
        <v>10151</v>
      </c>
      <c r="I11" s="456">
        <f t="shared" si="0"/>
        <v>648478.3762898331</v>
      </c>
      <c r="J11" s="457">
        <f t="shared" si="1"/>
        <v>41131.376289833104</v>
      </c>
      <c r="K11" s="5">
        <f t="shared" si="2"/>
        <v>6.7723025370723985E-2</v>
      </c>
      <c r="M11" t="s">
        <v>25</v>
      </c>
      <c r="N11"/>
      <c r="O11"/>
      <c r="P11"/>
      <c r="Q11"/>
    </row>
    <row r="12" spans="1:18" x14ac:dyDescent="0.2">
      <c r="A12" s="453">
        <v>37895</v>
      </c>
      <c r="B12" s="454">
        <v>680111</v>
      </c>
      <c r="C12" s="455">
        <f>+'Purchased Power Model '!C12</f>
        <v>289.7</v>
      </c>
      <c r="D12" s="455">
        <f>+'Purchased Power Model '!D12</f>
        <v>0</v>
      </c>
      <c r="E12" s="443">
        <f>+'Purchased Power Model '!E12</f>
        <v>4.8000000000000001E-2</v>
      </c>
      <c r="F12" s="53">
        <f>+'Purchased Power Model '!F12</f>
        <v>31</v>
      </c>
      <c r="G12" s="53">
        <f>+'Purchased Power Model '!G12</f>
        <v>1</v>
      </c>
      <c r="H12" s="171">
        <v>10151</v>
      </c>
      <c r="I12" s="456">
        <f t="shared" si="0"/>
        <v>720343.93028566765</v>
      </c>
      <c r="J12" s="457">
        <f t="shared" si="1"/>
        <v>40232.930285667651</v>
      </c>
      <c r="K12" s="5">
        <f t="shared" si="2"/>
        <v>5.9156417534296096E-2</v>
      </c>
      <c r="M12" s="48"/>
      <c r="N12" s="48" t="s">
        <v>29</v>
      </c>
      <c r="O12" s="48" t="s">
        <v>30</v>
      </c>
      <c r="P12" s="48" t="s">
        <v>31</v>
      </c>
      <c r="Q12" s="48" t="s">
        <v>32</v>
      </c>
      <c r="R12" s="48" t="s">
        <v>33</v>
      </c>
    </row>
    <row r="13" spans="1:18" x14ac:dyDescent="0.2">
      <c r="A13" s="453">
        <v>37926</v>
      </c>
      <c r="B13" s="454">
        <v>785882</v>
      </c>
      <c r="C13" s="455">
        <f>+'Purchased Power Model '!C13</f>
        <v>387.6</v>
      </c>
      <c r="D13" s="455">
        <f>+'Purchased Power Model '!D13</f>
        <v>0</v>
      </c>
      <c r="E13" s="443">
        <f>+'Purchased Power Model '!E13</f>
        <v>4.8000000000000001E-2</v>
      </c>
      <c r="F13" s="53">
        <f>+'Purchased Power Model '!F13</f>
        <v>30</v>
      </c>
      <c r="G13" s="53">
        <f>+'Purchased Power Model '!G13</f>
        <v>1</v>
      </c>
      <c r="H13" s="171">
        <v>10151</v>
      </c>
      <c r="I13" s="456">
        <f t="shared" si="0"/>
        <v>785385.65272526373</v>
      </c>
      <c r="J13" s="457">
        <f t="shared" si="1"/>
        <v>-496.34727473626845</v>
      </c>
      <c r="K13" s="5">
        <f t="shared" si="2"/>
        <v>-6.3157989970029653E-4</v>
      </c>
      <c r="M13" s="35" t="s">
        <v>26</v>
      </c>
      <c r="N13" s="59">
        <v>5</v>
      </c>
      <c r="O13" s="59">
        <v>3438673576339.6191</v>
      </c>
      <c r="P13" s="59">
        <v>687734715267.92383</v>
      </c>
      <c r="Q13" s="59">
        <v>20.912354013696323</v>
      </c>
      <c r="R13" s="59">
        <v>3.7091509555223208E-16</v>
      </c>
    </row>
    <row r="14" spans="1:18" x14ac:dyDescent="0.2">
      <c r="A14" s="453">
        <v>37956</v>
      </c>
      <c r="B14" s="454">
        <v>845885.5</v>
      </c>
      <c r="C14" s="455">
        <f>+'Purchased Power Model '!C14</f>
        <v>548.20000000000005</v>
      </c>
      <c r="D14" s="455">
        <f>+'Purchased Power Model '!D14</f>
        <v>0</v>
      </c>
      <c r="E14" s="443">
        <f>+'Purchased Power Model '!E14</f>
        <v>4.8000000000000001E-2</v>
      </c>
      <c r="F14" s="53">
        <f>+'Purchased Power Model '!F14</f>
        <v>31</v>
      </c>
      <c r="G14" s="53">
        <f>+'Purchased Power Model '!G14</f>
        <v>0</v>
      </c>
      <c r="H14" s="171">
        <v>10151</v>
      </c>
      <c r="I14" s="456">
        <f t="shared" si="0"/>
        <v>839950.45133563341</v>
      </c>
      <c r="J14" s="457">
        <f t="shared" si="1"/>
        <v>-5935.0486643665936</v>
      </c>
      <c r="K14" s="5">
        <f t="shared" si="2"/>
        <v>-7.0163735687236552E-3</v>
      </c>
      <c r="M14" s="35" t="s">
        <v>27</v>
      </c>
      <c r="N14" s="59">
        <v>165</v>
      </c>
      <c r="O14" s="59">
        <v>5426277115665.0937</v>
      </c>
      <c r="P14" s="59">
        <v>32886527973.72784</v>
      </c>
      <c r="Q14" s="59"/>
      <c r="R14" s="59"/>
    </row>
    <row r="15" spans="1:18" ht="13.5" thickBot="1" x14ac:dyDescent="0.25">
      <c r="A15" s="453">
        <v>37987</v>
      </c>
      <c r="B15" s="454">
        <v>907646</v>
      </c>
      <c r="C15" s="455">
        <f>+'Purchased Power Model '!C15</f>
        <v>828.8</v>
      </c>
      <c r="D15" s="455">
        <f>+'Purchased Power Model '!D15</f>
        <v>0</v>
      </c>
      <c r="E15" s="443">
        <f>+'Purchased Power Model '!E15</f>
        <v>5.0999999999999997E-2</v>
      </c>
      <c r="F15" s="53">
        <f>+'Purchased Power Model '!F15</f>
        <v>31</v>
      </c>
      <c r="G15" s="53">
        <f>+'Purchased Power Model '!G15</f>
        <v>0</v>
      </c>
      <c r="H15" s="171">
        <v>10373</v>
      </c>
      <c r="I15" s="456">
        <f t="shared" si="0"/>
        <v>958500.85036232858</v>
      </c>
      <c r="J15" s="457">
        <f t="shared" si="1"/>
        <v>50854.85036232858</v>
      </c>
      <c r="K15" s="5">
        <f t="shared" si="2"/>
        <v>5.6029388508657095E-2</v>
      </c>
      <c r="M15" s="47" t="s">
        <v>9</v>
      </c>
      <c r="N15" s="60">
        <v>170</v>
      </c>
      <c r="O15" s="60">
        <v>8864950692004.7129</v>
      </c>
      <c r="P15" s="60"/>
      <c r="Q15" s="60"/>
      <c r="R15" s="60"/>
    </row>
    <row r="16" spans="1:18" ht="13.5" thickBot="1" x14ac:dyDescent="0.25">
      <c r="A16" s="453">
        <v>38018</v>
      </c>
      <c r="B16" s="454">
        <v>891830</v>
      </c>
      <c r="C16" s="455">
        <f>+'Purchased Power Model '!C16</f>
        <v>615.6</v>
      </c>
      <c r="D16" s="455">
        <f>+'Purchased Power Model '!D16</f>
        <v>0</v>
      </c>
      <c r="E16" s="443">
        <f>+'Purchased Power Model '!E16</f>
        <v>5.0999999999999997E-2</v>
      </c>
      <c r="F16" s="53">
        <f>+'Purchased Power Model '!F16</f>
        <v>29</v>
      </c>
      <c r="G16" s="53">
        <f>+'Purchased Power Model '!G16</f>
        <v>0</v>
      </c>
      <c r="H16" s="171">
        <v>10373</v>
      </c>
      <c r="I16" s="456">
        <f t="shared" si="0"/>
        <v>928446.77261105052</v>
      </c>
      <c r="J16" s="457">
        <f t="shared" si="1"/>
        <v>36616.772611050517</v>
      </c>
      <c r="K16" s="5">
        <f t="shared" si="2"/>
        <v>4.1058018468823114E-2</v>
      </c>
      <c r="M16"/>
      <c r="N16"/>
      <c r="O16"/>
      <c r="P16"/>
      <c r="Q16"/>
    </row>
    <row r="17" spans="1:21" x14ac:dyDescent="0.2">
      <c r="A17" s="453">
        <v>38047</v>
      </c>
      <c r="B17" s="454">
        <v>767788</v>
      </c>
      <c r="C17" s="455">
        <f>+'Purchased Power Model '!C17</f>
        <v>487.1</v>
      </c>
      <c r="D17" s="455">
        <f>+'Purchased Power Model '!D17</f>
        <v>0</v>
      </c>
      <c r="E17" s="443">
        <f>+'Purchased Power Model '!E17</f>
        <v>5.0999999999999997E-2</v>
      </c>
      <c r="F17" s="53">
        <f>+'Purchased Power Model '!F17</f>
        <v>31</v>
      </c>
      <c r="G17" s="53">
        <f>+'Purchased Power Model '!G17</f>
        <v>1</v>
      </c>
      <c r="H17" s="171">
        <v>10373</v>
      </c>
      <c r="I17" s="456">
        <f t="shared" si="0"/>
        <v>806318.67678704497</v>
      </c>
      <c r="J17" s="457">
        <f t="shared" si="1"/>
        <v>38530.676787044969</v>
      </c>
      <c r="K17" s="5">
        <f t="shared" si="2"/>
        <v>5.0184004942829229E-2</v>
      </c>
      <c r="M17" s="48"/>
      <c r="N17" s="48" t="s">
        <v>34</v>
      </c>
      <c r="O17" s="48" t="s">
        <v>23</v>
      </c>
      <c r="P17" s="48" t="s">
        <v>35</v>
      </c>
      <c r="Q17" s="48" t="s">
        <v>36</v>
      </c>
      <c r="R17" s="48" t="s">
        <v>37</v>
      </c>
      <c r="S17" s="48" t="s">
        <v>38</v>
      </c>
      <c r="T17" s="48" t="s">
        <v>39</v>
      </c>
      <c r="U17" s="48" t="s">
        <v>40</v>
      </c>
    </row>
    <row r="18" spans="1:21" x14ac:dyDescent="0.2">
      <c r="A18" s="453">
        <v>38078</v>
      </c>
      <c r="B18" s="454">
        <v>738766</v>
      </c>
      <c r="C18" s="455">
        <f>+'Purchased Power Model '!C18</f>
        <v>345</v>
      </c>
      <c r="D18" s="455">
        <f>+'Purchased Power Model '!D18</f>
        <v>0</v>
      </c>
      <c r="E18" s="443">
        <f>+'Purchased Power Model '!E18</f>
        <v>5.2999999999999999E-2</v>
      </c>
      <c r="F18" s="53">
        <f>+'Purchased Power Model '!F18</f>
        <v>30</v>
      </c>
      <c r="G18" s="53">
        <f>+'Purchased Power Model '!G18</f>
        <v>1</v>
      </c>
      <c r="H18" s="171">
        <v>10373</v>
      </c>
      <c r="I18" s="456">
        <f t="shared" si="0"/>
        <v>783182.75652874261</v>
      </c>
      <c r="J18" s="457">
        <f t="shared" si="1"/>
        <v>44416.756528742611</v>
      </c>
      <c r="K18" s="5">
        <f t="shared" si="2"/>
        <v>6.0122902960805739E-2</v>
      </c>
      <c r="M18" s="35" t="s">
        <v>28</v>
      </c>
      <c r="N18" s="59">
        <v>1314363.2920335834</v>
      </c>
      <c r="O18" s="59">
        <v>538584.4701014969</v>
      </c>
      <c r="P18" s="59">
        <v>2.4404032514823348</v>
      </c>
      <c r="Q18" s="59">
        <v>1.5728678901570974E-2</v>
      </c>
      <c r="R18" s="59">
        <v>250957.5386060616</v>
      </c>
      <c r="S18" s="59">
        <v>2377769.0454611052</v>
      </c>
      <c r="T18" s="59">
        <v>250957.5386060616</v>
      </c>
      <c r="U18" s="59">
        <v>2377769.0454611052</v>
      </c>
    </row>
    <row r="19" spans="1:21" x14ac:dyDescent="0.2">
      <c r="A19" s="453">
        <v>38108</v>
      </c>
      <c r="B19" s="454">
        <v>620361</v>
      </c>
      <c r="C19" s="455">
        <f>+'Purchased Power Model '!C19</f>
        <v>177.5</v>
      </c>
      <c r="D19" s="455">
        <f>+'Purchased Power Model '!D19</f>
        <v>0</v>
      </c>
      <c r="E19" s="443">
        <f>+'Purchased Power Model '!E19</f>
        <v>5.2999999999999999E-2</v>
      </c>
      <c r="F19" s="53">
        <f>+'Purchased Power Model '!F19</f>
        <v>31</v>
      </c>
      <c r="G19" s="53">
        <f>+'Purchased Power Model '!G19</f>
        <v>1</v>
      </c>
      <c r="H19" s="171">
        <v>10373</v>
      </c>
      <c r="I19" s="456">
        <f t="shared" si="0"/>
        <v>690890.24784200557</v>
      </c>
      <c r="J19" s="457">
        <f t="shared" si="1"/>
        <v>70529.24784200557</v>
      </c>
      <c r="K19" s="5">
        <f t="shared" si="2"/>
        <v>0.11369065405788818</v>
      </c>
      <c r="M19" s="35" t="s">
        <v>3</v>
      </c>
      <c r="N19" s="59">
        <v>391.53428516007295</v>
      </c>
      <c r="O19" s="59">
        <v>83.732389097189895</v>
      </c>
      <c r="P19" s="59">
        <v>4.6760195114654035</v>
      </c>
      <c r="Q19" s="59">
        <v>6.052844693606197E-6</v>
      </c>
      <c r="R19" s="59">
        <v>226.20923540993135</v>
      </c>
      <c r="S19" s="59">
        <v>556.85933491021456</v>
      </c>
      <c r="T19" s="59">
        <v>226.20923540993135</v>
      </c>
      <c r="U19" s="59">
        <v>556.85933491021456</v>
      </c>
    </row>
    <row r="20" spans="1:21" x14ac:dyDescent="0.2">
      <c r="A20" s="453">
        <v>38139</v>
      </c>
      <c r="B20" s="454">
        <v>571102</v>
      </c>
      <c r="C20" s="455">
        <f>+'Purchased Power Model '!C20</f>
        <v>73.2</v>
      </c>
      <c r="D20" s="455">
        <f>+'Purchased Power Model '!D20</f>
        <v>15.6</v>
      </c>
      <c r="E20" s="443">
        <f>+'Purchased Power Model '!E20</f>
        <v>5.2999999999999999E-2</v>
      </c>
      <c r="F20" s="53">
        <f>+'Purchased Power Model '!F20</f>
        <v>30</v>
      </c>
      <c r="G20" s="53">
        <f>+'Purchased Power Model '!G20</f>
        <v>0</v>
      </c>
      <c r="H20" s="171">
        <v>10373</v>
      </c>
      <c r="I20" s="456">
        <f t="shared" si="0"/>
        <v>675243.3011103532</v>
      </c>
      <c r="J20" s="457">
        <f t="shared" si="1"/>
        <v>104141.3011103532</v>
      </c>
      <c r="K20" s="5">
        <f t="shared" si="2"/>
        <v>0.18235149082012181</v>
      </c>
      <c r="M20" s="35" t="s">
        <v>4</v>
      </c>
      <c r="N20" s="59">
        <v>-1276.624682562071</v>
      </c>
      <c r="O20" s="59">
        <v>644.82593092543732</v>
      </c>
      <c r="P20" s="59">
        <v>-1.9797973706328662</v>
      </c>
      <c r="Q20" s="59">
        <v>4.9389392281464897E-2</v>
      </c>
      <c r="R20" s="59">
        <v>-2549.7984240480528</v>
      </c>
      <c r="S20" s="59">
        <v>-3.450941076089066</v>
      </c>
      <c r="T20" s="59">
        <v>-2549.7984240480528</v>
      </c>
      <c r="U20" s="59">
        <v>-3.450941076089066</v>
      </c>
    </row>
    <row r="21" spans="1:21" x14ac:dyDescent="0.2">
      <c r="A21" s="453">
        <v>38169</v>
      </c>
      <c r="B21" s="454">
        <v>568453.46031148627</v>
      </c>
      <c r="C21" s="455">
        <f>+'Purchased Power Model '!C21</f>
        <v>2</v>
      </c>
      <c r="D21" s="455">
        <f>+'Purchased Power Model '!D21</f>
        <v>69.3</v>
      </c>
      <c r="E21" s="443">
        <f>+'Purchased Power Model '!E21</f>
        <v>5.2999999999999999E-2</v>
      </c>
      <c r="F21" s="53">
        <f>+'Purchased Power Model '!F21</f>
        <v>31</v>
      </c>
      <c r="G21" s="53">
        <f>+'Purchased Power Model '!G21</f>
        <v>0</v>
      </c>
      <c r="H21" s="171">
        <v>10373</v>
      </c>
      <c r="I21" s="456">
        <f t="shared" si="0"/>
        <v>552100.79863094818</v>
      </c>
      <c r="J21" s="457">
        <f t="shared" si="1"/>
        <v>-16352.661680538091</v>
      </c>
      <c r="K21" s="5">
        <f t="shared" si="2"/>
        <v>-2.8766931371264036E-2</v>
      </c>
      <c r="M21" s="35" t="s">
        <v>217</v>
      </c>
      <c r="N21" s="59">
        <v>2895292.8702596347</v>
      </c>
      <c r="O21" s="59">
        <v>970484.02921006689</v>
      </c>
      <c r="P21" s="59">
        <v>2.9833493216949494</v>
      </c>
      <c r="Q21" s="59">
        <v>3.2840924788011643E-3</v>
      </c>
      <c r="R21" s="59">
        <v>979124.91971137049</v>
      </c>
      <c r="S21" s="59">
        <v>4811460.8208078984</v>
      </c>
      <c r="T21" s="59">
        <v>979124.91971137049</v>
      </c>
      <c r="U21" s="59">
        <v>4811460.8208078984</v>
      </c>
    </row>
    <row r="22" spans="1:21" x14ac:dyDescent="0.2">
      <c r="A22" s="453">
        <v>38200</v>
      </c>
      <c r="B22" s="454">
        <v>586217.63094622013</v>
      </c>
      <c r="C22" s="455">
        <f>+'Purchased Power Model '!C22</f>
        <v>19.600000000000001</v>
      </c>
      <c r="D22" s="455">
        <f>+'Purchased Power Model '!D22</f>
        <v>53.6</v>
      </c>
      <c r="E22" s="443">
        <f>+'Purchased Power Model '!E22</f>
        <v>5.2999999999999999E-2</v>
      </c>
      <c r="F22" s="53">
        <f>+'Purchased Power Model '!F22</f>
        <v>31</v>
      </c>
      <c r="G22" s="53">
        <f>+'Purchased Power Model '!G22</f>
        <v>0</v>
      </c>
      <c r="H22" s="171">
        <v>10373</v>
      </c>
      <c r="I22" s="456">
        <f t="shared" si="0"/>
        <v>579034.80956598977</v>
      </c>
      <c r="J22" s="457">
        <f t="shared" si="1"/>
        <v>-7182.8213802303653</v>
      </c>
      <c r="K22" s="5">
        <f t="shared" si="2"/>
        <v>-1.2252823867880767E-2</v>
      </c>
      <c r="M22" s="35" t="s">
        <v>5</v>
      </c>
      <c r="N22" s="59">
        <v>-26710.51592242466</v>
      </c>
      <c r="O22" s="59">
        <v>17599.044081599299</v>
      </c>
      <c r="P22" s="59">
        <v>-1.5177253831844124</v>
      </c>
      <c r="Q22" s="59">
        <v>0.13099730154358419</v>
      </c>
      <c r="R22" s="59">
        <v>-61458.871603141597</v>
      </c>
      <c r="S22" s="59">
        <v>8037.8397582922771</v>
      </c>
      <c r="T22" s="59">
        <v>-61458.871603141597</v>
      </c>
      <c r="U22" s="59">
        <v>8037.8397582922771</v>
      </c>
    </row>
    <row r="23" spans="1:21" ht="13.5" thickBot="1" x14ac:dyDescent="0.25">
      <c r="A23" s="453">
        <v>38231</v>
      </c>
      <c r="B23" s="454">
        <v>621745.97221568797</v>
      </c>
      <c r="C23" s="455">
        <f>+'Purchased Power Model '!C23</f>
        <v>41.7</v>
      </c>
      <c r="D23" s="455">
        <f>+'Purchased Power Model '!D23</f>
        <v>26.7</v>
      </c>
      <c r="E23" s="443">
        <f>+'Purchased Power Model '!E23</f>
        <v>5.2999999999999999E-2</v>
      </c>
      <c r="F23" s="53">
        <f>+'Purchased Power Model '!F23</f>
        <v>30</v>
      </c>
      <c r="G23" s="53">
        <f>+'Purchased Power Model '!G23</f>
        <v>1</v>
      </c>
      <c r="H23" s="171">
        <v>10373</v>
      </c>
      <c r="I23" s="456">
        <f t="shared" si="0"/>
        <v>630344.52881528507</v>
      </c>
      <c r="J23" s="457">
        <f t="shared" si="1"/>
        <v>8598.5565995970974</v>
      </c>
      <c r="K23" s="5">
        <f t="shared" si="2"/>
        <v>1.3829694093481315E-2</v>
      </c>
      <c r="M23" s="47" t="s">
        <v>17</v>
      </c>
      <c r="N23" s="60">
        <v>-18394.908336086766</v>
      </c>
      <c r="O23" s="60">
        <v>35390.799765973723</v>
      </c>
      <c r="P23" s="60">
        <v>-0.5197652626593775</v>
      </c>
      <c r="Q23" s="60">
        <v>0.60392378785133149</v>
      </c>
      <c r="R23" s="60">
        <v>-88272.118279488088</v>
      </c>
      <c r="S23" s="60">
        <v>51482.301607314555</v>
      </c>
      <c r="T23" s="60">
        <v>-88272.118279488088</v>
      </c>
      <c r="U23" s="60">
        <v>51482.301607314555</v>
      </c>
    </row>
    <row r="24" spans="1:21" x14ac:dyDescent="0.2">
      <c r="A24" s="453">
        <v>38261</v>
      </c>
      <c r="B24" s="454">
        <v>721382</v>
      </c>
      <c r="C24" s="455">
        <f>+'Purchased Power Model '!C24</f>
        <v>235</v>
      </c>
      <c r="D24" s="455">
        <f>+'Purchased Power Model '!D24</f>
        <v>0</v>
      </c>
      <c r="E24" s="443">
        <f>+'Purchased Power Model '!E24</f>
        <v>5.7999999999999996E-2</v>
      </c>
      <c r="F24" s="53">
        <f>+'Purchased Power Model '!F24</f>
        <v>31</v>
      </c>
      <c r="G24" s="53">
        <f>+'Purchased Power Model '!G24</f>
        <v>1</v>
      </c>
      <c r="H24" s="171">
        <v>10373</v>
      </c>
      <c r="I24" s="456">
        <f t="shared" si="0"/>
        <v>727879.93359000806</v>
      </c>
      <c r="J24" s="457">
        <f t="shared" si="1"/>
        <v>6497.9335900080623</v>
      </c>
      <c r="K24" s="5">
        <f t="shared" si="2"/>
        <v>9.0076181413010891E-3</v>
      </c>
      <c r="M24"/>
      <c r="N24"/>
      <c r="O24"/>
      <c r="P24"/>
      <c r="Q24"/>
    </row>
    <row r="25" spans="1:21" x14ac:dyDescent="0.2">
      <c r="A25" s="453">
        <v>38292</v>
      </c>
      <c r="B25" s="454">
        <v>849679</v>
      </c>
      <c r="C25" s="455">
        <f>+'Purchased Power Model '!C25</f>
        <v>385.7</v>
      </c>
      <c r="D25" s="455">
        <f>+'Purchased Power Model '!D25</f>
        <v>0</v>
      </c>
      <c r="E25" s="443">
        <f>+'Purchased Power Model '!E25</f>
        <v>5.7999999999999996E-2</v>
      </c>
      <c r="F25" s="53">
        <f>+'Purchased Power Model '!F25</f>
        <v>30</v>
      </c>
      <c r="G25" s="53">
        <f>+'Purchased Power Model '!G25</f>
        <v>1</v>
      </c>
      <c r="H25" s="171">
        <v>10373</v>
      </c>
      <c r="I25" s="456">
        <f t="shared" si="0"/>
        <v>813594.66628605593</v>
      </c>
      <c r="J25" s="457">
        <f t="shared" si="1"/>
        <v>-36084.33371394407</v>
      </c>
      <c r="K25" s="5">
        <f t="shared" si="2"/>
        <v>-4.2468195299570861E-2</v>
      </c>
      <c r="M25"/>
      <c r="N25"/>
      <c r="O25"/>
      <c r="P25"/>
      <c r="Q25"/>
    </row>
    <row r="26" spans="1:21" x14ac:dyDescent="0.2">
      <c r="A26" s="453">
        <v>38322</v>
      </c>
      <c r="B26" s="454">
        <v>898128</v>
      </c>
      <c r="C26" s="455">
        <f>+'Purchased Power Model '!C26</f>
        <v>627.5</v>
      </c>
      <c r="D26" s="455">
        <f>+'Purchased Power Model '!D26</f>
        <v>0</v>
      </c>
      <c r="E26" s="443">
        <f>+'Purchased Power Model '!E26</f>
        <v>5.7999999999999996E-2</v>
      </c>
      <c r="F26" s="53">
        <f>+'Purchased Power Model '!F26</f>
        <v>31</v>
      </c>
      <c r="G26" s="53">
        <f>+'Purchased Power Model '!G26</f>
        <v>0</v>
      </c>
      <c r="H26" s="171">
        <v>10373</v>
      </c>
      <c r="I26" s="456">
        <f t="shared" si="0"/>
        <v>899952.04885142343</v>
      </c>
      <c r="J26" s="457">
        <f t="shared" si="1"/>
        <v>1824.0488514234312</v>
      </c>
      <c r="K26" s="5">
        <f t="shared" si="2"/>
        <v>2.030945312275568E-3</v>
      </c>
      <c r="M26"/>
      <c r="N26"/>
      <c r="O26"/>
      <c r="P26"/>
      <c r="Q26"/>
    </row>
    <row r="27" spans="1:21" x14ac:dyDescent="0.2">
      <c r="A27" s="453">
        <v>38353</v>
      </c>
      <c r="B27" s="454">
        <v>978057</v>
      </c>
      <c r="C27" s="455">
        <f>+'Purchased Power Model '!C27</f>
        <v>745.5</v>
      </c>
      <c r="D27" s="455">
        <f>+'Purchased Power Model '!D27</f>
        <v>0</v>
      </c>
      <c r="E27" s="443">
        <f>+'Purchased Power Model '!E27</f>
        <v>7.2000000000000008E-2</v>
      </c>
      <c r="F27" s="53">
        <f>+'Purchased Power Model '!F27</f>
        <v>31</v>
      </c>
      <c r="G27" s="53">
        <f>+'Purchased Power Model '!G27</f>
        <v>0</v>
      </c>
      <c r="H27" s="171">
        <v>10624</v>
      </c>
      <c r="I27" s="456">
        <f t="shared" si="0"/>
        <v>986687.1946839469</v>
      </c>
      <c r="J27" s="457">
        <f t="shared" si="1"/>
        <v>8630.1946839469019</v>
      </c>
      <c r="K27" s="5">
        <f t="shared" si="2"/>
        <v>8.8238156712204929E-3</v>
      </c>
      <c r="M27"/>
      <c r="N27"/>
      <c r="O27"/>
      <c r="P27"/>
      <c r="Q27"/>
    </row>
    <row r="28" spans="1:21" x14ac:dyDescent="0.2">
      <c r="A28" s="453">
        <v>38384</v>
      </c>
      <c r="B28" s="454">
        <v>949499</v>
      </c>
      <c r="C28" s="455">
        <f>+'Purchased Power Model '!C28</f>
        <v>589.5</v>
      </c>
      <c r="D28" s="455">
        <f>+'Purchased Power Model '!D28</f>
        <v>0</v>
      </c>
      <c r="E28" s="443">
        <f>+'Purchased Power Model '!E28</f>
        <v>7.2000000000000008E-2</v>
      </c>
      <c r="F28" s="53">
        <f>+'Purchased Power Model '!F28</f>
        <v>28</v>
      </c>
      <c r="G28" s="53">
        <f>+'Purchased Power Model '!G28</f>
        <v>0</v>
      </c>
      <c r="H28" s="171">
        <v>10624</v>
      </c>
      <c r="I28" s="456">
        <f t="shared" si="0"/>
        <v>1005739.3939662499</v>
      </c>
      <c r="J28" s="457">
        <f t="shared" si="1"/>
        <v>56240.393966249889</v>
      </c>
      <c r="K28" s="5">
        <f t="shared" si="2"/>
        <v>5.9231651603898358E-2</v>
      </c>
    </row>
    <row r="29" spans="1:21" x14ac:dyDescent="0.2">
      <c r="A29" s="453">
        <v>38412</v>
      </c>
      <c r="B29" s="454">
        <v>794528</v>
      </c>
      <c r="C29" s="455">
        <f>+'Purchased Power Model '!C29</f>
        <v>578.29999999999995</v>
      </c>
      <c r="D29" s="455">
        <f>+'Purchased Power Model '!D29</f>
        <v>0</v>
      </c>
      <c r="E29" s="443">
        <f>+'Purchased Power Model '!E29</f>
        <v>7.2000000000000008E-2</v>
      </c>
      <c r="F29" s="53">
        <f>+'Purchased Power Model '!F29</f>
        <v>31</v>
      </c>
      <c r="G29" s="53">
        <f>+'Purchased Power Model '!G29</f>
        <v>1</v>
      </c>
      <c r="H29" s="171">
        <v>10624</v>
      </c>
      <c r="I29" s="456">
        <f t="shared" si="0"/>
        <v>902827.75386909593</v>
      </c>
      <c r="J29" s="457">
        <f t="shared" si="1"/>
        <v>108299.75386909593</v>
      </c>
      <c r="K29" s="5">
        <f t="shared" si="2"/>
        <v>0.13630703243824754</v>
      </c>
    </row>
    <row r="30" spans="1:21" x14ac:dyDescent="0.2">
      <c r="A30" s="453">
        <v>38443</v>
      </c>
      <c r="B30" s="454">
        <v>791600</v>
      </c>
      <c r="C30" s="455">
        <f>+'Purchased Power Model '!C30</f>
        <v>325.3</v>
      </c>
      <c r="D30" s="455">
        <f>+'Purchased Power Model '!D30</f>
        <v>0</v>
      </c>
      <c r="E30" s="443">
        <f>+'Purchased Power Model '!E30</f>
        <v>6.3E-2</v>
      </c>
      <c r="F30" s="53">
        <f>+'Purchased Power Model '!F30</f>
        <v>30</v>
      </c>
      <c r="G30" s="53">
        <f>+'Purchased Power Model '!G30</f>
        <v>1</v>
      </c>
      <c r="H30" s="171">
        <v>10624</v>
      </c>
      <c r="I30" s="456">
        <f t="shared" si="0"/>
        <v>804422.45981368539</v>
      </c>
      <c r="J30" s="457">
        <f t="shared" si="1"/>
        <v>12822.459813685389</v>
      </c>
      <c r="K30" s="5">
        <f t="shared" si="2"/>
        <v>1.6198155398794073E-2</v>
      </c>
    </row>
    <row r="31" spans="1:21" x14ac:dyDescent="0.2">
      <c r="A31" s="453">
        <v>38473</v>
      </c>
      <c r="B31" s="454">
        <v>678279</v>
      </c>
      <c r="C31" s="455">
        <f>+'Purchased Power Model '!C31</f>
        <v>216.1</v>
      </c>
      <c r="D31" s="455">
        <f>+'Purchased Power Model '!D31</f>
        <v>0.3</v>
      </c>
      <c r="E31" s="443">
        <f>+'Purchased Power Model '!E31</f>
        <v>6.3E-2</v>
      </c>
      <c r="F31" s="53">
        <f>+'Purchased Power Model '!F31</f>
        <v>31</v>
      </c>
      <c r="G31" s="53">
        <f>+'Purchased Power Model '!G31</f>
        <v>1</v>
      </c>
      <c r="H31" s="171">
        <v>10624</v>
      </c>
      <c r="I31" s="456">
        <f t="shared" si="0"/>
        <v>734573.41254701221</v>
      </c>
      <c r="J31" s="457">
        <f t="shared" si="1"/>
        <v>56294.412547012209</v>
      </c>
      <c r="K31" s="5">
        <f t="shared" si="2"/>
        <v>8.2995953799265804E-2</v>
      </c>
    </row>
    <row r="32" spans="1:21" x14ac:dyDescent="0.2">
      <c r="A32" s="453">
        <v>38504</v>
      </c>
      <c r="B32" s="454">
        <v>623044</v>
      </c>
      <c r="C32" s="455">
        <f>+'Purchased Power Model '!C32</f>
        <v>13.7</v>
      </c>
      <c r="D32" s="455">
        <f>+'Purchased Power Model '!D32</f>
        <v>89.9</v>
      </c>
      <c r="E32" s="443">
        <f>+'Purchased Power Model '!E32</f>
        <v>6.3E-2</v>
      </c>
      <c r="F32" s="53">
        <f>+'Purchased Power Model '!F32</f>
        <v>30</v>
      </c>
      <c r="G32" s="53">
        <f>+'Purchased Power Model '!G32</f>
        <v>0</v>
      </c>
      <c r="H32" s="171">
        <v>10624</v>
      </c>
      <c r="I32" s="456">
        <f t="shared" si="0"/>
        <v>586046.7259315633</v>
      </c>
      <c r="J32" s="457">
        <f t="shared" si="1"/>
        <v>-36997.274068436702</v>
      </c>
      <c r="K32" s="5">
        <f t="shared" si="2"/>
        <v>-5.9381478785505842E-2</v>
      </c>
    </row>
    <row r="33" spans="1:11" x14ac:dyDescent="0.2">
      <c r="A33" s="453">
        <v>38534</v>
      </c>
      <c r="B33" s="454">
        <v>559827</v>
      </c>
      <c r="C33" s="455">
        <f>+'Purchased Power Model '!C33</f>
        <v>2.2000000000000002</v>
      </c>
      <c r="D33" s="455">
        <f>+'Purchased Power Model '!D33</f>
        <v>153</v>
      </c>
      <c r="E33" s="443">
        <f>+'Purchased Power Model '!E33</f>
        <v>5.7000000000000002E-2</v>
      </c>
      <c r="F33" s="53">
        <f>+'Purchased Power Model '!F33</f>
        <v>31</v>
      </c>
      <c r="G33" s="53">
        <f>+'Purchased Power Model '!G33</f>
        <v>0</v>
      </c>
      <c r="H33" s="171">
        <v>10624</v>
      </c>
      <c r="I33" s="456">
        <f t="shared" si="0"/>
        <v>456906.79103857349</v>
      </c>
      <c r="J33" s="457">
        <f t="shared" si="1"/>
        <v>-102920.20896142651</v>
      </c>
      <c r="K33" s="5">
        <f t="shared" si="2"/>
        <v>-0.18384288174994509</v>
      </c>
    </row>
    <row r="34" spans="1:11" x14ac:dyDescent="0.2">
      <c r="A34" s="453">
        <v>38565</v>
      </c>
      <c r="B34" s="454">
        <v>606119</v>
      </c>
      <c r="C34" s="455">
        <f>+'Purchased Power Model '!C34</f>
        <v>0</v>
      </c>
      <c r="D34" s="455">
        <f>+'Purchased Power Model '!D34</f>
        <v>108</v>
      </c>
      <c r="E34" s="443">
        <f>+'Purchased Power Model '!E34</f>
        <v>5.7000000000000002E-2</v>
      </c>
      <c r="F34" s="53">
        <f>+'Purchased Power Model '!F34</f>
        <v>31</v>
      </c>
      <c r="G34" s="53">
        <f>+'Purchased Power Model '!G34</f>
        <v>0</v>
      </c>
      <c r="H34" s="171">
        <v>10624</v>
      </c>
      <c r="I34" s="456">
        <f t="shared" si="0"/>
        <v>513493.52632651431</v>
      </c>
      <c r="J34" s="457">
        <f t="shared" si="1"/>
        <v>-92625.473673485685</v>
      </c>
      <c r="K34" s="5">
        <f t="shared" si="2"/>
        <v>-0.1528173076136628</v>
      </c>
    </row>
    <row r="35" spans="1:11" x14ac:dyDescent="0.2">
      <c r="A35" s="453">
        <v>38596</v>
      </c>
      <c r="B35" s="454">
        <v>674980</v>
      </c>
      <c r="C35" s="455">
        <f>+'Purchased Power Model '!C35</f>
        <v>36.700000000000003</v>
      </c>
      <c r="D35" s="455">
        <f>+'Purchased Power Model '!D35</f>
        <v>32.799999999999997</v>
      </c>
      <c r="E35" s="443">
        <f>+'Purchased Power Model '!E35</f>
        <v>5.7000000000000002E-2</v>
      </c>
      <c r="F35" s="53">
        <f>+'Purchased Power Model '!F35</f>
        <v>30</v>
      </c>
      <c r="G35" s="53">
        <f>+'Purchased Power Model '!G35</f>
        <v>1</v>
      </c>
      <c r="H35" s="171">
        <v>10624</v>
      </c>
      <c r="I35" s="456">
        <f t="shared" si="0"/>
        <v>632180.61830689479</v>
      </c>
      <c r="J35" s="457">
        <f t="shared" si="1"/>
        <v>-42799.381693105213</v>
      </c>
      <c r="K35" s="5">
        <f t="shared" si="2"/>
        <v>-6.3408370163716282E-2</v>
      </c>
    </row>
    <row r="36" spans="1:11" x14ac:dyDescent="0.2">
      <c r="A36" s="453">
        <v>38626</v>
      </c>
      <c r="B36" s="454">
        <v>744249</v>
      </c>
      <c r="C36" s="455">
        <f>+'Purchased Power Model '!C36</f>
        <v>223.8</v>
      </c>
      <c r="D36" s="455">
        <f>+'Purchased Power Model '!D36</f>
        <v>0.5</v>
      </c>
      <c r="E36" s="443">
        <f>+'Purchased Power Model '!E36</f>
        <v>6.7000000000000004E-2</v>
      </c>
      <c r="F36" s="53">
        <f>+'Purchased Power Model '!F36</f>
        <v>31</v>
      </c>
      <c r="G36" s="53">
        <f>+'Purchased Power Model '!G36</f>
        <v>1</v>
      </c>
      <c r="H36" s="171">
        <v>10624</v>
      </c>
      <c r="I36" s="456">
        <f t="shared" si="0"/>
        <v>748914.07308727095</v>
      </c>
      <c r="J36" s="457">
        <f t="shared" si="1"/>
        <v>4665.0730872709537</v>
      </c>
      <c r="K36" s="5">
        <f t="shared" si="2"/>
        <v>6.2681617137153745E-3</v>
      </c>
    </row>
    <row r="37" spans="1:11" x14ac:dyDescent="0.2">
      <c r="A37" s="453">
        <v>38657</v>
      </c>
      <c r="B37" s="454">
        <v>859234</v>
      </c>
      <c r="C37" s="455">
        <f>+'Purchased Power Model '!C37</f>
        <v>398.5</v>
      </c>
      <c r="D37" s="455">
        <f>+'Purchased Power Model '!D37</f>
        <v>0</v>
      </c>
      <c r="E37" s="443">
        <f>+'Purchased Power Model '!E37</f>
        <v>6.7000000000000004E-2</v>
      </c>
      <c r="F37" s="53">
        <f>+'Purchased Power Model '!F37</f>
        <v>30</v>
      </c>
      <c r="G37" s="53">
        <f>+'Purchased Power Model '!G37</f>
        <v>1</v>
      </c>
      <c r="H37" s="171">
        <v>10624</v>
      </c>
      <c r="I37" s="456">
        <f t="shared" si="0"/>
        <v>844663.94096844154</v>
      </c>
      <c r="J37" s="457">
        <f t="shared" si="1"/>
        <v>-14570.059031558456</v>
      </c>
      <c r="K37" s="5">
        <f t="shared" si="2"/>
        <v>-1.6957032696050735E-2</v>
      </c>
    </row>
    <row r="38" spans="1:11" x14ac:dyDescent="0.2">
      <c r="A38" s="453">
        <v>38687</v>
      </c>
      <c r="B38" s="454">
        <v>923562</v>
      </c>
      <c r="C38" s="455">
        <f>+'Purchased Power Model '!C38</f>
        <v>641.1</v>
      </c>
      <c r="D38" s="455">
        <f>+'Purchased Power Model '!D38</f>
        <v>0</v>
      </c>
      <c r="E38" s="443">
        <f>+'Purchased Power Model '!E38</f>
        <v>6.7000000000000004E-2</v>
      </c>
      <c r="F38" s="53">
        <f>+'Purchased Power Model '!F38</f>
        <v>31</v>
      </c>
      <c r="G38" s="53">
        <f>+'Purchased Power Model '!G38</f>
        <v>0</v>
      </c>
      <c r="H38" s="171">
        <v>10624</v>
      </c>
      <c r="I38" s="456">
        <f t="shared" si="0"/>
        <v>931334.55096193729</v>
      </c>
      <c r="J38" s="457">
        <f t="shared" si="1"/>
        <v>7772.5509619372897</v>
      </c>
      <c r="K38" s="5">
        <f t="shared" si="2"/>
        <v>8.4158410176439578E-3</v>
      </c>
    </row>
    <row r="39" spans="1:11" x14ac:dyDescent="0.2">
      <c r="A39" s="453">
        <v>38718</v>
      </c>
      <c r="B39" s="96">
        <v>986287</v>
      </c>
      <c r="C39" s="455">
        <f>+'Purchased Power Model '!C39</f>
        <v>558.20000000000005</v>
      </c>
      <c r="D39" s="455">
        <f>+'Purchased Power Model '!D39</f>
        <v>0</v>
      </c>
      <c r="E39" s="443">
        <f>+'Purchased Power Model '!E39</f>
        <v>6.7000000000000004E-2</v>
      </c>
      <c r="F39" s="53">
        <f>+'Purchased Power Model '!F39</f>
        <v>31</v>
      </c>
      <c r="G39" s="53">
        <f>+'Purchased Power Model '!G39</f>
        <v>0</v>
      </c>
      <c r="H39" s="171">
        <v>11038</v>
      </c>
      <c r="I39" s="456">
        <f t="shared" si="0"/>
        <v>898876.35872216732</v>
      </c>
      <c r="J39" s="457">
        <f t="shared" si="1"/>
        <v>-87410.641277832678</v>
      </c>
      <c r="K39" s="5">
        <f t="shared" si="2"/>
        <v>-8.8625969193381518E-2</v>
      </c>
    </row>
    <row r="40" spans="1:11" x14ac:dyDescent="0.2">
      <c r="A40" s="453">
        <v>38749</v>
      </c>
      <c r="B40" s="96">
        <v>965836</v>
      </c>
      <c r="C40" s="455">
        <f>+'Purchased Power Model '!C40</f>
        <v>608.79999999999995</v>
      </c>
      <c r="D40" s="455">
        <f>+'Purchased Power Model '!D40</f>
        <v>0</v>
      </c>
      <c r="E40" s="443">
        <f>+'Purchased Power Model '!E40</f>
        <v>6.7000000000000004E-2</v>
      </c>
      <c r="F40" s="53">
        <f>+'Purchased Power Model '!F40</f>
        <v>28</v>
      </c>
      <c r="G40" s="53">
        <f>+'Purchased Power Model '!G40</f>
        <v>0</v>
      </c>
      <c r="H40" s="171">
        <v>11038</v>
      </c>
      <c r="I40" s="456">
        <f t="shared" si="0"/>
        <v>998819.54131854093</v>
      </c>
      <c r="J40" s="457">
        <f t="shared" si="1"/>
        <v>32983.541318540927</v>
      </c>
      <c r="K40" s="5">
        <f t="shared" si="2"/>
        <v>3.4150250475796021E-2</v>
      </c>
    </row>
    <row r="41" spans="1:11" x14ac:dyDescent="0.2">
      <c r="A41" s="453">
        <v>38777</v>
      </c>
      <c r="B41" s="96">
        <v>814933</v>
      </c>
      <c r="C41" s="455">
        <f>+'Purchased Power Model '!C41</f>
        <v>534</v>
      </c>
      <c r="D41" s="455">
        <f>+'Purchased Power Model '!D41</f>
        <v>0</v>
      </c>
      <c r="E41" s="443">
        <f>+'Purchased Power Model '!E41</f>
        <v>6.7000000000000004E-2</v>
      </c>
      <c r="F41" s="53">
        <f>+'Purchased Power Model '!F41</f>
        <v>31</v>
      </c>
      <c r="G41" s="53">
        <f>+'Purchased Power Model '!G41</f>
        <v>1</v>
      </c>
      <c r="H41" s="171">
        <v>11038</v>
      </c>
      <c r="I41" s="456">
        <f t="shared" si="0"/>
        <v>871006.32068520656</v>
      </c>
      <c r="J41" s="457">
        <f t="shared" si="1"/>
        <v>56073.320685206563</v>
      </c>
      <c r="K41" s="5">
        <f t="shared" si="2"/>
        <v>6.8807277021800034E-2</v>
      </c>
    </row>
    <row r="42" spans="1:11" x14ac:dyDescent="0.2">
      <c r="A42" s="453">
        <v>38808</v>
      </c>
      <c r="B42" s="96">
        <v>803774</v>
      </c>
      <c r="C42" s="455">
        <f>+'Purchased Power Model '!C42</f>
        <v>323.60000000000002</v>
      </c>
      <c r="D42" s="455">
        <f>+'Purchased Power Model '!D42</f>
        <v>0</v>
      </c>
      <c r="E42" s="443">
        <f>+'Purchased Power Model '!E42</f>
        <v>6.3E-2</v>
      </c>
      <c r="F42" s="53">
        <f>+'Purchased Power Model '!F42</f>
        <v>30</v>
      </c>
      <c r="G42" s="53">
        <f>+'Purchased Power Model '!G42</f>
        <v>1</v>
      </c>
      <c r="H42" s="171">
        <v>11038</v>
      </c>
      <c r="I42" s="456">
        <f t="shared" si="0"/>
        <v>803756.85152891325</v>
      </c>
      <c r="J42" s="457">
        <f t="shared" si="1"/>
        <v>-17.14847108675167</v>
      </c>
      <c r="K42" s="5">
        <f t="shared" si="2"/>
        <v>-2.1334941272984282E-5</v>
      </c>
    </row>
    <row r="43" spans="1:11" x14ac:dyDescent="0.2">
      <c r="A43" s="453">
        <v>38838</v>
      </c>
      <c r="B43" s="96">
        <v>691635</v>
      </c>
      <c r="C43" s="455">
        <f>+'Purchased Power Model '!C43</f>
        <v>172.6</v>
      </c>
      <c r="D43" s="455">
        <f>+'Purchased Power Model '!D43</f>
        <v>12.8</v>
      </c>
      <c r="E43" s="443">
        <f>+'Purchased Power Model '!E43</f>
        <v>6.3E-2</v>
      </c>
      <c r="F43" s="53">
        <f>+'Purchased Power Model '!F43</f>
        <v>31</v>
      </c>
      <c r="G43" s="53">
        <f>+'Purchased Power Model '!G43</f>
        <v>1</v>
      </c>
      <c r="H43" s="171">
        <v>11038</v>
      </c>
      <c r="I43" s="456">
        <f t="shared" si="0"/>
        <v>701583.86261052301</v>
      </c>
      <c r="J43" s="457">
        <f t="shared" si="1"/>
        <v>9948.8626105230069</v>
      </c>
      <c r="K43" s="5">
        <f t="shared" si="2"/>
        <v>1.4384556320202139E-2</v>
      </c>
    </row>
    <row r="44" spans="1:11" x14ac:dyDescent="0.2">
      <c r="A44" s="453">
        <v>38869</v>
      </c>
      <c r="B44" s="96">
        <v>643096</v>
      </c>
      <c r="C44" s="455">
        <f>+'Purchased Power Model '!C44</f>
        <v>22.6</v>
      </c>
      <c r="D44" s="455">
        <f>+'Purchased Power Model '!D44</f>
        <v>36.200000000000003</v>
      </c>
      <c r="E44" s="443">
        <f>+'Purchased Power Model '!E44</f>
        <v>6.3E-2</v>
      </c>
      <c r="F44" s="53">
        <f>+'Purchased Power Model '!F44</f>
        <v>30</v>
      </c>
      <c r="G44" s="53">
        <f>+'Purchased Power Model '!G44</f>
        <v>0</v>
      </c>
      <c r="H44" s="171">
        <v>11038</v>
      </c>
      <c r="I44" s="456">
        <f t="shared" si="0"/>
        <v>658086.12652307132</v>
      </c>
      <c r="J44" s="457">
        <f t="shared" si="1"/>
        <v>14990.126523071318</v>
      </c>
      <c r="K44" s="5">
        <f t="shared" si="2"/>
        <v>2.3309313886373601E-2</v>
      </c>
    </row>
    <row r="45" spans="1:11" x14ac:dyDescent="0.2">
      <c r="A45" s="453">
        <v>38899</v>
      </c>
      <c r="B45" s="96">
        <v>580475</v>
      </c>
      <c r="C45" s="455">
        <f>+'Purchased Power Model '!C45</f>
        <v>1.7</v>
      </c>
      <c r="D45" s="455">
        <f>+'Purchased Power Model '!D45</f>
        <v>107.6</v>
      </c>
      <c r="E45" s="443">
        <f>+'Purchased Power Model '!E45</f>
        <v>6.6000000000000003E-2</v>
      </c>
      <c r="F45" s="53">
        <f>+'Purchased Power Model '!F45</f>
        <v>31</v>
      </c>
      <c r="G45" s="53">
        <f>+'Purchased Power Model '!G45</f>
        <v>0</v>
      </c>
      <c r="H45" s="171">
        <v>11038</v>
      </c>
      <c r="I45" s="456">
        <f t="shared" si="0"/>
        <v>540727.4203166482</v>
      </c>
      <c r="J45" s="457">
        <f t="shared" si="1"/>
        <v>-39747.579683351796</v>
      </c>
      <c r="K45" s="5">
        <f t="shared" si="2"/>
        <v>-6.8474231764247898E-2</v>
      </c>
    </row>
    <row r="46" spans="1:11" x14ac:dyDescent="0.2">
      <c r="A46" s="453">
        <v>38930</v>
      </c>
      <c r="B46" s="96">
        <v>620967</v>
      </c>
      <c r="C46" s="455">
        <f>+'Purchased Power Model '!C46</f>
        <v>4.4000000000000004</v>
      </c>
      <c r="D46" s="455">
        <f>+'Purchased Power Model '!D46</f>
        <v>82.1</v>
      </c>
      <c r="E46" s="443">
        <f>+'Purchased Power Model '!E46</f>
        <v>6.6000000000000003E-2</v>
      </c>
      <c r="F46" s="53">
        <f>+'Purchased Power Model '!F46</f>
        <v>31</v>
      </c>
      <c r="G46" s="53">
        <f>+'Purchased Power Model '!G46</f>
        <v>0</v>
      </c>
      <c r="H46" s="171">
        <v>11038</v>
      </c>
      <c r="I46" s="456">
        <f t="shared" si="0"/>
        <v>574338.49229191313</v>
      </c>
      <c r="J46" s="457">
        <f t="shared" si="1"/>
        <v>-46628.507708086865</v>
      </c>
      <c r="K46" s="5">
        <f t="shared" si="2"/>
        <v>-7.5090154079181126E-2</v>
      </c>
    </row>
    <row r="47" spans="1:11" x14ac:dyDescent="0.2">
      <c r="A47" s="453">
        <v>38961</v>
      </c>
      <c r="B47" s="96">
        <v>694246</v>
      </c>
      <c r="C47" s="455">
        <f>+'Purchased Power Model '!C47</f>
        <v>70.7</v>
      </c>
      <c r="D47" s="455">
        <f>+'Purchased Power Model '!D47</f>
        <v>5.0999999999999996</v>
      </c>
      <c r="E47" s="443">
        <f>+'Purchased Power Model '!E47</f>
        <v>6.6000000000000003E-2</v>
      </c>
      <c r="F47" s="53">
        <f>+'Purchased Power Model '!F47</f>
        <v>30</v>
      </c>
      <c r="G47" s="53">
        <f>+'Purchased Power Model '!G47</f>
        <v>1</v>
      </c>
      <c r="H47" s="171">
        <v>11038</v>
      </c>
      <c r="I47" s="456">
        <f t="shared" si="0"/>
        <v>706912.92354164342</v>
      </c>
      <c r="J47" s="457">
        <f t="shared" si="1"/>
        <v>12666.923541643424</v>
      </c>
      <c r="K47" s="5">
        <f t="shared" si="2"/>
        <v>1.8245583757981212E-2</v>
      </c>
    </row>
    <row r="48" spans="1:11" x14ac:dyDescent="0.2">
      <c r="A48" s="453">
        <v>38991</v>
      </c>
      <c r="B48" s="96">
        <v>766235</v>
      </c>
      <c r="C48" s="455">
        <f>+'Purchased Power Model '!C48</f>
        <v>274.60000000000002</v>
      </c>
      <c r="D48" s="455">
        <f>+'Purchased Power Model '!D48</f>
        <v>0</v>
      </c>
      <c r="E48" s="443">
        <f>+'Purchased Power Model '!E48</f>
        <v>6.7000000000000004E-2</v>
      </c>
      <c r="F48" s="53">
        <f>+'Purchased Power Model '!F48</f>
        <v>31</v>
      </c>
      <c r="G48" s="53">
        <f>+'Purchased Power Model '!G48</f>
        <v>1</v>
      </c>
      <c r="H48" s="171">
        <v>11038</v>
      </c>
      <c r="I48" s="456">
        <f t="shared" si="0"/>
        <v>769442.32711468369</v>
      </c>
      <c r="J48" s="457">
        <f t="shared" si="1"/>
        <v>3207.3271146836923</v>
      </c>
      <c r="K48" s="5">
        <f t="shared" si="2"/>
        <v>4.1858269521539634E-3</v>
      </c>
    </row>
    <row r="49" spans="1:11" x14ac:dyDescent="0.2">
      <c r="A49" s="453">
        <v>39022</v>
      </c>
      <c r="B49" s="96">
        <v>886587</v>
      </c>
      <c r="C49" s="455">
        <f>+'Purchased Power Model '!C49</f>
        <v>367.5</v>
      </c>
      <c r="D49" s="455">
        <f>+'Purchased Power Model '!D49</f>
        <v>0</v>
      </c>
      <c r="E49" s="443">
        <f>+'Purchased Power Model '!E49</f>
        <v>6.7000000000000004E-2</v>
      </c>
      <c r="F49" s="53">
        <f>+'Purchased Power Model '!F49</f>
        <v>30</v>
      </c>
      <c r="G49" s="53">
        <f>+'Purchased Power Model '!G49</f>
        <v>1</v>
      </c>
      <c r="H49" s="171">
        <v>11038</v>
      </c>
      <c r="I49" s="456">
        <f t="shared" si="0"/>
        <v>832526.37812847923</v>
      </c>
      <c r="J49" s="457">
        <f t="shared" si="1"/>
        <v>-54060.621871520765</v>
      </c>
      <c r="K49" s="5">
        <f t="shared" si="2"/>
        <v>-6.0976104850985598E-2</v>
      </c>
    </row>
    <row r="50" spans="1:11" x14ac:dyDescent="0.2">
      <c r="A50" s="453">
        <v>39052</v>
      </c>
      <c r="B50" s="96">
        <v>944454</v>
      </c>
      <c r="C50" s="455">
        <f>+'Purchased Power Model '!C50</f>
        <v>471.5</v>
      </c>
      <c r="D50" s="455">
        <f>+'Purchased Power Model '!D50</f>
        <v>0</v>
      </c>
      <c r="E50" s="443">
        <f>+'Purchased Power Model '!E50</f>
        <v>6.7000000000000004E-2</v>
      </c>
      <c r="F50" s="53">
        <f>+'Purchased Power Model '!F50</f>
        <v>31</v>
      </c>
      <c r="G50" s="53">
        <f>+'Purchased Power Model '!G50</f>
        <v>0</v>
      </c>
      <c r="H50" s="171">
        <v>11038</v>
      </c>
      <c r="I50" s="456">
        <f t="shared" si="0"/>
        <v>864930.33619878883</v>
      </c>
      <c r="J50" s="457">
        <f t="shared" si="1"/>
        <v>-79523.663801211165</v>
      </c>
      <c r="K50" s="5">
        <f t="shared" si="2"/>
        <v>-8.4200674465046643E-2</v>
      </c>
    </row>
    <row r="51" spans="1:11" x14ac:dyDescent="0.2">
      <c r="A51" s="453">
        <v>39083</v>
      </c>
      <c r="B51" s="96">
        <v>1025924</v>
      </c>
      <c r="C51" s="455">
        <f>+'Purchased Power Model '!C51</f>
        <v>573.1</v>
      </c>
      <c r="D51" s="455">
        <f>+'Purchased Power Model '!D51</f>
        <v>0</v>
      </c>
      <c r="E51" s="443">
        <f>+'Purchased Power Model '!E51</f>
        <v>6.2E-2</v>
      </c>
      <c r="F51" s="53">
        <f>+'Purchased Power Model '!F51</f>
        <v>31</v>
      </c>
      <c r="G51" s="53">
        <f>+'Purchased Power Model '!G51</f>
        <v>0</v>
      </c>
      <c r="H51" s="171">
        <v>11523</v>
      </c>
      <c r="I51" s="456">
        <f t="shared" si="0"/>
        <v>890233.75521975406</v>
      </c>
      <c r="J51" s="457">
        <f t="shared" si="1"/>
        <v>-135690.24478024594</v>
      </c>
      <c r="K51" s="5">
        <f t="shared" si="2"/>
        <v>-0.13226149771352064</v>
      </c>
    </row>
    <row r="52" spans="1:11" x14ac:dyDescent="0.2">
      <c r="A52" s="453">
        <v>39114</v>
      </c>
      <c r="B52" s="96">
        <v>999738</v>
      </c>
      <c r="C52" s="455">
        <f>+'Purchased Power Model '!C52</f>
        <v>693.5</v>
      </c>
      <c r="D52" s="455">
        <f>+'Purchased Power Model '!D52</f>
        <v>0</v>
      </c>
      <c r="E52" s="443">
        <f>+'Purchased Power Model '!E52</f>
        <v>6.2E-2</v>
      </c>
      <c r="F52" s="53">
        <f>+'Purchased Power Model '!F52</f>
        <v>28</v>
      </c>
      <c r="G52" s="53">
        <f>+'Purchased Power Model '!G52</f>
        <v>0</v>
      </c>
      <c r="H52" s="171">
        <v>11523</v>
      </c>
      <c r="I52" s="456">
        <f t="shared" si="0"/>
        <v>1017506.0309203009</v>
      </c>
      <c r="J52" s="457">
        <f t="shared" si="1"/>
        <v>17768.030920300866</v>
      </c>
      <c r="K52" s="5">
        <f t="shared" si="2"/>
        <v>1.7772687364390336E-2</v>
      </c>
    </row>
    <row r="53" spans="1:11" x14ac:dyDescent="0.2">
      <c r="A53" s="453">
        <v>39142</v>
      </c>
      <c r="B53" s="96">
        <v>838997</v>
      </c>
      <c r="C53" s="455">
        <f>+'Purchased Power Model '!C53</f>
        <v>477.9</v>
      </c>
      <c r="D53" s="455">
        <f>+'Purchased Power Model '!D53</f>
        <v>0</v>
      </c>
      <c r="E53" s="443">
        <f>+'Purchased Power Model '!E53</f>
        <v>6.2E-2</v>
      </c>
      <c r="F53" s="53">
        <f>+'Purchased Power Model '!F53</f>
        <v>31</v>
      </c>
      <c r="G53" s="53">
        <f>+'Purchased Power Model '!G53</f>
        <v>1</v>
      </c>
      <c r="H53" s="171">
        <v>11523</v>
      </c>
      <c r="I53" s="456">
        <f t="shared" si="0"/>
        <v>834564.78293642832</v>
      </c>
      <c r="J53" s="457">
        <f t="shared" si="1"/>
        <v>-4432.2170635716757</v>
      </c>
      <c r="K53" s="5">
        <f t="shared" si="2"/>
        <v>-5.2827567483217175E-3</v>
      </c>
    </row>
    <row r="54" spans="1:11" x14ac:dyDescent="0.2">
      <c r="A54" s="453">
        <v>39173</v>
      </c>
      <c r="B54" s="96">
        <v>828764</v>
      </c>
      <c r="C54" s="455">
        <f>+'Purchased Power Model '!C54</f>
        <v>280.39999999999998</v>
      </c>
      <c r="D54" s="455">
        <f>+'Purchased Power Model '!D54</f>
        <v>0</v>
      </c>
      <c r="E54" s="443">
        <f>+'Purchased Power Model '!E54</f>
        <v>5.9000000000000004E-2</v>
      </c>
      <c r="F54" s="53">
        <f>+'Purchased Power Model '!F54</f>
        <v>30</v>
      </c>
      <c r="G54" s="53">
        <f>+'Purchased Power Model '!G54</f>
        <v>1</v>
      </c>
      <c r="H54" s="171">
        <v>11523</v>
      </c>
      <c r="I54" s="456">
        <f t="shared" si="0"/>
        <v>775261.39892895962</v>
      </c>
      <c r="J54" s="457">
        <f t="shared" si="1"/>
        <v>-53502.601071040379</v>
      </c>
      <c r="K54" s="5">
        <f t="shared" si="2"/>
        <v>-6.4557100780246707E-2</v>
      </c>
    </row>
    <row r="55" spans="1:11" x14ac:dyDescent="0.2">
      <c r="A55" s="453">
        <v>39203</v>
      </c>
      <c r="B55" s="96">
        <v>711436</v>
      </c>
      <c r="C55" s="455">
        <f>+'Purchased Power Model '!C55</f>
        <v>72.8</v>
      </c>
      <c r="D55" s="455">
        <f>+'Purchased Power Model '!D55</f>
        <v>4.5</v>
      </c>
      <c r="E55" s="443">
        <f>+'Purchased Power Model '!E55</f>
        <v>5.9000000000000004E-2</v>
      </c>
      <c r="F55" s="53">
        <f>+'Purchased Power Model '!F55</f>
        <v>31</v>
      </c>
      <c r="G55" s="53">
        <f>+'Purchased Power Model '!G55</f>
        <v>1</v>
      </c>
      <c r="H55" s="171">
        <v>11523</v>
      </c>
      <c r="I55" s="456">
        <f t="shared" si="0"/>
        <v>661523.5543357745</v>
      </c>
      <c r="J55" s="457">
        <f t="shared" si="1"/>
        <v>-49912.445664225495</v>
      </c>
      <c r="K55" s="5">
        <f t="shared" si="2"/>
        <v>-7.0157323588102782E-2</v>
      </c>
    </row>
    <row r="56" spans="1:11" x14ac:dyDescent="0.2">
      <c r="A56" s="453">
        <v>39234</v>
      </c>
      <c r="B56" s="96">
        <v>632106</v>
      </c>
      <c r="C56" s="455">
        <f>+'Purchased Power Model '!C56</f>
        <v>6.2</v>
      </c>
      <c r="D56" s="455">
        <f>+'Purchased Power Model '!D56</f>
        <v>32.799999999999997</v>
      </c>
      <c r="E56" s="443">
        <f>+'Purchased Power Model '!E56</f>
        <v>5.9000000000000004E-2</v>
      </c>
      <c r="F56" s="53">
        <f>+'Purchased Power Model '!F56</f>
        <v>30</v>
      </c>
      <c r="G56" s="53">
        <f>+'Purchased Power Model '!G56</f>
        <v>0</v>
      </c>
      <c r="H56" s="171">
        <v>11523</v>
      </c>
      <c r="I56" s="456">
        <f t="shared" si="0"/>
        <v>644424.3166861186</v>
      </c>
      <c r="J56" s="457">
        <f t="shared" si="1"/>
        <v>12318.316686118604</v>
      </c>
      <c r="K56" s="5">
        <f t="shared" si="2"/>
        <v>1.9487738901574424E-2</v>
      </c>
    </row>
    <row r="57" spans="1:11" x14ac:dyDescent="0.2">
      <c r="A57" s="453">
        <v>39264</v>
      </c>
      <c r="B57" s="96">
        <v>597445</v>
      </c>
      <c r="C57" s="455">
        <f>+'Purchased Power Model '!C57</f>
        <v>8.6999999999999993</v>
      </c>
      <c r="D57" s="455">
        <f>+'Purchased Power Model '!D57</f>
        <v>41.6</v>
      </c>
      <c r="E57" s="443">
        <f>+'Purchased Power Model '!E57</f>
        <v>6.4000000000000001E-2</v>
      </c>
      <c r="F57" s="53">
        <f>+'Purchased Power Model '!F57</f>
        <v>31</v>
      </c>
      <c r="G57" s="53">
        <f>+'Purchased Power Model '!G57</f>
        <v>0</v>
      </c>
      <c r="H57" s="171">
        <v>11523</v>
      </c>
      <c r="I57" s="456">
        <f t="shared" si="0"/>
        <v>621934.8036213459</v>
      </c>
      <c r="J57" s="457">
        <f t="shared" si="1"/>
        <v>24489.803621345898</v>
      </c>
      <c r="K57" s="5">
        <f t="shared" si="2"/>
        <v>4.0990892251748526E-2</v>
      </c>
    </row>
    <row r="58" spans="1:11" x14ac:dyDescent="0.2">
      <c r="A58" s="453">
        <v>39295</v>
      </c>
      <c r="B58" s="96">
        <v>643097</v>
      </c>
      <c r="C58" s="455">
        <f>+'Purchased Power Model '!C58</f>
        <v>4</v>
      </c>
      <c r="D58" s="455">
        <f>+'Purchased Power Model '!D58</f>
        <v>87.8</v>
      </c>
      <c r="E58" s="443">
        <f>+'Purchased Power Model '!E58</f>
        <v>6.4000000000000001E-2</v>
      </c>
      <c r="F58" s="53">
        <f>+'Purchased Power Model '!F58</f>
        <v>31</v>
      </c>
      <c r="G58" s="53">
        <f>+'Purchased Power Model '!G58</f>
        <v>0</v>
      </c>
      <c r="H58" s="171">
        <v>11523</v>
      </c>
      <c r="I58" s="456">
        <f t="shared" si="0"/>
        <v>561114.53214672604</v>
      </c>
      <c r="J58" s="457">
        <f t="shared" si="1"/>
        <v>-81982.467853273964</v>
      </c>
      <c r="K58" s="5">
        <f t="shared" si="2"/>
        <v>-0.12748071885465795</v>
      </c>
    </row>
    <row r="59" spans="1:11" x14ac:dyDescent="0.2">
      <c r="A59" s="453">
        <v>39326</v>
      </c>
      <c r="B59" s="96">
        <v>721567</v>
      </c>
      <c r="C59" s="455">
        <f>+'Purchased Power Model '!C59</f>
        <v>20.100000000000001</v>
      </c>
      <c r="D59" s="455">
        <f>+'Purchased Power Model '!D59</f>
        <v>12.3</v>
      </c>
      <c r="E59" s="443">
        <f>+'Purchased Power Model '!E59</f>
        <v>6.4000000000000001E-2</v>
      </c>
      <c r="F59" s="53">
        <f>+'Purchased Power Model '!F59</f>
        <v>30</v>
      </c>
      <c r="G59" s="53">
        <f>+'Purchased Power Model '!G59</f>
        <v>1</v>
      </c>
      <c r="H59" s="171">
        <v>11523</v>
      </c>
      <c r="I59" s="456">
        <f t="shared" si="0"/>
        <v>672119.00525757764</v>
      </c>
      <c r="J59" s="457">
        <f t="shared" si="1"/>
        <v>-49447.994742422365</v>
      </c>
      <c r="K59" s="5">
        <f t="shared" si="2"/>
        <v>-6.8528625536398366E-2</v>
      </c>
    </row>
    <row r="60" spans="1:11" x14ac:dyDescent="0.2">
      <c r="A60" s="453">
        <v>39356</v>
      </c>
      <c r="B60" s="96">
        <v>796324</v>
      </c>
      <c r="C60" s="455">
        <f>+'Purchased Power Model '!C60</f>
        <v>101.5</v>
      </c>
      <c r="D60" s="455">
        <f>+'Purchased Power Model '!D60</f>
        <v>0</v>
      </c>
      <c r="E60" s="443">
        <f>+'Purchased Power Model '!E60</f>
        <v>6.0999999999999999E-2</v>
      </c>
      <c r="F60" s="53">
        <f>+'Purchased Power Model '!F60</f>
        <v>31</v>
      </c>
      <c r="G60" s="53">
        <f>+'Purchased Power Model '!G60</f>
        <v>1</v>
      </c>
      <c r="H60" s="171">
        <v>11523</v>
      </c>
      <c r="I60" s="456">
        <f t="shared" si="0"/>
        <v>684295.98513191717</v>
      </c>
      <c r="J60" s="457">
        <f t="shared" si="1"/>
        <v>-112028.01486808283</v>
      </c>
      <c r="K60" s="5">
        <f t="shared" si="2"/>
        <v>-0.1406814498471512</v>
      </c>
    </row>
    <row r="61" spans="1:11" x14ac:dyDescent="0.2">
      <c r="A61" s="453">
        <v>39387</v>
      </c>
      <c r="B61" s="96">
        <v>921833</v>
      </c>
      <c r="C61" s="455">
        <f>+'Purchased Power Model '!C61</f>
        <v>314.10000000000002</v>
      </c>
      <c r="D61" s="455">
        <f>+'Purchased Power Model '!D61</f>
        <v>0</v>
      </c>
      <c r="E61" s="443">
        <f>+'Purchased Power Model '!E61</f>
        <v>6.0999999999999999E-2</v>
      </c>
      <c r="F61" s="53">
        <f>+'Purchased Power Model '!F61</f>
        <v>30</v>
      </c>
      <c r="G61" s="53">
        <f>+'Purchased Power Model '!G61</f>
        <v>1</v>
      </c>
      <c r="H61" s="171">
        <v>11523</v>
      </c>
      <c r="I61" s="456">
        <f t="shared" si="0"/>
        <v>794246.69007937354</v>
      </c>
      <c r="J61" s="457">
        <f t="shared" si="1"/>
        <v>-127586.30992062646</v>
      </c>
      <c r="K61" s="5">
        <f t="shared" si="2"/>
        <v>-0.13840501470507832</v>
      </c>
    </row>
    <row r="62" spans="1:11" x14ac:dyDescent="0.2">
      <c r="A62" s="453">
        <v>39417</v>
      </c>
      <c r="B62" s="96">
        <v>987290</v>
      </c>
      <c r="C62" s="455">
        <f>+'Purchased Power Model '!C62</f>
        <v>337.8</v>
      </c>
      <c r="D62" s="455">
        <f>+'Purchased Power Model '!D62</f>
        <v>0</v>
      </c>
      <c r="E62" s="443">
        <f>+'Purchased Power Model '!E62</f>
        <v>6.0999999999999999E-2</v>
      </c>
      <c r="F62" s="53">
        <f>+'Purchased Power Model '!F62</f>
        <v>31</v>
      </c>
      <c r="G62" s="53">
        <f>+'Purchased Power Model '!G62</f>
        <v>0</v>
      </c>
      <c r="H62" s="171">
        <v>11523</v>
      </c>
      <c r="I62" s="456">
        <f t="shared" si="0"/>
        <v>795210.44505132921</v>
      </c>
      <c r="J62" s="457">
        <f t="shared" si="1"/>
        <v>-192079.55494867079</v>
      </c>
      <c r="K62" s="5">
        <f t="shared" si="2"/>
        <v>-0.19455231487067709</v>
      </c>
    </row>
    <row r="63" spans="1:11" x14ac:dyDescent="0.2">
      <c r="A63" s="453">
        <v>39448</v>
      </c>
      <c r="B63" s="171">
        <v>1065645</v>
      </c>
      <c r="C63" s="458">
        <f>+'Purchased Power Model '!C63</f>
        <v>432.8</v>
      </c>
      <c r="D63" s="458">
        <f>+'Purchased Power Model '!D63</f>
        <v>0</v>
      </c>
      <c r="E63" s="443">
        <f>+'Purchased Power Model '!E63</f>
        <v>6.6000000000000003E-2</v>
      </c>
      <c r="F63" s="53">
        <f>+'Purchased Power Model '!F63</f>
        <v>31</v>
      </c>
      <c r="G63" s="53">
        <f>+'Purchased Power Model '!G63</f>
        <v>0</v>
      </c>
      <c r="H63" s="171">
        <v>11548</v>
      </c>
      <c r="I63" s="456">
        <f t="shared" si="0"/>
        <v>846882.66649283445</v>
      </c>
      <c r="J63" s="457">
        <f t="shared" si="1"/>
        <v>-218762.33350716555</v>
      </c>
      <c r="K63" s="5">
        <f t="shared" si="2"/>
        <v>-0.20528631346007867</v>
      </c>
    </row>
    <row r="64" spans="1:11" x14ac:dyDescent="0.2">
      <c r="A64" s="453">
        <v>39479</v>
      </c>
      <c r="B64" s="171">
        <v>1048455</v>
      </c>
      <c r="C64" s="458">
        <f>+'Purchased Power Model '!C64</f>
        <v>317.60000000000002</v>
      </c>
      <c r="D64" s="458">
        <f>+'Purchased Power Model '!D64</f>
        <v>0</v>
      </c>
      <c r="E64" s="443">
        <f>+'Purchased Power Model '!E64</f>
        <v>6.6000000000000003E-2</v>
      </c>
      <c r="F64" s="53">
        <f>+'Purchased Power Model '!F64</f>
        <v>29</v>
      </c>
      <c r="G64" s="53">
        <f>+'Purchased Power Model '!G64</f>
        <v>0</v>
      </c>
      <c r="H64" s="171">
        <v>11548</v>
      </c>
      <c r="I64" s="456">
        <f t="shared" si="0"/>
        <v>855198.94868724339</v>
      </c>
      <c r="J64" s="457">
        <f t="shared" si="1"/>
        <v>-193256.05131275661</v>
      </c>
      <c r="K64" s="5">
        <f t="shared" si="2"/>
        <v>-0.18432460268943981</v>
      </c>
    </row>
    <row r="65" spans="1:17" x14ac:dyDescent="0.2">
      <c r="A65" s="453">
        <v>39508</v>
      </c>
      <c r="B65" s="171">
        <v>899688</v>
      </c>
      <c r="C65" s="458">
        <f>+'Purchased Power Model '!C65</f>
        <v>430</v>
      </c>
      <c r="D65" s="458">
        <f>+'Purchased Power Model '!D65</f>
        <v>0</v>
      </c>
      <c r="E65" s="443">
        <f>+'Purchased Power Model '!E65</f>
        <v>6.6000000000000003E-2</v>
      </c>
      <c r="F65" s="53">
        <f>+'Purchased Power Model '!F65</f>
        <v>31</v>
      </c>
      <c r="G65" s="53">
        <f>+'Purchased Power Model '!G65</f>
        <v>1</v>
      </c>
      <c r="H65" s="171">
        <v>11548</v>
      </c>
      <c r="I65" s="456">
        <f t="shared" si="0"/>
        <v>827391.4621582994</v>
      </c>
      <c r="J65" s="457">
        <f t="shared" si="1"/>
        <v>-72296.5378417006</v>
      </c>
      <c r="K65" s="5">
        <f t="shared" si="2"/>
        <v>-8.0357343703262238E-2</v>
      </c>
    </row>
    <row r="66" spans="1:17" x14ac:dyDescent="0.2">
      <c r="A66" s="453">
        <v>39539</v>
      </c>
      <c r="B66" s="171">
        <v>864033</v>
      </c>
      <c r="C66" s="458">
        <f>+'Purchased Power Model '!C66</f>
        <v>144.6</v>
      </c>
      <c r="D66" s="458">
        <f>+'Purchased Power Model '!D66</f>
        <v>0</v>
      </c>
      <c r="E66" s="443">
        <f>+'Purchased Power Model '!E66</f>
        <v>7.400000000000001E-2</v>
      </c>
      <c r="F66" s="53">
        <f>+'Purchased Power Model '!F66</f>
        <v>30</v>
      </c>
      <c r="G66" s="53">
        <f>+'Purchased Power Model '!G66</f>
        <v>1</v>
      </c>
      <c r="H66" s="171">
        <v>11606</v>
      </c>
      <c r="I66" s="456">
        <f t="shared" si="0"/>
        <v>765520.43605811638</v>
      </c>
      <c r="J66" s="457">
        <f t="shared" si="1"/>
        <v>-98512.563941883622</v>
      </c>
      <c r="K66" s="5">
        <f t="shared" si="2"/>
        <v>-0.11401481649645745</v>
      </c>
    </row>
    <row r="67" spans="1:17" x14ac:dyDescent="0.2">
      <c r="A67" s="453">
        <v>39569</v>
      </c>
      <c r="B67" s="171">
        <v>734031</v>
      </c>
      <c r="C67" s="458">
        <f>+'Purchased Power Model '!C67</f>
        <v>151</v>
      </c>
      <c r="D67" s="458">
        <f>+'Purchased Power Model '!D67</f>
        <v>0</v>
      </c>
      <c r="E67" s="443">
        <f>+'Purchased Power Model '!E67</f>
        <v>7.400000000000001E-2</v>
      </c>
      <c r="F67" s="53">
        <f>+'Purchased Power Model '!F67</f>
        <v>31</v>
      </c>
      <c r="G67" s="53">
        <f>+'Purchased Power Model '!G67</f>
        <v>1</v>
      </c>
      <c r="H67" s="171">
        <v>11633</v>
      </c>
      <c r="I67" s="456">
        <f t="shared" si="0"/>
        <v>741315.7395607162</v>
      </c>
      <c r="J67" s="457">
        <f t="shared" si="1"/>
        <v>7284.7395607162034</v>
      </c>
      <c r="K67" s="5">
        <f t="shared" si="2"/>
        <v>9.9242941520401775E-3</v>
      </c>
    </row>
    <row r="68" spans="1:17" x14ac:dyDescent="0.2">
      <c r="A68" s="453">
        <v>39600</v>
      </c>
      <c r="B68" s="171">
        <v>674578</v>
      </c>
      <c r="C68" s="458">
        <f>+'Purchased Power Model '!C68</f>
        <v>15.5</v>
      </c>
      <c r="D68" s="458">
        <f>+'Purchased Power Model '!D68</f>
        <v>23.6</v>
      </c>
      <c r="E68" s="443">
        <f>+'Purchased Power Model '!E68</f>
        <v>7.400000000000001E-2</v>
      </c>
      <c r="F68" s="53">
        <f>+'Purchased Power Model '!F68</f>
        <v>30</v>
      </c>
      <c r="G68" s="53">
        <f>+'Purchased Power Model '!G68</f>
        <v>0</v>
      </c>
      <c r="H68" s="171">
        <v>11633</v>
      </c>
      <c r="I68" s="456">
        <f t="shared" ref="I68:I131" si="3">$N$18+C68*$N$19+D68*$N$20+E68*$N$21+F68*$N$22+G68*$N$23</f>
        <v>703239.92567157291</v>
      </c>
      <c r="J68" s="457">
        <f t="shared" ref="J68:J131" si="4">I68-B68</f>
        <v>28661.925671572913</v>
      </c>
      <c r="K68" s="5">
        <f t="shared" ref="K68:K131" si="5">J68/B68</f>
        <v>4.2488675396429934E-2</v>
      </c>
    </row>
    <row r="69" spans="1:17" x14ac:dyDescent="0.2">
      <c r="A69" s="453">
        <v>39630</v>
      </c>
      <c r="B69" s="171">
        <v>610991</v>
      </c>
      <c r="C69" s="458">
        <f>+'Purchased Power Model '!C69</f>
        <v>1</v>
      </c>
      <c r="D69" s="458">
        <f>+'Purchased Power Model '!D69</f>
        <v>61.4</v>
      </c>
      <c r="E69" s="443">
        <f>+'Purchased Power Model '!E69</f>
        <v>6.8000000000000005E-2</v>
      </c>
      <c r="F69" s="53">
        <f>+'Purchased Power Model '!F69</f>
        <v>31</v>
      </c>
      <c r="G69" s="53">
        <f>+'Purchased Power Model '!G69</f>
        <v>0</v>
      </c>
      <c r="H69" s="171">
        <v>11633</v>
      </c>
      <c r="I69" s="456">
        <f t="shared" si="3"/>
        <v>605223.99239192298</v>
      </c>
      <c r="J69" s="457">
        <f t="shared" si="4"/>
        <v>-5767.0076080770232</v>
      </c>
      <c r="K69" s="5">
        <f t="shared" si="5"/>
        <v>-9.4387766891443955E-3</v>
      </c>
    </row>
    <row r="70" spans="1:17" x14ac:dyDescent="0.2">
      <c r="A70" s="453">
        <v>39661</v>
      </c>
      <c r="B70" s="171">
        <v>654944</v>
      </c>
      <c r="C70" s="458">
        <f>+'Purchased Power Model '!C70</f>
        <v>13.8</v>
      </c>
      <c r="D70" s="458">
        <f>+'Purchased Power Model '!D70</f>
        <v>29.9</v>
      </c>
      <c r="E70" s="443">
        <f>+'Purchased Power Model '!E70</f>
        <v>6.8000000000000005E-2</v>
      </c>
      <c r="F70" s="53">
        <f>+'Purchased Power Model '!F70</f>
        <v>31</v>
      </c>
      <c r="G70" s="53">
        <f>+'Purchased Power Model '!G70</f>
        <v>0</v>
      </c>
      <c r="H70" s="171">
        <v>11633</v>
      </c>
      <c r="I70" s="456">
        <f t="shared" si="3"/>
        <v>650449.30874267709</v>
      </c>
      <c r="J70" s="457">
        <f t="shared" si="4"/>
        <v>-4494.6912573229056</v>
      </c>
      <c r="K70" s="5">
        <f t="shared" si="5"/>
        <v>-6.8627107925607464E-3</v>
      </c>
    </row>
    <row r="71" spans="1:17" x14ac:dyDescent="0.2">
      <c r="A71" s="453">
        <v>39692</v>
      </c>
      <c r="B71" s="171">
        <v>733090</v>
      </c>
      <c r="C71" s="458">
        <f>+'Purchased Power Model '!C71</f>
        <v>51.6</v>
      </c>
      <c r="D71" s="458">
        <f>+'Purchased Power Model '!D71</f>
        <v>15.1</v>
      </c>
      <c r="E71" s="443">
        <f>+'Purchased Power Model '!E71</f>
        <v>6.8000000000000005E-2</v>
      </c>
      <c r="F71" s="53">
        <f>+'Purchased Power Model '!F71</f>
        <v>30</v>
      </c>
      <c r="G71" s="53">
        <f>+'Purchased Power Model '!G71</f>
        <v>1</v>
      </c>
      <c r="H71" s="171">
        <v>11663</v>
      </c>
      <c r="I71" s="456">
        <f t="shared" si="3"/>
        <v>692458.95760998456</v>
      </c>
      <c r="J71" s="457">
        <f t="shared" si="4"/>
        <v>-40631.042390015442</v>
      </c>
      <c r="K71" s="5">
        <f t="shared" si="5"/>
        <v>-5.542435770507774E-2</v>
      </c>
    </row>
    <row r="72" spans="1:17" x14ac:dyDescent="0.2">
      <c r="A72" s="453">
        <v>39722</v>
      </c>
      <c r="B72" s="171">
        <v>803901</v>
      </c>
      <c r="C72" s="458">
        <f>+'Purchased Power Model '!C72</f>
        <v>203.1</v>
      </c>
      <c r="D72" s="458">
        <f>+'Purchased Power Model '!D72</f>
        <v>0</v>
      </c>
      <c r="E72" s="443">
        <f>+'Purchased Power Model '!E72</f>
        <v>0.08</v>
      </c>
      <c r="F72" s="53">
        <f>+'Purchased Power Model '!F72</f>
        <v>31</v>
      </c>
      <c r="G72" s="53">
        <f>+'Purchased Power Model '!G72</f>
        <v>1</v>
      </c>
      <c r="H72" s="171">
        <v>11679</v>
      </c>
      <c r="I72" s="456">
        <f t="shared" si="3"/>
        <v>779086.43303911376</v>
      </c>
      <c r="J72" s="457">
        <f t="shared" si="4"/>
        <v>-24814.566960886237</v>
      </c>
      <c r="K72" s="5">
        <f t="shared" si="5"/>
        <v>-3.08676901271254E-2</v>
      </c>
    </row>
    <row r="73" spans="1:17" x14ac:dyDescent="0.2">
      <c r="A73" s="453">
        <v>39753</v>
      </c>
      <c r="B73" s="171">
        <v>828423</v>
      </c>
      <c r="C73" s="458">
        <f>+'Purchased Power Model '!C73</f>
        <v>268.8</v>
      </c>
      <c r="D73" s="458">
        <f>+'Purchased Power Model '!D73</f>
        <v>0</v>
      </c>
      <c r="E73" s="443">
        <f>+'Purchased Power Model '!E73</f>
        <v>0.08</v>
      </c>
      <c r="F73" s="53">
        <f>+'Purchased Power Model '!F73</f>
        <v>30</v>
      </c>
      <c r="G73" s="53">
        <f>+'Purchased Power Model '!G73</f>
        <v>1</v>
      </c>
      <c r="H73" s="171">
        <v>11687</v>
      </c>
      <c r="I73" s="456">
        <f t="shared" si="3"/>
        <v>831520.75149655528</v>
      </c>
      <c r="J73" s="457">
        <f t="shared" si="4"/>
        <v>3097.7514965552837</v>
      </c>
      <c r="K73" s="5">
        <f t="shared" si="5"/>
        <v>3.7393354561079104E-3</v>
      </c>
    </row>
    <row r="74" spans="1:17" x14ac:dyDescent="0.2">
      <c r="A74" s="453">
        <v>39783</v>
      </c>
      <c r="B74" s="171">
        <v>808061</v>
      </c>
      <c r="C74" s="458">
        <f>+'Purchased Power Model '!C74</f>
        <v>378.9</v>
      </c>
      <c r="D74" s="458">
        <f>+'Purchased Power Model '!D74</f>
        <v>0</v>
      </c>
      <c r="E74" s="443">
        <f>+'Purchased Power Model '!E74</f>
        <v>0.08</v>
      </c>
      <c r="F74" s="53">
        <f>+'Purchased Power Model '!F74</f>
        <v>31</v>
      </c>
      <c r="G74" s="53">
        <f>+'Purchased Power Model '!G74</f>
        <v>0</v>
      </c>
      <c r="H74" s="171">
        <v>11720</v>
      </c>
      <c r="I74" s="456">
        <f t="shared" si="3"/>
        <v>866313.06870634132</v>
      </c>
      <c r="J74" s="457">
        <f t="shared" si="4"/>
        <v>58252.068706341321</v>
      </c>
      <c r="K74" s="5">
        <f t="shared" si="5"/>
        <v>7.2088702098407578E-2</v>
      </c>
    </row>
    <row r="75" spans="1:17" s="14" customFormat="1" x14ac:dyDescent="0.2">
      <c r="A75" s="453">
        <v>39814</v>
      </c>
      <c r="B75" s="171">
        <v>1078053</v>
      </c>
      <c r="C75" s="458">
        <f>+'Purchased Power Model '!C75</f>
        <v>684.3</v>
      </c>
      <c r="D75" s="458">
        <f>+'Purchased Power Model '!D75</f>
        <v>0</v>
      </c>
      <c r="E75" s="443">
        <f>+'Purchased Power Model '!E75</f>
        <v>8.3000000000000004E-2</v>
      </c>
      <c r="F75" s="53">
        <f>+'Purchased Power Model '!F75</f>
        <v>31</v>
      </c>
      <c r="G75" s="53">
        <f>+'Purchased Power Model '!G75</f>
        <v>0</v>
      </c>
      <c r="H75" s="171">
        <v>11815</v>
      </c>
      <c r="I75" s="456">
        <f t="shared" si="3"/>
        <v>994573.51800500671</v>
      </c>
      <c r="J75" s="457">
        <f t="shared" si="4"/>
        <v>-83479.481994993286</v>
      </c>
      <c r="K75" s="5">
        <f t="shared" si="5"/>
        <v>-7.7435415508322211E-2</v>
      </c>
      <c r="L75" s="11"/>
      <c r="M75" s="11"/>
      <c r="N75" s="11"/>
      <c r="O75" s="11"/>
      <c r="P75" s="11"/>
      <c r="Q75" s="11"/>
    </row>
    <row r="76" spans="1:17" x14ac:dyDescent="0.2">
      <c r="A76" s="453">
        <v>39845</v>
      </c>
      <c r="B76" s="171">
        <v>1060644</v>
      </c>
      <c r="C76" s="458">
        <f>+'Purchased Power Model '!C76</f>
        <v>595.29999999999995</v>
      </c>
      <c r="D76" s="458">
        <f>+'Purchased Power Model '!D76</f>
        <v>0</v>
      </c>
      <c r="E76" s="443">
        <f>+'Purchased Power Model '!E76</f>
        <v>8.3000000000000004E-2</v>
      </c>
      <c r="F76" s="53">
        <f>+'Purchased Power Model '!F76</f>
        <v>28</v>
      </c>
      <c r="G76" s="53">
        <f>+'Purchased Power Model '!G76</f>
        <v>0</v>
      </c>
      <c r="H76" s="171">
        <v>11815</v>
      </c>
      <c r="I76" s="456">
        <f t="shared" si="3"/>
        <v>1039858.5143930342</v>
      </c>
      <c r="J76" s="457">
        <f t="shared" si="4"/>
        <v>-20785.485606965842</v>
      </c>
      <c r="K76" s="5">
        <f t="shared" si="5"/>
        <v>-1.9597042558074002E-2</v>
      </c>
    </row>
    <row r="77" spans="1:17" x14ac:dyDescent="0.2">
      <c r="A77" s="453">
        <v>39873</v>
      </c>
      <c r="B77" s="171">
        <v>887461</v>
      </c>
      <c r="C77" s="458">
        <f>+'Purchased Power Model '!C77</f>
        <v>442.2</v>
      </c>
      <c r="D77" s="458">
        <f>+'Purchased Power Model '!D77</f>
        <v>0</v>
      </c>
      <c r="E77" s="443">
        <f>+'Purchased Power Model '!E77</f>
        <v>8.3000000000000004E-2</v>
      </c>
      <c r="F77" s="53">
        <f>+'Purchased Power Model '!F77</f>
        <v>31</v>
      </c>
      <c r="G77" s="53">
        <f>+'Purchased Power Model '!G77</f>
        <v>1</v>
      </c>
      <c r="H77" s="171">
        <v>11815</v>
      </c>
      <c r="I77" s="456">
        <f t="shared" si="3"/>
        <v>881388.15923166613</v>
      </c>
      <c r="J77" s="457">
        <f t="shared" si="4"/>
        <v>-6072.8407683338737</v>
      </c>
      <c r="K77" s="5">
        <f t="shared" si="5"/>
        <v>-6.8429381892092991E-3</v>
      </c>
    </row>
    <row r="78" spans="1:17" x14ac:dyDescent="0.2">
      <c r="A78" s="453">
        <v>39904</v>
      </c>
      <c r="B78" s="171">
        <v>893766</v>
      </c>
      <c r="C78" s="458">
        <f>+'Purchased Power Model '!C78</f>
        <v>313.8</v>
      </c>
      <c r="D78" s="458">
        <f>+'Purchased Power Model '!D78</f>
        <v>0</v>
      </c>
      <c r="E78" s="443">
        <f>+'Purchased Power Model '!E78</f>
        <v>8.8000000000000009E-2</v>
      </c>
      <c r="F78" s="53">
        <f>+'Purchased Power Model '!F78</f>
        <v>30</v>
      </c>
      <c r="G78" s="53">
        <f>+'Purchased Power Model '!G78</f>
        <v>1</v>
      </c>
      <c r="H78" s="171">
        <v>11815</v>
      </c>
      <c r="I78" s="456">
        <f t="shared" si="3"/>
        <v>872302.13729083561</v>
      </c>
      <c r="J78" s="457">
        <f t="shared" si="4"/>
        <v>-21463.862709164387</v>
      </c>
      <c r="K78" s="5">
        <f t="shared" si="5"/>
        <v>-2.4015080803212907E-2</v>
      </c>
    </row>
    <row r="79" spans="1:17" x14ac:dyDescent="0.2">
      <c r="A79" s="453">
        <v>39934</v>
      </c>
      <c r="B79" s="171">
        <v>768408</v>
      </c>
      <c r="C79" s="458">
        <f>+'Purchased Power Model '!C79</f>
        <v>170.1</v>
      </c>
      <c r="D79" s="458">
        <f>+'Purchased Power Model '!D79</f>
        <v>0</v>
      </c>
      <c r="E79" s="443">
        <f>+'Purchased Power Model '!E79</f>
        <v>8.8000000000000009E-2</v>
      </c>
      <c r="F79" s="53">
        <f>+'Purchased Power Model '!F79</f>
        <v>31</v>
      </c>
      <c r="G79" s="53">
        <f>+'Purchased Power Model '!G79</f>
        <v>1</v>
      </c>
      <c r="H79" s="171">
        <v>11872</v>
      </c>
      <c r="I79" s="456">
        <f t="shared" si="3"/>
        <v>789328.14459090831</v>
      </c>
      <c r="J79" s="457">
        <f t="shared" si="4"/>
        <v>20920.144590908312</v>
      </c>
      <c r="K79" s="5">
        <f t="shared" si="5"/>
        <v>2.7225308157786374E-2</v>
      </c>
    </row>
    <row r="80" spans="1:17" x14ac:dyDescent="0.2">
      <c r="A80" s="453">
        <v>39965</v>
      </c>
      <c r="B80" s="171">
        <v>705252</v>
      </c>
      <c r="C80" s="458">
        <f>+'Purchased Power Model '!C80</f>
        <v>57.9</v>
      </c>
      <c r="D80" s="458">
        <f>+'Purchased Power Model '!D80</f>
        <v>26.3</v>
      </c>
      <c r="E80" s="443">
        <f>+'Purchased Power Model '!E80</f>
        <v>8.8000000000000009E-2</v>
      </c>
      <c r="F80" s="53">
        <f>+'Purchased Power Model '!F80</f>
        <v>30</v>
      </c>
      <c r="G80" s="53">
        <f>+'Purchased Power Model '!G80</f>
        <v>0</v>
      </c>
      <c r="H80" s="171">
        <v>11873</v>
      </c>
      <c r="I80" s="456">
        <f t="shared" si="3"/>
        <v>756928.19290307711</v>
      </c>
      <c r="J80" s="457">
        <f t="shared" si="4"/>
        <v>51676.192903077113</v>
      </c>
      <c r="K80" s="5">
        <f t="shared" si="5"/>
        <v>7.3273373068175787E-2</v>
      </c>
    </row>
    <row r="81" spans="1:17" x14ac:dyDescent="0.2">
      <c r="A81" s="453">
        <v>39995</v>
      </c>
      <c r="B81" s="171">
        <v>633473</v>
      </c>
      <c r="C81" s="458">
        <f>+'Purchased Power Model '!C81</f>
        <v>16.8</v>
      </c>
      <c r="D81" s="458">
        <f>+'Purchased Power Model '!D81</f>
        <v>25.6</v>
      </c>
      <c r="E81" s="443">
        <f>+'Purchased Power Model '!E81</f>
        <v>9.5000000000000001E-2</v>
      </c>
      <c r="F81" s="53">
        <f>+'Purchased Power Model '!F81</f>
        <v>31</v>
      </c>
      <c r="G81" s="53">
        <f>+'Purchased Power Model '!G81</f>
        <v>0</v>
      </c>
      <c r="H81" s="171">
        <v>11873</v>
      </c>
      <c r="I81" s="456">
        <f t="shared" si="3"/>
        <v>735286.30523018446</v>
      </c>
      <c r="J81" s="457">
        <f t="shared" si="4"/>
        <v>101813.30523018446</v>
      </c>
      <c r="K81" s="5">
        <f t="shared" si="5"/>
        <v>0.16072240684320319</v>
      </c>
    </row>
    <row r="82" spans="1:17" x14ac:dyDescent="0.2">
      <c r="A82" s="453">
        <v>40026</v>
      </c>
      <c r="B82" s="171">
        <v>670214</v>
      </c>
      <c r="C82" s="458">
        <f>+'Purchased Power Model '!C82</f>
        <v>13.1</v>
      </c>
      <c r="D82" s="458">
        <f>+'Purchased Power Model '!D82</f>
        <v>77.7</v>
      </c>
      <c r="E82" s="443">
        <f>+'Purchased Power Model '!E82</f>
        <v>9.5000000000000001E-2</v>
      </c>
      <c r="F82" s="53">
        <f>+'Purchased Power Model '!F82</f>
        <v>31</v>
      </c>
      <c r="G82" s="53">
        <f>+'Purchased Power Model '!G82</f>
        <v>0</v>
      </c>
      <c r="H82" s="171">
        <v>11875</v>
      </c>
      <c r="I82" s="456">
        <f t="shared" si="3"/>
        <v>667325.48241360835</v>
      </c>
      <c r="J82" s="457">
        <f t="shared" si="4"/>
        <v>-2888.517586391652</v>
      </c>
      <c r="K82" s="5">
        <f t="shared" si="5"/>
        <v>-4.3098437012531101E-3</v>
      </c>
    </row>
    <row r="83" spans="1:17" x14ac:dyDescent="0.2">
      <c r="A83" s="453">
        <v>40057</v>
      </c>
      <c r="B83" s="171">
        <v>756265</v>
      </c>
      <c r="C83" s="458">
        <f>+'Purchased Power Model '!C83</f>
        <v>64.8</v>
      </c>
      <c r="D83" s="458">
        <f>+'Purchased Power Model '!D83</f>
        <v>9</v>
      </c>
      <c r="E83" s="443">
        <f>+'Purchased Power Model '!E83</f>
        <v>9.5000000000000001E-2</v>
      </c>
      <c r="F83" s="53">
        <f>+'Purchased Power Model '!F83</f>
        <v>30</v>
      </c>
      <c r="G83" s="53">
        <f>+'Purchased Power Model '!G83</f>
        <v>1</v>
      </c>
      <c r="H83" s="171">
        <v>11875</v>
      </c>
      <c r="I83" s="456">
        <f t="shared" si="3"/>
        <v>783587.5282347363</v>
      </c>
      <c r="J83" s="457">
        <f t="shared" si="4"/>
        <v>27322.528234736295</v>
      </c>
      <c r="K83" s="5">
        <f t="shared" si="5"/>
        <v>3.6128246361706938E-2</v>
      </c>
    </row>
    <row r="84" spans="1:17" x14ac:dyDescent="0.2">
      <c r="A84" s="453">
        <v>40087</v>
      </c>
      <c r="B84" s="171">
        <v>821580</v>
      </c>
      <c r="C84" s="458">
        <f>+'Purchased Power Model '!C84</f>
        <v>287.89999999999998</v>
      </c>
      <c r="D84" s="458">
        <f>+'Purchased Power Model '!D84</f>
        <v>0</v>
      </c>
      <c r="E84" s="443">
        <f>+'Purchased Power Model '!E84</f>
        <v>0.1</v>
      </c>
      <c r="F84" s="53">
        <f>+'Purchased Power Model '!F84</f>
        <v>31</v>
      </c>
      <c r="G84" s="53">
        <f>+'Purchased Power Model '!G84</f>
        <v>1</v>
      </c>
      <c r="H84" s="171">
        <v>11882</v>
      </c>
      <c r="I84" s="456">
        <f t="shared" si="3"/>
        <v>870194.39782588056</v>
      </c>
      <c r="J84" s="457">
        <f t="shared" si="4"/>
        <v>48614.397825880558</v>
      </c>
      <c r="K84" s="5">
        <f t="shared" si="5"/>
        <v>5.917183697982005E-2</v>
      </c>
    </row>
    <row r="85" spans="1:17" x14ac:dyDescent="0.2">
      <c r="A85" s="453">
        <v>40118</v>
      </c>
      <c r="B85" s="171">
        <v>933314</v>
      </c>
      <c r="C85" s="458">
        <f>+'Purchased Power Model '!C85</f>
        <v>347.4</v>
      </c>
      <c r="D85" s="458">
        <f>+'Purchased Power Model '!D85</f>
        <v>0</v>
      </c>
      <c r="E85" s="443">
        <f>+'Purchased Power Model '!E85</f>
        <v>0.1</v>
      </c>
      <c r="F85" s="53">
        <f>+'Purchased Power Model '!F85</f>
        <v>30</v>
      </c>
      <c r="G85" s="53">
        <f>+'Purchased Power Model '!G85</f>
        <v>1</v>
      </c>
      <c r="H85" s="171">
        <v>11882</v>
      </c>
      <c r="I85" s="456">
        <f t="shared" si="3"/>
        <v>920201.20371532952</v>
      </c>
      <c r="J85" s="457">
        <f t="shared" si="4"/>
        <v>-13112.796284670476</v>
      </c>
      <c r="K85" s="5">
        <f t="shared" si="5"/>
        <v>-1.4049715620541935E-2</v>
      </c>
    </row>
    <row r="86" spans="1:17" s="31" customFormat="1" x14ac:dyDescent="0.2">
      <c r="A86" s="453">
        <v>40148</v>
      </c>
      <c r="B86" s="171">
        <v>994328</v>
      </c>
      <c r="C86" s="458">
        <f>+'Purchased Power Model '!C86</f>
        <v>619.1</v>
      </c>
      <c r="D86" s="458">
        <f>+'Purchased Power Model '!D86</f>
        <v>0</v>
      </c>
      <c r="E86" s="443">
        <f>+'Purchased Power Model '!E86</f>
        <v>0.1</v>
      </c>
      <c r="F86" s="53">
        <f>+'Purchased Power Model '!F86</f>
        <v>31</v>
      </c>
      <c r="G86" s="53">
        <f>+'Purchased Power Model '!G86</f>
        <v>0</v>
      </c>
      <c r="H86" s="171">
        <v>11882</v>
      </c>
      <c r="I86" s="456">
        <f t="shared" si="3"/>
        <v>1018265.4614069834</v>
      </c>
      <c r="J86" s="457">
        <f t="shared" si="4"/>
        <v>23937.461406983435</v>
      </c>
      <c r="K86" s="5">
        <f t="shared" si="5"/>
        <v>2.4074009187092623E-2</v>
      </c>
      <c r="L86" s="27"/>
      <c r="M86" s="27"/>
      <c r="N86" s="27"/>
      <c r="O86" s="27"/>
      <c r="P86" s="27"/>
      <c r="Q86" s="27"/>
    </row>
    <row r="87" spans="1:17" x14ac:dyDescent="0.2">
      <c r="A87" s="453">
        <v>40179</v>
      </c>
      <c r="B87" s="454">
        <v>1093374</v>
      </c>
      <c r="C87" s="458">
        <f>+'Purchased Power Model '!C87</f>
        <v>699.9</v>
      </c>
      <c r="D87" s="458">
        <f>+'Purchased Power Model '!D87</f>
        <v>0</v>
      </c>
      <c r="E87" s="443">
        <f>+'Purchased Power Model '!E87</f>
        <v>0.10300000000000001</v>
      </c>
      <c r="F87" s="53">
        <f>+'Purchased Power Model '!F87</f>
        <v>31</v>
      </c>
      <c r="G87" s="53">
        <f>+'Purchased Power Model '!G87</f>
        <v>0</v>
      </c>
      <c r="H87" s="171">
        <v>11946</v>
      </c>
      <c r="I87" s="456">
        <f t="shared" si="3"/>
        <v>1058587.3102586966</v>
      </c>
      <c r="J87" s="457">
        <f t="shared" si="4"/>
        <v>-34786.689741303446</v>
      </c>
      <c r="K87" s="5">
        <f t="shared" si="5"/>
        <v>-3.1815910878897291E-2</v>
      </c>
    </row>
    <row r="88" spans="1:17" x14ac:dyDescent="0.2">
      <c r="A88" s="453">
        <v>40210</v>
      </c>
      <c r="B88" s="454">
        <v>1080449</v>
      </c>
      <c r="C88" s="458">
        <f>+'Purchased Power Model '!C88</f>
        <v>583.79999999999995</v>
      </c>
      <c r="D88" s="458">
        <f>+'Purchased Power Model '!D88</f>
        <v>0</v>
      </c>
      <c r="E88" s="443">
        <f>+'Purchased Power Model '!E88</f>
        <v>0.10300000000000001</v>
      </c>
      <c r="F88" s="53">
        <f>+'Purchased Power Model '!F88</f>
        <v>28</v>
      </c>
      <c r="G88" s="53">
        <f>+'Purchased Power Model '!G88</f>
        <v>0</v>
      </c>
      <c r="H88" s="171">
        <v>12017</v>
      </c>
      <c r="I88" s="456">
        <f t="shared" si="3"/>
        <v>1093261.7275188861</v>
      </c>
      <c r="J88" s="457">
        <f t="shared" si="4"/>
        <v>12812.727518886095</v>
      </c>
      <c r="K88" s="5">
        <f t="shared" si="5"/>
        <v>1.1858706444159877E-2</v>
      </c>
    </row>
    <row r="89" spans="1:17" x14ac:dyDescent="0.2">
      <c r="A89" s="453">
        <v>40238</v>
      </c>
      <c r="B89" s="454">
        <v>899210</v>
      </c>
      <c r="C89" s="458">
        <f>+'Purchased Power Model '!C89</f>
        <v>411</v>
      </c>
      <c r="D89" s="458">
        <f>+'Purchased Power Model '!D89</f>
        <v>0</v>
      </c>
      <c r="E89" s="443">
        <f>+'Purchased Power Model '!E89</f>
        <v>0.10300000000000001</v>
      </c>
      <c r="F89" s="53">
        <f>+'Purchased Power Model '!F89</f>
        <v>31</v>
      </c>
      <c r="G89" s="53">
        <f>+'Purchased Power Model '!G89</f>
        <v>1</v>
      </c>
      <c r="H89" s="171">
        <v>12051</v>
      </c>
      <c r="I89" s="456">
        <f t="shared" si="3"/>
        <v>927078.1469398645</v>
      </c>
      <c r="J89" s="457">
        <f t="shared" si="4"/>
        <v>27868.146939864499</v>
      </c>
      <c r="K89" s="5">
        <f t="shared" si="5"/>
        <v>3.09918116345064E-2</v>
      </c>
    </row>
    <row r="90" spans="1:17" x14ac:dyDescent="0.2">
      <c r="A90" s="453">
        <v>40269</v>
      </c>
      <c r="B90" s="454">
        <v>912185</v>
      </c>
      <c r="C90" s="458">
        <f>+'Purchased Power Model '!C90</f>
        <v>244</v>
      </c>
      <c r="D90" s="458">
        <f>+'Purchased Power Model '!D90</f>
        <v>0</v>
      </c>
      <c r="E90" s="443">
        <f>+'Purchased Power Model '!E90</f>
        <v>9.9000000000000005E-2</v>
      </c>
      <c r="F90" s="53">
        <f>+'Purchased Power Model '!F90</f>
        <v>30</v>
      </c>
      <c r="G90" s="53">
        <f>+'Purchased Power Model '!G90</f>
        <v>1</v>
      </c>
      <c r="H90" s="171">
        <v>12098</v>
      </c>
      <c r="I90" s="456">
        <f t="shared" si="3"/>
        <v>876821.26575951837</v>
      </c>
      <c r="J90" s="457">
        <f t="shared" si="4"/>
        <v>-35363.73424048163</v>
      </c>
      <c r="K90" s="5">
        <f t="shared" si="5"/>
        <v>-3.8768160231182965E-2</v>
      </c>
    </row>
    <row r="91" spans="1:17" x14ac:dyDescent="0.2">
      <c r="A91" s="453">
        <v>40299</v>
      </c>
      <c r="B91" s="454">
        <v>782329</v>
      </c>
      <c r="C91" s="458">
        <f>+'Purchased Power Model '!C91</f>
        <v>121.7</v>
      </c>
      <c r="D91" s="458">
        <f>+'Purchased Power Model '!D91</f>
        <v>23.2</v>
      </c>
      <c r="E91" s="443">
        <f>+'Purchased Power Model '!E91</f>
        <v>9.9000000000000005E-2</v>
      </c>
      <c r="F91" s="53">
        <f>+'Purchased Power Model '!F91</f>
        <v>31</v>
      </c>
      <c r="G91" s="53">
        <f>+'Purchased Power Model '!G91</f>
        <v>1</v>
      </c>
      <c r="H91" s="171">
        <v>12098</v>
      </c>
      <c r="I91" s="456">
        <f t="shared" si="3"/>
        <v>772608.41412657674</v>
      </c>
      <c r="J91" s="457">
        <f t="shared" si="4"/>
        <v>-9720.5858734232606</v>
      </c>
      <c r="K91" s="5">
        <f t="shared" si="5"/>
        <v>-1.2425189240617772E-2</v>
      </c>
    </row>
    <row r="92" spans="1:17" x14ac:dyDescent="0.2">
      <c r="A92" s="453">
        <v>40330</v>
      </c>
      <c r="B92" s="454">
        <v>718278</v>
      </c>
      <c r="C92" s="458">
        <f>+'Purchased Power Model '!C92</f>
        <v>19.399999999999999</v>
      </c>
      <c r="D92" s="458">
        <f>+'Purchased Power Model '!D92</f>
        <v>46.6</v>
      </c>
      <c r="E92" s="443">
        <f>+'Purchased Power Model '!E92</f>
        <v>9.9000000000000005E-2</v>
      </c>
      <c r="F92" s="53">
        <f>+'Purchased Power Model '!F92</f>
        <v>30</v>
      </c>
      <c r="G92" s="53">
        <f>+'Purchased Power Model '!G92</f>
        <v>0</v>
      </c>
      <c r="H92" s="171">
        <v>12098</v>
      </c>
      <c r="I92" s="456">
        <f t="shared" si="3"/>
        <v>747786.86344126042</v>
      </c>
      <c r="J92" s="457">
        <f t="shared" si="4"/>
        <v>29508.863441260415</v>
      </c>
      <c r="K92" s="5">
        <f t="shared" si="5"/>
        <v>4.10827888940778E-2</v>
      </c>
    </row>
    <row r="93" spans="1:17" x14ac:dyDescent="0.2">
      <c r="A93" s="453">
        <v>40360</v>
      </c>
      <c r="B93" s="454">
        <v>647002</v>
      </c>
      <c r="C93" s="458">
        <f>+'Purchased Power Model '!C93</f>
        <v>3.5</v>
      </c>
      <c r="D93" s="458">
        <f>+'Purchased Power Model '!D93</f>
        <v>124</v>
      </c>
      <c r="E93" s="443">
        <f>+'Purchased Power Model '!E93</f>
        <v>0.10099999999999999</v>
      </c>
      <c r="F93" s="53">
        <f>+'Purchased Power Model '!F93</f>
        <v>31</v>
      </c>
      <c r="G93" s="53">
        <f>+'Purchased Power Model '!G93</f>
        <v>0</v>
      </c>
      <c r="H93" s="171">
        <v>12098</v>
      </c>
      <c r="I93" s="456">
        <f t="shared" si="3"/>
        <v>621830.7876950053</v>
      </c>
      <c r="J93" s="457">
        <f t="shared" si="4"/>
        <v>-25171.212304994697</v>
      </c>
      <c r="K93" s="5">
        <f t="shared" si="5"/>
        <v>-3.8904380983358161E-2</v>
      </c>
    </row>
    <row r="94" spans="1:17" x14ac:dyDescent="0.2">
      <c r="A94" s="453">
        <v>40391</v>
      </c>
      <c r="B94" s="454">
        <v>685217</v>
      </c>
      <c r="C94" s="458">
        <f>+'Purchased Power Model '!C94</f>
        <v>3.2</v>
      </c>
      <c r="D94" s="458">
        <f>+'Purchased Power Model '!D94</f>
        <v>96.8</v>
      </c>
      <c r="E94" s="443">
        <f>+'Purchased Power Model '!E94</f>
        <v>0.10099999999999999</v>
      </c>
      <c r="F94" s="53">
        <f>+'Purchased Power Model '!F94</f>
        <v>31</v>
      </c>
      <c r="G94" s="53">
        <f>+'Purchased Power Model '!G94</f>
        <v>0</v>
      </c>
      <c r="H94" s="171">
        <v>12098</v>
      </c>
      <c r="I94" s="456">
        <f t="shared" si="3"/>
        <v>656437.51877514576</v>
      </c>
      <c r="J94" s="457">
        <f t="shared" si="4"/>
        <v>-28779.481224854244</v>
      </c>
      <c r="K94" s="5">
        <f t="shared" si="5"/>
        <v>-4.2000535924902979E-2</v>
      </c>
    </row>
    <row r="95" spans="1:17" x14ac:dyDescent="0.2">
      <c r="A95" s="453">
        <v>40422</v>
      </c>
      <c r="B95" s="454">
        <v>772567</v>
      </c>
      <c r="C95" s="458">
        <f>+'Purchased Power Model '!C95</f>
        <v>85.5</v>
      </c>
      <c r="D95" s="458">
        <f>+'Purchased Power Model '!D95</f>
        <v>18.5</v>
      </c>
      <c r="E95" s="443">
        <f>+'Purchased Power Model '!E95</f>
        <v>0.10099999999999999</v>
      </c>
      <c r="F95" s="53">
        <f>+'Purchased Power Model '!F95</f>
        <v>30</v>
      </c>
      <c r="G95" s="53">
        <f>+'Purchased Power Model '!G95</f>
        <v>1</v>
      </c>
      <c r="H95" s="171">
        <v>12098</v>
      </c>
      <c r="I95" s="456">
        <f t="shared" si="3"/>
        <v>796936.11067476775</v>
      </c>
      <c r="J95" s="457">
        <f t="shared" si="4"/>
        <v>24369.110674767755</v>
      </c>
      <c r="K95" s="5">
        <f t="shared" si="5"/>
        <v>3.1543038564639386E-2</v>
      </c>
    </row>
    <row r="96" spans="1:17" x14ac:dyDescent="0.2">
      <c r="A96" s="453">
        <v>40452</v>
      </c>
      <c r="B96" s="454">
        <v>839069</v>
      </c>
      <c r="C96" s="458">
        <f>+'Purchased Power Model '!C96</f>
        <v>247.8</v>
      </c>
      <c r="D96" s="458">
        <f>+'Purchased Power Model '!D96</f>
        <v>0</v>
      </c>
      <c r="E96" s="443">
        <f>+'Purchased Power Model '!E96</f>
        <v>9.3000000000000013E-2</v>
      </c>
      <c r="F96" s="53">
        <f>+'Purchased Power Model '!F96</f>
        <v>31</v>
      </c>
      <c r="G96" s="53">
        <f>+'Purchased Power Model '!G96</f>
        <v>1</v>
      </c>
      <c r="H96" s="171">
        <v>12098</v>
      </c>
      <c r="I96" s="456">
        <f t="shared" si="3"/>
        <v>834226.82289914426</v>
      </c>
      <c r="J96" s="457">
        <f t="shared" si="4"/>
        <v>-4842.1771008557407</v>
      </c>
      <c r="K96" s="5">
        <f t="shared" si="5"/>
        <v>-5.7708926212930532E-3</v>
      </c>
    </row>
    <row r="97" spans="1:11" x14ac:dyDescent="0.2">
      <c r="A97" s="453">
        <v>40483</v>
      </c>
      <c r="B97" s="454">
        <v>972883</v>
      </c>
      <c r="C97" s="458">
        <f>+'Purchased Power Model '!C97</f>
        <v>389.2</v>
      </c>
      <c r="D97" s="458">
        <f>+'Purchased Power Model '!D97</f>
        <v>0</v>
      </c>
      <c r="E97" s="443">
        <f>+'Purchased Power Model '!E97</f>
        <v>9.3000000000000013E-2</v>
      </c>
      <c r="F97" s="53">
        <f>+'Purchased Power Model '!F97</f>
        <v>30</v>
      </c>
      <c r="G97" s="53">
        <f>+'Purchased Power Model '!G97</f>
        <v>1</v>
      </c>
      <c r="H97" s="171">
        <v>12098</v>
      </c>
      <c r="I97" s="456">
        <f t="shared" si="3"/>
        <v>916300.28674320341</v>
      </c>
      <c r="J97" s="457">
        <f t="shared" si="4"/>
        <v>-56582.713256796589</v>
      </c>
      <c r="K97" s="5">
        <f t="shared" si="5"/>
        <v>-5.8159833460751799E-2</v>
      </c>
    </row>
    <row r="98" spans="1:11" x14ac:dyDescent="0.2">
      <c r="A98" s="453">
        <v>40513</v>
      </c>
      <c r="B98" s="454">
        <v>1025341</v>
      </c>
      <c r="C98" s="458">
        <f>+'Purchased Power Model '!C98</f>
        <v>628.70000000000005</v>
      </c>
      <c r="D98" s="458">
        <f>+'Purchased Power Model '!D98</f>
        <v>0</v>
      </c>
      <c r="E98" s="443">
        <f>+'Purchased Power Model '!E98</f>
        <v>9.3000000000000013E-2</v>
      </c>
      <c r="F98" s="53">
        <f>+'Purchased Power Model '!F98</f>
        <v>31</v>
      </c>
      <c r="G98" s="53">
        <f>+'Purchased Power Model '!G98</f>
        <v>0</v>
      </c>
      <c r="H98" s="171">
        <v>12109</v>
      </c>
      <c r="I98" s="456">
        <f t="shared" si="3"/>
        <v>1001757.140452703</v>
      </c>
      <c r="J98" s="457">
        <f t="shared" si="4"/>
        <v>-23583.859547297005</v>
      </c>
      <c r="K98" s="5">
        <f t="shared" si="5"/>
        <v>-2.3000991423630778E-2</v>
      </c>
    </row>
    <row r="99" spans="1:11" x14ac:dyDescent="0.2">
      <c r="A99" s="453">
        <v>40544</v>
      </c>
      <c r="B99" s="27">
        <v>1116655</v>
      </c>
      <c r="C99" s="458">
        <f>+'Purchased Power Model '!C99</f>
        <v>760.9</v>
      </c>
      <c r="D99" s="458">
        <f>+'Purchased Power Model '!D99</f>
        <v>0</v>
      </c>
      <c r="E99" s="443">
        <f>+'Purchased Power Model '!E99</f>
        <v>8.8000000000000009E-2</v>
      </c>
      <c r="F99" s="53">
        <f>+'Purchased Power Model '!F99</f>
        <v>31</v>
      </c>
      <c r="G99" s="53">
        <f>+'Purchased Power Model '!G99</f>
        <v>0</v>
      </c>
      <c r="H99" s="171">
        <v>12109</v>
      </c>
      <c r="I99" s="456">
        <f t="shared" si="3"/>
        <v>1039041.5085995663</v>
      </c>
      <c r="J99" s="457">
        <f t="shared" si="4"/>
        <v>-77613.491400433704</v>
      </c>
      <c r="K99" s="5">
        <f t="shared" si="5"/>
        <v>-6.9505345339817309E-2</v>
      </c>
    </row>
    <row r="100" spans="1:11" x14ac:dyDescent="0.2">
      <c r="A100" s="453">
        <v>40575</v>
      </c>
      <c r="B100" s="27">
        <v>1100542</v>
      </c>
      <c r="C100" s="458">
        <f>+'Purchased Power Model '!C100</f>
        <v>634.19999999999993</v>
      </c>
      <c r="D100" s="458">
        <f>+'Purchased Power Model '!D100</f>
        <v>0</v>
      </c>
      <c r="E100" s="443">
        <f>+'Purchased Power Model '!E100</f>
        <v>8.8000000000000009E-2</v>
      </c>
      <c r="F100" s="53">
        <f>+'Purchased Power Model '!F100</f>
        <v>28</v>
      </c>
      <c r="G100" s="53">
        <f>+'Purchased Power Model '!G100</f>
        <v>0</v>
      </c>
      <c r="H100" s="171">
        <v>12109</v>
      </c>
      <c r="I100" s="456">
        <f t="shared" si="3"/>
        <v>1069565.662437059</v>
      </c>
      <c r="J100" s="457">
        <f t="shared" si="4"/>
        <v>-30976.337562941015</v>
      </c>
      <c r="K100" s="5">
        <f t="shared" si="5"/>
        <v>-2.8146438357592E-2</v>
      </c>
    </row>
    <row r="101" spans="1:11" x14ac:dyDescent="0.2">
      <c r="A101" s="453">
        <v>40603</v>
      </c>
      <c r="B101" s="27">
        <v>874357</v>
      </c>
      <c r="C101" s="458">
        <f>+'Purchased Power Model '!C101</f>
        <v>559.80000000000007</v>
      </c>
      <c r="D101" s="458">
        <f>+'Purchased Power Model '!D101</f>
        <v>0</v>
      </c>
      <c r="E101" s="443">
        <f>+'Purchased Power Model '!E101</f>
        <v>8.8000000000000009E-2</v>
      </c>
      <c r="F101" s="53">
        <f>+'Purchased Power Model '!F101</f>
        <v>31</v>
      </c>
      <c r="G101" s="53">
        <f>+'Purchased Power Model '!G101</f>
        <v>1</v>
      </c>
      <c r="H101" s="171">
        <v>12129</v>
      </c>
      <c r="I101" s="456">
        <f t="shared" si="3"/>
        <v>941909.05551778886</v>
      </c>
      <c r="J101" s="457">
        <f t="shared" si="4"/>
        <v>67552.05551778886</v>
      </c>
      <c r="K101" s="5">
        <f t="shared" si="5"/>
        <v>7.725912358200239E-2</v>
      </c>
    </row>
    <row r="102" spans="1:11" x14ac:dyDescent="0.2">
      <c r="A102" s="453">
        <v>40634</v>
      </c>
      <c r="B102" s="27">
        <v>904402</v>
      </c>
      <c r="C102" s="458">
        <f>+'Purchased Power Model '!C102</f>
        <v>350.79999999999995</v>
      </c>
      <c r="D102" s="458">
        <f>+'Purchased Power Model '!D102</f>
        <v>0</v>
      </c>
      <c r="E102" s="443">
        <f>+'Purchased Power Model '!E102</f>
        <v>9.0999999999999998E-2</v>
      </c>
      <c r="F102" s="53">
        <f>+'Purchased Power Model '!F102</f>
        <v>30</v>
      </c>
      <c r="G102" s="53">
        <f>+'Purchased Power Model '!G102</f>
        <v>1</v>
      </c>
      <c r="H102" s="171">
        <v>12132</v>
      </c>
      <c r="I102" s="456">
        <f t="shared" si="3"/>
        <v>895474.78445253707</v>
      </c>
      <c r="J102" s="457">
        <f t="shared" si="4"/>
        <v>-8927.2155474629253</v>
      </c>
      <c r="K102" s="5">
        <f t="shared" si="5"/>
        <v>-9.8708489670112677E-3</v>
      </c>
    </row>
    <row r="103" spans="1:11" x14ac:dyDescent="0.2">
      <c r="A103" s="453">
        <v>40664</v>
      </c>
      <c r="B103" s="27">
        <v>770615</v>
      </c>
      <c r="C103" s="458">
        <f>+'Purchased Power Model '!C103</f>
        <v>157.69999999999996</v>
      </c>
      <c r="D103" s="458">
        <f>+'Purchased Power Model '!D103</f>
        <v>2.8</v>
      </c>
      <c r="E103" s="443">
        <f>+'Purchased Power Model '!E103</f>
        <v>9.0999999999999998E-2</v>
      </c>
      <c r="F103" s="53">
        <f>+'Purchased Power Model '!F103</f>
        <v>31</v>
      </c>
      <c r="G103" s="53">
        <f>+'Purchased Power Model '!G103</f>
        <v>1</v>
      </c>
      <c r="H103" s="171">
        <v>12132</v>
      </c>
      <c r="I103" s="456">
        <f t="shared" si="3"/>
        <v>789584.44895452855</v>
      </c>
      <c r="J103" s="457">
        <f t="shared" si="4"/>
        <v>18969.448954528547</v>
      </c>
      <c r="K103" s="5">
        <f t="shared" si="5"/>
        <v>2.4615987171971148E-2</v>
      </c>
    </row>
    <row r="104" spans="1:11" x14ac:dyDescent="0.2">
      <c r="A104" s="453">
        <v>40695</v>
      </c>
      <c r="B104" s="27">
        <v>696486</v>
      </c>
      <c r="C104" s="458">
        <f>+'Purchased Power Model '!C104</f>
        <v>26.699999999999996</v>
      </c>
      <c r="D104" s="458">
        <f>+'Purchased Power Model '!D104</f>
        <v>36.900000000000006</v>
      </c>
      <c r="E104" s="443">
        <f>+'Purchased Power Model '!E104</f>
        <v>9.0999999999999998E-2</v>
      </c>
      <c r="F104" s="53">
        <f>+'Purchased Power Model '!F104</f>
        <v>30</v>
      </c>
      <c r="G104" s="53">
        <f>+'Purchased Power Model '!G104</f>
        <v>0</v>
      </c>
      <c r="H104" s="171">
        <v>12132</v>
      </c>
      <c r="I104" s="456">
        <f t="shared" si="3"/>
        <v>739865.98018170369</v>
      </c>
      <c r="J104" s="457">
        <f t="shared" si="4"/>
        <v>43379.980181703693</v>
      </c>
      <c r="K104" s="5">
        <f t="shared" si="5"/>
        <v>6.2284066272263468E-2</v>
      </c>
    </row>
    <row r="105" spans="1:11" x14ac:dyDescent="0.2">
      <c r="A105" s="453">
        <v>40725</v>
      </c>
      <c r="B105" s="27">
        <v>10638</v>
      </c>
      <c r="C105" s="458">
        <f>+'Purchased Power Model '!C105</f>
        <v>0.2</v>
      </c>
      <c r="D105" s="458">
        <f>+'Purchased Power Model '!D105</f>
        <v>141.19999999999999</v>
      </c>
      <c r="E105" s="443">
        <f>+'Purchased Power Model '!E105</f>
        <v>7.2999999999999995E-2</v>
      </c>
      <c r="F105" s="53">
        <f>+'Purchased Power Model '!F105</f>
        <v>31</v>
      </c>
      <c r="G105" s="53">
        <f>+'Purchased Power Model '!G105</f>
        <v>0</v>
      </c>
      <c r="H105" s="171">
        <v>12132</v>
      </c>
      <c r="I105" s="456">
        <f t="shared" si="3"/>
        <v>517512.57964663976</v>
      </c>
      <c r="J105" s="457">
        <f t="shared" si="4"/>
        <v>506874.57964663976</v>
      </c>
      <c r="K105" s="5">
        <f t="shared" si="5"/>
        <v>47.647544618033443</v>
      </c>
    </row>
    <row r="106" spans="1:11" x14ac:dyDescent="0.2">
      <c r="A106" s="453">
        <v>40756</v>
      </c>
      <c r="B106" s="27">
        <v>11607</v>
      </c>
      <c r="C106" s="458">
        <f>+'Purchased Power Model '!C106</f>
        <v>3.7</v>
      </c>
      <c r="D106" s="458">
        <f>+'Purchased Power Model '!D106</f>
        <v>80.499999999999957</v>
      </c>
      <c r="E106" s="443">
        <f>+'Purchased Power Model '!E106</f>
        <v>7.2999999999999995E-2</v>
      </c>
      <c r="F106" s="53">
        <f>+'Purchased Power Model '!F106</f>
        <v>31</v>
      </c>
      <c r="G106" s="53">
        <f>+'Purchased Power Model '!G106</f>
        <v>0</v>
      </c>
      <c r="H106" s="171">
        <v>12132</v>
      </c>
      <c r="I106" s="456">
        <f t="shared" si="3"/>
        <v>596374.06787621765</v>
      </c>
      <c r="J106" s="457">
        <f t="shared" si="4"/>
        <v>584767.06787621765</v>
      </c>
      <c r="K106" s="5">
        <f t="shared" si="5"/>
        <v>50.380552069976538</v>
      </c>
    </row>
    <row r="107" spans="1:11" x14ac:dyDescent="0.2">
      <c r="A107" s="453">
        <v>40787</v>
      </c>
      <c r="B107" s="27">
        <v>2007578</v>
      </c>
      <c r="C107" s="458">
        <f>+'Purchased Power Model '!C107</f>
        <v>48.900000000000006</v>
      </c>
      <c r="D107" s="458">
        <f>+'Purchased Power Model '!D107</f>
        <v>34.6</v>
      </c>
      <c r="E107" s="443">
        <f>+'Purchased Power Model '!E107</f>
        <v>7.2999999999999995E-2</v>
      </c>
      <c r="F107" s="53">
        <f>+'Purchased Power Model '!F107</f>
        <v>30</v>
      </c>
      <c r="G107" s="53">
        <f>+'Purchased Power Model '!G107</f>
        <v>1</v>
      </c>
      <c r="H107" s="171">
        <v>12137</v>
      </c>
      <c r="I107" s="456">
        <f t="shared" si="3"/>
        <v>680984.09808138991</v>
      </c>
      <c r="J107" s="457">
        <f t="shared" si="4"/>
        <v>-1326593.9019186101</v>
      </c>
      <c r="K107" s="5">
        <f t="shared" si="5"/>
        <v>-0.66079320550365173</v>
      </c>
    </row>
    <row r="108" spans="1:11" x14ac:dyDescent="0.2">
      <c r="A108" s="453">
        <v>40817</v>
      </c>
      <c r="B108" s="27">
        <v>11571</v>
      </c>
      <c r="C108" s="458">
        <f>+'Purchased Power Model '!C108</f>
        <v>225.29999999999998</v>
      </c>
      <c r="D108" s="458">
        <f>+'Purchased Power Model '!D108</f>
        <v>0</v>
      </c>
      <c r="E108" s="443">
        <f>+'Purchased Power Model '!E108</f>
        <v>7.400000000000001E-2</v>
      </c>
      <c r="F108" s="53">
        <f>+'Purchased Power Model '!F108</f>
        <v>31</v>
      </c>
      <c r="G108" s="53">
        <f>+'Purchased Power Model '!G108</f>
        <v>1</v>
      </c>
      <c r="H108" s="171">
        <v>12137</v>
      </c>
      <c r="I108" s="456">
        <f t="shared" si="3"/>
        <v>770406.73694810958</v>
      </c>
      <c r="J108" s="457">
        <f t="shared" si="4"/>
        <v>758835.73694810958</v>
      </c>
      <c r="K108" s="5">
        <f t="shared" si="5"/>
        <v>65.58082593968625</v>
      </c>
    </row>
    <row r="109" spans="1:11" x14ac:dyDescent="0.2">
      <c r="A109" s="453">
        <v>40848</v>
      </c>
      <c r="B109" s="27">
        <v>1744221</v>
      </c>
      <c r="C109" s="458">
        <f>+'Purchased Power Model '!C109</f>
        <v>349.69999999999993</v>
      </c>
      <c r="D109" s="458">
        <f>+'Purchased Power Model '!D109</f>
        <v>0</v>
      </c>
      <c r="E109" s="443">
        <f>+'Purchased Power Model '!E109</f>
        <v>7.400000000000001E-2</v>
      </c>
      <c r="F109" s="53">
        <f>+'Purchased Power Model '!F109</f>
        <v>30</v>
      </c>
      <c r="G109" s="53">
        <f>+'Purchased Power Model '!G109</f>
        <v>1</v>
      </c>
      <c r="H109" s="171">
        <v>12146</v>
      </c>
      <c r="I109" s="456">
        <f t="shared" si="3"/>
        <v>845824.11794444732</v>
      </c>
      <c r="J109" s="457">
        <f t="shared" si="4"/>
        <v>-898396.88205555268</v>
      </c>
      <c r="K109" s="5">
        <f t="shared" si="5"/>
        <v>-0.51507055703122062</v>
      </c>
    </row>
    <row r="110" spans="1:11" x14ac:dyDescent="0.2">
      <c r="A110" s="453">
        <v>40878</v>
      </c>
      <c r="B110" s="27">
        <v>1004345</v>
      </c>
      <c r="C110" s="458">
        <f>+'Purchased Power Model '!C110</f>
        <v>531.20000000000005</v>
      </c>
      <c r="D110" s="458">
        <f>+'Purchased Power Model '!D110</f>
        <v>0</v>
      </c>
      <c r="E110" s="443">
        <f>+'Purchased Power Model '!E110</f>
        <v>7.400000000000001E-2</v>
      </c>
      <c r="F110" s="53">
        <f>+'Purchased Power Model '!F110</f>
        <v>31</v>
      </c>
      <c r="G110" s="53">
        <f>+'Purchased Power Model '!G110</f>
        <v>0</v>
      </c>
      <c r="H110" s="171">
        <v>12146</v>
      </c>
      <c r="I110" s="456">
        <f t="shared" si="3"/>
        <v>908571.98311466281</v>
      </c>
      <c r="J110" s="457">
        <f t="shared" si="4"/>
        <v>-95773.016885337187</v>
      </c>
      <c r="K110" s="5">
        <f t="shared" si="5"/>
        <v>-9.535868340593838E-2</v>
      </c>
    </row>
    <row r="111" spans="1:11" x14ac:dyDescent="0.2">
      <c r="A111" s="453">
        <v>40909</v>
      </c>
      <c r="B111" s="27">
        <v>1086581</v>
      </c>
      <c r="C111" s="458">
        <f>+'Purchased Power Model '!C111</f>
        <v>611</v>
      </c>
      <c r="D111" s="458">
        <f>+'Purchased Power Model '!D111</f>
        <v>0</v>
      </c>
      <c r="E111" s="443">
        <f>+'Purchased Power Model '!E111</f>
        <v>7.9000000000000001E-2</v>
      </c>
      <c r="F111" s="53">
        <f>+'Purchased Power Model '!F111</f>
        <v>31</v>
      </c>
      <c r="G111" s="53">
        <f>+'Purchased Power Model '!G111</f>
        <v>0</v>
      </c>
      <c r="H111" s="171">
        <v>12154</v>
      </c>
      <c r="I111" s="456">
        <f t="shared" si="3"/>
        <v>954292.88342173467</v>
      </c>
      <c r="J111" s="457">
        <f t="shared" si="4"/>
        <v>-132288.11657826533</v>
      </c>
      <c r="K111" s="5">
        <f t="shared" si="5"/>
        <v>-0.12174712844994098</v>
      </c>
    </row>
    <row r="112" spans="1:11" x14ac:dyDescent="0.2">
      <c r="A112" s="453">
        <v>40940</v>
      </c>
      <c r="B112" s="27">
        <v>1074749</v>
      </c>
      <c r="C112" s="458">
        <f>+'Purchased Power Model '!C112</f>
        <v>536.20000000000005</v>
      </c>
      <c r="D112" s="458">
        <f>+'Purchased Power Model '!D112</f>
        <v>0</v>
      </c>
      <c r="E112" s="443">
        <f>+'Purchased Power Model '!E112</f>
        <v>7.9000000000000001E-2</v>
      </c>
      <c r="F112" s="53">
        <f>+'Purchased Power Model '!F112</f>
        <v>29</v>
      </c>
      <c r="G112" s="53">
        <f>+'Purchased Power Model '!G112</f>
        <v>0</v>
      </c>
      <c r="H112" s="171">
        <v>12209</v>
      </c>
      <c r="I112" s="456">
        <f t="shared" si="3"/>
        <v>978427.15073661052</v>
      </c>
      <c r="J112" s="457">
        <f t="shared" si="4"/>
        <v>-96321.849263389478</v>
      </c>
      <c r="K112" s="5">
        <f t="shared" si="5"/>
        <v>-8.9622646090751865E-2</v>
      </c>
    </row>
    <row r="113" spans="1:11" x14ac:dyDescent="0.2">
      <c r="A113" s="453">
        <v>40969</v>
      </c>
      <c r="B113" s="27">
        <v>918424</v>
      </c>
      <c r="C113" s="458">
        <f>+'Purchased Power Model '!C113</f>
        <v>399.39999999999992</v>
      </c>
      <c r="D113" s="458">
        <f>+'Purchased Power Model '!D113</f>
        <v>0</v>
      </c>
      <c r="E113" s="443">
        <f>+'Purchased Power Model '!E113</f>
        <v>7.9000000000000001E-2</v>
      </c>
      <c r="F113" s="53">
        <f>+'Purchased Power Model '!F113</f>
        <v>31</v>
      </c>
      <c r="G113" s="53">
        <f>+'Purchased Power Model '!G113</f>
        <v>1</v>
      </c>
      <c r="H113" s="171">
        <v>12209</v>
      </c>
      <c r="I113" s="456">
        <f t="shared" si="3"/>
        <v>853049.32034577627</v>
      </c>
      <c r="J113" s="457">
        <f t="shared" si="4"/>
        <v>-65374.679654223728</v>
      </c>
      <c r="K113" s="5">
        <f t="shared" si="5"/>
        <v>-7.1181371190456394E-2</v>
      </c>
    </row>
    <row r="114" spans="1:11" x14ac:dyDescent="0.2">
      <c r="A114" s="453">
        <v>41000</v>
      </c>
      <c r="B114" s="27">
        <v>894097</v>
      </c>
      <c r="C114" s="458">
        <f>+'Purchased Power Model '!C114</f>
        <v>336.89999999999992</v>
      </c>
      <c r="D114" s="458">
        <f>+'Purchased Power Model '!D114</f>
        <v>0</v>
      </c>
      <c r="E114" s="443">
        <f>+'Purchased Power Model '!E114</f>
        <v>8.4000000000000005E-2</v>
      </c>
      <c r="F114" s="53">
        <f>+'Purchased Power Model '!F114</f>
        <v>30</v>
      </c>
      <c r="G114" s="53">
        <f>+'Purchased Power Model '!G114</f>
        <v>1</v>
      </c>
      <c r="H114" s="171">
        <v>12209</v>
      </c>
      <c r="I114" s="456">
        <f t="shared" si="3"/>
        <v>869765.40779699478</v>
      </c>
      <c r="J114" s="457">
        <f t="shared" si="4"/>
        <v>-24331.592203005217</v>
      </c>
      <c r="K114" s="5">
        <f t="shared" si="5"/>
        <v>-2.7213593383050405E-2</v>
      </c>
    </row>
    <row r="115" spans="1:11" x14ac:dyDescent="0.2">
      <c r="A115" s="453">
        <v>41030</v>
      </c>
      <c r="B115" s="27">
        <v>760348</v>
      </c>
      <c r="C115" s="458">
        <f>+'Purchased Power Model '!C115</f>
        <v>109.30000000000001</v>
      </c>
      <c r="D115" s="458">
        <f>+'Purchased Power Model '!D115</f>
        <v>21.8</v>
      </c>
      <c r="E115" s="443">
        <f>+'Purchased Power Model '!E115</f>
        <v>8.4000000000000005E-2</v>
      </c>
      <c r="F115" s="53">
        <f>+'Purchased Power Model '!F115</f>
        <v>31</v>
      </c>
      <c r="G115" s="53">
        <f>+'Purchased Power Model '!G115</f>
        <v>1</v>
      </c>
      <c r="H115" s="171">
        <v>12209</v>
      </c>
      <c r="I115" s="456">
        <f t="shared" si="3"/>
        <v>726111.27049228444</v>
      </c>
      <c r="J115" s="457">
        <f t="shared" si="4"/>
        <v>-34236.729507715558</v>
      </c>
      <c r="K115" s="5">
        <f t="shared" si="5"/>
        <v>-4.5027710348045313E-2</v>
      </c>
    </row>
    <row r="116" spans="1:11" x14ac:dyDescent="0.2">
      <c r="A116" s="453">
        <v>41061</v>
      </c>
      <c r="B116" s="27">
        <v>695893</v>
      </c>
      <c r="C116" s="458">
        <f>+'Purchased Power Model '!C116</f>
        <v>28.2</v>
      </c>
      <c r="D116" s="458">
        <f>+'Purchased Power Model '!D116</f>
        <v>64.3</v>
      </c>
      <c r="E116" s="443">
        <f>+'Purchased Power Model '!E116</f>
        <v>8.4000000000000005E-2</v>
      </c>
      <c r="F116" s="53">
        <f>+'Purchased Power Model '!F116</f>
        <v>30</v>
      </c>
      <c r="G116" s="53">
        <f>+'Purchased Power Model '!G116</f>
        <v>0</v>
      </c>
      <c r="H116" s="171">
        <v>12209</v>
      </c>
      <c r="I116" s="456">
        <f t="shared" si="3"/>
        <v>685206.71521542582</v>
      </c>
      <c r="J116" s="457">
        <f t="shared" si="4"/>
        <v>-10686.284784574178</v>
      </c>
      <c r="K116" s="5">
        <f t="shared" si="5"/>
        <v>-1.535621824702099E-2</v>
      </c>
    </row>
    <row r="117" spans="1:11" x14ac:dyDescent="0.2">
      <c r="A117" s="453">
        <v>41091</v>
      </c>
      <c r="B117" s="27">
        <v>621732</v>
      </c>
      <c r="C117" s="458">
        <f>+'Purchased Power Model '!C117</f>
        <v>0</v>
      </c>
      <c r="D117" s="458">
        <f>+'Purchased Power Model '!D117</f>
        <v>155.30000000000001</v>
      </c>
      <c r="E117" s="443">
        <f>+'Purchased Power Model '!E117</f>
        <v>8.900000000000001E-2</v>
      </c>
      <c r="F117" s="53">
        <f>+'Purchased Power Model '!F117</f>
        <v>31</v>
      </c>
      <c r="G117" s="53">
        <f>+'Purchased Power Model '!G117</f>
        <v>0</v>
      </c>
      <c r="H117" s="171">
        <v>12214</v>
      </c>
      <c r="I117" s="456">
        <f t="shared" si="3"/>
        <v>545758.55068963673</v>
      </c>
      <c r="J117" s="457">
        <f t="shared" si="4"/>
        <v>-75973.44931036327</v>
      </c>
      <c r="K117" s="5">
        <f t="shared" si="5"/>
        <v>-0.12219645974529744</v>
      </c>
    </row>
    <row r="118" spans="1:11" x14ac:dyDescent="0.2">
      <c r="A118" s="453">
        <v>41122</v>
      </c>
      <c r="B118" s="27">
        <v>660418</v>
      </c>
      <c r="C118" s="458">
        <f>+'Purchased Power Model '!C118</f>
        <v>4.4000000000000004</v>
      </c>
      <c r="D118" s="458">
        <f>+'Purchased Power Model '!D118</f>
        <v>102.79999999999998</v>
      </c>
      <c r="E118" s="443">
        <f>+'Purchased Power Model '!E118</f>
        <v>8.900000000000001E-2</v>
      </c>
      <c r="F118" s="53">
        <f>+'Purchased Power Model '!F118</f>
        <v>31</v>
      </c>
      <c r="G118" s="53">
        <f>+'Purchased Power Model '!G118</f>
        <v>0</v>
      </c>
      <c r="H118" s="171">
        <v>12231</v>
      </c>
      <c r="I118" s="456">
        <f t="shared" si="3"/>
        <v>614504.09737884975</v>
      </c>
      <c r="J118" s="457">
        <f t="shared" si="4"/>
        <v>-45913.90262115025</v>
      </c>
      <c r="K118" s="5">
        <f t="shared" si="5"/>
        <v>-6.9522488213752884E-2</v>
      </c>
    </row>
    <row r="119" spans="1:11" x14ac:dyDescent="0.2">
      <c r="A119" s="453">
        <v>41153</v>
      </c>
      <c r="B119" s="27">
        <v>749678</v>
      </c>
      <c r="C119" s="458">
        <f>+'Purchased Power Model '!C119</f>
        <v>84</v>
      </c>
      <c r="D119" s="458">
        <f>+'Purchased Power Model '!D119</f>
        <v>24.400000000000002</v>
      </c>
      <c r="E119" s="443">
        <f>+'Purchased Power Model '!E119</f>
        <v>8.900000000000001E-2</v>
      </c>
      <c r="F119" s="53">
        <f>+'Purchased Power Model '!F119</f>
        <v>30</v>
      </c>
      <c r="G119" s="53">
        <f>+'Purchased Power Model '!G119</f>
        <v>1</v>
      </c>
      <c r="H119" s="171">
        <v>12231</v>
      </c>
      <c r="I119" s="456">
        <f t="shared" si="3"/>
        <v>754073.20917679579</v>
      </c>
      <c r="J119" s="457">
        <f t="shared" si="4"/>
        <v>4395.20917679579</v>
      </c>
      <c r="K119" s="5">
        <f t="shared" si="5"/>
        <v>5.8627959961420634E-3</v>
      </c>
    </row>
    <row r="120" spans="1:11" x14ac:dyDescent="0.2">
      <c r="A120" s="453">
        <v>41183</v>
      </c>
      <c r="B120" s="27">
        <v>813505</v>
      </c>
      <c r="C120" s="458">
        <f>+'Purchased Power Model '!C120</f>
        <v>228.99999999999994</v>
      </c>
      <c r="D120" s="458">
        <f>+'Purchased Power Model '!D120</f>
        <v>0</v>
      </c>
      <c r="E120" s="443">
        <f>+'Purchased Power Model '!E120</f>
        <v>9.1999999999999998E-2</v>
      </c>
      <c r="F120" s="53">
        <f>+'Purchased Power Model '!F120</f>
        <v>31</v>
      </c>
      <c r="G120" s="53">
        <f>+'Purchased Power Model '!G120</f>
        <v>1</v>
      </c>
      <c r="H120" s="171">
        <v>12231</v>
      </c>
      <c r="I120" s="456">
        <f t="shared" si="3"/>
        <v>823970.68546787498</v>
      </c>
      <c r="J120" s="457">
        <f t="shared" si="4"/>
        <v>10465.685467874981</v>
      </c>
      <c r="K120" s="5">
        <f t="shared" si="5"/>
        <v>1.2864930723074819E-2</v>
      </c>
    </row>
    <row r="121" spans="1:11" x14ac:dyDescent="0.2">
      <c r="A121" s="453">
        <v>41214</v>
      </c>
      <c r="B121" s="27">
        <v>952553</v>
      </c>
      <c r="C121" s="458">
        <f>+'Purchased Power Model '!C121</f>
        <v>427.89999999999992</v>
      </c>
      <c r="D121" s="458">
        <f>+'Purchased Power Model '!D121</f>
        <v>0</v>
      </c>
      <c r="E121" s="443">
        <f>+'Purchased Power Model '!E121</f>
        <v>9.1999999999999998E-2</v>
      </c>
      <c r="F121" s="53">
        <f>+'Purchased Power Model '!F121</f>
        <v>30</v>
      </c>
      <c r="G121" s="53">
        <f>+'Purchased Power Model '!G121</f>
        <v>1</v>
      </c>
      <c r="H121" s="171">
        <v>12275</v>
      </c>
      <c r="I121" s="456">
        <f t="shared" si="3"/>
        <v>928557.37070863834</v>
      </c>
      <c r="J121" s="457">
        <f t="shared" si="4"/>
        <v>-23995.629291361663</v>
      </c>
      <c r="K121" s="5">
        <f t="shared" si="5"/>
        <v>-2.5190860027065859E-2</v>
      </c>
    </row>
    <row r="122" spans="1:11" x14ac:dyDescent="0.2">
      <c r="A122" s="453">
        <v>41244</v>
      </c>
      <c r="B122" s="27">
        <v>911730</v>
      </c>
      <c r="C122" s="458">
        <f>+'Purchased Power Model '!C122</f>
        <v>451.09999999999997</v>
      </c>
      <c r="D122" s="458">
        <f>+'Purchased Power Model '!D122</f>
        <v>0</v>
      </c>
      <c r="E122" s="443">
        <f>+'Purchased Power Model '!E122</f>
        <v>9.1999999999999998E-2</v>
      </c>
      <c r="F122" s="53">
        <f>+'Purchased Power Model '!F122</f>
        <v>31</v>
      </c>
      <c r="G122" s="53">
        <f>+'Purchased Power Model '!G122</f>
        <v>0</v>
      </c>
      <c r="H122" s="171">
        <v>12280</v>
      </c>
      <c r="I122" s="456">
        <f t="shared" si="3"/>
        <v>929325.35853801412</v>
      </c>
      <c r="J122" s="457">
        <f t="shared" si="4"/>
        <v>17595.358538014116</v>
      </c>
      <c r="K122" s="5">
        <f t="shared" si="5"/>
        <v>1.92988697728649E-2</v>
      </c>
    </row>
    <row r="123" spans="1:11" x14ac:dyDescent="0.2">
      <c r="A123" s="453">
        <v>41275</v>
      </c>
      <c r="B123" s="27">
        <v>991686</v>
      </c>
      <c r="C123" s="458">
        <f>+'Purchased Power Model '!C123</f>
        <v>615.40000000000009</v>
      </c>
      <c r="D123" s="458">
        <f>+'Purchased Power Model '!D123</f>
        <v>0</v>
      </c>
      <c r="E123" s="443">
        <f>+'Purchased Power Model '!E123</f>
        <v>8.8000000000000009E-2</v>
      </c>
      <c r="F123" s="53">
        <f>+'Purchased Power Model '!F123</f>
        <v>31</v>
      </c>
      <c r="G123" s="53">
        <f>+'Purchased Power Model '!G123</f>
        <v>0</v>
      </c>
      <c r="H123" s="171">
        <v>12280</v>
      </c>
      <c r="I123" s="456">
        <f t="shared" si="3"/>
        <v>982073.2701087757</v>
      </c>
      <c r="J123" s="457">
        <f t="shared" si="4"/>
        <v>-9612.7298912242986</v>
      </c>
      <c r="K123" s="5">
        <f t="shared" si="5"/>
        <v>-9.6933201549929092E-3</v>
      </c>
    </row>
    <row r="124" spans="1:11" x14ac:dyDescent="0.2">
      <c r="A124" s="453">
        <v>41306</v>
      </c>
      <c r="B124" s="27">
        <v>974438</v>
      </c>
      <c r="C124" s="458">
        <f>+'Purchased Power Model '!C124</f>
        <v>611.5</v>
      </c>
      <c r="D124" s="458">
        <f>+'Purchased Power Model '!D124</f>
        <v>0</v>
      </c>
      <c r="E124" s="443">
        <f>+'Purchased Power Model '!E124</f>
        <v>8.8000000000000009E-2</v>
      </c>
      <c r="F124" s="53">
        <f>+'Purchased Power Model '!F124</f>
        <v>28</v>
      </c>
      <c r="G124" s="53">
        <f>+'Purchased Power Model '!G124</f>
        <v>0</v>
      </c>
      <c r="H124" s="171">
        <v>12287</v>
      </c>
      <c r="I124" s="456">
        <f t="shared" si="3"/>
        <v>1060677.8341639254</v>
      </c>
      <c r="J124" s="457">
        <f t="shared" si="4"/>
        <v>86239.834163925378</v>
      </c>
      <c r="K124" s="5">
        <f t="shared" si="5"/>
        <v>8.8502125495850306E-2</v>
      </c>
    </row>
    <row r="125" spans="1:11" x14ac:dyDescent="0.2">
      <c r="A125" s="453">
        <v>41334</v>
      </c>
      <c r="B125" s="27">
        <v>807431</v>
      </c>
      <c r="C125" s="458">
        <f>+'Purchased Power Model '!C125</f>
        <v>545</v>
      </c>
      <c r="D125" s="458">
        <f>+'Purchased Power Model '!D125</f>
        <v>0</v>
      </c>
      <c r="E125" s="443">
        <f>+'Purchased Power Model '!E125</f>
        <v>8.8000000000000009E-2</v>
      </c>
      <c r="F125" s="53">
        <f>+'Purchased Power Model '!F125</f>
        <v>31</v>
      </c>
      <c r="G125" s="53">
        <f>+'Purchased Power Model '!G125</f>
        <v>1</v>
      </c>
      <c r="H125" s="171">
        <v>12287</v>
      </c>
      <c r="I125" s="456">
        <f t="shared" si="3"/>
        <v>936114.34809741972</v>
      </c>
      <c r="J125" s="457">
        <f t="shared" si="4"/>
        <v>128683.34809741972</v>
      </c>
      <c r="K125" s="5">
        <f t="shared" si="5"/>
        <v>0.15937380172103835</v>
      </c>
    </row>
    <row r="126" spans="1:11" x14ac:dyDescent="0.2">
      <c r="A126" s="453">
        <v>41365</v>
      </c>
      <c r="B126" s="27">
        <v>811467</v>
      </c>
      <c r="C126" s="458">
        <f>+'Purchased Power Model '!C126</f>
        <v>366.49999999999994</v>
      </c>
      <c r="D126" s="458">
        <f>+'Purchased Power Model '!D126</f>
        <v>0</v>
      </c>
      <c r="E126" s="443">
        <f>+'Purchased Power Model '!E126</f>
        <v>7.400000000000001E-2</v>
      </c>
      <c r="F126" s="53">
        <f>+'Purchased Power Model '!F126</f>
        <v>30</v>
      </c>
      <c r="G126" s="53">
        <f>+'Purchased Power Model '!G126</f>
        <v>1</v>
      </c>
      <c r="H126" s="171">
        <v>12287</v>
      </c>
      <c r="I126" s="456">
        <f t="shared" si="3"/>
        <v>852401.89393513673</v>
      </c>
      <c r="J126" s="457">
        <f t="shared" si="4"/>
        <v>40934.89393513673</v>
      </c>
      <c r="K126" s="5">
        <f t="shared" si="5"/>
        <v>5.0445543608226492E-2</v>
      </c>
    </row>
    <row r="127" spans="1:11" x14ac:dyDescent="0.2">
      <c r="A127" s="453">
        <v>41395</v>
      </c>
      <c r="B127" s="27">
        <v>688329</v>
      </c>
      <c r="C127" s="458">
        <f>+'Purchased Power Model '!C127</f>
        <v>133.4</v>
      </c>
      <c r="D127" s="458">
        <f>+'Purchased Power Model '!D127</f>
        <v>3</v>
      </c>
      <c r="E127" s="443">
        <f>+'Purchased Power Model '!E127</f>
        <v>7.400000000000001E-2</v>
      </c>
      <c r="F127" s="53">
        <f>+'Purchased Power Model '!F127</f>
        <v>31</v>
      </c>
      <c r="G127" s="53">
        <f>+'Purchased Power Model '!G127</f>
        <v>1</v>
      </c>
      <c r="H127" s="171">
        <v>12287</v>
      </c>
      <c r="I127" s="456">
        <f t="shared" si="3"/>
        <v>730594.86209421291</v>
      </c>
      <c r="J127" s="457">
        <f t="shared" si="4"/>
        <v>42265.862094212906</v>
      </c>
      <c r="K127" s="5">
        <f t="shared" si="5"/>
        <v>6.1403576043160907E-2</v>
      </c>
    </row>
    <row r="128" spans="1:11" x14ac:dyDescent="0.2">
      <c r="A128" s="453">
        <v>41426</v>
      </c>
      <c r="B128" s="27">
        <v>631632</v>
      </c>
      <c r="C128" s="458">
        <f>+'Purchased Power Model '!C128</f>
        <v>42.900000000000006</v>
      </c>
      <c r="D128" s="458">
        <f>+'Purchased Power Model '!D128</f>
        <v>32.200000000000003</v>
      </c>
      <c r="E128" s="443">
        <f>+'Purchased Power Model '!E128</f>
        <v>7.400000000000001E-2</v>
      </c>
      <c r="F128" s="53">
        <f>+'Purchased Power Model '!F128</f>
        <v>30</v>
      </c>
      <c r="G128" s="53">
        <f>+'Purchased Power Model '!G128</f>
        <v>0</v>
      </c>
      <c r="H128" s="171">
        <v>12287</v>
      </c>
      <c r="I128" s="456">
        <f t="shared" si="3"/>
        <v>702988.99281492515</v>
      </c>
      <c r="J128" s="457">
        <f t="shared" si="4"/>
        <v>71356.99281492515</v>
      </c>
      <c r="K128" s="5">
        <f t="shared" si="5"/>
        <v>0.11297241560738713</v>
      </c>
    </row>
    <row r="129" spans="1:11" x14ac:dyDescent="0.2">
      <c r="A129" s="453">
        <v>41456</v>
      </c>
      <c r="B129" s="27">
        <v>563926</v>
      </c>
      <c r="C129" s="458">
        <f>+'Purchased Power Model '!C129</f>
        <v>4.4000000000000004</v>
      </c>
      <c r="D129" s="458">
        <f>+'Purchased Power Model '!D129</f>
        <v>109.99999999999999</v>
      </c>
      <c r="E129" s="443">
        <f>+'Purchased Power Model '!E129</f>
        <v>6.2E-2</v>
      </c>
      <c r="F129" s="53">
        <f>+'Purchased Power Model '!F129</f>
        <v>31</v>
      </c>
      <c r="G129" s="53">
        <f>+'Purchased Power Model '!G129</f>
        <v>0</v>
      </c>
      <c r="H129" s="171">
        <v>12361</v>
      </c>
      <c r="I129" s="456">
        <f t="shared" si="3"/>
        <v>527139.49216739275</v>
      </c>
      <c r="J129" s="457">
        <f t="shared" si="4"/>
        <v>-36786.507832607254</v>
      </c>
      <c r="K129" s="5">
        <f t="shared" si="5"/>
        <v>-6.5232863589561846E-2</v>
      </c>
    </row>
    <row r="130" spans="1:11" x14ac:dyDescent="0.2">
      <c r="A130" s="453">
        <v>41487</v>
      </c>
      <c r="B130" s="27">
        <v>603382</v>
      </c>
      <c r="C130" s="458">
        <f>+'Purchased Power Model '!C130</f>
        <v>11</v>
      </c>
      <c r="D130" s="458">
        <f>+'Purchased Power Model '!D130</f>
        <v>57.899999999999991</v>
      </c>
      <c r="E130" s="443">
        <f>+'Purchased Power Model '!E130</f>
        <v>6.2E-2</v>
      </c>
      <c r="F130" s="53">
        <f>+'Purchased Power Model '!F130</f>
        <v>31</v>
      </c>
      <c r="G130" s="53">
        <f>+'Purchased Power Model '!G130</f>
        <v>0</v>
      </c>
      <c r="H130" s="171">
        <v>12361</v>
      </c>
      <c r="I130" s="456">
        <f t="shared" si="3"/>
        <v>596235.76441093301</v>
      </c>
      <c r="J130" s="457">
        <f t="shared" si="4"/>
        <v>-7146.235589066986</v>
      </c>
      <c r="K130" s="5">
        <f t="shared" si="5"/>
        <v>-1.1843634031288613E-2</v>
      </c>
    </row>
    <row r="131" spans="1:11" x14ac:dyDescent="0.2">
      <c r="A131" s="453">
        <v>41518</v>
      </c>
      <c r="B131" s="27">
        <v>617200</v>
      </c>
      <c r="C131" s="458">
        <f>+'Purchased Power Model '!C131</f>
        <v>96.600000000000009</v>
      </c>
      <c r="D131" s="458">
        <f>+'Purchased Power Model '!D131</f>
        <v>15.700000000000001</v>
      </c>
      <c r="E131" s="443">
        <f>+'Purchased Power Model '!E131</f>
        <v>6.2E-2</v>
      </c>
      <c r="F131" s="53">
        <f>+'Purchased Power Model '!F131</f>
        <v>30</v>
      </c>
      <c r="G131" s="53">
        <f>+'Purchased Power Model '!G131</f>
        <v>1</v>
      </c>
      <c r="H131" s="171">
        <v>12367</v>
      </c>
      <c r="I131" s="456">
        <f t="shared" si="3"/>
        <v>691940.26841109269</v>
      </c>
      <c r="J131" s="457">
        <f t="shared" si="4"/>
        <v>74740.268411092693</v>
      </c>
      <c r="K131" s="5">
        <f t="shared" si="5"/>
        <v>0.12109570384169263</v>
      </c>
    </row>
    <row r="132" spans="1:11" x14ac:dyDescent="0.2">
      <c r="A132" s="453">
        <v>41548</v>
      </c>
      <c r="B132" s="27">
        <v>613482</v>
      </c>
      <c r="C132" s="458">
        <f>+'Purchased Power Model '!C132</f>
        <v>221</v>
      </c>
      <c r="D132" s="458">
        <f>+'Purchased Power Model '!D132</f>
        <v>3</v>
      </c>
      <c r="E132" s="443">
        <f>+'Purchased Power Model '!E132</f>
        <v>7.5999999999999998E-2</v>
      </c>
      <c r="F132" s="53">
        <f>+'Purchased Power Model '!F132</f>
        <v>31</v>
      </c>
      <c r="G132" s="53">
        <f>+'Purchased Power Model '!G132</f>
        <v>1</v>
      </c>
      <c r="H132" s="171">
        <v>12375</v>
      </c>
      <c r="I132" s="456">
        <f t="shared" ref="I132:I195" si="6">$N$18+C132*$N$19+D132*$N$20+E132*$N$21+F132*$N$22+G132*$N$23</f>
        <v>770683.85121475451</v>
      </c>
      <c r="J132" s="457">
        <f t="shared" ref="J132:J133" si="7">I132-B132</f>
        <v>157201.85121475451</v>
      </c>
      <c r="K132" s="5">
        <f t="shared" ref="K132:K133" si="8">J132/B132</f>
        <v>0.25624525448954411</v>
      </c>
    </row>
    <row r="133" spans="1:11" x14ac:dyDescent="0.2">
      <c r="A133" s="453">
        <v>41579</v>
      </c>
      <c r="B133" s="27">
        <v>863651</v>
      </c>
      <c r="C133" s="458">
        <f>+'Purchased Power Model '!C133</f>
        <v>458.6</v>
      </c>
      <c r="D133" s="458">
        <f>+'Purchased Power Model '!D133</f>
        <v>0</v>
      </c>
      <c r="E133" s="443">
        <f>+'Purchased Power Model '!E133</f>
        <v>7.5999999999999998E-2</v>
      </c>
      <c r="F133" s="53">
        <f>+'Purchased Power Model '!F133</f>
        <v>30</v>
      </c>
      <c r="G133" s="53">
        <f>+'Purchased Power Model '!G133</f>
        <v>1</v>
      </c>
      <c r="H133" s="171">
        <v>12375</v>
      </c>
      <c r="I133" s="456">
        <f t="shared" si="6"/>
        <v>894252.78733889852</v>
      </c>
      <c r="J133" s="457">
        <f t="shared" si="7"/>
        <v>30601.787338898517</v>
      </c>
      <c r="K133" s="5">
        <f t="shared" si="8"/>
        <v>3.5433048000753219E-2</v>
      </c>
    </row>
    <row r="134" spans="1:11" x14ac:dyDescent="0.2">
      <c r="A134" s="453">
        <v>41609</v>
      </c>
      <c r="B134" s="27">
        <v>915660</v>
      </c>
      <c r="C134" s="458">
        <f>+'Purchased Power Model '!C134</f>
        <v>472.8</v>
      </c>
      <c r="D134" s="458">
        <f ca="1">+'Purchased Power Model '!D134</f>
        <v>0</v>
      </c>
      <c r="E134" s="443">
        <f>+'Purchased Power Model '!E134</f>
        <v>7.5999999999999998E-2</v>
      </c>
      <c r="F134" s="53">
        <f>+'Purchased Power Model '!F134</f>
        <v>31</v>
      </c>
      <c r="G134" s="53">
        <f>+'Purchased Power Model '!G134</f>
        <v>0</v>
      </c>
      <c r="H134" s="171">
        <v>12385</v>
      </c>
      <c r="I134" s="456">
        <f t="shared" ca="1" si="6"/>
        <v>891496.9666018337</v>
      </c>
      <c r="J134" s="457">
        <f t="shared" ref="J134" ca="1" si="9">I134-B134</f>
        <v>-24163.033398166299</v>
      </c>
      <c r="K134" s="5">
        <f t="shared" ref="K134" ca="1" si="10">J134/B134</f>
        <v>-2.6388652336201537E-2</v>
      </c>
    </row>
    <row r="135" spans="1:11" x14ac:dyDescent="0.2">
      <c r="A135" s="453">
        <v>41640</v>
      </c>
      <c r="B135" s="27">
        <v>994940</v>
      </c>
      <c r="C135" s="458">
        <f>+'Purchased Power Model '!C135</f>
        <v>771.3</v>
      </c>
      <c r="D135" s="458">
        <f>+'Purchased Power Model '!D135</f>
        <v>0</v>
      </c>
      <c r="E135" s="443">
        <f>+'Purchased Power Model '!E135</f>
        <v>7.6999999999999999E-2</v>
      </c>
      <c r="F135" s="53">
        <f>+'Purchased Power Model '!F135</f>
        <v>31</v>
      </c>
      <c r="G135" s="53">
        <f>+'Purchased Power Model '!G135</f>
        <v>0</v>
      </c>
      <c r="H135" s="171">
        <v>12385</v>
      </c>
      <c r="I135" s="456">
        <f t="shared" si="6"/>
        <v>1011265.243592375</v>
      </c>
      <c r="J135" s="457"/>
      <c r="K135" s="5"/>
    </row>
    <row r="136" spans="1:11" x14ac:dyDescent="0.2">
      <c r="A136" s="453">
        <v>41671</v>
      </c>
      <c r="B136" s="27">
        <v>980089</v>
      </c>
      <c r="C136" s="458">
        <f>+'Purchased Power Model '!C136</f>
        <v>690.84999999999991</v>
      </c>
      <c r="D136" s="458">
        <f>+'Purchased Power Model '!D136</f>
        <v>0</v>
      </c>
      <c r="E136" s="443">
        <f>+'Purchased Power Model '!E136</f>
        <v>7.6999999999999999E-2</v>
      </c>
      <c r="F136" s="53">
        <f>+'Purchased Power Model '!F136</f>
        <v>28</v>
      </c>
      <c r="G136" s="53">
        <f>+'Purchased Power Model '!G136</f>
        <v>0</v>
      </c>
      <c r="H136" s="171">
        <v>12385</v>
      </c>
      <c r="I136" s="456">
        <f t="shared" si="6"/>
        <v>1059897.8581185213</v>
      </c>
      <c r="J136" s="457"/>
      <c r="K136" s="5"/>
    </row>
    <row r="137" spans="1:11" x14ac:dyDescent="0.2">
      <c r="A137" s="453">
        <v>41699</v>
      </c>
      <c r="B137" s="27">
        <v>811042</v>
      </c>
      <c r="C137" s="458">
        <f>+'Purchased Power Model '!C137</f>
        <v>677.95</v>
      </c>
      <c r="D137" s="458">
        <f>+'Purchased Power Model '!D137</f>
        <v>0</v>
      </c>
      <c r="E137" s="443">
        <f>+'Purchased Power Model '!E137</f>
        <v>7.6999999999999999E-2</v>
      </c>
      <c r="F137" s="53">
        <f>+'Purchased Power Model '!F137</f>
        <v>31</v>
      </c>
      <c r="G137" s="53">
        <f>+'Purchased Power Model '!G137</f>
        <v>1</v>
      </c>
      <c r="H137" s="171">
        <v>12385</v>
      </c>
      <c r="I137" s="456">
        <f t="shared" si="6"/>
        <v>956320.60973659542</v>
      </c>
      <c r="J137" s="457"/>
      <c r="K137" s="5"/>
    </row>
    <row r="138" spans="1:11" x14ac:dyDescent="0.2">
      <c r="A138" s="453">
        <v>41730</v>
      </c>
      <c r="B138" s="27">
        <v>814906</v>
      </c>
      <c r="C138" s="458">
        <f>+'Purchased Power Model '!C138</f>
        <v>371.2999999999999</v>
      </c>
      <c r="D138" s="458">
        <f>+'Purchased Power Model '!D138</f>
        <v>0</v>
      </c>
      <c r="E138" s="443">
        <f>+'Purchased Power Model '!E138</f>
        <v>6.7000000000000004E-2</v>
      </c>
      <c r="F138" s="53">
        <f>+'Purchased Power Model '!F138</f>
        <v>30</v>
      </c>
      <c r="G138" s="53">
        <f>+'Purchased Power Model '!G138</f>
        <v>1</v>
      </c>
      <c r="H138" s="171">
        <v>12424</v>
      </c>
      <c r="I138" s="456">
        <f t="shared" si="6"/>
        <v>834014.20841208752</v>
      </c>
      <c r="J138" s="457"/>
      <c r="K138" s="5"/>
    </row>
    <row r="139" spans="1:11" x14ac:dyDescent="0.2">
      <c r="A139" s="453">
        <v>41760</v>
      </c>
      <c r="B139" s="27">
        <v>695472</v>
      </c>
      <c r="C139" s="458">
        <f>+'Purchased Power Model '!C139</f>
        <v>160.49999999999994</v>
      </c>
      <c r="D139" s="458">
        <f>+'Purchased Power Model '!D139</f>
        <v>1.3</v>
      </c>
      <c r="E139" s="443">
        <f>+'Purchased Power Model '!E139</f>
        <v>6.7000000000000004E-2</v>
      </c>
      <c r="F139" s="53">
        <f>+'Purchased Power Model '!F139</f>
        <v>31</v>
      </c>
      <c r="G139" s="53">
        <f>+'Purchased Power Model '!G139</f>
        <v>1</v>
      </c>
      <c r="H139" s="171">
        <v>12458</v>
      </c>
      <c r="I139" s="456">
        <f t="shared" si="6"/>
        <v>723108.65309058863</v>
      </c>
      <c r="J139" s="457"/>
      <c r="K139" s="5"/>
    </row>
    <row r="140" spans="1:11" x14ac:dyDescent="0.2">
      <c r="A140" s="453">
        <v>41791</v>
      </c>
      <c r="B140" s="27">
        <v>8808</v>
      </c>
      <c r="C140" s="458">
        <f>+'Purchased Power Model '!C140</f>
        <v>26.9</v>
      </c>
      <c r="D140" s="458">
        <f>+'Purchased Power Model '!D140</f>
        <v>40.1</v>
      </c>
      <c r="E140" s="443">
        <f>+'Purchased Power Model '!E140</f>
        <v>6.7000000000000004E-2</v>
      </c>
      <c r="F140" s="53">
        <f>+'Purchased Power Model '!F140</f>
        <v>30</v>
      </c>
      <c r="G140" s="53">
        <f>+'Purchased Power Model '!G140</f>
        <v>0</v>
      </c>
      <c r="H140" s="171">
        <v>12458</v>
      </c>
      <c r="I140" s="456">
        <f t="shared" si="6"/>
        <v>666372.05916830606</v>
      </c>
      <c r="J140" s="457"/>
      <c r="K140" s="5"/>
    </row>
    <row r="141" spans="1:11" x14ac:dyDescent="0.2">
      <c r="A141" s="453">
        <v>41821</v>
      </c>
      <c r="B141" s="27">
        <v>1196582</v>
      </c>
      <c r="C141" s="458">
        <f>+'Purchased Power Model '!C141</f>
        <v>9.5999999999999979</v>
      </c>
      <c r="D141" s="458">
        <f>+'Purchased Power Model '!D141</f>
        <v>54.599999999999994</v>
      </c>
      <c r="E141" s="443">
        <f>+'Purchased Power Model '!E141</f>
        <v>7.5999999999999998E-2</v>
      </c>
      <c r="F141" s="53">
        <f>+'Purchased Power Model '!F141</f>
        <v>31</v>
      </c>
      <c r="G141" s="53">
        <f>+'Purchased Power Model '!G141</f>
        <v>0</v>
      </c>
      <c r="H141" s="171">
        <v>12511</v>
      </c>
      <c r="I141" s="456">
        <f t="shared" si="6"/>
        <v>640434.57804779871</v>
      </c>
      <c r="J141" s="457"/>
      <c r="K141" s="5"/>
    </row>
    <row r="142" spans="1:11" x14ac:dyDescent="0.2">
      <c r="A142" s="453">
        <v>41852</v>
      </c>
      <c r="B142" s="27">
        <v>607957</v>
      </c>
      <c r="C142" s="458">
        <f>+'Purchased Power Model '!C142</f>
        <v>12.7</v>
      </c>
      <c r="D142" s="458">
        <f>+'Purchased Power Model '!D142</f>
        <v>58</v>
      </c>
      <c r="E142" s="443">
        <f>+'Purchased Power Model '!E142</f>
        <v>7.5999999999999998E-2</v>
      </c>
      <c r="F142" s="53">
        <f>+'Purchased Power Model '!F142</f>
        <v>31</v>
      </c>
      <c r="G142" s="53">
        <f>+'Purchased Power Model '!G142</f>
        <v>0</v>
      </c>
      <c r="H142" s="171">
        <v>12511</v>
      </c>
      <c r="I142" s="456">
        <f t="shared" si="6"/>
        <v>637307.81041108398</v>
      </c>
      <c r="J142" s="457"/>
      <c r="K142" s="5"/>
    </row>
    <row r="143" spans="1:11" x14ac:dyDescent="0.2">
      <c r="A143" s="453">
        <v>41883</v>
      </c>
      <c r="B143" s="27">
        <v>624468</v>
      </c>
      <c r="C143" s="458">
        <f>+'Purchased Power Model '!C143</f>
        <v>77.400000000000006</v>
      </c>
      <c r="D143" s="458">
        <f>+'Purchased Power Model '!D143</f>
        <v>22.5</v>
      </c>
      <c r="E143" s="443">
        <f>+'Purchased Power Model '!E143</f>
        <v>7.5999999999999998E-2</v>
      </c>
      <c r="F143" s="53">
        <f>+'Purchased Power Model '!F143</f>
        <v>30</v>
      </c>
      <c r="G143" s="53">
        <f>+'Purchased Power Model '!G143</f>
        <v>1</v>
      </c>
      <c r="H143" s="171">
        <v>12511</v>
      </c>
      <c r="I143" s="456">
        <f t="shared" si="6"/>
        <v>716275.86247823201</v>
      </c>
      <c r="J143" s="457"/>
      <c r="K143" s="5"/>
    </row>
    <row r="144" spans="1:11" x14ac:dyDescent="0.2">
      <c r="A144" s="453">
        <v>41913</v>
      </c>
      <c r="B144" s="27">
        <v>620856</v>
      </c>
      <c r="C144" s="458">
        <f>+'Purchased Power Model '!C144</f>
        <v>216.29999999999998</v>
      </c>
      <c r="D144" s="458">
        <f>+'Purchased Power Model '!D144</f>
        <v>0.5</v>
      </c>
      <c r="E144" s="443">
        <f>+'Purchased Power Model '!E144</f>
        <v>7.400000000000001E-2</v>
      </c>
      <c r="F144" s="53">
        <f>+'Purchased Power Model '!F144</f>
        <v>31</v>
      </c>
      <c r="G144" s="53">
        <f>+'Purchased Power Model '!G144</f>
        <v>1</v>
      </c>
      <c r="H144" s="171">
        <v>12511</v>
      </c>
      <c r="I144" s="456">
        <f t="shared" si="6"/>
        <v>766244.61604038801</v>
      </c>
      <c r="J144" s="457"/>
      <c r="K144" s="5"/>
    </row>
    <row r="145" spans="1:11" x14ac:dyDescent="0.2">
      <c r="A145" s="453">
        <v>41944</v>
      </c>
      <c r="B145" s="27">
        <v>874002</v>
      </c>
      <c r="C145" s="458">
        <f>+'Purchased Power Model '!C145</f>
        <v>407.30000000000013</v>
      </c>
      <c r="D145" s="458">
        <f>+'Purchased Power Model '!D145</f>
        <v>0</v>
      </c>
      <c r="E145" s="443">
        <f>+'Purchased Power Model '!E145</f>
        <v>6.8000000000000005E-2</v>
      </c>
      <c r="F145" s="53">
        <f>+'Purchased Power Model '!F145</f>
        <v>30</v>
      </c>
      <c r="G145" s="53">
        <f>+'Purchased Power Model '!G145</f>
        <v>1</v>
      </c>
      <c r="H145" s="171">
        <v>12511</v>
      </c>
      <c r="I145" s="456">
        <f t="shared" si="6"/>
        <v>851004.73554810975</v>
      </c>
      <c r="J145" s="457"/>
      <c r="K145" s="5"/>
    </row>
    <row r="146" spans="1:11" x14ac:dyDescent="0.2">
      <c r="A146" s="453">
        <v>41974</v>
      </c>
      <c r="B146" s="27">
        <v>926753</v>
      </c>
      <c r="C146" s="458">
        <f>+'Purchased Power Model '!C146</f>
        <v>551.79999999999995</v>
      </c>
      <c r="D146" s="458">
        <f>+'Purchased Power Model '!D146</f>
        <v>0</v>
      </c>
      <c r="E146" s="443">
        <f>+'Purchased Power Model '!E146</f>
        <v>6.6000000000000003E-2</v>
      </c>
      <c r="F146" s="53">
        <f>+'Purchased Power Model '!F146</f>
        <v>31</v>
      </c>
      <c r="G146" s="53">
        <f>+'Purchased Power Model '!G146</f>
        <v>0</v>
      </c>
      <c r="H146" s="171">
        <v>12544</v>
      </c>
      <c r="I146" s="456">
        <f t="shared" si="6"/>
        <v>893475.24642688315</v>
      </c>
      <c r="J146" s="457"/>
      <c r="K146" s="5"/>
    </row>
    <row r="147" spans="1:11" x14ac:dyDescent="0.2">
      <c r="A147" s="453">
        <v>42005</v>
      </c>
      <c r="B147" s="27">
        <v>1007125</v>
      </c>
      <c r="C147" s="458">
        <f>+'Purchased Power Model '!C147</f>
        <v>775.6</v>
      </c>
      <c r="D147" s="458">
        <f>+'Purchased Power Model '!D147</f>
        <v>0</v>
      </c>
      <c r="E147" s="443">
        <f>+'Purchased Power Model '!E147</f>
        <v>6.7000000000000004E-2</v>
      </c>
      <c r="F147" s="53">
        <f>+'Purchased Power Model '!F147</f>
        <v>31</v>
      </c>
      <c r="G147" s="53">
        <f>+'Purchased Power Model '!G147</f>
        <v>0</v>
      </c>
      <c r="H147" s="171"/>
      <c r="I147" s="456">
        <f t="shared" si="6"/>
        <v>983995.91231596703</v>
      </c>
      <c r="J147" s="457"/>
      <c r="K147" s="5"/>
    </row>
    <row r="148" spans="1:11" x14ac:dyDescent="0.2">
      <c r="A148" s="453">
        <v>42036</v>
      </c>
      <c r="B148" s="27">
        <v>993355</v>
      </c>
      <c r="C148" s="458">
        <f>+'Purchased Power Model '!C148</f>
        <v>809.4</v>
      </c>
      <c r="D148" s="458">
        <f>+'Purchased Power Model '!D148</f>
        <v>0</v>
      </c>
      <c r="E148" s="443">
        <f>+'Purchased Power Model '!E148</f>
        <v>6.8000000000000005E-2</v>
      </c>
      <c r="F148" s="53">
        <f>+'Purchased Power Model '!F148</f>
        <v>28</v>
      </c>
      <c r="G148" s="53">
        <f>+'Purchased Power Model '!G148</f>
        <v>0</v>
      </c>
      <c r="H148" s="171"/>
      <c r="I148" s="456">
        <f t="shared" si="6"/>
        <v>1080256.6117919111</v>
      </c>
      <c r="J148" s="457"/>
      <c r="K148" s="5"/>
    </row>
    <row r="149" spans="1:11" x14ac:dyDescent="0.2">
      <c r="A149" s="453">
        <v>42064</v>
      </c>
      <c r="B149" s="27">
        <v>822357</v>
      </c>
      <c r="C149" s="458">
        <f>+'Purchased Power Model '!C149</f>
        <v>611.6</v>
      </c>
      <c r="D149" s="458">
        <f>+'Purchased Power Model '!D149</f>
        <v>0</v>
      </c>
      <c r="E149" s="443">
        <f>+'Purchased Power Model '!E149</f>
        <v>7.2000000000000008E-2</v>
      </c>
      <c r="F149" s="53">
        <f>+'Purchased Power Model '!F149</f>
        <v>31</v>
      </c>
      <c r="G149" s="53">
        <f>+'Purchased Power Model '!G149</f>
        <v>1</v>
      </c>
      <c r="H149" s="171"/>
      <c r="I149" s="456">
        <f t="shared" si="6"/>
        <v>915865.84556492663</v>
      </c>
      <c r="J149" s="457"/>
      <c r="K149" s="5"/>
    </row>
    <row r="150" spans="1:11" x14ac:dyDescent="0.2">
      <c r="A150" s="453">
        <v>42095</v>
      </c>
      <c r="B150" s="27">
        <v>826204</v>
      </c>
      <c r="C150" s="458">
        <f>+'Purchased Power Model '!C150</f>
        <v>335.6</v>
      </c>
      <c r="D150" s="458">
        <f>+'Purchased Power Model '!D150</f>
        <v>0</v>
      </c>
      <c r="E150" s="443">
        <f>+'Purchased Power Model '!E150</f>
        <v>7.5999999999999998E-2</v>
      </c>
      <c r="F150" s="53">
        <f>+'Purchased Power Model '!F150</f>
        <v>30</v>
      </c>
      <c r="G150" s="53">
        <f>+'Purchased Power Model '!G150</f>
        <v>1</v>
      </c>
      <c r="H150" s="171"/>
      <c r="I150" s="456">
        <f t="shared" si="6"/>
        <v>846094.07026420953</v>
      </c>
      <c r="J150" s="457"/>
      <c r="K150" s="5"/>
    </row>
    <row r="151" spans="1:11" x14ac:dyDescent="0.2">
      <c r="A151" s="453">
        <v>42125</v>
      </c>
      <c r="B151" s="27">
        <v>701718</v>
      </c>
      <c r="C151" s="458">
        <f>+'Purchased Power Model '!C151</f>
        <v>120.5</v>
      </c>
      <c r="D151" s="458">
        <f>+'Purchased Power Model '!D151</f>
        <v>1.8</v>
      </c>
      <c r="E151" s="443">
        <f>+'Purchased Power Model '!E151</f>
        <v>7.8E-2</v>
      </c>
      <c r="F151" s="53">
        <f>+'Purchased Power Model '!F151</f>
        <v>31</v>
      </c>
      <c r="G151" s="53">
        <f>+'Purchased Power Model '!G151</f>
        <v>1</v>
      </c>
      <c r="H151" s="171"/>
      <c r="I151" s="456">
        <f t="shared" si="6"/>
        <v>738657.1909157607</v>
      </c>
      <c r="J151" s="457"/>
      <c r="K151" s="5"/>
    </row>
    <row r="152" spans="1:11" x14ac:dyDescent="0.2">
      <c r="A152" s="453">
        <v>42156</v>
      </c>
      <c r="B152" s="27">
        <v>641823</v>
      </c>
      <c r="C152" s="458">
        <f>+'Purchased Power Model '!C152</f>
        <v>50.2</v>
      </c>
      <c r="D152" s="458">
        <f>+'Purchased Power Model '!D152</f>
        <v>13.1</v>
      </c>
      <c r="E152" s="443">
        <f>+'Purchased Power Model '!E152</f>
        <v>7.8E-2</v>
      </c>
      <c r="F152" s="53">
        <f>+'Purchased Power Model '!F152</f>
        <v>30</v>
      </c>
      <c r="G152" s="53">
        <f>+'Purchased Power Model '!G152</f>
        <v>0</v>
      </c>
      <c r="H152" s="171"/>
      <c r="I152" s="456">
        <f t="shared" si="6"/>
        <v>741811.89601456781</v>
      </c>
      <c r="J152" s="457"/>
      <c r="K152" s="5"/>
    </row>
    <row r="153" spans="1:11" x14ac:dyDescent="0.2">
      <c r="A153" s="453">
        <v>42186</v>
      </c>
      <c r="B153" s="27">
        <v>577012</v>
      </c>
      <c r="C153" s="458">
        <f>+'Purchased Power Model '!C153</f>
        <v>6.8</v>
      </c>
      <c r="D153" s="458">
        <f>+'Purchased Power Model '!D153</f>
        <v>71.5</v>
      </c>
      <c r="E153" s="443">
        <f>+'Purchased Power Model '!E153</f>
        <v>7.8E-2</v>
      </c>
      <c r="F153" s="53">
        <f>+'Purchased Power Model '!F153</f>
        <v>31</v>
      </c>
      <c r="G153" s="53">
        <f>+'Purchased Power Model '!G153</f>
        <v>0</v>
      </c>
      <c r="H153" s="171"/>
      <c r="I153" s="456">
        <f t="shared" si="6"/>
        <v>623553.91065457091</v>
      </c>
      <c r="J153" s="457"/>
      <c r="K153" s="5"/>
    </row>
    <row r="154" spans="1:11" x14ac:dyDescent="0.2">
      <c r="A154" s="453">
        <v>42217</v>
      </c>
      <c r="B154" s="27">
        <v>615493</v>
      </c>
      <c r="C154" s="458">
        <f>+'Purchased Power Model '!C154</f>
        <v>4.9000000000000004</v>
      </c>
      <c r="D154" s="458">
        <f>+'Purchased Power Model '!D154</f>
        <v>62</v>
      </c>
      <c r="E154" s="443">
        <f>+'Purchased Power Model '!E154</f>
        <v>0.08</v>
      </c>
      <c r="F154" s="53">
        <f>+'Purchased Power Model '!F154</f>
        <v>31</v>
      </c>
      <c r="G154" s="53">
        <f>+'Purchased Power Model '!G154</f>
        <v>0</v>
      </c>
      <c r="H154" s="171"/>
      <c r="I154" s="456">
        <f t="shared" si="6"/>
        <v>640728.51573762554</v>
      </c>
      <c r="J154" s="457"/>
      <c r="K154" s="5"/>
    </row>
    <row r="155" spans="1:11" x14ac:dyDescent="0.2">
      <c r="A155" s="453">
        <v>42248</v>
      </c>
      <c r="B155" s="27">
        <v>632454</v>
      </c>
      <c r="C155" s="458">
        <f>+'Purchased Power Model '!C155</f>
        <v>37</v>
      </c>
      <c r="D155" s="458">
        <f>+'Purchased Power Model '!D155</f>
        <v>48.6</v>
      </c>
      <c r="E155" s="443">
        <f>+'Purchased Power Model '!E155</f>
        <v>8.3000000000000004E-2</v>
      </c>
      <c r="F155" s="53">
        <f>+'Purchased Power Model '!F155</f>
        <v>30</v>
      </c>
      <c r="G155" s="53">
        <f>+'Purchased Power Model '!G155</f>
        <v>1</v>
      </c>
      <c r="H155" s="171"/>
      <c r="I155" s="456">
        <f t="shared" si="6"/>
        <v>687405.02323471243</v>
      </c>
      <c r="J155" s="457"/>
      <c r="K155" s="5"/>
    </row>
    <row r="156" spans="1:11" x14ac:dyDescent="0.2">
      <c r="A156" s="453">
        <v>42278</v>
      </c>
      <c r="B156" s="27">
        <v>629841</v>
      </c>
      <c r="C156" s="458">
        <f>+'Purchased Power Model '!C156</f>
        <v>248.1</v>
      </c>
      <c r="D156" s="458">
        <f>+'Purchased Power Model '!D156</f>
        <v>0</v>
      </c>
      <c r="E156" s="443">
        <f>+'Purchased Power Model '!E156</f>
        <v>8.1000000000000003E-2</v>
      </c>
      <c r="F156" s="53">
        <f>+'Purchased Power Model '!F156</f>
        <v>31</v>
      </c>
      <c r="G156" s="53">
        <f>+'Purchased Power Model '!G156</f>
        <v>1</v>
      </c>
      <c r="H156" s="171"/>
      <c r="I156" s="456">
        <f t="shared" si="6"/>
        <v>799600.76874157658</v>
      </c>
      <c r="J156" s="457"/>
      <c r="K156" s="5"/>
    </row>
    <row r="157" spans="1:11" x14ac:dyDescent="0.2">
      <c r="A157" s="453">
        <v>42309</v>
      </c>
      <c r="B157" s="27">
        <v>896881</v>
      </c>
      <c r="C157" s="458">
        <f>+'Purchased Power Model '!C157</f>
        <v>345.6</v>
      </c>
      <c r="D157" s="458">
        <f>+'Purchased Power Model '!D157</f>
        <v>0</v>
      </c>
      <c r="E157" s="443">
        <f>+'Purchased Power Model '!E157</f>
        <v>7.8E-2</v>
      </c>
      <c r="F157" s="53">
        <f>+'Purchased Power Model '!F157</f>
        <v>30</v>
      </c>
      <c r="G157" s="53">
        <f>+'Purchased Power Model '!G157</f>
        <v>1</v>
      </c>
      <c r="H157" s="171"/>
      <c r="I157" s="456">
        <f t="shared" si="6"/>
        <v>855799.99885632959</v>
      </c>
      <c r="J157" s="457"/>
      <c r="K157" s="5"/>
    </row>
    <row r="158" spans="1:11" x14ac:dyDescent="0.2">
      <c r="A158" s="453">
        <v>42339</v>
      </c>
      <c r="B158" s="27">
        <v>958500</v>
      </c>
      <c r="C158" s="458">
        <f>+'Purchased Power Model '!C158</f>
        <v>415</v>
      </c>
      <c r="D158" s="458">
        <f>+'Purchased Power Model '!D158</f>
        <v>0</v>
      </c>
      <c r="E158" s="443">
        <f>+'Purchased Power Model '!E158</f>
        <v>7.0000000000000007E-2</v>
      </c>
      <c r="F158" s="53">
        <f>+'Purchased Power Model '!F158</f>
        <v>31</v>
      </c>
      <c r="G158" s="53">
        <f>+'Purchased Power Model '!G158</f>
        <v>0</v>
      </c>
      <c r="H158" s="171"/>
      <c r="I158" s="456">
        <f t="shared" si="6"/>
        <v>851494.52769802348</v>
      </c>
      <c r="J158" s="457"/>
      <c r="K158" s="5"/>
    </row>
    <row r="159" spans="1:11" x14ac:dyDescent="0.2">
      <c r="A159" s="453">
        <v>42370</v>
      </c>
      <c r="B159" s="27">
        <v>1041857</v>
      </c>
      <c r="C159" s="458">
        <f>+'Purchased Power Model '!C159</f>
        <v>689.4</v>
      </c>
      <c r="D159" s="458">
        <f>+'Purchased Power Model '!D159</f>
        <v>0</v>
      </c>
      <c r="E159" s="443">
        <f>+'Purchased Power Model '!E159</f>
        <v>6.4000000000000001E-2</v>
      </c>
      <c r="F159" s="53">
        <f>+'Purchased Power Model '!F159</f>
        <v>31</v>
      </c>
      <c r="G159" s="53">
        <f>+'Purchased Power Model '!G159</f>
        <v>0</v>
      </c>
      <c r="H159" s="171"/>
      <c r="I159" s="456">
        <f t="shared" si="6"/>
        <v>941559.7783243896</v>
      </c>
      <c r="J159" s="457"/>
      <c r="K159" s="5"/>
    </row>
    <row r="160" spans="1:11" x14ac:dyDescent="0.2">
      <c r="A160" s="453">
        <v>42401</v>
      </c>
      <c r="B160" s="27">
        <v>1024739</v>
      </c>
      <c r="C160" s="458">
        <f>+'Purchased Power Model '!C160</f>
        <v>623.20000000000005</v>
      </c>
      <c r="D160" s="458">
        <f>+'Purchased Power Model '!D160</f>
        <v>0</v>
      </c>
      <c r="E160" s="443">
        <f>+'Purchased Power Model '!E160</f>
        <v>6.0999999999999999E-2</v>
      </c>
      <c r="F160" s="53">
        <f>+'Purchased Power Model '!F160</f>
        <v>29</v>
      </c>
      <c r="G160" s="53">
        <f>+'Purchased Power Model '!G160</f>
        <v>0</v>
      </c>
      <c r="H160" s="171"/>
      <c r="I160" s="456">
        <f t="shared" si="6"/>
        <v>960375.36188086343</v>
      </c>
      <c r="J160" s="457"/>
      <c r="K160" s="5"/>
    </row>
    <row r="161" spans="1:11" x14ac:dyDescent="0.2">
      <c r="A161" s="453">
        <v>42430</v>
      </c>
      <c r="B161" s="27">
        <v>878356</v>
      </c>
      <c r="C161" s="458">
        <f>+'Purchased Power Model '!C161</f>
        <v>531.20000000000005</v>
      </c>
      <c r="D161" s="458">
        <f>+'Purchased Power Model '!D161</f>
        <v>0</v>
      </c>
      <c r="E161" s="443">
        <f>+'Purchased Power Model '!E161</f>
        <v>6.0999999999999999E-2</v>
      </c>
      <c r="F161" s="53">
        <f>+'Purchased Power Model '!F161</f>
        <v>31</v>
      </c>
      <c r="G161" s="53">
        <f>+'Purchased Power Model '!G161</f>
        <v>1</v>
      </c>
      <c r="H161" s="171"/>
      <c r="I161" s="456">
        <f t="shared" si="6"/>
        <v>852538.26746520062</v>
      </c>
      <c r="J161" s="457"/>
      <c r="K161" s="5"/>
    </row>
    <row r="162" spans="1:11" x14ac:dyDescent="0.2">
      <c r="A162" s="453">
        <v>42461</v>
      </c>
      <c r="B162" s="27">
        <v>852242</v>
      </c>
      <c r="C162" s="458">
        <f>+'Purchased Power Model '!C162</f>
        <v>421.9</v>
      </c>
      <c r="D162" s="458">
        <f>+'Purchased Power Model '!D162</f>
        <v>0</v>
      </c>
      <c r="E162" s="443">
        <f>+'Purchased Power Model '!E162</f>
        <v>6.0999999999999999E-2</v>
      </c>
      <c r="F162" s="53">
        <f>+'Purchased Power Model '!F162</f>
        <v>30</v>
      </c>
      <c r="G162" s="53">
        <f>+'Purchased Power Model '!G162</f>
        <v>1</v>
      </c>
      <c r="H162" s="171"/>
      <c r="I162" s="456">
        <f t="shared" si="6"/>
        <v>836454.08601962938</v>
      </c>
      <c r="J162" s="457"/>
      <c r="K162" s="5"/>
    </row>
    <row r="163" spans="1:11" x14ac:dyDescent="0.2">
      <c r="A163" s="453">
        <v>42491</v>
      </c>
      <c r="B163" s="27">
        <v>725366</v>
      </c>
      <c r="C163" s="458">
        <f>+'Purchased Power Model '!C163</f>
        <v>164.3</v>
      </c>
      <c r="D163" s="458">
        <f>+'Purchased Power Model '!D163</f>
        <v>19.399999999999999</v>
      </c>
      <c r="E163" s="443">
        <f>+'Purchased Power Model '!E163</f>
        <v>5.7999999999999996E-2</v>
      </c>
      <c r="F163" s="53">
        <f>+'Purchased Power Model '!F163</f>
        <v>31</v>
      </c>
      <c r="G163" s="53">
        <f>+'Purchased Power Model '!G163</f>
        <v>1</v>
      </c>
      <c r="H163" s="171"/>
      <c r="I163" s="456">
        <f t="shared" si="6"/>
        <v>675431.94078748685</v>
      </c>
      <c r="J163" s="457"/>
      <c r="K163" s="5"/>
    </row>
    <row r="164" spans="1:11" x14ac:dyDescent="0.2">
      <c r="A164" s="453">
        <v>42522</v>
      </c>
      <c r="B164" s="27">
        <v>662814</v>
      </c>
      <c r="C164" s="458">
        <f>+'Purchased Power Model '!C164</f>
        <v>39.1</v>
      </c>
      <c r="D164" s="458">
        <f>+'Purchased Power Model '!D164</f>
        <v>43.8</v>
      </c>
      <c r="E164" s="443">
        <f>+'Purchased Power Model '!E164</f>
        <v>6.5000000000000002E-2</v>
      </c>
      <c r="F164" s="53">
        <f>+'Purchased Power Model '!F164</f>
        <v>30</v>
      </c>
      <c r="G164" s="53">
        <f>+'Purchased Power Model '!G164</f>
        <v>0</v>
      </c>
      <c r="H164" s="171"/>
      <c r="I164" s="456">
        <f t="shared" si="6"/>
        <v>660634.68038126</v>
      </c>
      <c r="J164" s="457"/>
      <c r="K164" s="5"/>
    </row>
    <row r="165" spans="1:11" x14ac:dyDescent="0.2">
      <c r="A165" s="453">
        <v>42552</v>
      </c>
      <c r="B165" s="27">
        <v>588682</v>
      </c>
      <c r="C165" s="458">
        <f>+'Purchased Power Model '!C165</f>
        <v>2.4</v>
      </c>
      <c r="D165" s="458">
        <f>+'Purchased Power Model '!D165</f>
        <v>120.7</v>
      </c>
      <c r="E165" s="443">
        <f>+'Purchased Power Model '!E165</f>
        <v>6.5000000000000002E-2</v>
      </c>
      <c r="F165" s="53">
        <f>+'Purchased Power Model '!F165</f>
        <v>31</v>
      </c>
      <c r="G165" s="53">
        <f>+'Purchased Power Model '!G165</f>
        <v>0</v>
      </c>
      <c r="H165" s="171"/>
      <c r="I165" s="456">
        <f t="shared" si="6"/>
        <v>521382.41810443741</v>
      </c>
      <c r="J165" s="457"/>
      <c r="K165" s="5"/>
    </row>
    <row r="166" spans="1:11" x14ac:dyDescent="0.2">
      <c r="A166" s="453">
        <v>42583</v>
      </c>
      <c r="B166" s="27">
        <v>613221</v>
      </c>
      <c r="C166" s="458">
        <f>+'Purchased Power Model '!C166</f>
        <v>1.4</v>
      </c>
      <c r="D166" s="458">
        <f>+'Purchased Power Model '!D166</f>
        <v>135.6</v>
      </c>
      <c r="E166" s="443">
        <f>+'Purchased Power Model '!E166</f>
        <v>6.9000000000000006E-2</v>
      </c>
      <c r="F166" s="53">
        <f>+'Purchased Power Model '!F166</f>
        <v>31</v>
      </c>
      <c r="G166" s="53">
        <f>+'Purchased Power Model '!G166</f>
        <v>0</v>
      </c>
      <c r="H166" s="171"/>
      <c r="I166" s="456">
        <f t="shared" si="6"/>
        <v>513550.34753014077</v>
      </c>
      <c r="J166" s="457"/>
      <c r="K166" s="5"/>
    </row>
    <row r="167" spans="1:11" x14ac:dyDescent="0.2">
      <c r="A167" s="453">
        <v>42614</v>
      </c>
      <c r="B167" s="27">
        <v>644083</v>
      </c>
      <c r="C167" s="458">
        <f>+'Purchased Power Model '!C167</f>
        <v>50.8</v>
      </c>
      <c r="D167" s="458">
        <f>+'Purchased Power Model '!D167</f>
        <v>35.299999999999997</v>
      </c>
      <c r="E167" s="443">
        <f>+'Purchased Power Model '!E167</f>
        <v>6.4000000000000001E-2</v>
      </c>
      <c r="F167" s="53">
        <f>+'Purchased Power Model '!F167</f>
        <v>30</v>
      </c>
      <c r="G167" s="53">
        <f>+'Purchased Power Model '!G167</f>
        <v>1</v>
      </c>
      <c r="H167" s="171"/>
      <c r="I167" s="456">
        <f t="shared" si="6"/>
        <v>654776.74011306418</v>
      </c>
      <c r="J167" s="457"/>
      <c r="K167" s="5"/>
    </row>
    <row r="168" spans="1:11" x14ac:dyDescent="0.2">
      <c r="A168" s="453">
        <v>42644</v>
      </c>
      <c r="B168" s="27">
        <v>637087</v>
      </c>
      <c r="C168" s="458">
        <f>+'Purchased Power Model '!C168</f>
        <v>204</v>
      </c>
      <c r="D168" s="458">
        <f>+'Purchased Power Model '!D168</f>
        <v>0.3</v>
      </c>
      <c r="E168" s="443">
        <f>+'Purchased Power Model '!E168</f>
        <v>0.06</v>
      </c>
      <c r="F168" s="53">
        <f>+'Purchased Power Model '!F168</f>
        <v>31</v>
      </c>
      <c r="G168" s="53">
        <f>+'Purchased Power Model '!G168</f>
        <v>1</v>
      </c>
      <c r="H168" s="171"/>
      <c r="I168" s="456">
        <f t="shared" si="6"/>
        <v>721149.96908579639</v>
      </c>
      <c r="J168" s="457"/>
      <c r="K168" s="5"/>
    </row>
    <row r="169" spans="1:11" x14ac:dyDescent="0.2">
      <c r="A169" s="453">
        <v>42675</v>
      </c>
      <c r="B169" s="27">
        <v>883949</v>
      </c>
      <c r="C169" s="458">
        <f>+'Purchased Power Model '!C169</f>
        <v>298.5</v>
      </c>
      <c r="D169" s="458">
        <f>+'Purchased Power Model '!D169</f>
        <v>0</v>
      </c>
      <c r="E169" s="443">
        <f>+'Purchased Power Model '!E169</f>
        <v>5.4000000000000006E-2</v>
      </c>
      <c r="F169" s="53">
        <f>+'Purchased Power Model '!F169</f>
        <v>30</v>
      </c>
      <c r="G169" s="53">
        <f>+'Purchased Power Model '!G169</f>
        <v>1</v>
      </c>
      <c r="H169" s="171"/>
      <c r="I169" s="456">
        <f t="shared" si="6"/>
        <v>767871.70513905911</v>
      </c>
      <c r="J169" s="457"/>
      <c r="K169" s="5"/>
    </row>
    <row r="170" spans="1:11" x14ac:dyDescent="0.2">
      <c r="A170" s="453">
        <v>42705</v>
      </c>
      <c r="B170" s="27">
        <v>938255</v>
      </c>
      <c r="C170" s="458">
        <f>+'Purchased Power Model '!C170</f>
        <v>483.4</v>
      </c>
      <c r="D170" s="458">
        <f>+'Purchased Power Model '!D170</f>
        <v>0</v>
      </c>
      <c r="E170" s="443">
        <f>+'Purchased Power Model '!E170</f>
        <v>5.2000000000000005E-2</v>
      </c>
      <c r="F170" s="53">
        <f>+'Purchased Power Model '!F170</f>
        <v>31</v>
      </c>
      <c r="G170" s="53">
        <f>+'Purchased Power Model '!G170</f>
        <v>0</v>
      </c>
      <c r="H170" s="171"/>
      <c r="I170" s="456">
        <f t="shared" si="6"/>
        <v>826160.20113829896</v>
      </c>
      <c r="J170" s="457"/>
      <c r="K170" s="5"/>
    </row>
    <row r="171" spans="1:11" x14ac:dyDescent="0.2">
      <c r="A171" s="453">
        <v>42736</v>
      </c>
      <c r="B171" s="27">
        <v>1020510</v>
      </c>
      <c r="C171" s="458">
        <f>+'Purchased Power Model '!C171</f>
        <v>584</v>
      </c>
      <c r="D171" s="458">
        <f ca="1">+'Purchased Power Model '!D171</f>
        <v>0</v>
      </c>
      <c r="E171" s="443">
        <f>+'Purchased Power Model '!E171</f>
        <v>5.2999999999999999E-2</v>
      </c>
      <c r="F171" s="53">
        <f>+'Purchased Power Model '!F171</f>
        <v>31</v>
      </c>
      <c r="G171" s="53">
        <f>+'Purchased Power Model '!G171</f>
        <v>0</v>
      </c>
      <c r="H171" s="171"/>
      <c r="I171" s="456">
        <f t="shared" ca="1" si="6"/>
        <v>868443.84309566207</v>
      </c>
      <c r="J171" s="457"/>
      <c r="K171" s="5"/>
    </row>
    <row r="172" spans="1:11" x14ac:dyDescent="0.2">
      <c r="A172" s="453">
        <v>42767</v>
      </c>
      <c r="B172" s="27">
        <v>700817</v>
      </c>
      <c r="C172" s="458">
        <f>+'Purchased Power Model '!C172</f>
        <v>506</v>
      </c>
      <c r="D172" s="458">
        <f ca="1">+'Purchased Power Model '!D172</f>
        <v>0</v>
      </c>
      <c r="E172" s="443">
        <f>+'Purchased Power Model '!E172</f>
        <v>5.9000000000000004E-2</v>
      </c>
      <c r="F172" s="53">
        <f>+'Purchased Power Model '!F172</f>
        <v>28</v>
      </c>
      <c r="G172" s="53">
        <f>+'Purchased Power Model '!G172</f>
        <v>0</v>
      </c>
      <c r="H172" s="171"/>
      <c r="I172" s="456">
        <f t="shared" ca="1" si="6"/>
        <v>935407.47384200827</v>
      </c>
      <c r="J172" s="457"/>
      <c r="K172" s="5"/>
    </row>
    <row r="173" spans="1:11" x14ac:dyDescent="0.2">
      <c r="A173" s="453">
        <v>42795</v>
      </c>
      <c r="B173" s="27">
        <v>499261</v>
      </c>
      <c r="C173" s="458">
        <f>+'Purchased Power Model '!C173</f>
        <v>561</v>
      </c>
      <c r="D173" s="458">
        <f ca="1">+'Purchased Power Model '!D173</f>
        <v>0</v>
      </c>
      <c r="E173" s="443">
        <f>+'Purchased Power Model '!E173</f>
        <v>6.2E-2</v>
      </c>
      <c r="F173" s="53">
        <f>+'Purchased Power Model '!F173</f>
        <v>31</v>
      </c>
      <c r="G173" s="53">
        <f>+'Purchased Power Model '!G173</f>
        <v>1</v>
      </c>
      <c r="H173" s="171"/>
      <c r="I173" s="456">
        <f t="shared" ca="1" si="6"/>
        <v>867101.28203323029</v>
      </c>
      <c r="J173" s="457"/>
      <c r="K173" s="5"/>
    </row>
    <row r="174" spans="1:11" x14ac:dyDescent="0.2">
      <c r="A174" s="460">
        <v>42826</v>
      </c>
      <c r="B174" s="435"/>
      <c r="C174" s="461">
        <f>+'Purchased Power Model '!C174</f>
        <v>410.06381244743028</v>
      </c>
      <c r="D174" s="461">
        <f ca="1">+'Purchased Power Model '!D174</f>
        <v>0</v>
      </c>
      <c r="E174" s="437">
        <f>+'Purchased Power Model '!E174</f>
        <v>6.7312499999999997E-2</v>
      </c>
      <c r="F174" s="462">
        <f>+'Purchased Power Model '!F174</f>
        <v>30</v>
      </c>
      <c r="G174" s="462">
        <f>+'Purchased Power Model '!G174</f>
        <v>1</v>
      </c>
      <c r="H174" s="465"/>
      <c r="I174" s="464">
        <f t="shared" ca="1" si="6"/>
        <v>850096.34903072729</v>
      </c>
      <c r="J174" s="36"/>
      <c r="K174" s="5"/>
    </row>
    <row r="175" spans="1:11" x14ac:dyDescent="0.2">
      <c r="A175" s="460">
        <v>42856</v>
      </c>
      <c r="B175" s="435"/>
      <c r="C175" s="461">
        <f>+'Purchased Power Model '!C175</f>
        <v>159.69064798557193</v>
      </c>
      <c r="D175" s="461">
        <f ca="1">+'Purchased Power Model '!D175</f>
        <v>14.000793761762511</v>
      </c>
      <c r="E175" s="437">
        <f>+'Purchased Power Model '!E175</f>
        <v>6.7312499999999997E-2</v>
      </c>
      <c r="F175" s="462">
        <f>+'Purchased Power Model '!F175</f>
        <v>31</v>
      </c>
      <c r="G175" s="462">
        <f>+'Purchased Power Model '!G175</f>
        <v>1</v>
      </c>
      <c r="H175" s="465"/>
      <c r="I175" s="464">
        <f t="shared" ca="1" si="6"/>
        <v>707482.39624573628</v>
      </c>
      <c r="J175" s="36"/>
      <c r="K175" s="5"/>
    </row>
    <row r="176" spans="1:11" x14ac:dyDescent="0.2">
      <c r="A176" s="460">
        <v>42887</v>
      </c>
      <c r="B176" s="435"/>
      <c r="C176" s="461">
        <f>+'Purchased Power Model '!C176</f>
        <v>38.003069605817792</v>
      </c>
      <c r="D176" s="461">
        <f ca="1">+'Purchased Power Model '!D176</f>
        <v>31.610039523979275</v>
      </c>
      <c r="E176" s="437">
        <f>+'Purchased Power Model '!E176</f>
        <v>6.7312499999999997E-2</v>
      </c>
      <c r="F176" s="462">
        <f>+'Purchased Power Model '!F176</f>
        <v>30</v>
      </c>
      <c r="G176" s="462">
        <f>+'Purchased Power Model '!G176</f>
        <v>0</v>
      </c>
      <c r="H176" s="465"/>
      <c r="I176" s="464">
        <f t="shared" ca="1" si="6"/>
        <v>682462.56370912318</v>
      </c>
      <c r="J176" s="36"/>
      <c r="K176" s="5"/>
    </row>
    <row r="177" spans="1:11" x14ac:dyDescent="0.2">
      <c r="A177" s="460">
        <v>42917</v>
      </c>
      <c r="B177" s="435"/>
      <c r="C177" s="461">
        <f>+'Purchased Power Model '!C177</f>
        <v>2.3326692341166928</v>
      </c>
      <c r="D177" s="461">
        <f ca="1">+'Purchased Power Model '!D177</f>
        <v>87.108031290965727</v>
      </c>
      <c r="E177" s="437">
        <f>+'Purchased Power Model '!E177</f>
        <v>6.6562659999999996E-2</v>
      </c>
      <c r="F177" s="462">
        <f>+'Purchased Power Model '!F177</f>
        <v>31</v>
      </c>
      <c r="G177" s="462">
        <f>+'Purchased Power Model '!G177</f>
        <v>0</v>
      </c>
      <c r="H177" s="465"/>
      <c r="I177" s="464">
        <f t="shared" ca="1" si="6"/>
        <v>568764.75054759369</v>
      </c>
      <c r="J177" s="36"/>
      <c r="K177" s="5"/>
    </row>
    <row r="178" spans="1:11" x14ac:dyDescent="0.2">
      <c r="A178" s="460">
        <v>42948</v>
      </c>
      <c r="B178" s="435"/>
      <c r="C178" s="461">
        <f>+'Purchased Power Model '!C178</f>
        <v>1.3607237199014042</v>
      </c>
      <c r="D178" s="461">
        <f ca="1">+'Purchased Power Model '!D178</f>
        <v>97.861218252319404</v>
      </c>
      <c r="E178" s="437">
        <f>+'Purchased Power Model '!E178</f>
        <v>6.6562659999999996E-2</v>
      </c>
      <c r="F178" s="462">
        <f>+'Purchased Power Model '!F178</f>
        <v>31</v>
      </c>
      <c r="G178" s="462">
        <f>+'Purchased Power Model '!G178</f>
        <v>0</v>
      </c>
      <c r="H178" s="465"/>
      <c r="I178" s="464">
        <f t="shared" ca="1" si="6"/>
        <v>554656.41666440223</v>
      </c>
      <c r="J178" s="36"/>
      <c r="K178" s="5"/>
    </row>
    <row r="179" spans="1:11" x14ac:dyDescent="0.2">
      <c r="A179" s="460">
        <v>42979</v>
      </c>
      <c r="B179" s="435"/>
      <c r="C179" s="461">
        <f>+'Purchased Power Model '!C179</f>
        <v>49.374832122136667</v>
      </c>
      <c r="D179" s="461">
        <f ca="1">+'Purchased Power Model '!D179</f>
        <v>25.475671123207043</v>
      </c>
      <c r="E179" s="437">
        <f>+'Purchased Power Model '!E179</f>
        <v>6.6562659999999996E-2</v>
      </c>
      <c r="F179" s="462">
        <f>+'Purchased Power Model '!F179</f>
        <v>30</v>
      </c>
      <c r="G179" s="462">
        <f>+'Purchased Power Model '!G179</f>
        <v>1</v>
      </c>
      <c r="H179" s="465"/>
      <c r="I179" s="464">
        <f t="shared" ca="1" si="6"/>
        <v>674180.36998739257</v>
      </c>
      <c r="J179" s="36"/>
      <c r="K179" s="5"/>
    </row>
    <row r="180" spans="1:11" x14ac:dyDescent="0.2">
      <c r="A180" s="460">
        <v>43009</v>
      </c>
      <c r="B180" s="435"/>
      <c r="C180" s="461">
        <f>+'Purchased Power Model '!C180</f>
        <v>198.27688489991891</v>
      </c>
      <c r="D180" s="461">
        <f ca="1">+'Purchased Power Model '!D180</f>
        <v>0.21650712002725533</v>
      </c>
      <c r="E180" s="437">
        <f>+'Purchased Power Model '!E180</f>
        <v>6.5937659999999995E-2</v>
      </c>
      <c r="F180" s="462">
        <f>+'Purchased Power Model '!F180</f>
        <v>31</v>
      </c>
      <c r="G180" s="462">
        <f>+'Purchased Power Model '!G180</f>
        <v>1</v>
      </c>
      <c r="H180" s="465"/>
      <c r="I180" s="464">
        <f t="shared" ca="1" si="6"/>
        <v>736207.0270416144</v>
      </c>
      <c r="J180" s="36"/>
      <c r="K180" s="5"/>
    </row>
    <row r="181" spans="1:11" x14ac:dyDescent="0.2">
      <c r="A181" s="460">
        <v>43040</v>
      </c>
      <c r="B181" s="435"/>
      <c r="C181" s="461">
        <f>+'Purchased Power Model '!C181</f>
        <v>290.12573599326367</v>
      </c>
      <c r="D181" s="461">
        <f ca="1">+'Purchased Power Model '!D181</f>
        <v>0</v>
      </c>
      <c r="E181" s="437">
        <f>+'Purchased Power Model '!E181</f>
        <v>6.5937659999999995E-2</v>
      </c>
      <c r="F181" s="462">
        <f>+'Purchased Power Model '!F181</f>
        <v>30</v>
      </c>
      <c r="G181" s="462">
        <f>+'Purchased Power Model '!G181</f>
        <v>1</v>
      </c>
      <c r="H181" s="465"/>
      <c r="I181" s="464">
        <f t="shared" ca="1" si="6"/>
        <v>799155.91555302311</v>
      </c>
      <c r="J181" s="36"/>
      <c r="K181" s="5"/>
    </row>
    <row r="182" spans="1:11" x14ac:dyDescent="0.2">
      <c r="A182" s="460">
        <v>43070</v>
      </c>
      <c r="B182" s="435"/>
      <c r="C182" s="461">
        <f>+'Purchased Power Model '!C182</f>
        <v>469.83846157167056</v>
      </c>
      <c r="D182" s="461">
        <f ca="1">+'Purchased Power Model '!D182</f>
        <v>0</v>
      </c>
      <c r="E182" s="437">
        <f>+'Purchased Power Model '!E182</f>
        <v>6.5937659999999995E-2</v>
      </c>
      <c r="F182" s="462">
        <f>+'Purchased Power Model '!F182</f>
        <v>31</v>
      </c>
      <c r="G182" s="462">
        <f>+'Purchased Power Model '!G182</f>
        <v>0</v>
      </c>
      <c r="H182" s="465"/>
      <c r="I182" s="464">
        <f t="shared" ca="1" si="6"/>
        <v>861204.0015101952</v>
      </c>
      <c r="J182" s="36"/>
      <c r="K182" s="5"/>
    </row>
    <row r="183" spans="1:11" x14ac:dyDescent="0.2">
      <c r="A183" s="460">
        <v>43101</v>
      </c>
      <c r="B183" s="435"/>
      <c r="C183" s="461">
        <f>+'Purchased Power Model '!C183</f>
        <v>607.71046849740094</v>
      </c>
      <c r="D183" s="461">
        <f ca="1">+'Purchased Power Model '!D183</f>
        <v>0</v>
      </c>
      <c r="E183" s="437">
        <f>+'Purchased Power Model '!E183</f>
        <v>6.6219020000000003E-2</v>
      </c>
      <c r="F183" s="462">
        <f>+'Purchased Power Model '!F183</f>
        <v>31</v>
      </c>
      <c r="G183" s="462">
        <f>+'Purchased Power Model '!G183</f>
        <v>0</v>
      </c>
      <c r="H183" s="465"/>
      <c r="I183" s="464">
        <f t="shared" ca="1" si="6"/>
        <v>916000.23878742196</v>
      </c>
      <c r="J183" s="36"/>
      <c r="K183" s="5"/>
    </row>
    <row r="184" spans="1:11" x14ac:dyDescent="0.2">
      <c r="A184" s="460">
        <v>43132</v>
      </c>
      <c r="B184" s="435"/>
      <c r="C184" s="461">
        <f>+'Purchased Power Model '!C184</f>
        <v>526.54365934877546</v>
      </c>
      <c r="D184" s="461">
        <f ca="1">+'Purchased Power Model '!D184</f>
        <v>0</v>
      </c>
      <c r="E184" s="437">
        <f>+'Purchased Power Model '!E184</f>
        <v>6.6219020000000003E-2</v>
      </c>
      <c r="F184" s="462">
        <f>+'Purchased Power Model '!F184</f>
        <v>28</v>
      </c>
      <c r="G184" s="462">
        <f>+'Purchased Power Model '!G184</f>
        <v>0</v>
      </c>
      <c r="H184" s="465"/>
      <c r="I184" s="464">
        <f t="shared" ca="1" si="6"/>
        <v>964352.19795596483</v>
      </c>
      <c r="J184" s="36"/>
      <c r="K184" s="5"/>
    </row>
    <row r="185" spans="1:11" x14ac:dyDescent="0.2">
      <c r="A185" s="460">
        <v>43160</v>
      </c>
      <c r="B185" s="435"/>
      <c r="C185" s="461">
        <f>+'Purchased Power Model '!C185</f>
        <v>583.77666579972936</v>
      </c>
      <c r="D185" s="461">
        <f ca="1">+'Purchased Power Model '!D185</f>
        <v>0</v>
      </c>
      <c r="E185" s="437">
        <f>+'Purchased Power Model '!E185</f>
        <v>6.6219020000000003E-2</v>
      </c>
      <c r="F185" s="462">
        <f>+'Purchased Power Model '!F185</f>
        <v>31</v>
      </c>
      <c r="G185" s="462">
        <f>+'Purchased Power Model '!G185</f>
        <v>1</v>
      </c>
      <c r="H185" s="465"/>
      <c r="I185" s="464">
        <f t="shared" ca="1" si="6"/>
        <v>888234.42612094001</v>
      </c>
      <c r="J185" s="36"/>
      <c r="K185" s="5"/>
    </row>
    <row r="186" spans="1:11" x14ac:dyDescent="0.2">
      <c r="A186" s="460">
        <v>43191</v>
      </c>
      <c r="B186" s="435"/>
      <c r="C186" s="461">
        <f>+'Purchased Power Model '!C186</f>
        <v>426.71245132920933</v>
      </c>
      <c r="D186" s="461">
        <f ca="1">+'Purchased Power Model '!D186</f>
        <v>0</v>
      </c>
      <c r="E186" s="437">
        <f>+'Purchased Power Model '!E186</f>
        <v>6.5531039999999999E-2</v>
      </c>
      <c r="F186" s="462">
        <f>+'Purchased Power Model '!F186</f>
        <v>30</v>
      </c>
      <c r="G186" s="462">
        <f>+'Purchased Power Model '!G186</f>
        <v>1</v>
      </c>
      <c r="H186" s="465"/>
      <c r="I186" s="464">
        <f t="shared" ca="1" si="6"/>
        <v>851457.01351754018</v>
      </c>
      <c r="J186" s="36"/>
      <c r="K186" s="5"/>
    </row>
    <row r="187" spans="1:11" x14ac:dyDescent="0.2">
      <c r="A187" s="460">
        <v>43221</v>
      </c>
      <c r="B187" s="435"/>
      <c r="C187" s="461">
        <f>+'Purchased Power Model '!C187</f>
        <v>166.17410702391345</v>
      </c>
      <c r="D187" s="461">
        <f ca="1">+'Purchased Power Model '!D187</f>
        <v>14.136286176978922</v>
      </c>
      <c r="E187" s="437">
        <f>+'Purchased Power Model '!E187</f>
        <v>6.5531039999999999E-2</v>
      </c>
      <c r="F187" s="462">
        <f>+'Purchased Power Model '!F187</f>
        <v>31</v>
      </c>
      <c r="G187" s="462">
        <f>+'Purchased Power Model '!G187</f>
        <v>1</v>
      </c>
      <c r="H187" s="465"/>
      <c r="I187" s="464">
        <f t="shared" ca="1" si="6"/>
        <v>704690.07134746003</v>
      </c>
      <c r="J187" s="36"/>
      <c r="K187" s="5"/>
    </row>
    <row r="188" spans="1:11" x14ac:dyDescent="0.2">
      <c r="A188" s="460">
        <v>43252</v>
      </c>
      <c r="B188" s="435"/>
      <c r="C188" s="461">
        <f>+'Purchased Power Model '!C188</f>
        <v>39.545998689196693</v>
      </c>
      <c r="D188" s="461">
        <f ca="1">+'Purchased Power Model '!D188</f>
        <v>31.915945079983338</v>
      </c>
      <c r="E188" s="437">
        <f>+'Purchased Power Model '!E188</f>
        <v>6.5531039999999999E-2</v>
      </c>
      <c r="F188" s="462">
        <f>+'Purchased Power Model '!F188</f>
        <v>30</v>
      </c>
      <c r="G188" s="462">
        <f>+'Purchased Power Model '!G188</f>
        <v>0</v>
      </c>
      <c r="H188" s="465"/>
      <c r="I188" s="464">
        <f t="shared" ca="1" si="6"/>
        <v>677518.29832485609</v>
      </c>
      <c r="J188" s="36"/>
      <c r="K188" s="5"/>
    </row>
    <row r="189" spans="1:11" x14ac:dyDescent="0.2">
      <c r="A189" s="460">
        <v>43282</v>
      </c>
      <c r="B189" s="435"/>
      <c r="C189" s="461">
        <f>+'Purchased Power Model '!C189</f>
        <v>2.4273758786207686</v>
      </c>
      <c r="D189" s="461">
        <f ca="1">+'Purchased Power Model '!D189</f>
        <v>87.951017606255462</v>
      </c>
      <c r="E189" s="437">
        <f>+'Purchased Power Model '!E189</f>
        <v>6.4656290000000005E-2</v>
      </c>
      <c r="F189" s="462">
        <f>+'Purchased Power Model '!F189</f>
        <v>31</v>
      </c>
      <c r="G189" s="462">
        <f>+'Purchased Power Model '!G189</f>
        <v>0</v>
      </c>
      <c r="H189" s="465"/>
      <c r="I189" s="464">
        <f t="shared" ca="1" si="6"/>
        <v>562206.15483971173</v>
      </c>
      <c r="J189" s="36"/>
      <c r="K189" s="5"/>
    </row>
    <row r="190" spans="1:11" x14ac:dyDescent="0.2">
      <c r="A190" s="460">
        <v>43313</v>
      </c>
      <c r="B190" s="435"/>
      <c r="C190" s="461">
        <f>+'Purchased Power Model '!C190</f>
        <v>1.4159692625287819</v>
      </c>
      <c r="D190" s="461">
        <f ca="1">+'Purchased Power Model '!D190</f>
        <v>98.80826832981144</v>
      </c>
      <c r="E190" s="437">
        <f>+'Purchased Power Model '!E190</f>
        <v>6.4656290000000005E-2</v>
      </c>
      <c r="F190" s="462">
        <f>+'Purchased Power Model '!F190</f>
        <v>31</v>
      </c>
      <c r="G190" s="462">
        <f>+'Purchased Power Model '!G190</f>
        <v>0</v>
      </c>
      <c r="H190" s="465"/>
      <c r="I190" s="464">
        <f t="shared" ca="1" si="6"/>
        <v>547949.52021481772</v>
      </c>
      <c r="J190" s="36"/>
      <c r="K190" s="5"/>
    </row>
    <row r="191" spans="1:11" x14ac:dyDescent="0.2">
      <c r="A191" s="460">
        <v>43344</v>
      </c>
      <c r="B191" s="435"/>
      <c r="C191" s="461">
        <f>+'Purchased Power Model '!C191</f>
        <v>51.379456097472939</v>
      </c>
      <c r="D191" s="461">
        <f ca="1">+'Purchased Power Model '!D191</f>
        <v>25.722211445739998</v>
      </c>
      <c r="E191" s="437">
        <f>+'Purchased Power Model '!E191</f>
        <v>6.4656290000000005E-2</v>
      </c>
      <c r="F191" s="462">
        <f>+'Purchased Power Model '!F191</f>
        <v>30</v>
      </c>
      <c r="G191" s="462">
        <f>+'Purchased Power Model '!G191</f>
        <v>1</v>
      </c>
      <c r="H191" s="465"/>
      <c r="I191" s="464">
        <f t="shared" ca="1" si="6"/>
        <v>669131.0100725214</v>
      </c>
      <c r="J191" s="36"/>
      <c r="K191" s="5"/>
    </row>
    <row r="192" spans="1:11" x14ac:dyDescent="0.2">
      <c r="A192" s="460">
        <v>43374</v>
      </c>
      <c r="B192" s="435"/>
      <c r="C192" s="461">
        <f>+'Purchased Power Model '!C192</f>
        <v>206.32694968276536</v>
      </c>
      <c r="D192" s="461">
        <f ca="1">+'Purchased Power Model '!D192</f>
        <v>0.21860236356152973</v>
      </c>
      <c r="E192" s="437">
        <f>+'Purchased Power Model '!E192</f>
        <v>6.3593549999999999E-2</v>
      </c>
      <c r="F192" s="462">
        <f>+'Purchased Power Model '!F192</f>
        <v>31</v>
      </c>
      <c r="G192" s="462">
        <f>+'Purchased Power Model '!G192</f>
        <v>1</v>
      </c>
      <c r="H192" s="465"/>
      <c r="I192" s="464">
        <f t="shared" ca="1" si="6"/>
        <v>732569.34359214234</v>
      </c>
      <c r="J192" s="36"/>
      <c r="K192" s="5"/>
    </row>
    <row r="193" spans="1:11" x14ac:dyDescent="0.2">
      <c r="A193" s="460">
        <v>43405</v>
      </c>
      <c r="B193" s="435"/>
      <c r="C193" s="461">
        <f>+'Purchased Power Model '!C193</f>
        <v>301.90487490345811</v>
      </c>
      <c r="D193" s="461">
        <f ca="1">+'Purchased Power Model '!D193</f>
        <v>0</v>
      </c>
      <c r="E193" s="437">
        <f>+'Purchased Power Model '!E193</f>
        <v>6.3593549999999999E-2</v>
      </c>
      <c r="F193" s="462">
        <f>+'Purchased Power Model '!F193</f>
        <v>30</v>
      </c>
      <c r="G193" s="462">
        <f>+'Purchased Power Model '!G193</f>
        <v>1</v>
      </c>
      <c r="H193" s="465"/>
      <c r="I193" s="464">
        <f t="shared" ca="1" si="6"/>
        <v>796980.96731592296</v>
      </c>
      <c r="J193" s="36"/>
      <c r="K193" s="5"/>
    </row>
    <row r="194" spans="1:11" x14ac:dyDescent="0.2">
      <c r="A194" s="460">
        <v>43435</v>
      </c>
      <c r="B194" s="435"/>
      <c r="C194" s="461">
        <f>+'Purchased Power Model '!C194</f>
        <v>488.91395821886647</v>
      </c>
      <c r="D194" s="461">
        <f ca="1">+'Purchased Power Model '!D194</f>
        <v>0</v>
      </c>
      <c r="E194" s="437">
        <f>+'Purchased Power Model '!E194</f>
        <v>6.3593549999999999E-2</v>
      </c>
      <c r="F194" s="462">
        <f>+'Purchased Power Model '!F194</f>
        <v>31</v>
      </c>
      <c r="G194" s="462">
        <f>+'Purchased Power Model '!G194</f>
        <v>0</v>
      </c>
      <c r="H194" s="465"/>
      <c r="I194" s="464">
        <f t="shared" ca="1" si="6"/>
        <v>861885.82748392434</v>
      </c>
      <c r="J194" s="36"/>
      <c r="K194" s="5"/>
    </row>
    <row r="195" spans="1:11" x14ac:dyDescent="0.2">
      <c r="A195" s="460">
        <v>43466</v>
      </c>
      <c r="B195" s="435"/>
      <c r="C195" s="461">
        <f>+'Purchased Power Model '!C195</f>
        <v>606.22673842566678</v>
      </c>
      <c r="D195" s="461">
        <f ca="1">+'Purchased Power Model '!D195</f>
        <v>0</v>
      </c>
      <c r="E195" s="437">
        <f>+'Purchased Power Model '!E195</f>
        <v>6.2343830000000003E-2</v>
      </c>
      <c r="F195" s="462">
        <f>+'Purchased Power Model '!F195</f>
        <v>31</v>
      </c>
      <c r="G195" s="462">
        <f>+'Purchased Power Model '!G195</f>
        <v>0</v>
      </c>
      <c r="H195" s="465"/>
      <c r="I195" s="464">
        <f t="shared" ca="1" si="6"/>
        <v>904199.49761651363</v>
      </c>
      <c r="J195" s="36"/>
      <c r="K195" s="5"/>
    </row>
    <row r="196" spans="1:11" x14ac:dyDescent="0.2">
      <c r="A196" s="460">
        <v>43497</v>
      </c>
      <c r="B196" s="435"/>
      <c r="C196" s="461">
        <f>+'Purchased Power Model '!C196</f>
        <v>525.25809870443049</v>
      </c>
      <c r="D196" s="461">
        <f ca="1">+'Purchased Power Model '!D196</f>
        <v>0</v>
      </c>
      <c r="E196" s="437">
        <f>+'Purchased Power Model '!E196</f>
        <v>6.2343830000000003E-2</v>
      </c>
      <c r="F196" s="462">
        <f>+'Purchased Power Model '!F196</f>
        <v>28</v>
      </c>
      <c r="G196" s="462">
        <f>+'Purchased Power Model '!G196</f>
        <v>0</v>
      </c>
      <c r="H196" s="465"/>
      <c r="I196" s="464">
        <f t="shared" ref="I196:I206" ca="1" si="11">$N$18+C196*$N$19+D196*$N$20+E196*$N$21+F196*$N$22+G196*$N$23</f>
        <v>952629.04691014998</v>
      </c>
      <c r="J196" s="36"/>
      <c r="K196" s="5"/>
    </row>
    <row r="197" spans="1:11" x14ac:dyDescent="0.2">
      <c r="A197" s="460">
        <v>43525</v>
      </c>
      <c r="B197" s="435"/>
      <c r="C197" s="461">
        <f>+'Purchased Power Model '!C197</f>
        <v>582.35137030273825</v>
      </c>
      <c r="D197" s="461">
        <f ca="1">+'Purchased Power Model '!D197</f>
        <v>0</v>
      </c>
      <c r="E197" s="437">
        <f>+'Purchased Power Model '!E197</f>
        <v>6.2343830000000003E-2</v>
      </c>
      <c r="F197" s="462">
        <f>+'Purchased Power Model '!F197</f>
        <v>31</v>
      </c>
      <c r="G197" s="462">
        <f>+'Purchased Power Model '!G197</f>
        <v>1</v>
      </c>
      <c r="H197" s="465"/>
      <c r="I197" s="464">
        <f t="shared" ca="1" si="11"/>
        <v>876456.56408948253</v>
      </c>
      <c r="J197" s="36"/>
      <c r="K197" s="5"/>
    </row>
    <row r="198" spans="1:11" x14ac:dyDescent="0.2">
      <c r="A198" s="460">
        <v>43556</v>
      </c>
      <c r="B198" s="435"/>
      <c r="C198" s="461">
        <f>+'Purchased Power Model '!C198</f>
        <v>425.67062939452069</v>
      </c>
      <c r="D198" s="461">
        <f ca="1">+'Purchased Power Model '!D198</f>
        <v>0</v>
      </c>
      <c r="E198" s="437">
        <f>+'Purchased Power Model '!E198</f>
        <v>6.0906349999999998E-2</v>
      </c>
      <c r="F198" s="462">
        <f>+'Purchased Power Model '!F198</f>
        <v>30</v>
      </c>
      <c r="G198" s="462">
        <f>+'Purchased Power Model '!G198</f>
        <v>1</v>
      </c>
      <c r="H198" s="465"/>
      <c r="I198" s="464">
        <f t="shared" ca="1" si="11"/>
        <v>837659.27252691681</v>
      </c>
      <c r="J198" s="36"/>
      <c r="K198" s="5"/>
    </row>
    <row r="199" spans="1:11" x14ac:dyDescent="0.2">
      <c r="A199" s="460">
        <v>43586</v>
      </c>
      <c r="B199" s="435"/>
      <c r="C199" s="461">
        <f>+'Purchased Power Model '!C199</f>
        <v>165.76839158454547</v>
      </c>
      <c r="D199" s="461">
        <f ca="1">+'Purchased Power Model '!D199</f>
        <v>14.271778592195387</v>
      </c>
      <c r="E199" s="437">
        <f>+'Purchased Power Model '!E199</f>
        <v>6.0906349999999998E-2</v>
      </c>
      <c r="F199" s="462">
        <f>+'Purchased Power Model '!F199</f>
        <v>31</v>
      </c>
      <c r="G199" s="462">
        <f>+'Purchased Power Model '!G199</f>
        <v>1</v>
      </c>
      <c r="H199" s="465"/>
      <c r="I199" s="464">
        <f t="shared" ca="1" si="11"/>
        <v>690968.41489720263</v>
      </c>
      <c r="J199" s="36"/>
      <c r="K199" s="5"/>
    </row>
    <row r="200" spans="1:11" x14ac:dyDescent="0.2">
      <c r="A200" s="460">
        <v>43617</v>
      </c>
      <c r="B200" s="435"/>
      <c r="C200" s="461">
        <f>+'Purchased Power Model '!C200</f>
        <v>39.449446810442659</v>
      </c>
      <c r="D200" s="461">
        <f ca="1">+'Purchased Power Model '!D200</f>
        <v>32.221850635987522</v>
      </c>
      <c r="E200" s="437">
        <f>+'Purchased Power Model '!E200</f>
        <v>6.0906349999999998E-2</v>
      </c>
      <c r="F200" s="462">
        <f>+'Purchased Power Model '!F200</f>
        <v>30</v>
      </c>
      <c r="G200" s="462">
        <f>+'Purchased Power Model '!G200</f>
        <v>0</v>
      </c>
      <c r="H200" s="465"/>
      <c r="I200" s="464">
        <f t="shared" ca="1" si="11"/>
        <v>663700.13638653851</v>
      </c>
      <c r="J200" s="36"/>
      <c r="K200" s="5"/>
    </row>
    <row r="201" spans="1:11" x14ac:dyDescent="0.2">
      <c r="A201" s="460">
        <v>43647</v>
      </c>
      <c r="B201" s="435"/>
      <c r="C201" s="461">
        <f>+'Purchased Power Model '!C201</f>
        <v>2.4214494205898305</v>
      </c>
      <c r="D201" s="461">
        <f ca="1">+'Purchased Power Model '!D201</f>
        <v>88.794003921545524</v>
      </c>
      <c r="E201" s="437">
        <f>+'Purchased Power Model '!E201</f>
        <v>5.928129E-2</v>
      </c>
      <c r="F201" s="462">
        <f>+'Purchased Power Model '!F201</f>
        <v>31</v>
      </c>
      <c r="G201" s="462">
        <f>+'Purchased Power Model '!G201</f>
        <v>0</v>
      </c>
      <c r="H201" s="465"/>
      <c r="I201" s="464">
        <f t="shared" ca="1" si="11"/>
        <v>545565.45811339631</v>
      </c>
      <c r="J201" s="36"/>
      <c r="K201" s="5"/>
    </row>
    <row r="202" spans="1:11" x14ac:dyDescent="0.2">
      <c r="A202" s="460">
        <v>43678</v>
      </c>
      <c r="B202" s="435"/>
      <c r="C202" s="461">
        <f>+'Purchased Power Model '!C202</f>
        <v>1.4125121620107346</v>
      </c>
      <c r="D202" s="461">
        <f ca="1">+'Purchased Power Model '!D202</f>
        <v>99.755318407303832</v>
      </c>
      <c r="E202" s="437">
        <f>+'Purchased Power Model '!E202</f>
        <v>5.928129E-2</v>
      </c>
      <c r="F202" s="462">
        <f>+'Purchased Power Model '!F202</f>
        <v>31</v>
      </c>
      <c r="G202" s="462">
        <f>+'Purchased Power Model '!G202</f>
        <v>0</v>
      </c>
      <c r="H202" s="465"/>
      <c r="I202" s="464">
        <f t="shared" ca="1" si="11"/>
        <v>531176.93995924294</v>
      </c>
      <c r="J202" s="36"/>
      <c r="K202" s="5"/>
    </row>
    <row r="203" spans="1:11" x14ac:dyDescent="0.2">
      <c r="A203" s="460">
        <v>43709</v>
      </c>
      <c r="B203" s="435"/>
      <c r="C203" s="461">
        <f>+'Purchased Power Model '!C203</f>
        <v>51.254012735818087</v>
      </c>
      <c r="D203" s="461">
        <f ca="1">+'Purchased Power Model '!D203</f>
        <v>25.968751768273048</v>
      </c>
      <c r="E203" s="437">
        <f>+'Purchased Power Model '!E203</f>
        <v>5.928129E-2</v>
      </c>
      <c r="F203" s="462">
        <f>+'Purchased Power Model '!F203</f>
        <v>30</v>
      </c>
      <c r="G203" s="462">
        <f>+'Purchased Power Model '!G203</f>
        <v>1</v>
      </c>
      <c r="H203" s="465"/>
      <c r="I203" s="464">
        <f t="shared" ca="1" si="11"/>
        <v>653204.95605694945</v>
      </c>
      <c r="J203" s="36"/>
      <c r="K203" s="5"/>
    </row>
    <row r="204" spans="1:11" x14ac:dyDescent="0.2">
      <c r="A204" s="460">
        <v>43739</v>
      </c>
      <c r="B204" s="435"/>
      <c r="C204" s="461">
        <f>+'Purchased Power Model '!C204</f>
        <v>205.82320075013561</v>
      </c>
      <c r="D204" s="461">
        <f ca="1">+'Purchased Power Model '!D204</f>
        <v>0.22069760709580494</v>
      </c>
      <c r="E204" s="437">
        <f>+'Purchased Power Model '!E204</f>
        <v>5.7468579999999998E-2</v>
      </c>
      <c r="F204" s="462">
        <f>+'Purchased Power Model '!F204</f>
        <v>31</v>
      </c>
      <c r="G204" s="462">
        <f>+'Purchased Power Model '!G204</f>
        <v>1</v>
      </c>
      <c r="H204" s="465"/>
      <c r="I204" s="464">
        <f t="shared" ca="1" si="11"/>
        <v>714635.8518027392</v>
      </c>
      <c r="J204" s="36"/>
      <c r="K204" s="5"/>
    </row>
    <row r="205" spans="1:11" x14ac:dyDescent="0.2">
      <c r="A205" s="460">
        <v>43770</v>
      </c>
      <c r="B205" s="435"/>
      <c r="C205" s="461">
        <f>+'Purchased Power Model '!C205</f>
        <v>301.1677716858602</v>
      </c>
      <c r="D205" s="461">
        <f ca="1">+'Purchased Power Model '!D205</f>
        <v>0</v>
      </c>
      <c r="E205" s="437">
        <f>+'Purchased Power Model '!E205</f>
        <v>5.7468579999999998E-2</v>
      </c>
      <c r="F205" s="462">
        <f>+'Purchased Power Model '!F205</f>
        <v>30</v>
      </c>
      <c r="G205" s="462">
        <f>+'Purchased Power Model '!G205</f>
        <v>1</v>
      </c>
      <c r="H205" s="465"/>
      <c r="I205" s="464">
        <f t="shared" ca="1" si="11"/>
        <v>778958.78416297748</v>
      </c>
      <c r="J205" s="36"/>
      <c r="K205" s="5"/>
    </row>
    <row r="206" spans="1:11" x14ac:dyDescent="0.2">
      <c r="A206" s="460">
        <v>43800</v>
      </c>
      <c r="B206" s="435"/>
      <c r="C206" s="461">
        <f>+'Purchased Power Model '!C206</f>
        <v>487.72027079713502</v>
      </c>
      <c r="D206" s="461">
        <f ca="1">+'Purchased Power Model '!D206</f>
        <v>0</v>
      </c>
      <c r="E206" s="437">
        <f>+'Purchased Power Model '!E206</f>
        <v>5.7468579999999998E-2</v>
      </c>
      <c r="F206" s="462">
        <f>+'Purchased Power Model '!F206</f>
        <v>31</v>
      </c>
      <c r="G206" s="462">
        <f>+'Purchased Power Model '!G206</f>
        <v>0</v>
      </c>
      <c r="H206" s="465"/>
      <c r="I206" s="464">
        <f t="shared" ca="1" si="11"/>
        <v>843684.87596099777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55" t="s">
        <v>60</v>
      </c>
      <c r="I208" s="43">
        <f ca="1">SUM(I3:I206)</f>
        <v>159990316.22181952</v>
      </c>
    </row>
    <row r="209" spans="1:11" x14ac:dyDescent="0.2">
      <c r="A209" s="3"/>
      <c r="C209" s="23"/>
      <c r="D209" s="23"/>
      <c r="F209" s="164"/>
      <c r="G209" s="164"/>
      <c r="H209"/>
      <c r="I209" s="164"/>
      <c r="J209" s="36"/>
      <c r="K209" s="5" t="s">
        <v>196</v>
      </c>
    </row>
    <row r="210" spans="1:11" x14ac:dyDescent="0.2">
      <c r="A210" s="16">
        <v>2003</v>
      </c>
      <c r="B210" s="6">
        <f>SUM(B3:B14)</f>
        <v>8359780.5</v>
      </c>
      <c r="C210" s="96"/>
      <c r="D210" s="23" t="s">
        <v>195</v>
      </c>
      <c r="E210" s="97" t="s">
        <v>107</v>
      </c>
      <c r="F210" s="164"/>
      <c r="G210" s="164"/>
      <c r="H210"/>
      <c r="I210" s="6">
        <f>SUM(I3:I14)</f>
        <v>9007515.1376691479</v>
      </c>
      <c r="J210" s="36">
        <f>I210-B210</f>
        <v>647734.63766914792</v>
      </c>
      <c r="K210" s="5">
        <f>J210/B210</f>
        <v>7.7482254189466804E-2</v>
      </c>
    </row>
    <row r="211" spans="1:11" x14ac:dyDescent="0.2">
      <c r="A211">
        <v>2004</v>
      </c>
      <c r="B211" s="6">
        <f>SUM(B15:B26)</f>
        <v>8743099.0634733941</v>
      </c>
      <c r="C211" s="96">
        <f>+B211-B210</f>
        <v>383318.56347339414</v>
      </c>
      <c r="D211" s="98">
        <f>+C211/B210</f>
        <v>4.5852706715612229E-2</v>
      </c>
      <c r="E211" s="98">
        <f>RATE(1,0,-B$210,B211)</f>
        <v>4.5852706715612278E-2</v>
      </c>
      <c r="F211" s="164"/>
      <c r="G211" s="164"/>
      <c r="H211"/>
      <c r="I211" s="6">
        <f>SUM(I15:I26)</f>
        <v>9045489.3909812346</v>
      </c>
      <c r="J211" s="36">
        <f t="shared" ref="J211:J226" si="12">I211-B211</f>
        <v>302390.32750784047</v>
      </c>
      <c r="K211" s="5">
        <f t="shared" ref="K211:K226" si="13">J211/B211</f>
        <v>3.458617194115482E-2</v>
      </c>
    </row>
    <row r="212" spans="1:11" x14ac:dyDescent="0.2">
      <c r="A212" s="16">
        <v>2005</v>
      </c>
      <c r="B212" s="6">
        <f>SUM(B27:B38)</f>
        <v>9182978</v>
      </c>
      <c r="C212" s="96">
        <f t="shared" ref="C212:C226" si="14">+B212-B211</f>
        <v>439878.93652660586</v>
      </c>
      <c r="D212" s="98">
        <f t="shared" ref="D212:D226" si="15">+C212/B211</f>
        <v>5.0311558102357129E-2</v>
      </c>
      <c r="E212" s="98">
        <f>RATE(2,0,-B$210,B212)</f>
        <v>4.807976124722594E-2</v>
      </c>
      <c r="F212" s="164"/>
      <c r="G212" s="164"/>
      <c r="H212"/>
      <c r="I212" s="6">
        <f>SUM(I27:I38)</f>
        <v>9147790.4415011872</v>
      </c>
      <c r="J212" s="36">
        <f t="shared" si="12"/>
        <v>-35187.558498812839</v>
      </c>
      <c r="K212" s="5">
        <f t="shared" si="13"/>
        <v>-3.831824327447244E-3</v>
      </c>
    </row>
    <row r="213" spans="1:11" x14ac:dyDescent="0.2">
      <c r="A213">
        <v>2006</v>
      </c>
      <c r="B213" s="6">
        <f>SUM(B39:B50)</f>
        <v>9398525</v>
      </c>
      <c r="C213" s="96">
        <f t="shared" si="14"/>
        <v>215547</v>
      </c>
      <c r="D213" s="98">
        <f t="shared" si="15"/>
        <v>2.347245087595767E-2</v>
      </c>
      <c r="E213" s="98">
        <f>RATE(3,0,-B$210,B213)</f>
        <v>3.9812280247915298E-2</v>
      </c>
      <c r="F213" s="164"/>
      <c r="G213" s="164"/>
      <c r="H213"/>
      <c r="I213" s="6">
        <f>SUM(I39:I50)</f>
        <v>9221006.9389805775</v>
      </c>
      <c r="J213" s="36">
        <f t="shared" si="12"/>
        <v>-177518.06101942249</v>
      </c>
      <c r="K213" s="5">
        <f t="shared" si="13"/>
        <v>-1.8887863895603031E-2</v>
      </c>
    </row>
    <row r="214" spans="1:11" x14ac:dyDescent="0.2">
      <c r="A214" s="16">
        <v>2007</v>
      </c>
      <c r="B214" s="6">
        <f>SUM(B51:B62)</f>
        <v>9704521</v>
      </c>
      <c r="C214" s="96">
        <f t="shared" si="14"/>
        <v>305996</v>
      </c>
      <c r="D214" s="98">
        <f t="shared" si="15"/>
        <v>3.2557874772903193E-2</v>
      </c>
      <c r="E214" s="98">
        <f>RATE(4,0,-B$210,B214)</f>
        <v>3.7993914653316314E-2</v>
      </c>
      <c r="F214" s="164"/>
      <c r="G214" s="164"/>
      <c r="H214"/>
      <c r="I214" s="6">
        <f>SUM(I51:I62)</f>
        <v>8952435.3003156055</v>
      </c>
      <c r="J214" s="36">
        <f t="shared" si="12"/>
        <v>-752085.69968439452</v>
      </c>
      <c r="K214" s="5">
        <f t="shared" si="13"/>
        <v>-7.749848752807012E-2</v>
      </c>
    </row>
    <row r="215" spans="1:11" x14ac:dyDescent="0.2">
      <c r="A215">
        <v>2008</v>
      </c>
      <c r="B215" s="6">
        <f>SUM(B63:B74)</f>
        <v>9725840</v>
      </c>
      <c r="C215" s="96">
        <f t="shared" si="14"/>
        <v>21319</v>
      </c>
      <c r="D215" s="98">
        <f t="shared" si="15"/>
        <v>2.1968111563672229E-3</v>
      </c>
      <c r="E215" s="98">
        <f>RATE(5,0,-B$210,B215)</f>
        <v>3.073363744783051E-2</v>
      </c>
      <c r="F215" s="164"/>
      <c r="G215" s="164"/>
      <c r="H215"/>
      <c r="I215" s="6">
        <f>SUM(I63:I74)</f>
        <v>9164601.6906153783</v>
      </c>
      <c r="J215" s="36">
        <f t="shared" si="12"/>
        <v>-561238.30938462168</v>
      </c>
      <c r="K215" s="5">
        <f t="shared" si="13"/>
        <v>-5.7705895777086777E-2</v>
      </c>
    </row>
    <row r="216" spans="1:11" x14ac:dyDescent="0.2">
      <c r="A216" s="16">
        <v>2009</v>
      </c>
      <c r="B216" s="6">
        <f>SUM(B75:B86)</f>
        <v>10202758</v>
      </c>
      <c r="C216" s="96">
        <f t="shared" si="14"/>
        <v>476918</v>
      </c>
      <c r="D216" s="98">
        <f t="shared" si="15"/>
        <v>4.9036175795612515E-2</v>
      </c>
      <c r="E216" s="98">
        <f>RATE(6,0,-B$210,B216)</f>
        <v>3.3761733300014092E-2</v>
      </c>
      <c r="F216" s="164"/>
      <c r="G216" s="164"/>
      <c r="H216"/>
      <c r="I216" s="6">
        <f>SUM(I75:I86)</f>
        <v>10329239.045241252</v>
      </c>
      <c r="J216" s="36">
        <f t="shared" si="12"/>
        <v>126481.04524125159</v>
      </c>
      <c r="K216" s="5">
        <f t="shared" si="13"/>
        <v>1.2396750490529285E-2</v>
      </c>
    </row>
    <row r="217" spans="1:11" x14ac:dyDescent="0.2">
      <c r="A217">
        <v>2010</v>
      </c>
      <c r="B217" s="6">
        <f>SUM(B87:B98)</f>
        <v>10427904</v>
      </c>
      <c r="C217" s="96">
        <f t="shared" si="14"/>
        <v>225146</v>
      </c>
      <c r="D217" s="98">
        <f t="shared" si="15"/>
        <v>2.2067170465084048E-2</v>
      </c>
      <c r="E217" s="98">
        <f>RATE(7,0,-B$210,B217)</f>
        <v>3.2082924510561987E-2</v>
      </c>
      <c r="F217" s="164"/>
      <c r="G217" s="164"/>
      <c r="H217"/>
      <c r="I217" s="6">
        <f>SUM(I87:I98)</f>
        <v>10303632.395284772</v>
      </c>
      <c r="J217" s="36">
        <f t="shared" si="12"/>
        <v>-124271.60471522808</v>
      </c>
      <c r="K217" s="5">
        <f t="shared" si="13"/>
        <v>-1.1917217948614417E-2</v>
      </c>
    </row>
    <row r="218" spans="1:11" x14ac:dyDescent="0.2">
      <c r="A218">
        <v>2011</v>
      </c>
      <c r="B218" s="6">
        <f>SUM(B99:B110)</f>
        <v>10253017</v>
      </c>
      <c r="C218" s="96">
        <f t="shared" si="14"/>
        <v>-174887</v>
      </c>
      <c r="D218" s="98">
        <f t="shared" si="15"/>
        <v>-1.677105964918741E-2</v>
      </c>
      <c r="E218" s="98">
        <f>RATE(8,0,-B$210,B218)</f>
        <v>2.5845836997099254E-2</v>
      </c>
      <c r="F218" s="164"/>
      <c r="G218" s="164"/>
      <c r="H218"/>
      <c r="I218" s="6">
        <f>SUM(I99:I110)</f>
        <v>9795115.0237546489</v>
      </c>
      <c r="J218" s="36">
        <f t="shared" si="12"/>
        <v>-457901.97624535114</v>
      </c>
      <c r="K218" s="5">
        <f t="shared" si="13"/>
        <v>-4.4660218182155667E-2</v>
      </c>
    </row>
    <row r="219" spans="1:11" x14ac:dyDescent="0.2">
      <c r="A219">
        <v>2012</v>
      </c>
      <c r="B219" s="6">
        <f>SUM(B111:B122)</f>
        <v>10139708</v>
      </c>
      <c r="C219" s="96">
        <f t="shared" si="14"/>
        <v>-113309</v>
      </c>
      <c r="D219" s="98">
        <f t="shared" si="15"/>
        <v>-1.1051283734338878E-2</v>
      </c>
      <c r="E219" s="98">
        <f>RATE(9,0,-B$210,B219)</f>
        <v>2.1679097434702633E-2</v>
      </c>
      <c r="F219" s="164"/>
      <c r="G219" s="164"/>
      <c r="H219"/>
      <c r="I219" s="6">
        <f>SUM(I111:I122)</f>
        <v>9663042.0199686363</v>
      </c>
      <c r="J219" s="36">
        <f t="shared" si="12"/>
        <v>-476665.98003136367</v>
      </c>
      <c r="K219" s="5">
        <f t="shared" si="13"/>
        <v>-4.7009833027870596E-2</v>
      </c>
    </row>
    <row r="220" spans="1:11" x14ac:dyDescent="0.2">
      <c r="A220">
        <v>2013</v>
      </c>
      <c r="B220" s="6">
        <f>SUM(B123:B134)</f>
        <v>9082284</v>
      </c>
      <c r="C220" s="96">
        <f t="shared" si="14"/>
        <v>-1057424</v>
      </c>
      <c r="D220" s="98">
        <f t="shared" si="15"/>
        <v>-0.1042854488511898</v>
      </c>
      <c r="E220" s="98">
        <f>RATE(10,0,-B$210,B220)</f>
        <v>8.3238050230215084E-3</v>
      </c>
      <c r="F220" s="164"/>
      <c r="G220" s="164"/>
      <c r="H220"/>
      <c r="I220" s="6">
        <f ca="1">SUM(I123:I134)</f>
        <v>9636600.3313593008</v>
      </c>
      <c r="J220" s="36">
        <f t="shared" ca="1" si="12"/>
        <v>554316.33135930076</v>
      </c>
      <c r="K220" s="5">
        <f t="shared" ca="1" si="13"/>
        <v>6.1032701835716741E-2</v>
      </c>
    </row>
    <row r="221" spans="1:11" x14ac:dyDescent="0.2">
      <c r="A221">
        <v>2014</v>
      </c>
      <c r="B221" s="6">
        <f>SUM(B135:B146)</f>
        <v>9155875</v>
      </c>
      <c r="C221" s="96">
        <f t="shared" ref="C221" si="16">+B221-B220</f>
        <v>73591</v>
      </c>
      <c r="D221" s="98">
        <f t="shared" ref="D221" si="17">+C221/B220</f>
        <v>8.1026975152946115E-3</v>
      </c>
      <c r="E221" s="98">
        <f>RATE(10,0,-B$210,B221)</f>
        <v>9.13785549133634E-3</v>
      </c>
      <c r="F221" s="92"/>
      <c r="G221" s="164"/>
      <c r="H221"/>
      <c r="I221" s="6">
        <f>SUM(I135:I146)</f>
        <v>9755721.4810709693</v>
      </c>
      <c r="J221" s="36">
        <f t="shared" si="12"/>
        <v>599846.48107096925</v>
      </c>
      <c r="K221" s="5">
        <f t="shared" si="13"/>
        <v>6.5514926871650087E-2</v>
      </c>
    </row>
    <row r="222" spans="1:11" x14ac:dyDescent="0.2">
      <c r="A222">
        <v>2015</v>
      </c>
      <c r="B222" s="6">
        <f>SUM(B147:B158)</f>
        <v>9302763</v>
      </c>
      <c r="C222" s="96">
        <f t="shared" si="14"/>
        <v>146888</v>
      </c>
      <c r="D222" s="98">
        <f t="shared" si="15"/>
        <v>1.6043032479145902E-2</v>
      </c>
      <c r="E222" s="98">
        <f>RATE(12,0,-B$210,B222)</f>
        <v>8.9463886785188552E-3</v>
      </c>
      <c r="F222" s="92"/>
      <c r="G222" s="164"/>
      <c r="H222"/>
      <c r="I222" s="6">
        <f>SUM(I147:I158)</f>
        <v>9765264.2717901804</v>
      </c>
      <c r="J222" s="36">
        <f t="shared" si="12"/>
        <v>462501.27179018036</v>
      </c>
      <c r="K222" s="5">
        <f t="shared" si="13"/>
        <v>4.971654892102275E-2</v>
      </c>
    </row>
    <row r="223" spans="1:11" x14ac:dyDescent="0.2">
      <c r="A223">
        <v>2016</v>
      </c>
      <c r="B223" s="6">
        <f>SUM(B159:B170)</f>
        <v>9490651</v>
      </c>
      <c r="C223" s="96">
        <f t="shared" si="14"/>
        <v>187888</v>
      </c>
      <c r="D223" s="98">
        <f t="shared" si="15"/>
        <v>2.0197010286083821E-2</v>
      </c>
      <c r="E223" s="98">
        <f>RATE(13,0,-B$210,B223)</f>
        <v>9.8073986971648104E-3</v>
      </c>
      <c r="F223" s="92"/>
      <c r="G223" s="164"/>
      <c r="H223"/>
      <c r="I223" s="6">
        <f>SUM(I159:I170)</f>
        <v>8931885.4959696252</v>
      </c>
      <c r="J223" s="36">
        <f t="shared" si="12"/>
        <v>-558765.50403037481</v>
      </c>
      <c r="K223" s="5">
        <f t="shared" si="13"/>
        <v>-5.8875361029541051E-2</v>
      </c>
    </row>
    <row r="224" spans="1:11" x14ac:dyDescent="0.2">
      <c r="A224">
        <v>2017</v>
      </c>
      <c r="B224" s="6">
        <f t="shared" ref="B224:B226" ca="1" si="18">+I224</f>
        <v>9105162.3892607074</v>
      </c>
      <c r="C224" s="96">
        <f t="shared" ca="1" si="14"/>
        <v>-385488.61073929258</v>
      </c>
      <c r="D224" s="98">
        <f t="shared" ca="1" si="15"/>
        <v>-4.0617720611504163E-2</v>
      </c>
      <c r="E224" s="98">
        <f ca="1">RATE(14,0,-B$210,B224)</f>
        <v>6.1193168024921687E-3</v>
      </c>
      <c r="F224" s="92"/>
      <c r="G224" s="164"/>
      <c r="H224"/>
      <c r="I224" s="6">
        <f ca="1">SUM(I171:I182)</f>
        <v>9105162.3892607074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9172975.0695732236</v>
      </c>
      <c r="C225" s="96">
        <f t="shared" ca="1" si="14"/>
        <v>67812.680312516168</v>
      </c>
      <c r="D225" s="98">
        <f t="shared" ca="1" si="15"/>
        <v>7.4477178345000623E-3</v>
      </c>
      <c r="E225" s="98">
        <f ca="1">RATE(15,0,-B$210,B225)</f>
        <v>6.2078223513846063E-3</v>
      </c>
      <c r="F225" s="92"/>
      <c r="G225" s="164"/>
      <c r="H225"/>
      <c r="I225" s="6">
        <f ca="1">SUM(I183:I194)</f>
        <v>9172975.0695732236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8992839.7984831091</v>
      </c>
      <c r="C226" s="96">
        <f t="shared" ca="1" si="14"/>
        <v>-180135.27109011449</v>
      </c>
      <c r="D226" s="98">
        <f t="shared" ca="1" si="15"/>
        <v>-1.9637606090048533E-2</v>
      </c>
      <c r="E226" s="98">
        <f ca="1">RATE(16,0,-B$210,B226)</f>
        <v>4.5727050521317762E-3</v>
      </c>
      <c r="F226" s="92"/>
      <c r="G226" s="164"/>
      <c r="H226"/>
      <c r="I226" s="6">
        <f ca="1">SUM(I195:I206)</f>
        <v>8992839.7984831091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90"/>
      <c r="D227" s="164"/>
      <c r="F227" s="164"/>
      <c r="G227" s="164"/>
      <c r="H227"/>
      <c r="J227" s="164"/>
      <c r="K227" s="164"/>
    </row>
    <row r="228" spans="1:11" x14ac:dyDescent="0.2">
      <c r="A228" t="s">
        <v>9</v>
      </c>
      <c r="B228" s="6">
        <f ca="1">SUM(B210:B226)</f>
        <v>160440680.82079044</v>
      </c>
      <c r="C228" s="90"/>
      <c r="D228" s="164"/>
      <c r="F228" s="164"/>
      <c r="G228" s="164"/>
      <c r="H228"/>
      <c r="I228" s="6">
        <f ca="1">SUM(I210:I226)</f>
        <v>159990316.22181952</v>
      </c>
      <c r="J228" s="168">
        <f ca="1">I228-B228</f>
        <v>-450364.59897091985</v>
      </c>
      <c r="K228" s="164"/>
    </row>
    <row r="229" spans="1:11" x14ac:dyDescent="0.2">
      <c r="C229" s="164"/>
      <c r="D229" s="164"/>
      <c r="F229" s="164"/>
      <c r="G229" s="164"/>
      <c r="H229"/>
      <c r="I229" s="164"/>
      <c r="J229" s="54"/>
      <c r="K229" s="164"/>
    </row>
    <row r="230" spans="1:11" x14ac:dyDescent="0.2">
      <c r="C230" s="164"/>
      <c r="D230" s="164"/>
      <c r="F230" s="164"/>
      <c r="G230" s="164"/>
      <c r="H230"/>
      <c r="I230" s="6">
        <f ca="1">SUM(I210:I226)</f>
        <v>159990316.22181952</v>
      </c>
      <c r="J230" s="168">
        <f ca="1">I208-I230</f>
        <v>0</v>
      </c>
      <c r="K230" s="164"/>
    </row>
    <row r="231" spans="1:11" x14ac:dyDescent="0.2">
      <c r="C231" s="164"/>
      <c r="D231" s="164"/>
      <c r="F231" s="164"/>
      <c r="G231" s="164"/>
      <c r="H231"/>
      <c r="I231" s="23"/>
      <c r="J231" s="169" t="s">
        <v>69</v>
      </c>
      <c r="K231" s="18"/>
    </row>
    <row r="243" spans="9:11" x14ac:dyDescent="0.2">
      <c r="I243" s="11"/>
      <c r="J243" s="11"/>
      <c r="K243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2.5703125" style="6" customWidth="1"/>
    <col min="10" max="10" width="21.285156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3.5703125" style="6" bestFit="1" customWidth="1"/>
    <col min="15" max="15" width="20.85546875" style="6" bestFit="1" customWidth="1"/>
    <col min="16" max="16" width="19" style="6" bestFit="1" customWidth="1"/>
    <col min="17" max="17" width="9.85546875" style="6" bestFit="1" customWidth="1"/>
    <col min="18" max="18" width="14" bestFit="1" customWidth="1"/>
    <col min="19" max="19" width="13.5703125" bestFit="1" customWidth="1"/>
    <col min="20" max="20" width="13.85546875" bestFit="1" customWidth="1"/>
    <col min="21" max="21" width="13.570312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64"/>
      <c r="M2" t="s">
        <v>18</v>
      </c>
      <c r="N2"/>
      <c r="O2"/>
      <c r="P2"/>
      <c r="Q2"/>
    </row>
    <row r="3" spans="1:18" ht="13.5" thickBot="1" x14ac:dyDescent="0.25">
      <c r="A3" s="453">
        <v>37622</v>
      </c>
      <c r="B3" s="454">
        <v>300000</v>
      </c>
      <c r="C3" s="455">
        <f>+'Purchased Power Model '!C3</f>
        <v>786</v>
      </c>
      <c r="D3" s="455">
        <f>+'Purchased Power Model '!D3</f>
        <v>0</v>
      </c>
      <c r="E3" s="443">
        <f>+'Purchased Power Model '!E3</f>
        <v>5.2000000000000005E-2</v>
      </c>
      <c r="F3" s="53">
        <f>+'Purchased Power Model '!F3</f>
        <v>31</v>
      </c>
      <c r="G3" s="53">
        <f>+'Purchased Power Model '!G3</f>
        <v>0</v>
      </c>
      <c r="H3" s="171">
        <v>300</v>
      </c>
      <c r="I3" s="456">
        <f>$N$18+C3*$N$19+D3*$N$20+E3*$N$21+F3*$N$22+G3*$N$23</f>
        <v>280390.68454694684</v>
      </c>
      <c r="J3" s="457">
        <f>I3-B3</f>
        <v>-19609.315453053161</v>
      </c>
      <c r="K3" s="5">
        <f>J3/B3</f>
        <v>-6.5364384843510537E-2</v>
      </c>
      <c r="M3"/>
      <c r="N3"/>
      <c r="O3"/>
      <c r="P3"/>
      <c r="Q3"/>
    </row>
    <row r="4" spans="1:18" x14ac:dyDescent="0.2">
      <c r="A4" s="453">
        <v>37653</v>
      </c>
      <c r="B4" s="454">
        <v>300000</v>
      </c>
      <c r="C4" s="455">
        <f>+'Purchased Power Model '!C4</f>
        <v>686.5</v>
      </c>
      <c r="D4" s="455">
        <f>+'Purchased Power Model '!D4</f>
        <v>0</v>
      </c>
      <c r="E4" s="443">
        <f>+'Purchased Power Model '!E4</f>
        <v>5.2000000000000005E-2</v>
      </c>
      <c r="F4" s="53">
        <f>+'Purchased Power Model '!F4</f>
        <v>28</v>
      </c>
      <c r="G4" s="53">
        <f>+'Purchased Power Model '!G4</f>
        <v>0</v>
      </c>
      <c r="H4" s="171">
        <v>300</v>
      </c>
      <c r="I4" s="456">
        <f t="shared" ref="I4:I67" si="0">$N$18+C4*$N$19+D4*$N$20+E4*$N$21+F4*$N$22+G4*$N$23</f>
        <v>282822.90036207816</v>
      </c>
      <c r="J4" s="457">
        <f t="shared" ref="J4:J67" si="1">I4-B4</f>
        <v>-17177.099637921841</v>
      </c>
      <c r="K4" s="5">
        <f t="shared" ref="K4:K67" si="2">J4/B4</f>
        <v>-5.7256998793072805E-2</v>
      </c>
      <c r="M4" s="49" t="s">
        <v>19</v>
      </c>
      <c r="N4" s="49"/>
      <c r="O4"/>
      <c r="P4"/>
      <c r="Q4"/>
    </row>
    <row r="5" spans="1:18" x14ac:dyDescent="0.2">
      <c r="A5" s="453">
        <v>37681</v>
      </c>
      <c r="B5" s="454">
        <v>300000</v>
      </c>
      <c r="C5" s="455">
        <f>+'Purchased Power Model '!C5</f>
        <v>572.5</v>
      </c>
      <c r="D5" s="455">
        <f>+'Purchased Power Model '!D5</f>
        <v>0</v>
      </c>
      <c r="E5" s="443">
        <f>+'Purchased Power Model '!E5</f>
        <v>5.2000000000000005E-2</v>
      </c>
      <c r="F5" s="53">
        <f>+'Purchased Power Model '!F5</f>
        <v>31</v>
      </c>
      <c r="G5" s="53">
        <f>+'Purchased Power Model '!G5</f>
        <v>1</v>
      </c>
      <c r="H5" s="171">
        <v>300</v>
      </c>
      <c r="I5" s="456">
        <f t="shared" si="0"/>
        <v>279573.09930432506</v>
      </c>
      <c r="J5" s="457">
        <f t="shared" si="1"/>
        <v>-20426.900695674936</v>
      </c>
      <c r="K5" s="5">
        <f t="shared" si="2"/>
        <v>-6.8089668985583121E-2</v>
      </c>
      <c r="M5" s="35" t="s">
        <v>20</v>
      </c>
      <c r="N5" s="466">
        <v>0.51871083013221253</v>
      </c>
      <c r="O5"/>
      <c r="P5"/>
      <c r="Q5"/>
    </row>
    <row r="6" spans="1:18" x14ac:dyDescent="0.2">
      <c r="A6" s="453">
        <v>37712</v>
      </c>
      <c r="B6" s="454">
        <v>300000</v>
      </c>
      <c r="C6" s="455">
        <f>+'Purchased Power Model '!C6</f>
        <v>403.9</v>
      </c>
      <c r="D6" s="455">
        <f>+'Purchased Power Model '!D6</f>
        <v>0</v>
      </c>
      <c r="E6" s="443">
        <f>+'Purchased Power Model '!E6</f>
        <v>5.5999999999999994E-2</v>
      </c>
      <c r="F6" s="53">
        <f>+'Purchased Power Model '!F6</f>
        <v>30</v>
      </c>
      <c r="G6" s="53">
        <f>+'Purchased Power Model '!G6</f>
        <v>1</v>
      </c>
      <c r="H6" s="171">
        <v>300</v>
      </c>
      <c r="I6" s="456">
        <f t="shared" si="0"/>
        <v>277678.82403629721</v>
      </c>
      <c r="J6" s="457">
        <f t="shared" si="1"/>
        <v>-22321.175963702786</v>
      </c>
      <c r="K6" s="5">
        <f t="shared" si="2"/>
        <v>-7.4403919879009281E-2</v>
      </c>
      <c r="M6" s="35" t="s">
        <v>21</v>
      </c>
      <c r="N6" s="466">
        <v>0.26906092529644904</v>
      </c>
      <c r="O6"/>
      <c r="P6"/>
      <c r="Q6"/>
    </row>
    <row r="7" spans="1:18" x14ac:dyDescent="0.2">
      <c r="A7" s="453">
        <v>37742</v>
      </c>
      <c r="B7" s="454">
        <v>300000</v>
      </c>
      <c r="C7" s="455">
        <f>+'Purchased Power Model '!C7</f>
        <v>192</v>
      </c>
      <c r="D7" s="455">
        <f>+'Purchased Power Model '!D7</f>
        <v>0</v>
      </c>
      <c r="E7" s="443">
        <f>+'Purchased Power Model '!E7</f>
        <v>5.5999999999999994E-2</v>
      </c>
      <c r="F7" s="53">
        <f>+'Purchased Power Model '!F7</f>
        <v>31</v>
      </c>
      <c r="G7" s="53">
        <f>+'Purchased Power Model '!G7</f>
        <v>1</v>
      </c>
      <c r="H7" s="171">
        <v>300</v>
      </c>
      <c r="I7" s="456">
        <f t="shared" si="0"/>
        <v>282411.10563597619</v>
      </c>
      <c r="J7" s="457">
        <f t="shared" si="1"/>
        <v>-17588.894364023814</v>
      </c>
      <c r="K7" s="5">
        <f t="shared" si="2"/>
        <v>-5.8629647880079377E-2</v>
      </c>
      <c r="M7" s="35" t="s">
        <v>22</v>
      </c>
      <c r="N7" s="466">
        <v>0.24691125636603839</v>
      </c>
      <c r="O7"/>
      <c r="P7"/>
      <c r="Q7"/>
    </row>
    <row r="8" spans="1:18" x14ac:dyDescent="0.2">
      <c r="A8" s="453">
        <v>37773</v>
      </c>
      <c r="B8" s="454">
        <v>300000</v>
      </c>
      <c r="C8" s="455">
        <f>+'Purchased Power Model '!C8</f>
        <v>55.1</v>
      </c>
      <c r="D8" s="455">
        <f>+'Purchased Power Model '!D8</f>
        <v>31</v>
      </c>
      <c r="E8" s="443">
        <f>+'Purchased Power Model '!E8</f>
        <v>5.5999999999999994E-2</v>
      </c>
      <c r="F8" s="53">
        <f>+'Purchased Power Model '!F8</f>
        <v>30</v>
      </c>
      <c r="G8" s="53">
        <f>+'Purchased Power Model '!G8</f>
        <v>0</v>
      </c>
      <c r="H8" s="171">
        <v>300</v>
      </c>
      <c r="I8" s="456">
        <f t="shared" si="0"/>
        <v>286996.7651038054</v>
      </c>
      <c r="J8" s="457">
        <f t="shared" si="1"/>
        <v>-13003.234896194597</v>
      </c>
      <c r="K8" s="5">
        <f t="shared" si="2"/>
        <v>-4.3344116320648655E-2</v>
      </c>
      <c r="M8" s="35" t="s">
        <v>23</v>
      </c>
      <c r="N8" s="59">
        <v>35231.751318357892</v>
      </c>
      <c r="O8"/>
      <c r="P8"/>
      <c r="Q8"/>
    </row>
    <row r="9" spans="1:18" ht="13.5" thickBot="1" x14ac:dyDescent="0.25">
      <c r="A9" s="453">
        <v>37803</v>
      </c>
      <c r="B9" s="454">
        <v>300000</v>
      </c>
      <c r="C9" s="455">
        <f>+'Purchased Power Model '!C9</f>
        <v>5.7</v>
      </c>
      <c r="D9" s="455">
        <f>+'Purchased Power Model '!D9</f>
        <v>59.1</v>
      </c>
      <c r="E9" s="443">
        <f>+'Purchased Power Model '!E9</f>
        <v>5.0999999999999997E-2</v>
      </c>
      <c r="F9" s="53">
        <f>+'Purchased Power Model '!F9</f>
        <v>31</v>
      </c>
      <c r="G9" s="53">
        <f>+'Purchased Power Model '!G9</f>
        <v>0</v>
      </c>
      <c r="H9" s="171">
        <v>300</v>
      </c>
      <c r="I9" s="456">
        <f t="shared" si="0"/>
        <v>291440.53567219729</v>
      </c>
      <c r="J9" s="457">
        <f t="shared" si="1"/>
        <v>-8559.464327802707</v>
      </c>
      <c r="K9" s="5">
        <f t="shared" si="2"/>
        <v>-2.8531547759342357E-2</v>
      </c>
      <c r="M9" s="47" t="s">
        <v>24</v>
      </c>
      <c r="N9" s="60">
        <v>171</v>
      </c>
      <c r="O9"/>
      <c r="P9"/>
      <c r="Q9"/>
    </row>
    <row r="10" spans="1:18" x14ac:dyDescent="0.2">
      <c r="A10" s="453">
        <v>37834</v>
      </c>
      <c r="B10" s="454">
        <v>300000</v>
      </c>
      <c r="C10" s="455">
        <f>+'Purchased Power Model '!C10</f>
        <v>10.4</v>
      </c>
      <c r="D10" s="455">
        <f>+'Purchased Power Model '!D10</f>
        <v>106.5</v>
      </c>
      <c r="E10" s="443">
        <f>+'Purchased Power Model '!E10</f>
        <v>5.0999999999999997E-2</v>
      </c>
      <c r="F10" s="53">
        <f>+'Purchased Power Model '!F10</f>
        <v>31</v>
      </c>
      <c r="G10" s="53">
        <f>+'Purchased Power Model '!G10</f>
        <v>0</v>
      </c>
      <c r="H10" s="171">
        <v>300</v>
      </c>
      <c r="I10" s="456">
        <f t="shared" si="0"/>
        <v>284884.80103313999</v>
      </c>
      <c r="J10" s="457">
        <f t="shared" si="1"/>
        <v>-15115.198966860014</v>
      </c>
      <c r="K10" s="5">
        <f t="shared" si="2"/>
        <v>-5.0383996556200052E-2</v>
      </c>
      <c r="M10"/>
      <c r="N10"/>
      <c r="O10"/>
      <c r="P10"/>
      <c r="Q10"/>
    </row>
    <row r="11" spans="1:18" ht="13.5" thickBot="1" x14ac:dyDescent="0.25">
      <c r="A11" s="453">
        <v>37865</v>
      </c>
      <c r="B11" s="454">
        <v>300000</v>
      </c>
      <c r="C11" s="455">
        <f>+'Purchased Power Model '!C11</f>
        <v>55.2</v>
      </c>
      <c r="D11" s="455">
        <f>+'Purchased Power Model '!D11</f>
        <v>12.1</v>
      </c>
      <c r="E11" s="443">
        <f>+'Purchased Power Model '!E11</f>
        <v>5.0999999999999997E-2</v>
      </c>
      <c r="F11" s="53">
        <f>+'Purchased Power Model '!F11</f>
        <v>30</v>
      </c>
      <c r="G11" s="53">
        <f>+'Purchased Power Model '!G11</f>
        <v>1</v>
      </c>
      <c r="H11" s="171">
        <v>300</v>
      </c>
      <c r="I11" s="456">
        <f t="shared" si="0"/>
        <v>291129.87021389278</v>
      </c>
      <c r="J11" s="457">
        <f t="shared" si="1"/>
        <v>-8870.1297861072235</v>
      </c>
      <c r="K11" s="5">
        <f t="shared" si="2"/>
        <v>-2.9567099287024078E-2</v>
      </c>
      <c r="M11" t="s">
        <v>25</v>
      </c>
      <c r="N11"/>
      <c r="O11"/>
      <c r="P11"/>
      <c r="Q11"/>
    </row>
    <row r="12" spans="1:18" x14ac:dyDescent="0.2">
      <c r="A12" s="453">
        <v>37895</v>
      </c>
      <c r="B12" s="454">
        <v>300000</v>
      </c>
      <c r="C12" s="455">
        <f>+'Purchased Power Model '!C12</f>
        <v>289.7</v>
      </c>
      <c r="D12" s="455">
        <f>+'Purchased Power Model '!D12</f>
        <v>0</v>
      </c>
      <c r="E12" s="443">
        <f>+'Purchased Power Model '!E12</f>
        <v>4.8000000000000001E-2</v>
      </c>
      <c r="F12" s="53">
        <f>+'Purchased Power Model '!F12</f>
        <v>31</v>
      </c>
      <c r="G12" s="53">
        <f>+'Purchased Power Model '!G12</f>
        <v>1</v>
      </c>
      <c r="H12" s="171">
        <v>300</v>
      </c>
      <c r="I12" s="456">
        <f t="shared" si="0"/>
        <v>291737.88936192548</v>
      </c>
      <c r="J12" s="457">
        <f t="shared" si="1"/>
        <v>-8262.1106380745186</v>
      </c>
      <c r="K12" s="5">
        <f t="shared" si="2"/>
        <v>-2.7540368793581727E-2</v>
      </c>
      <c r="M12" s="48"/>
      <c r="N12" s="48" t="s">
        <v>29</v>
      </c>
      <c r="O12" s="48" t="s">
        <v>30</v>
      </c>
      <c r="P12" s="48" t="s">
        <v>31</v>
      </c>
      <c r="Q12" s="48" t="s">
        <v>32</v>
      </c>
      <c r="R12" s="48" t="s">
        <v>33</v>
      </c>
    </row>
    <row r="13" spans="1:18" x14ac:dyDescent="0.2">
      <c r="A13" s="453">
        <v>37926</v>
      </c>
      <c r="B13" s="454">
        <v>300000</v>
      </c>
      <c r="C13" s="455">
        <f>+'Purchased Power Model '!C13</f>
        <v>387.6</v>
      </c>
      <c r="D13" s="455">
        <f>+'Purchased Power Model '!D13</f>
        <v>0</v>
      </c>
      <c r="E13" s="443">
        <f>+'Purchased Power Model '!E13</f>
        <v>4.8000000000000001E-2</v>
      </c>
      <c r="F13" s="53">
        <f>+'Purchased Power Model '!F13</f>
        <v>30</v>
      </c>
      <c r="G13" s="53">
        <f>+'Purchased Power Model '!G13</f>
        <v>1</v>
      </c>
      <c r="H13" s="171">
        <v>300</v>
      </c>
      <c r="I13" s="456">
        <f t="shared" si="0"/>
        <v>289584.10736781661</v>
      </c>
      <c r="J13" s="457">
        <f t="shared" si="1"/>
        <v>-10415.892632183386</v>
      </c>
      <c r="K13" s="5">
        <f t="shared" si="2"/>
        <v>-3.4719642107277952E-2</v>
      </c>
      <c r="M13" s="35" t="s">
        <v>26</v>
      </c>
      <c r="N13" s="59">
        <v>5</v>
      </c>
      <c r="O13" s="59">
        <v>75391409039.513397</v>
      </c>
      <c r="P13" s="59">
        <v>15078281807.902679</v>
      </c>
      <c r="Q13" s="59">
        <v>12.147401667346765</v>
      </c>
      <c r="R13" s="59">
        <v>4.9753381042407808E-10</v>
      </c>
    </row>
    <row r="14" spans="1:18" x14ac:dyDescent="0.2">
      <c r="A14" s="453">
        <v>37956</v>
      </c>
      <c r="B14" s="454">
        <v>300000</v>
      </c>
      <c r="C14" s="455">
        <f>+'Purchased Power Model '!C14</f>
        <v>548.20000000000005</v>
      </c>
      <c r="D14" s="455">
        <f>+'Purchased Power Model '!D14</f>
        <v>0</v>
      </c>
      <c r="E14" s="443">
        <f>+'Purchased Power Model '!E14</f>
        <v>4.8000000000000001E-2</v>
      </c>
      <c r="F14" s="53">
        <f>+'Purchased Power Model '!F14</f>
        <v>31</v>
      </c>
      <c r="G14" s="53">
        <f>+'Purchased Power Model '!G14</f>
        <v>0</v>
      </c>
      <c r="H14" s="171">
        <v>300</v>
      </c>
      <c r="I14" s="456">
        <f t="shared" si="0"/>
        <v>291537.64581287489</v>
      </c>
      <c r="J14" s="457">
        <f t="shared" si="1"/>
        <v>-8462.3541871251073</v>
      </c>
      <c r="K14" s="5">
        <f t="shared" si="2"/>
        <v>-2.8207847290417025E-2</v>
      </c>
      <c r="M14" s="35" t="s">
        <v>27</v>
      </c>
      <c r="N14" s="59">
        <v>165</v>
      </c>
      <c r="O14" s="59">
        <v>204810589658.17111</v>
      </c>
      <c r="P14" s="59">
        <v>1241276300.9586129</v>
      </c>
      <c r="Q14" s="59"/>
      <c r="R14" s="59"/>
    </row>
    <row r="15" spans="1:18" ht="13.5" thickBot="1" x14ac:dyDescent="0.25">
      <c r="A15" s="453">
        <v>37987</v>
      </c>
      <c r="B15" s="454">
        <v>300000</v>
      </c>
      <c r="C15" s="455">
        <f>+'Purchased Power Model '!C15</f>
        <v>828.8</v>
      </c>
      <c r="D15" s="455">
        <f>+'Purchased Power Model '!D15</f>
        <v>0</v>
      </c>
      <c r="E15" s="443">
        <f>+'Purchased Power Model '!E15</f>
        <v>5.0999999999999997E-2</v>
      </c>
      <c r="F15" s="53">
        <f>+'Purchased Power Model '!F15</f>
        <v>31</v>
      </c>
      <c r="G15" s="53">
        <f>+'Purchased Power Model '!G15</f>
        <v>0</v>
      </c>
      <c r="H15" s="171">
        <v>300</v>
      </c>
      <c r="I15" s="456">
        <f t="shared" si="0"/>
        <v>280864.69166457321</v>
      </c>
      <c r="J15" s="457">
        <f t="shared" si="1"/>
        <v>-19135.308335426787</v>
      </c>
      <c r="K15" s="5">
        <f t="shared" si="2"/>
        <v>-6.3784361118089286E-2</v>
      </c>
      <c r="M15" s="47" t="s">
        <v>9</v>
      </c>
      <c r="N15" s="60">
        <v>170</v>
      </c>
      <c r="O15" s="60">
        <v>280201998697.68451</v>
      </c>
      <c r="P15" s="60"/>
      <c r="Q15" s="60"/>
      <c r="R15" s="60"/>
    </row>
    <row r="16" spans="1:18" ht="13.5" thickBot="1" x14ac:dyDescent="0.25">
      <c r="A16" s="453">
        <v>38018</v>
      </c>
      <c r="B16" s="454">
        <v>300000</v>
      </c>
      <c r="C16" s="455">
        <f>+'Purchased Power Model '!C16</f>
        <v>615.6</v>
      </c>
      <c r="D16" s="455">
        <f>+'Purchased Power Model '!D16</f>
        <v>0</v>
      </c>
      <c r="E16" s="443">
        <f>+'Purchased Power Model '!E16</f>
        <v>5.0999999999999997E-2</v>
      </c>
      <c r="F16" s="53">
        <f>+'Purchased Power Model '!F16</f>
        <v>29</v>
      </c>
      <c r="G16" s="53">
        <f>+'Purchased Power Model '!G16</f>
        <v>0</v>
      </c>
      <c r="H16" s="171">
        <v>300</v>
      </c>
      <c r="I16" s="456">
        <f t="shared" si="0"/>
        <v>285808.06047177827</v>
      </c>
      <c r="J16" s="457">
        <f t="shared" si="1"/>
        <v>-14191.93952822173</v>
      </c>
      <c r="K16" s="5">
        <f t="shared" si="2"/>
        <v>-4.7306465094072436E-2</v>
      </c>
      <c r="M16"/>
      <c r="N16"/>
      <c r="O16"/>
      <c r="P16"/>
      <c r="Q16"/>
    </row>
    <row r="17" spans="1:21" x14ac:dyDescent="0.2">
      <c r="A17" s="453">
        <v>38047</v>
      </c>
      <c r="B17" s="454">
        <v>300000</v>
      </c>
      <c r="C17" s="455">
        <f>+'Purchased Power Model '!C17</f>
        <v>487.1</v>
      </c>
      <c r="D17" s="455">
        <f>+'Purchased Power Model '!D17</f>
        <v>0</v>
      </c>
      <c r="E17" s="443">
        <f>+'Purchased Power Model '!E17</f>
        <v>5.0999999999999997E-2</v>
      </c>
      <c r="F17" s="53">
        <f>+'Purchased Power Model '!F17</f>
        <v>31</v>
      </c>
      <c r="G17" s="53">
        <f>+'Purchased Power Model '!G17</f>
        <v>1</v>
      </c>
      <c r="H17" s="171">
        <v>300</v>
      </c>
      <c r="I17" s="456">
        <f t="shared" si="0"/>
        <v>282946.78755733813</v>
      </c>
      <c r="J17" s="457">
        <f t="shared" si="1"/>
        <v>-17053.212442661868</v>
      </c>
      <c r="K17" s="5">
        <f t="shared" si="2"/>
        <v>-5.6844041475539564E-2</v>
      </c>
      <c r="M17" s="48"/>
      <c r="N17" s="48" t="s">
        <v>34</v>
      </c>
      <c r="O17" s="48" t="s">
        <v>23</v>
      </c>
      <c r="P17" s="48" t="s">
        <v>35</v>
      </c>
      <c r="Q17" s="48" t="s">
        <v>36</v>
      </c>
      <c r="R17" s="48" t="s">
        <v>37</v>
      </c>
      <c r="S17" s="48" t="s">
        <v>38</v>
      </c>
      <c r="T17" s="48" t="s">
        <v>39</v>
      </c>
      <c r="U17" s="48" t="s">
        <v>40</v>
      </c>
    </row>
    <row r="18" spans="1:21" x14ac:dyDescent="0.2">
      <c r="A18" s="453">
        <v>38078</v>
      </c>
      <c r="B18" s="454">
        <v>300000</v>
      </c>
      <c r="C18" s="455">
        <f>+'Purchased Power Model '!C18</f>
        <v>345</v>
      </c>
      <c r="D18" s="455">
        <f>+'Purchased Power Model '!D18</f>
        <v>0</v>
      </c>
      <c r="E18" s="443">
        <f>+'Purchased Power Model '!E18</f>
        <v>5.2999999999999999E-2</v>
      </c>
      <c r="F18" s="53">
        <f>+'Purchased Power Model '!F18</f>
        <v>30</v>
      </c>
      <c r="G18" s="53">
        <f>+'Purchased Power Model '!G18</f>
        <v>1</v>
      </c>
      <c r="H18" s="171">
        <v>300</v>
      </c>
      <c r="I18" s="456">
        <f t="shared" si="0"/>
        <v>283337.27500429272</v>
      </c>
      <c r="J18" s="457">
        <f t="shared" si="1"/>
        <v>-16662.724995707278</v>
      </c>
      <c r="K18" s="5">
        <f t="shared" si="2"/>
        <v>-5.5542416652357596E-2</v>
      </c>
      <c r="M18" s="35" t="s">
        <v>28</v>
      </c>
      <c r="N18" s="59">
        <v>375034.0748205267</v>
      </c>
      <c r="O18" s="59">
        <v>104635.49807956828</v>
      </c>
      <c r="P18" s="59">
        <v>3.584195437530564</v>
      </c>
      <c r="Q18" s="59">
        <v>4.4485485350344029E-4</v>
      </c>
      <c r="R18" s="59">
        <v>168436.97288478329</v>
      </c>
      <c r="S18" s="59">
        <v>581631.17675627011</v>
      </c>
      <c r="T18" s="59">
        <v>168436.97288478329</v>
      </c>
      <c r="U18" s="59">
        <v>581631.17675627011</v>
      </c>
    </row>
    <row r="19" spans="1:21" x14ac:dyDescent="0.2">
      <c r="A19" s="453">
        <v>38108</v>
      </c>
      <c r="B19" s="454">
        <v>300000</v>
      </c>
      <c r="C19" s="455">
        <f>+'Purchased Power Model '!C19</f>
        <v>177.5</v>
      </c>
      <c r="D19" s="455">
        <f>+'Purchased Power Model '!D19</f>
        <v>0</v>
      </c>
      <c r="E19" s="443">
        <f>+'Purchased Power Model '!E19</f>
        <v>5.2999999999999999E-2</v>
      </c>
      <c r="F19" s="53">
        <f>+'Purchased Power Model '!F19</f>
        <v>31</v>
      </c>
      <c r="G19" s="53">
        <f>+'Purchased Power Model '!G19</f>
        <v>1</v>
      </c>
      <c r="H19" s="171">
        <v>300</v>
      </c>
      <c r="I19" s="456">
        <f t="shared" si="0"/>
        <v>287065.29886285495</v>
      </c>
      <c r="J19" s="457">
        <f t="shared" si="1"/>
        <v>-12934.70113714505</v>
      </c>
      <c r="K19" s="5">
        <f t="shared" si="2"/>
        <v>-4.3115670457150167E-2</v>
      </c>
      <c r="M19" s="35" t="s">
        <v>3</v>
      </c>
      <c r="N19" s="59">
        <v>-22.618417592720569</v>
      </c>
      <c r="O19" s="59">
        <v>16.267420850299651</v>
      </c>
      <c r="P19" s="59">
        <v>-1.3904120266430515</v>
      </c>
      <c r="Q19" s="59">
        <v>0.16627640076901723</v>
      </c>
      <c r="R19" s="59">
        <v>-54.737555603468415</v>
      </c>
      <c r="S19" s="59">
        <v>9.500720418027278</v>
      </c>
      <c r="T19" s="59">
        <v>-54.737555603468415</v>
      </c>
      <c r="U19" s="59">
        <v>9.500720418027278</v>
      </c>
    </row>
    <row r="20" spans="1:21" x14ac:dyDescent="0.2">
      <c r="A20" s="453">
        <v>38139</v>
      </c>
      <c r="B20" s="454">
        <v>300000</v>
      </c>
      <c r="C20" s="455">
        <f>+'Purchased Power Model '!C20</f>
        <v>73.2</v>
      </c>
      <c r="D20" s="455">
        <f>+'Purchased Power Model '!D20</f>
        <v>15.6</v>
      </c>
      <c r="E20" s="443">
        <f>+'Purchased Power Model '!E20</f>
        <v>5.2999999999999999E-2</v>
      </c>
      <c r="F20" s="53">
        <f>+'Purchased Power Model '!F20</f>
        <v>30</v>
      </c>
      <c r="G20" s="53">
        <f>+'Purchased Power Model '!G20</f>
        <v>0</v>
      </c>
      <c r="H20" s="171">
        <v>300</v>
      </c>
      <c r="I20" s="456">
        <f t="shared" si="0"/>
        <v>293008.9817225649</v>
      </c>
      <c r="J20" s="457">
        <f t="shared" si="1"/>
        <v>-6991.0182774350978</v>
      </c>
      <c r="K20" s="5">
        <f t="shared" si="2"/>
        <v>-2.3303394258116991E-2</v>
      </c>
      <c r="M20" s="35" t="s">
        <v>4</v>
      </c>
      <c r="N20" s="59">
        <v>-136.06388346775327</v>
      </c>
      <c r="O20" s="59">
        <v>125.2759524319172</v>
      </c>
      <c r="P20" s="59">
        <v>-1.0861133427957685</v>
      </c>
      <c r="Q20" s="59">
        <v>0.27901304751331513</v>
      </c>
      <c r="R20" s="59">
        <v>-383.41444030261334</v>
      </c>
      <c r="S20" s="59">
        <v>111.28667336710677</v>
      </c>
      <c r="T20" s="59">
        <v>-383.41444030261334</v>
      </c>
      <c r="U20" s="59">
        <v>111.28667336710677</v>
      </c>
    </row>
    <row r="21" spans="1:21" x14ac:dyDescent="0.2">
      <c r="A21" s="453">
        <v>38169</v>
      </c>
      <c r="B21" s="454">
        <v>300000</v>
      </c>
      <c r="C21" s="455">
        <f>+'Purchased Power Model '!C21</f>
        <v>2</v>
      </c>
      <c r="D21" s="455">
        <f>+'Purchased Power Model '!D21</f>
        <v>69.3</v>
      </c>
      <c r="E21" s="443">
        <f>+'Purchased Power Model '!E21</f>
        <v>5.2999999999999999E-2</v>
      </c>
      <c r="F21" s="53">
        <f>+'Purchased Power Model '!F21</f>
        <v>31</v>
      </c>
      <c r="G21" s="53">
        <f>+'Purchased Power Model '!G21</f>
        <v>0</v>
      </c>
      <c r="H21" s="171">
        <v>300</v>
      </c>
      <c r="I21" s="456">
        <f t="shared" si="0"/>
        <v>287252.2214247298</v>
      </c>
      <c r="J21" s="457">
        <f t="shared" si="1"/>
        <v>-12747.778575270204</v>
      </c>
      <c r="K21" s="5">
        <f t="shared" si="2"/>
        <v>-4.2492595250900676E-2</v>
      </c>
      <c r="M21" s="35" t="s">
        <v>217</v>
      </c>
      <c r="N21" s="59">
        <v>-1442075.3905947576</v>
      </c>
      <c r="O21" s="59">
        <v>188544.38887835926</v>
      </c>
      <c r="P21" s="59">
        <v>-7.6484662268317241</v>
      </c>
      <c r="Q21" s="59">
        <v>1.5985842484220121E-12</v>
      </c>
      <c r="R21" s="59">
        <v>-1814346.0352940727</v>
      </c>
      <c r="S21" s="59">
        <v>-1069804.7458954426</v>
      </c>
      <c r="T21" s="59">
        <v>-1814346.0352940727</v>
      </c>
      <c r="U21" s="59">
        <v>-1069804.7458954426</v>
      </c>
    </row>
    <row r="22" spans="1:21" x14ac:dyDescent="0.2">
      <c r="A22" s="453">
        <v>38200</v>
      </c>
      <c r="B22" s="454">
        <v>300000</v>
      </c>
      <c r="C22" s="455">
        <f>+'Purchased Power Model '!C22</f>
        <v>19.600000000000001</v>
      </c>
      <c r="D22" s="455">
        <f>+'Purchased Power Model '!D22</f>
        <v>53.6</v>
      </c>
      <c r="E22" s="443">
        <f>+'Purchased Power Model '!E22</f>
        <v>5.2999999999999999E-2</v>
      </c>
      <c r="F22" s="53">
        <f>+'Purchased Power Model '!F22</f>
        <v>31</v>
      </c>
      <c r="G22" s="53">
        <f>+'Purchased Power Model '!G22</f>
        <v>0</v>
      </c>
      <c r="H22" s="171">
        <v>300</v>
      </c>
      <c r="I22" s="456">
        <f t="shared" si="0"/>
        <v>288990.34024554159</v>
      </c>
      <c r="J22" s="457">
        <f t="shared" si="1"/>
        <v>-11009.659754458407</v>
      </c>
      <c r="K22" s="5">
        <f t="shared" si="2"/>
        <v>-3.6698865848194692E-2</v>
      </c>
      <c r="M22" s="35" t="s">
        <v>5</v>
      </c>
      <c r="N22" s="59">
        <v>-60.561088218517895</v>
      </c>
      <c r="O22" s="59">
        <v>3419.119646831613</v>
      </c>
      <c r="P22" s="59">
        <v>-1.7712479958002608E-2</v>
      </c>
      <c r="Q22" s="59">
        <v>0.98588962455150031</v>
      </c>
      <c r="R22" s="59">
        <v>-6811.4269336682055</v>
      </c>
      <c r="S22" s="59">
        <v>6690.3047572311689</v>
      </c>
      <c r="T22" s="59">
        <v>-6811.4269336682055</v>
      </c>
      <c r="U22" s="59">
        <v>6690.3047572311689</v>
      </c>
    </row>
    <row r="23" spans="1:21" ht="13.5" thickBot="1" x14ac:dyDescent="0.25">
      <c r="A23" s="453">
        <v>38231</v>
      </c>
      <c r="B23" s="454">
        <v>300000</v>
      </c>
      <c r="C23" s="455">
        <f>+'Purchased Power Model '!C23</f>
        <v>41.7</v>
      </c>
      <c r="D23" s="455">
        <f>+'Purchased Power Model '!D23</f>
        <v>26.7</v>
      </c>
      <c r="E23" s="443">
        <f>+'Purchased Power Model '!E23</f>
        <v>5.2999999999999999E-2</v>
      </c>
      <c r="F23" s="53">
        <f>+'Purchased Power Model '!F23</f>
        <v>30</v>
      </c>
      <c r="G23" s="53">
        <f>+'Purchased Power Model '!G23</f>
        <v>1</v>
      </c>
      <c r="H23" s="171">
        <v>300</v>
      </c>
      <c r="I23" s="456">
        <f t="shared" si="0"/>
        <v>286564.53537157585</v>
      </c>
      <c r="J23" s="457">
        <f t="shared" si="1"/>
        <v>-13435.464628424146</v>
      </c>
      <c r="K23" s="5">
        <f t="shared" si="2"/>
        <v>-4.4784882094747153E-2</v>
      </c>
      <c r="M23" s="47" t="s">
        <v>17</v>
      </c>
      <c r="N23" s="60">
        <v>-5646.6173986676586</v>
      </c>
      <c r="O23" s="60">
        <v>6875.6790559688261</v>
      </c>
      <c r="P23" s="60">
        <v>-0.82124505124563507</v>
      </c>
      <c r="Q23" s="60">
        <v>0.41269170059980687</v>
      </c>
      <c r="R23" s="60">
        <v>-19222.271864643022</v>
      </c>
      <c r="S23" s="60">
        <v>7929.037067307705</v>
      </c>
      <c r="T23" s="60">
        <v>-19222.271864643022</v>
      </c>
      <c r="U23" s="60">
        <v>7929.037067307705</v>
      </c>
    </row>
    <row r="24" spans="1:21" x14ac:dyDescent="0.2">
      <c r="A24" s="453">
        <v>38261</v>
      </c>
      <c r="B24" s="454">
        <v>300000</v>
      </c>
      <c r="C24" s="455">
        <f>+'Purchased Power Model '!C24</f>
        <v>235</v>
      </c>
      <c r="D24" s="455">
        <f>+'Purchased Power Model '!D24</f>
        <v>0</v>
      </c>
      <c r="E24" s="443">
        <f>+'Purchased Power Model '!E24</f>
        <v>5.7999999999999996E-2</v>
      </c>
      <c r="F24" s="53">
        <f>+'Purchased Power Model '!F24</f>
        <v>31</v>
      </c>
      <c r="G24" s="53">
        <f>+'Purchased Power Model '!G24</f>
        <v>1</v>
      </c>
      <c r="H24" s="171">
        <v>300</v>
      </c>
      <c r="I24" s="456">
        <f t="shared" si="0"/>
        <v>278554.3628982997</v>
      </c>
      <c r="J24" s="457">
        <f t="shared" si="1"/>
        <v>-21445.637101700297</v>
      </c>
      <c r="K24" s="5">
        <f t="shared" si="2"/>
        <v>-7.1485457005667649E-2</v>
      </c>
      <c r="M24"/>
      <c r="N24"/>
      <c r="O24"/>
      <c r="P24"/>
      <c r="Q24"/>
    </row>
    <row r="25" spans="1:21" x14ac:dyDescent="0.2">
      <c r="A25" s="453">
        <v>38292</v>
      </c>
      <c r="B25" s="454">
        <v>300000</v>
      </c>
      <c r="C25" s="455">
        <f>+'Purchased Power Model '!C25</f>
        <v>385.7</v>
      </c>
      <c r="D25" s="455">
        <f>+'Purchased Power Model '!D25</f>
        <v>0</v>
      </c>
      <c r="E25" s="443">
        <f>+'Purchased Power Model '!E25</f>
        <v>5.7999999999999996E-2</v>
      </c>
      <c r="F25" s="53">
        <f>+'Purchased Power Model '!F25</f>
        <v>30</v>
      </c>
      <c r="G25" s="53">
        <f>+'Purchased Power Model '!G25</f>
        <v>1</v>
      </c>
      <c r="H25" s="171">
        <v>300</v>
      </c>
      <c r="I25" s="456">
        <f t="shared" si="0"/>
        <v>275206.32845529524</v>
      </c>
      <c r="J25" s="457">
        <f t="shared" si="1"/>
        <v>-24793.671544704761</v>
      </c>
      <c r="K25" s="5">
        <f t="shared" si="2"/>
        <v>-8.2645571815682536E-2</v>
      </c>
      <c r="M25"/>
      <c r="N25"/>
      <c r="O25"/>
      <c r="P25"/>
      <c r="Q25"/>
    </row>
    <row r="26" spans="1:21" x14ac:dyDescent="0.2">
      <c r="A26" s="453">
        <v>38322</v>
      </c>
      <c r="B26" s="454">
        <v>300000</v>
      </c>
      <c r="C26" s="455">
        <f>+'Purchased Power Model '!C26</f>
        <v>627.5</v>
      </c>
      <c r="D26" s="455">
        <f>+'Purchased Power Model '!D26</f>
        <v>0</v>
      </c>
      <c r="E26" s="443">
        <f>+'Purchased Power Model '!E26</f>
        <v>5.7999999999999996E-2</v>
      </c>
      <c r="F26" s="53">
        <f>+'Purchased Power Model '!F26</f>
        <v>31</v>
      </c>
      <c r="G26" s="53">
        <f>+'Purchased Power Model '!G26</f>
        <v>0</v>
      </c>
      <c r="H26" s="171">
        <v>300</v>
      </c>
      <c r="I26" s="456">
        <f t="shared" si="0"/>
        <v>275323.25139182457</v>
      </c>
      <c r="J26" s="457">
        <f t="shared" si="1"/>
        <v>-24676.748608175432</v>
      </c>
      <c r="K26" s="5">
        <f t="shared" si="2"/>
        <v>-8.2255828693918107E-2</v>
      </c>
      <c r="M26"/>
      <c r="N26"/>
      <c r="O26"/>
      <c r="P26"/>
      <c r="Q26"/>
    </row>
    <row r="27" spans="1:21" x14ac:dyDescent="0.2">
      <c r="A27" s="453">
        <v>38353</v>
      </c>
      <c r="B27" s="454">
        <v>300000</v>
      </c>
      <c r="C27" s="455">
        <f>+'Purchased Power Model '!C27</f>
        <v>745.5</v>
      </c>
      <c r="D27" s="455">
        <f>+'Purchased Power Model '!D27</f>
        <v>0</v>
      </c>
      <c r="E27" s="443">
        <f>+'Purchased Power Model '!E27</f>
        <v>7.2000000000000008E-2</v>
      </c>
      <c r="F27" s="53">
        <f>+'Purchased Power Model '!F27</f>
        <v>31</v>
      </c>
      <c r="G27" s="53">
        <f>+'Purchased Power Model '!G27</f>
        <v>0</v>
      </c>
      <c r="H27" s="171">
        <v>300</v>
      </c>
      <c r="I27" s="456">
        <f t="shared" si="0"/>
        <v>252465.22264755689</v>
      </c>
      <c r="J27" s="457">
        <f t="shared" si="1"/>
        <v>-47534.77735244311</v>
      </c>
      <c r="K27" s="5">
        <f t="shared" si="2"/>
        <v>-0.15844925784147704</v>
      </c>
      <c r="M27"/>
      <c r="N27"/>
      <c r="O27"/>
      <c r="P27"/>
      <c r="Q27"/>
    </row>
    <row r="28" spans="1:21" x14ac:dyDescent="0.2">
      <c r="A28" s="453">
        <v>38384</v>
      </c>
      <c r="B28" s="454">
        <v>300000</v>
      </c>
      <c r="C28" s="455">
        <f>+'Purchased Power Model '!C28</f>
        <v>589.5</v>
      </c>
      <c r="D28" s="455">
        <f>+'Purchased Power Model '!D28</f>
        <v>0</v>
      </c>
      <c r="E28" s="443">
        <f>+'Purchased Power Model '!E28</f>
        <v>7.2000000000000008E-2</v>
      </c>
      <c r="F28" s="53">
        <f>+'Purchased Power Model '!F28</f>
        <v>28</v>
      </c>
      <c r="G28" s="53">
        <f>+'Purchased Power Model '!G28</f>
        <v>0</v>
      </c>
      <c r="H28" s="171">
        <v>300</v>
      </c>
      <c r="I28" s="456">
        <f t="shared" si="0"/>
        <v>256175.37905667687</v>
      </c>
      <c r="J28" s="457">
        <f t="shared" si="1"/>
        <v>-43824.620943323127</v>
      </c>
      <c r="K28" s="5">
        <f t="shared" si="2"/>
        <v>-0.1460820698110771</v>
      </c>
    </row>
    <row r="29" spans="1:21" x14ac:dyDescent="0.2">
      <c r="A29" s="453">
        <v>38412</v>
      </c>
      <c r="B29" s="454">
        <v>300000</v>
      </c>
      <c r="C29" s="455">
        <f>+'Purchased Power Model '!C29</f>
        <v>578.29999999999995</v>
      </c>
      <c r="D29" s="455">
        <f>+'Purchased Power Model '!D29</f>
        <v>0</v>
      </c>
      <c r="E29" s="443">
        <f>+'Purchased Power Model '!E29</f>
        <v>7.2000000000000008E-2</v>
      </c>
      <c r="F29" s="53">
        <f>+'Purchased Power Model '!F29</f>
        <v>31</v>
      </c>
      <c r="G29" s="53">
        <f>+'Purchased Power Model '!G29</f>
        <v>1</v>
      </c>
      <c r="H29" s="171">
        <v>300</v>
      </c>
      <c r="I29" s="456">
        <f t="shared" si="0"/>
        <v>250600.40467039216</v>
      </c>
      <c r="J29" s="457">
        <f t="shared" si="1"/>
        <v>-49399.595329607837</v>
      </c>
      <c r="K29" s="5">
        <f t="shared" si="2"/>
        <v>-0.16466531776535945</v>
      </c>
    </row>
    <row r="30" spans="1:21" x14ac:dyDescent="0.2">
      <c r="A30" s="453">
        <v>38443</v>
      </c>
      <c r="B30" s="454">
        <v>300000</v>
      </c>
      <c r="C30" s="455">
        <f>+'Purchased Power Model '!C30</f>
        <v>325.3</v>
      </c>
      <c r="D30" s="455">
        <f>+'Purchased Power Model '!D30</f>
        <v>0</v>
      </c>
      <c r="E30" s="443">
        <f>+'Purchased Power Model '!E30</f>
        <v>6.3E-2</v>
      </c>
      <c r="F30" s="53">
        <f>+'Purchased Power Model '!F30</f>
        <v>30</v>
      </c>
      <c r="G30" s="53">
        <f>+'Purchased Power Model '!G30</f>
        <v>1</v>
      </c>
      <c r="H30" s="171">
        <v>300</v>
      </c>
      <c r="I30" s="456">
        <f t="shared" si="0"/>
        <v>269362.10392492177</v>
      </c>
      <c r="J30" s="457">
        <f t="shared" si="1"/>
        <v>-30637.896075078228</v>
      </c>
      <c r="K30" s="5">
        <f t="shared" si="2"/>
        <v>-0.10212632025026076</v>
      </c>
    </row>
    <row r="31" spans="1:21" x14ac:dyDescent="0.2">
      <c r="A31" s="453">
        <v>38473</v>
      </c>
      <c r="B31" s="454">
        <v>300000</v>
      </c>
      <c r="C31" s="455">
        <f>+'Purchased Power Model '!C31</f>
        <v>216.1</v>
      </c>
      <c r="D31" s="455">
        <f>+'Purchased Power Model '!D31</f>
        <v>0.3</v>
      </c>
      <c r="E31" s="443">
        <f>+'Purchased Power Model '!E31</f>
        <v>6.3E-2</v>
      </c>
      <c r="F31" s="53">
        <f>+'Purchased Power Model '!F31</f>
        <v>31</v>
      </c>
      <c r="G31" s="53">
        <f>+'Purchased Power Model '!G31</f>
        <v>1</v>
      </c>
      <c r="H31" s="171">
        <v>300</v>
      </c>
      <c r="I31" s="456">
        <f t="shared" si="0"/>
        <v>271730.65487278806</v>
      </c>
      <c r="J31" s="457">
        <f t="shared" si="1"/>
        <v>-28269.345127211942</v>
      </c>
      <c r="K31" s="5">
        <f t="shared" si="2"/>
        <v>-9.4231150424039803E-2</v>
      </c>
    </row>
    <row r="32" spans="1:21" x14ac:dyDescent="0.2">
      <c r="A32" s="453">
        <v>38504</v>
      </c>
      <c r="B32" s="454">
        <v>300000</v>
      </c>
      <c r="C32" s="455">
        <f>+'Purchased Power Model '!C32</f>
        <v>13.7</v>
      </c>
      <c r="D32" s="455">
        <f>+'Purchased Power Model '!D32</f>
        <v>89.9</v>
      </c>
      <c r="E32" s="443">
        <f>+'Purchased Power Model '!E32</f>
        <v>6.3E-2</v>
      </c>
      <c r="F32" s="53">
        <f>+'Purchased Power Model '!F32</f>
        <v>30</v>
      </c>
      <c r="G32" s="53">
        <f>+'Purchased Power Model '!G32</f>
        <v>0</v>
      </c>
      <c r="H32" s="171">
        <v>300</v>
      </c>
      <c r="I32" s="456">
        <f t="shared" si="0"/>
        <v>269824.4771217301</v>
      </c>
      <c r="J32" s="457">
        <f t="shared" si="1"/>
        <v>-30175.522878269898</v>
      </c>
      <c r="K32" s="5">
        <f t="shared" si="2"/>
        <v>-0.10058507626089966</v>
      </c>
    </row>
    <row r="33" spans="1:11" x14ac:dyDescent="0.2">
      <c r="A33" s="453">
        <v>38534</v>
      </c>
      <c r="B33" s="454">
        <v>300000</v>
      </c>
      <c r="C33" s="455">
        <f>+'Purchased Power Model '!C33</f>
        <v>2.2000000000000002</v>
      </c>
      <c r="D33" s="455">
        <f>+'Purchased Power Model '!D33</f>
        <v>153</v>
      </c>
      <c r="E33" s="443">
        <f>+'Purchased Power Model '!E33</f>
        <v>5.7000000000000002E-2</v>
      </c>
      <c r="F33" s="53">
        <f>+'Purchased Power Model '!F33</f>
        <v>31</v>
      </c>
      <c r="G33" s="53">
        <f>+'Purchased Power Model '!G33</f>
        <v>0</v>
      </c>
      <c r="H33" s="171">
        <v>300</v>
      </c>
      <c r="I33" s="456">
        <f t="shared" si="0"/>
        <v>270090.84913258132</v>
      </c>
      <c r="J33" s="457">
        <f t="shared" si="1"/>
        <v>-29909.150867418677</v>
      </c>
      <c r="K33" s="5">
        <f t="shared" si="2"/>
        <v>-9.9697169558062251E-2</v>
      </c>
    </row>
    <row r="34" spans="1:11" x14ac:dyDescent="0.2">
      <c r="A34" s="453">
        <v>38565</v>
      </c>
      <c r="B34" s="454">
        <v>300000</v>
      </c>
      <c r="C34" s="455">
        <f>+'Purchased Power Model '!C34</f>
        <v>0</v>
      </c>
      <c r="D34" s="455">
        <f>+'Purchased Power Model '!D34</f>
        <v>108</v>
      </c>
      <c r="E34" s="443">
        <f>+'Purchased Power Model '!E34</f>
        <v>5.7000000000000002E-2</v>
      </c>
      <c r="F34" s="53">
        <f>+'Purchased Power Model '!F34</f>
        <v>31</v>
      </c>
      <c r="G34" s="53">
        <f>+'Purchased Power Model '!G34</f>
        <v>0</v>
      </c>
      <c r="H34" s="171">
        <v>300</v>
      </c>
      <c r="I34" s="456">
        <f t="shared" si="0"/>
        <v>276263.48440733418</v>
      </c>
      <c r="J34" s="457">
        <f t="shared" si="1"/>
        <v>-23736.515592665819</v>
      </c>
      <c r="K34" s="5">
        <f t="shared" si="2"/>
        <v>-7.9121718642219396E-2</v>
      </c>
    </row>
    <row r="35" spans="1:11" x14ac:dyDescent="0.2">
      <c r="A35" s="453">
        <v>38596</v>
      </c>
      <c r="B35" s="454">
        <v>300000</v>
      </c>
      <c r="C35" s="455">
        <f>+'Purchased Power Model '!C35</f>
        <v>36.700000000000003</v>
      </c>
      <c r="D35" s="455">
        <f>+'Purchased Power Model '!D35</f>
        <v>32.799999999999997</v>
      </c>
      <c r="E35" s="443">
        <f>+'Purchased Power Model '!E35</f>
        <v>5.7000000000000002E-2</v>
      </c>
      <c r="F35" s="53">
        <f>+'Purchased Power Model '!F35</f>
        <v>30</v>
      </c>
      <c r="G35" s="53">
        <f>+'Purchased Power Model '!G35</f>
        <v>1</v>
      </c>
      <c r="H35" s="171">
        <v>300</v>
      </c>
      <c r="I35" s="456">
        <f t="shared" si="0"/>
        <v>280079.33620800718</v>
      </c>
      <c r="J35" s="457">
        <f t="shared" si="1"/>
        <v>-19920.663791992818</v>
      </c>
      <c r="K35" s="5">
        <f t="shared" si="2"/>
        <v>-6.640221263997606E-2</v>
      </c>
    </row>
    <row r="36" spans="1:11" x14ac:dyDescent="0.2">
      <c r="A36" s="453">
        <v>38626</v>
      </c>
      <c r="B36" s="454">
        <v>300000</v>
      </c>
      <c r="C36" s="455">
        <f>+'Purchased Power Model '!C36</f>
        <v>223.8</v>
      </c>
      <c r="D36" s="455">
        <f>+'Purchased Power Model '!D36</f>
        <v>0.5</v>
      </c>
      <c r="E36" s="443">
        <f>+'Purchased Power Model '!E36</f>
        <v>6.7000000000000004E-2</v>
      </c>
      <c r="F36" s="53">
        <f>+'Purchased Power Model '!F36</f>
        <v>31</v>
      </c>
      <c r="G36" s="53">
        <f>+'Purchased Power Model '!G36</f>
        <v>1</v>
      </c>
      <c r="H36" s="171">
        <v>300</v>
      </c>
      <c r="I36" s="456">
        <f t="shared" si="0"/>
        <v>265760.97871825146</v>
      </c>
      <c r="J36" s="457">
        <f t="shared" si="1"/>
        <v>-34239.021281748544</v>
      </c>
      <c r="K36" s="5">
        <f t="shared" si="2"/>
        <v>-0.11413007093916182</v>
      </c>
    </row>
    <row r="37" spans="1:11" x14ac:dyDescent="0.2">
      <c r="A37" s="453">
        <v>38657</v>
      </c>
      <c r="B37" s="454">
        <v>300000</v>
      </c>
      <c r="C37" s="455">
        <f>+'Purchased Power Model '!C37</f>
        <v>398.5</v>
      </c>
      <c r="D37" s="455">
        <f>+'Purchased Power Model '!D37</f>
        <v>0</v>
      </c>
      <c r="E37" s="443">
        <f>+'Purchased Power Model '!E37</f>
        <v>6.7000000000000004E-2</v>
      </c>
      <c r="F37" s="53">
        <f>+'Purchased Power Model '!F37</f>
        <v>30</v>
      </c>
      <c r="G37" s="53">
        <f>+'Purchased Power Model '!G37</f>
        <v>1</v>
      </c>
      <c r="H37" s="171">
        <v>300</v>
      </c>
      <c r="I37" s="456">
        <f t="shared" si="0"/>
        <v>261938.13419475558</v>
      </c>
      <c r="J37" s="457">
        <f t="shared" si="1"/>
        <v>-38061.865805244423</v>
      </c>
      <c r="K37" s="5">
        <f t="shared" si="2"/>
        <v>-0.1268728860174814</v>
      </c>
    </row>
    <row r="38" spans="1:11" x14ac:dyDescent="0.2">
      <c r="A38" s="453">
        <v>38687</v>
      </c>
      <c r="B38" s="454">
        <v>300000</v>
      </c>
      <c r="C38" s="455">
        <f>+'Purchased Power Model '!C38</f>
        <v>641.1</v>
      </c>
      <c r="D38" s="455">
        <f>+'Purchased Power Model '!D38</f>
        <v>0</v>
      </c>
      <c r="E38" s="443">
        <f>+'Purchased Power Model '!E38</f>
        <v>6.7000000000000004E-2</v>
      </c>
      <c r="F38" s="53">
        <f>+'Purchased Power Model '!F38</f>
        <v>31</v>
      </c>
      <c r="G38" s="53">
        <f>+'Purchased Power Model '!G38</f>
        <v>0</v>
      </c>
      <c r="H38" s="171">
        <v>300</v>
      </c>
      <c r="I38" s="456">
        <f t="shared" si="0"/>
        <v>262036.96239721074</v>
      </c>
      <c r="J38" s="457">
        <f t="shared" si="1"/>
        <v>-37963.037602789263</v>
      </c>
      <c r="K38" s="5">
        <f t="shared" si="2"/>
        <v>-0.1265434586759642</v>
      </c>
    </row>
    <row r="39" spans="1:11" x14ac:dyDescent="0.2">
      <c r="A39" s="453">
        <v>38718</v>
      </c>
      <c r="B39" s="454">
        <v>300000</v>
      </c>
      <c r="C39" s="455">
        <f>+'Purchased Power Model '!C39</f>
        <v>558.20000000000005</v>
      </c>
      <c r="D39" s="455">
        <f>+'Purchased Power Model '!D39</f>
        <v>0</v>
      </c>
      <c r="E39" s="443">
        <f>+'Purchased Power Model '!E39</f>
        <v>6.7000000000000004E-2</v>
      </c>
      <c r="F39" s="53">
        <f>+'Purchased Power Model '!F39</f>
        <v>31</v>
      </c>
      <c r="G39" s="53">
        <f>+'Purchased Power Model '!G39</f>
        <v>0</v>
      </c>
      <c r="H39" s="171">
        <v>300</v>
      </c>
      <c r="I39" s="456">
        <f t="shared" si="0"/>
        <v>263912.02921564726</v>
      </c>
      <c r="J39" s="457">
        <f t="shared" si="1"/>
        <v>-36087.970784352743</v>
      </c>
      <c r="K39" s="5">
        <f t="shared" si="2"/>
        <v>-0.12029323594784248</v>
      </c>
    </row>
    <row r="40" spans="1:11" x14ac:dyDescent="0.2">
      <c r="A40" s="453">
        <v>38749</v>
      </c>
      <c r="B40" s="454">
        <v>300000</v>
      </c>
      <c r="C40" s="455">
        <f>+'Purchased Power Model '!C40</f>
        <v>608.79999999999995</v>
      </c>
      <c r="D40" s="455">
        <f>+'Purchased Power Model '!D40</f>
        <v>0</v>
      </c>
      <c r="E40" s="443">
        <f>+'Purchased Power Model '!E40</f>
        <v>6.7000000000000004E-2</v>
      </c>
      <c r="F40" s="53">
        <f>+'Purchased Power Model '!F40</f>
        <v>28</v>
      </c>
      <c r="G40" s="53">
        <f>+'Purchased Power Model '!G40</f>
        <v>0</v>
      </c>
      <c r="H40" s="171">
        <v>300</v>
      </c>
      <c r="I40" s="456">
        <f t="shared" si="0"/>
        <v>262949.22055011115</v>
      </c>
      <c r="J40" s="457">
        <f t="shared" si="1"/>
        <v>-37050.779449888854</v>
      </c>
      <c r="K40" s="5">
        <f t="shared" si="2"/>
        <v>-0.12350259816629618</v>
      </c>
    </row>
    <row r="41" spans="1:11" x14ac:dyDescent="0.2">
      <c r="A41" s="453">
        <v>38777</v>
      </c>
      <c r="B41" s="454">
        <v>300000</v>
      </c>
      <c r="C41" s="455">
        <f>+'Purchased Power Model '!C41</f>
        <v>534</v>
      </c>
      <c r="D41" s="455">
        <f>+'Purchased Power Model '!D41</f>
        <v>0</v>
      </c>
      <c r="E41" s="443">
        <f>+'Purchased Power Model '!E41</f>
        <v>6.7000000000000004E-2</v>
      </c>
      <c r="F41" s="53">
        <f>+'Purchased Power Model '!F41</f>
        <v>31</v>
      </c>
      <c r="G41" s="53">
        <f>+'Purchased Power Model '!G41</f>
        <v>1</v>
      </c>
      <c r="H41" s="171">
        <v>300</v>
      </c>
      <c r="I41" s="456">
        <f t="shared" si="0"/>
        <v>258812.77752272342</v>
      </c>
      <c r="J41" s="457">
        <f t="shared" si="1"/>
        <v>-41187.222477276577</v>
      </c>
      <c r="K41" s="5">
        <f t="shared" si="2"/>
        <v>-0.13729074159092192</v>
      </c>
    </row>
    <row r="42" spans="1:11" x14ac:dyDescent="0.2">
      <c r="A42" s="453">
        <v>38808</v>
      </c>
      <c r="B42" s="454">
        <v>300000</v>
      </c>
      <c r="C42" s="455">
        <f>+'Purchased Power Model '!C42</f>
        <v>323.60000000000002</v>
      </c>
      <c r="D42" s="455">
        <f>+'Purchased Power Model '!D42</f>
        <v>0</v>
      </c>
      <c r="E42" s="443">
        <f>+'Purchased Power Model '!E42</f>
        <v>6.3E-2</v>
      </c>
      <c r="F42" s="53">
        <f>+'Purchased Power Model '!F42</f>
        <v>30</v>
      </c>
      <c r="G42" s="53">
        <f>+'Purchased Power Model '!G42</f>
        <v>1</v>
      </c>
      <c r="H42" s="171">
        <v>300</v>
      </c>
      <c r="I42" s="456">
        <f t="shared" si="0"/>
        <v>269400.55523482937</v>
      </c>
      <c r="J42" s="457">
        <f t="shared" si="1"/>
        <v>-30599.444765170629</v>
      </c>
      <c r="K42" s="5">
        <f t="shared" si="2"/>
        <v>-0.10199814921723543</v>
      </c>
    </row>
    <row r="43" spans="1:11" x14ac:dyDescent="0.2">
      <c r="A43" s="453">
        <v>38838</v>
      </c>
      <c r="B43" s="454">
        <v>300000</v>
      </c>
      <c r="C43" s="455">
        <f>+'Purchased Power Model '!C43</f>
        <v>172.6</v>
      </c>
      <c r="D43" s="455">
        <f>+'Purchased Power Model '!D43</f>
        <v>12.8</v>
      </c>
      <c r="E43" s="443">
        <f>+'Purchased Power Model '!E43</f>
        <v>6.3E-2</v>
      </c>
      <c r="F43" s="53">
        <f>+'Purchased Power Model '!F43</f>
        <v>31</v>
      </c>
      <c r="G43" s="53">
        <f>+'Purchased Power Model '!G43</f>
        <v>1</v>
      </c>
      <c r="H43" s="171">
        <v>300</v>
      </c>
      <c r="I43" s="456">
        <f t="shared" si="0"/>
        <v>271013.75749472447</v>
      </c>
      <c r="J43" s="457">
        <f t="shared" si="1"/>
        <v>-28986.242505275528</v>
      </c>
      <c r="K43" s="5">
        <f t="shared" si="2"/>
        <v>-9.6620808350918422E-2</v>
      </c>
    </row>
    <row r="44" spans="1:11" x14ac:dyDescent="0.2">
      <c r="A44" s="453">
        <v>38869</v>
      </c>
      <c r="B44" s="96">
        <v>312888</v>
      </c>
      <c r="C44" s="455">
        <f>+'Purchased Power Model '!C44</f>
        <v>22.6</v>
      </c>
      <c r="D44" s="455">
        <f>+'Purchased Power Model '!D44</f>
        <v>36.200000000000003</v>
      </c>
      <c r="E44" s="443">
        <f>+'Purchased Power Model '!E44</f>
        <v>6.3E-2</v>
      </c>
      <c r="F44" s="53">
        <f>+'Purchased Power Model '!F44</f>
        <v>30</v>
      </c>
      <c r="G44" s="53">
        <f>+'Purchased Power Model '!G44</f>
        <v>0</v>
      </c>
      <c r="H44" s="171">
        <v>302</v>
      </c>
      <c r="I44" s="456">
        <f t="shared" si="0"/>
        <v>276929.80374737328</v>
      </c>
      <c r="J44" s="457">
        <f t="shared" si="1"/>
        <v>-35958.196252626716</v>
      </c>
      <c r="K44" s="5">
        <f t="shared" si="2"/>
        <v>-0.11492353894245454</v>
      </c>
    </row>
    <row r="45" spans="1:11" x14ac:dyDescent="0.2">
      <c r="A45" s="453">
        <v>38899</v>
      </c>
      <c r="B45" s="96">
        <v>314422</v>
      </c>
      <c r="C45" s="455">
        <f>+'Purchased Power Model '!C45</f>
        <v>1.7</v>
      </c>
      <c r="D45" s="455">
        <f>+'Purchased Power Model '!D45</f>
        <v>107.6</v>
      </c>
      <c r="E45" s="443">
        <f>+'Purchased Power Model '!E45</f>
        <v>6.6000000000000003E-2</v>
      </c>
      <c r="F45" s="53">
        <f>+'Purchased Power Model '!F45</f>
        <v>31</v>
      </c>
      <c r="G45" s="53">
        <f>+'Purchased Power Model '!G45</f>
        <v>0</v>
      </c>
      <c r="H45" s="171">
        <v>302</v>
      </c>
      <c r="I45" s="456">
        <f t="shared" si="0"/>
        <v>263300.78013546084</v>
      </c>
      <c r="J45" s="457">
        <f t="shared" si="1"/>
        <v>-51121.219864539162</v>
      </c>
      <c r="K45" s="5">
        <f t="shared" si="2"/>
        <v>-0.16258792280609868</v>
      </c>
    </row>
    <row r="46" spans="1:11" x14ac:dyDescent="0.2">
      <c r="A46" s="453">
        <v>38930</v>
      </c>
      <c r="B46" s="96">
        <v>315113</v>
      </c>
      <c r="C46" s="455">
        <f>+'Purchased Power Model '!C46</f>
        <v>4.4000000000000004</v>
      </c>
      <c r="D46" s="455">
        <f>+'Purchased Power Model '!D46</f>
        <v>82.1</v>
      </c>
      <c r="E46" s="443">
        <f>+'Purchased Power Model '!E46</f>
        <v>6.6000000000000003E-2</v>
      </c>
      <c r="F46" s="53">
        <f>+'Purchased Power Model '!F46</f>
        <v>31</v>
      </c>
      <c r="G46" s="53">
        <f>+'Purchased Power Model '!G46</f>
        <v>0</v>
      </c>
      <c r="H46" s="171">
        <v>302</v>
      </c>
      <c r="I46" s="456">
        <f t="shared" si="0"/>
        <v>266709.33943638817</v>
      </c>
      <c r="J46" s="457">
        <f t="shared" si="1"/>
        <v>-48403.660563611833</v>
      </c>
      <c r="K46" s="5">
        <f t="shared" si="2"/>
        <v>-0.1536073109126308</v>
      </c>
    </row>
    <row r="47" spans="1:11" x14ac:dyDescent="0.2">
      <c r="A47" s="453">
        <v>38961</v>
      </c>
      <c r="B47" s="96">
        <v>315057</v>
      </c>
      <c r="C47" s="455">
        <f>+'Purchased Power Model '!C47</f>
        <v>70.7</v>
      </c>
      <c r="D47" s="455">
        <f>+'Purchased Power Model '!D47</f>
        <v>5.0999999999999996</v>
      </c>
      <c r="E47" s="443">
        <f>+'Purchased Power Model '!E47</f>
        <v>6.6000000000000003E-2</v>
      </c>
      <c r="F47" s="53">
        <f>+'Purchased Power Model '!F47</f>
        <v>30</v>
      </c>
      <c r="G47" s="53">
        <f>+'Purchased Power Model '!G47</f>
        <v>1</v>
      </c>
      <c r="H47" s="171">
        <v>303</v>
      </c>
      <c r="I47" s="456">
        <f t="shared" si="0"/>
        <v>270100.60106655862</v>
      </c>
      <c r="J47" s="457">
        <f t="shared" si="1"/>
        <v>-44956.398933441378</v>
      </c>
      <c r="K47" s="5">
        <f t="shared" si="2"/>
        <v>-0.14269290615171659</v>
      </c>
    </row>
    <row r="48" spans="1:11" x14ac:dyDescent="0.2">
      <c r="A48" s="453">
        <v>38991</v>
      </c>
      <c r="B48" s="96">
        <v>316073</v>
      </c>
      <c r="C48" s="455">
        <f>+'Purchased Power Model '!C48</f>
        <v>274.60000000000002</v>
      </c>
      <c r="D48" s="455">
        <f>+'Purchased Power Model '!D48</f>
        <v>0</v>
      </c>
      <c r="E48" s="443">
        <f>+'Purchased Power Model '!E48</f>
        <v>6.7000000000000004E-2</v>
      </c>
      <c r="F48" s="53">
        <f>+'Purchased Power Model '!F48</f>
        <v>31</v>
      </c>
      <c r="G48" s="53">
        <f>+'Purchased Power Model '!G48</f>
        <v>1</v>
      </c>
      <c r="H48" s="171">
        <v>302</v>
      </c>
      <c r="I48" s="456">
        <f t="shared" si="0"/>
        <v>264679.99504627514</v>
      </c>
      <c r="J48" s="457">
        <f t="shared" si="1"/>
        <v>-51393.004953724856</v>
      </c>
      <c r="K48" s="5">
        <f t="shared" si="2"/>
        <v>-0.16259852930723237</v>
      </c>
    </row>
    <row r="49" spans="1:11" x14ac:dyDescent="0.2">
      <c r="A49" s="453">
        <v>39022</v>
      </c>
      <c r="B49" s="96">
        <v>314584</v>
      </c>
      <c r="C49" s="455">
        <f>+'Purchased Power Model '!C49</f>
        <v>367.5</v>
      </c>
      <c r="D49" s="455">
        <f>+'Purchased Power Model '!D49</f>
        <v>0</v>
      </c>
      <c r="E49" s="443">
        <f>+'Purchased Power Model '!E49</f>
        <v>6.7000000000000004E-2</v>
      </c>
      <c r="F49" s="53">
        <f>+'Purchased Power Model '!F49</f>
        <v>30</v>
      </c>
      <c r="G49" s="53">
        <f>+'Purchased Power Model '!G49</f>
        <v>1</v>
      </c>
      <c r="H49" s="171">
        <v>301</v>
      </c>
      <c r="I49" s="456">
        <f t="shared" si="0"/>
        <v>262639.30514012987</v>
      </c>
      <c r="J49" s="457">
        <f t="shared" si="1"/>
        <v>-51944.694859870127</v>
      </c>
      <c r="K49" s="5">
        <f t="shared" si="2"/>
        <v>-0.16512185889895903</v>
      </c>
    </row>
    <row r="50" spans="1:11" x14ac:dyDescent="0.2">
      <c r="A50" s="453">
        <v>39052</v>
      </c>
      <c r="B50" s="96">
        <v>317051</v>
      </c>
      <c r="C50" s="455">
        <f>+'Purchased Power Model '!C50</f>
        <v>471.5</v>
      </c>
      <c r="D50" s="455">
        <f>+'Purchased Power Model '!D50</f>
        <v>0</v>
      </c>
      <c r="E50" s="443">
        <f>+'Purchased Power Model '!E50</f>
        <v>6.7000000000000004E-2</v>
      </c>
      <c r="F50" s="53">
        <f>+'Purchased Power Model '!F50</f>
        <v>31</v>
      </c>
      <c r="G50" s="53">
        <f>+'Purchased Power Model '!G50</f>
        <v>0</v>
      </c>
      <c r="H50" s="171">
        <v>301</v>
      </c>
      <c r="I50" s="456">
        <f t="shared" si="0"/>
        <v>265873.04602093616</v>
      </c>
      <c r="J50" s="457">
        <f t="shared" si="1"/>
        <v>-51177.953979063837</v>
      </c>
      <c r="K50" s="5">
        <f t="shared" si="2"/>
        <v>-0.16141868020937905</v>
      </c>
    </row>
    <row r="51" spans="1:11" x14ac:dyDescent="0.2">
      <c r="A51" s="453">
        <v>39083</v>
      </c>
      <c r="B51" s="96">
        <v>320674</v>
      </c>
      <c r="C51" s="455">
        <f>+'Purchased Power Model '!C51</f>
        <v>573.1</v>
      </c>
      <c r="D51" s="455">
        <f>+'Purchased Power Model '!D51</f>
        <v>0</v>
      </c>
      <c r="E51" s="443">
        <f>+'Purchased Power Model '!E51</f>
        <v>6.2E-2</v>
      </c>
      <c r="F51" s="53">
        <f>+'Purchased Power Model '!F51</f>
        <v>31</v>
      </c>
      <c r="G51" s="53">
        <f>+'Purchased Power Model '!G51</f>
        <v>0</v>
      </c>
      <c r="H51" s="171">
        <v>301</v>
      </c>
      <c r="I51" s="456">
        <f t="shared" si="0"/>
        <v>270785.39174648951</v>
      </c>
      <c r="J51" s="457">
        <f t="shared" si="1"/>
        <v>-49888.608253510494</v>
      </c>
      <c r="K51" s="5">
        <f t="shared" si="2"/>
        <v>-0.15557422258589876</v>
      </c>
    </row>
    <row r="52" spans="1:11" x14ac:dyDescent="0.2">
      <c r="A52" s="453">
        <v>39114</v>
      </c>
      <c r="B52" s="96">
        <v>316965</v>
      </c>
      <c r="C52" s="455">
        <f>+'Purchased Power Model '!C52</f>
        <v>693.5</v>
      </c>
      <c r="D52" s="455">
        <f>+'Purchased Power Model '!D52</f>
        <v>0</v>
      </c>
      <c r="E52" s="443">
        <f>+'Purchased Power Model '!E52</f>
        <v>6.2E-2</v>
      </c>
      <c r="F52" s="53">
        <f>+'Purchased Power Model '!F52</f>
        <v>28</v>
      </c>
      <c r="G52" s="53">
        <f>+'Purchased Power Model '!G52</f>
        <v>0</v>
      </c>
      <c r="H52" s="171">
        <v>301</v>
      </c>
      <c r="I52" s="456">
        <f t="shared" si="0"/>
        <v>268243.81753298151</v>
      </c>
      <c r="J52" s="457">
        <f t="shared" si="1"/>
        <v>-48721.182467018487</v>
      </c>
      <c r="K52" s="5">
        <f t="shared" si="2"/>
        <v>-0.1537115532220229</v>
      </c>
    </row>
    <row r="53" spans="1:11" x14ac:dyDescent="0.2">
      <c r="A53" s="453">
        <v>39142</v>
      </c>
      <c r="B53" s="96">
        <v>316965</v>
      </c>
      <c r="C53" s="455">
        <f>+'Purchased Power Model '!C53</f>
        <v>477.9</v>
      </c>
      <c r="D53" s="455">
        <f>+'Purchased Power Model '!D53</f>
        <v>0</v>
      </c>
      <c r="E53" s="443">
        <f>+'Purchased Power Model '!E53</f>
        <v>6.2E-2</v>
      </c>
      <c r="F53" s="53">
        <f>+'Purchased Power Model '!F53</f>
        <v>31</v>
      </c>
      <c r="G53" s="53">
        <f>+'Purchased Power Model '!G53</f>
        <v>1</v>
      </c>
      <c r="H53" s="171">
        <v>301</v>
      </c>
      <c r="I53" s="456">
        <f t="shared" si="0"/>
        <v>267292.04770264885</v>
      </c>
      <c r="J53" s="457">
        <f t="shared" si="1"/>
        <v>-49672.952297351148</v>
      </c>
      <c r="K53" s="5">
        <f t="shared" si="2"/>
        <v>-0.1567143132438949</v>
      </c>
    </row>
    <row r="54" spans="1:11" x14ac:dyDescent="0.2">
      <c r="A54" s="453">
        <v>39173</v>
      </c>
      <c r="B54" s="96">
        <v>319741</v>
      </c>
      <c r="C54" s="455">
        <f>+'Purchased Power Model '!C54</f>
        <v>280.39999999999998</v>
      </c>
      <c r="D54" s="455">
        <f>+'Purchased Power Model '!D54</f>
        <v>0</v>
      </c>
      <c r="E54" s="443">
        <f>+'Purchased Power Model '!E54</f>
        <v>5.9000000000000004E-2</v>
      </c>
      <c r="F54" s="53">
        <f>+'Purchased Power Model '!F54</f>
        <v>30</v>
      </c>
      <c r="G54" s="53">
        <f>+'Purchased Power Model '!G54</f>
        <v>1</v>
      </c>
      <c r="H54" s="171">
        <v>301</v>
      </c>
      <c r="I54" s="456">
        <f t="shared" si="0"/>
        <v>276145.97243721393</v>
      </c>
      <c r="J54" s="457">
        <f t="shared" si="1"/>
        <v>-43595.027562786068</v>
      </c>
      <c r="K54" s="5">
        <f t="shared" si="2"/>
        <v>-0.13634481521852396</v>
      </c>
    </row>
    <row r="55" spans="1:11" x14ac:dyDescent="0.2">
      <c r="A55" s="453">
        <v>39203</v>
      </c>
      <c r="B55" s="96">
        <v>318949</v>
      </c>
      <c r="C55" s="455">
        <f>+'Purchased Power Model '!C55</f>
        <v>72.8</v>
      </c>
      <c r="D55" s="455">
        <f>+'Purchased Power Model '!D55</f>
        <v>4.5</v>
      </c>
      <c r="E55" s="443">
        <f>+'Purchased Power Model '!E55</f>
        <v>5.9000000000000004E-2</v>
      </c>
      <c r="F55" s="53">
        <f>+'Purchased Power Model '!F55</f>
        <v>31</v>
      </c>
      <c r="G55" s="53">
        <f>+'Purchased Power Model '!G55</f>
        <v>1</v>
      </c>
      <c r="H55" s="171">
        <v>301</v>
      </c>
      <c r="I55" s="456">
        <f t="shared" si="0"/>
        <v>280168.70736563933</v>
      </c>
      <c r="J55" s="457">
        <f t="shared" si="1"/>
        <v>-38780.292634360667</v>
      </c>
      <c r="K55" s="5">
        <f t="shared" si="2"/>
        <v>-0.12158775426278391</v>
      </c>
    </row>
    <row r="56" spans="1:11" x14ac:dyDescent="0.2">
      <c r="A56" s="453">
        <v>39234</v>
      </c>
      <c r="B56" s="96">
        <v>318657</v>
      </c>
      <c r="C56" s="455">
        <f>+'Purchased Power Model '!C56</f>
        <v>6.2</v>
      </c>
      <c r="D56" s="455">
        <f>+'Purchased Power Model '!D56</f>
        <v>32.799999999999997</v>
      </c>
      <c r="E56" s="443">
        <f>+'Purchased Power Model '!E56</f>
        <v>5.9000000000000004E-2</v>
      </c>
      <c r="F56" s="53">
        <f>+'Purchased Power Model '!F56</f>
        <v>30</v>
      </c>
      <c r="G56" s="53">
        <f>+'Purchased Power Model '!G56</f>
        <v>0</v>
      </c>
      <c r="H56" s="171">
        <v>301</v>
      </c>
      <c r="I56" s="456">
        <f t="shared" si="0"/>
        <v>283531.66456206323</v>
      </c>
      <c r="J56" s="457">
        <f t="shared" si="1"/>
        <v>-35125.335437936767</v>
      </c>
      <c r="K56" s="5">
        <f t="shared" si="2"/>
        <v>-0.11022929180258638</v>
      </c>
    </row>
    <row r="57" spans="1:11" x14ac:dyDescent="0.2">
      <c r="A57" s="453">
        <v>39264</v>
      </c>
      <c r="B57" s="96">
        <v>318657</v>
      </c>
      <c r="C57" s="455">
        <f>+'Purchased Power Model '!C57</f>
        <v>8.6999999999999993</v>
      </c>
      <c r="D57" s="455">
        <f>+'Purchased Power Model '!D57</f>
        <v>41.6</v>
      </c>
      <c r="E57" s="443">
        <f>+'Purchased Power Model '!E57</f>
        <v>6.4000000000000001E-2</v>
      </c>
      <c r="F57" s="53">
        <f>+'Purchased Power Model '!F57</f>
        <v>31</v>
      </c>
      <c r="G57" s="53">
        <f>+'Purchased Power Model '!G57</f>
        <v>0</v>
      </c>
      <c r="H57" s="171">
        <v>301</v>
      </c>
      <c r="I57" s="456">
        <f t="shared" si="0"/>
        <v>275006.81830237294</v>
      </c>
      <c r="J57" s="457">
        <f t="shared" si="1"/>
        <v>-43650.181697627064</v>
      </c>
      <c r="K57" s="5">
        <f t="shared" si="2"/>
        <v>-0.13698171293154415</v>
      </c>
    </row>
    <row r="58" spans="1:11" x14ac:dyDescent="0.2">
      <c r="A58" s="453">
        <v>39295</v>
      </c>
      <c r="B58" s="96">
        <v>318433</v>
      </c>
      <c r="C58" s="455">
        <f>+'Purchased Power Model '!C58</f>
        <v>4</v>
      </c>
      <c r="D58" s="455">
        <f>+'Purchased Power Model '!D58</f>
        <v>87.8</v>
      </c>
      <c r="E58" s="443">
        <f>+'Purchased Power Model '!E58</f>
        <v>6.4000000000000001E-2</v>
      </c>
      <c r="F58" s="53">
        <f>+'Purchased Power Model '!F58</f>
        <v>31</v>
      </c>
      <c r="G58" s="53">
        <f>+'Purchased Power Model '!G58</f>
        <v>0</v>
      </c>
      <c r="H58" s="171">
        <v>301</v>
      </c>
      <c r="I58" s="456">
        <f t="shared" si="0"/>
        <v>268826.97344884858</v>
      </c>
      <c r="J58" s="457">
        <f t="shared" si="1"/>
        <v>-49606.026551151415</v>
      </c>
      <c r="K58" s="5">
        <f t="shared" si="2"/>
        <v>-0.15578167636881673</v>
      </c>
    </row>
    <row r="59" spans="1:11" x14ac:dyDescent="0.2">
      <c r="A59" s="453">
        <v>39326</v>
      </c>
      <c r="B59" s="96">
        <v>317622</v>
      </c>
      <c r="C59" s="455">
        <f>+'Purchased Power Model '!C59</f>
        <v>20.100000000000001</v>
      </c>
      <c r="D59" s="455">
        <f>+'Purchased Power Model '!D59</f>
        <v>12.3</v>
      </c>
      <c r="E59" s="443">
        <f>+'Purchased Power Model '!E59</f>
        <v>6.4000000000000001E-2</v>
      </c>
      <c r="F59" s="53">
        <f>+'Purchased Power Model '!F59</f>
        <v>30</v>
      </c>
      <c r="G59" s="53">
        <f>+'Purchased Power Model '!G59</f>
        <v>1</v>
      </c>
      <c r="H59" s="171">
        <v>301</v>
      </c>
      <c r="I59" s="456">
        <f t="shared" si="0"/>
        <v>273149.58381697192</v>
      </c>
      <c r="J59" s="457">
        <f t="shared" si="1"/>
        <v>-44472.416183028079</v>
      </c>
      <c r="K59" s="5">
        <f t="shared" si="2"/>
        <v>-0.14001680042008449</v>
      </c>
    </row>
    <row r="60" spans="1:11" x14ac:dyDescent="0.2">
      <c r="A60" s="453">
        <v>39356</v>
      </c>
      <c r="B60" s="96">
        <v>317550</v>
      </c>
      <c r="C60" s="455">
        <f>+'Purchased Power Model '!C60</f>
        <v>101.5</v>
      </c>
      <c r="D60" s="455">
        <f>+'Purchased Power Model '!D60</f>
        <v>0</v>
      </c>
      <c r="E60" s="443">
        <f>+'Purchased Power Model '!E60</f>
        <v>6.0999999999999999E-2</v>
      </c>
      <c r="F60" s="53">
        <f>+'Purchased Power Model '!F60</f>
        <v>31</v>
      </c>
      <c r="G60" s="53">
        <f>+'Purchased Power Model '!G60</f>
        <v>1</v>
      </c>
      <c r="H60" s="171">
        <v>301</v>
      </c>
      <c r="I60" s="456">
        <f t="shared" si="0"/>
        <v>277247.69547514367</v>
      </c>
      <c r="J60" s="457">
        <f t="shared" si="1"/>
        <v>-40302.304524856328</v>
      </c>
      <c r="K60" s="5">
        <f t="shared" si="2"/>
        <v>-0.12691640536878077</v>
      </c>
    </row>
    <row r="61" spans="1:11" x14ac:dyDescent="0.2">
      <c r="A61" s="453">
        <v>39387</v>
      </c>
      <c r="B61" s="96">
        <v>317300</v>
      </c>
      <c r="C61" s="455">
        <f>+'Purchased Power Model '!C61</f>
        <v>314.10000000000002</v>
      </c>
      <c r="D61" s="455">
        <f>+'Purchased Power Model '!D61</f>
        <v>0</v>
      </c>
      <c r="E61" s="443">
        <f>+'Purchased Power Model '!E61</f>
        <v>6.0999999999999999E-2</v>
      </c>
      <c r="F61" s="53">
        <f>+'Purchased Power Model '!F61</f>
        <v>30</v>
      </c>
      <c r="G61" s="53">
        <f>+'Purchased Power Model '!G61</f>
        <v>1</v>
      </c>
      <c r="H61" s="171">
        <v>301</v>
      </c>
      <c r="I61" s="456">
        <f t="shared" si="0"/>
        <v>272499.5809831497</v>
      </c>
      <c r="J61" s="457">
        <f t="shared" si="1"/>
        <v>-44800.419016850297</v>
      </c>
      <c r="K61" s="5">
        <f t="shared" si="2"/>
        <v>-0.14119262217727796</v>
      </c>
    </row>
    <row r="62" spans="1:11" x14ac:dyDescent="0.2">
      <c r="A62" s="453">
        <v>39417</v>
      </c>
      <c r="B62" s="96">
        <v>317352</v>
      </c>
      <c r="C62" s="455">
        <f>+'Purchased Power Model '!C62</f>
        <v>337.8</v>
      </c>
      <c r="D62" s="455">
        <f>+'Purchased Power Model '!D62</f>
        <v>0</v>
      </c>
      <c r="E62" s="443">
        <f>+'Purchased Power Model '!E62</f>
        <v>6.0999999999999999E-2</v>
      </c>
      <c r="F62" s="53">
        <f>+'Purchased Power Model '!F62</f>
        <v>31</v>
      </c>
      <c r="G62" s="53">
        <f>+'Purchased Power Model '!G62</f>
        <v>0</v>
      </c>
      <c r="H62" s="171">
        <v>301</v>
      </c>
      <c r="I62" s="456">
        <f t="shared" si="0"/>
        <v>277549.58079665143</v>
      </c>
      <c r="J62" s="457">
        <f t="shared" si="1"/>
        <v>-39802.419203348574</v>
      </c>
      <c r="K62" s="5">
        <f t="shared" si="2"/>
        <v>-0.1254204139357829</v>
      </c>
    </row>
    <row r="63" spans="1:11" x14ac:dyDescent="0.2">
      <c r="A63" s="453">
        <v>39448</v>
      </c>
      <c r="B63" s="171">
        <v>315539</v>
      </c>
      <c r="C63" s="458">
        <f>+'Purchased Power Model '!C63</f>
        <v>432.8</v>
      </c>
      <c r="D63" s="458">
        <f>+'Purchased Power Model '!D63</f>
        <v>0</v>
      </c>
      <c r="E63" s="443">
        <f>+'Purchased Power Model '!E63</f>
        <v>6.6000000000000003E-2</v>
      </c>
      <c r="F63" s="53">
        <f>+'Purchased Power Model '!F63</f>
        <v>31</v>
      </c>
      <c r="G63" s="53">
        <f>+'Purchased Power Model '!G63</f>
        <v>0</v>
      </c>
      <c r="H63" s="171">
        <v>301</v>
      </c>
      <c r="I63" s="456">
        <f t="shared" si="0"/>
        <v>268190.45417236921</v>
      </c>
      <c r="J63" s="457">
        <f t="shared" si="1"/>
        <v>-47348.545827630791</v>
      </c>
      <c r="K63" s="5">
        <f t="shared" si="2"/>
        <v>-0.15005608126929093</v>
      </c>
    </row>
    <row r="64" spans="1:11" x14ac:dyDescent="0.2">
      <c r="A64" s="453">
        <v>39479</v>
      </c>
      <c r="B64" s="171">
        <v>313200</v>
      </c>
      <c r="C64" s="458">
        <f>+'Purchased Power Model '!C64</f>
        <v>317.60000000000002</v>
      </c>
      <c r="D64" s="458">
        <f>+'Purchased Power Model '!D64</f>
        <v>0</v>
      </c>
      <c r="E64" s="443">
        <f>+'Purchased Power Model '!E64</f>
        <v>6.6000000000000003E-2</v>
      </c>
      <c r="F64" s="53">
        <f>+'Purchased Power Model '!F64</f>
        <v>29</v>
      </c>
      <c r="G64" s="53">
        <f>+'Purchased Power Model '!G64</f>
        <v>0</v>
      </c>
      <c r="H64" s="171">
        <v>301</v>
      </c>
      <c r="I64" s="456">
        <f t="shared" si="0"/>
        <v>270917.21805548761</v>
      </c>
      <c r="J64" s="457">
        <f t="shared" si="1"/>
        <v>-42282.78194451239</v>
      </c>
      <c r="K64" s="5">
        <f t="shared" si="2"/>
        <v>-0.13500249662998848</v>
      </c>
    </row>
    <row r="65" spans="1:17" x14ac:dyDescent="0.2">
      <c r="A65" s="453">
        <v>39508</v>
      </c>
      <c r="B65" s="171">
        <v>315180</v>
      </c>
      <c r="C65" s="458">
        <f>+'Purchased Power Model '!C65</f>
        <v>430</v>
      </c>
      <c r="D65" s="458">
        <f>+'Purchased Power Model '!D65</f>
        <v>0</v>
      </c>
      <c r="E65" s="443">
        <f>+'Purchased Power Model '!E65</f>
        <v>6.6000000000000003E-2</v>
      </c>
      <c r="F65" s="53">
        <f>+'Purchased Power Model '!F65</f>
        <v>31</v>
      </c>
      <c r="G65" s="53">
        <f>+'Purchased Power Model '!G65</f>
        <v>1</v>
      </c>
      <c r="H65" s="171">
        <v>301</v>
      </c>
      <c r="I65" s="456">
        <f t="shared" si="0"/>
        <v>262607.16834296117</v>
      </c>
      <c r="J65" s="457">
        <f t="shared" si="1"/>
        <v>-52572.831657038827</v>
      </c>
      <c r="K65" s="5">
        <f t="shared" si="2"/>
        <v>-0.16680256252629871</v>
      </c>
    </row>
    <row r="66" spans="1:17" x14ac:dyDescent="0.2">
      <c r="A66" s="453">
        <v>39539</v>
      </c>
      <c r="B66" s="171">
        <v>315180</v>
      </c>
      <c r="C66" s="458">
        <f>+'Purchased Power Model '!C66</f>
        <v>144.6</v>
      </c>
      <c r="D66" s="458">
        <f>+'Purchased Power Model '!D66</f>
        <v>0</v>
      </c>
      <c r="E66" s="443">
        <f>+'Purchased Power Model '!E66</f>
        <v>7.400000000000001E-2</v>
      </c>
      <c r="F66" s="53">
        <f>+'Purchased Power Model '!F66</f>
        <v>30</v>
      </c>
      <c r="G66" s="53">
        <f>+'Purchased Power Model '!G66</f>
        <v>1</v>
      </c>
      <c r="H66" s="171">
        <v>301</v>
      </c>
      <c r="I66" s="456">
        <f t="shared" si="0"/>
        <v>257586.42268738395</v>
      </c>
      <c r="J66" s="457">
        <f t="shared" si="1"/>
        <v>-57593.577312616049</v>
      </c>
      <c r="K66" s="5">
        <f t="shared" si="2"/>
        <v>-0.1827323348963007</v>
      </c>
    </row>
    <row r="67" spans="1:17" x14ac:dyDescent="0.2">
      <c r="A67" s="453">
        <v>39569</v>
      </c>
      <c r="B67" s="171">
        <v>288406</v>
      </c>
      <c r="C67" s="458">
        <f>+'Purchased Power Model '!C67</f>
        <v>151</v>
      </c>
      <c r="D67" s="458">
        <f>+'Purchased Power Model '!D67</f>
        <v>0</v>
      </c>
      <c r="E67" s="443">
        <f>+'Purchased Power Model '!E67</f>
        <v>7.400000000000001E-2</v>
      </c>
      <c r="F67" s="53">
        <f>+'Purchased Power Model '!F67</f>
        <v>31</v>
      </c>
      <c r="G67" s="53">
        <f>+'Purchased Power Model '!G67</f>
        <v>1</v>
      </c>
      <c r="H67" s="171">
        <v>301</v>
      </c>
      <c r="I67" s="456">
        <f t="shared" si="0"/>
        <v>257381.10372657212</v>
      </c>
      <c r="J67" s="457">
        <f t="shared" si="1"/>
        <v>-31024.896273427876</v>
      </c>
      <c r="K67" s="5">
        <f t="shared" si="2"/>
        <v>-0.10757368526808692</v>
      </c>
    </row>
    <row r="68" spans="1:17" x14ac:dyDescent="0.2">
      <c r="A68" s="453">
        <v>39600</v>
      </c>
      <c r="B68" s="171">
        <v>288406</v>
      </c>
      <c r="C68" s="458">
        <f>+'Purchased Power Model '!C68</f>
        <v>15.5</v>
      </c>
      <c r="D68" s="458">
        <f>+'Purchased Power Model '!D68</f>
        <v>23.6</v>
      </c>
      <c r="E68" s="443">
        <f>+'Purchased Power Model '!E68</f>
        <v>7.400000000000001E-2</v>
      </c>
      <c r="F68" s="53">
        <f>+'Purchased Power Model '!F68</f>
        <v>30</v>
      </c>
      <c r="G68" s="53">
        <f>+'Purchased Power Model '!G68</f>
        <v>0</v>
      </c>
      <c r="H68" s="171">
        <v>301</v>
      </c>
      <c r="I68" s="456">
        <f t="shared" ref="I68:I131" si="3">$N$18+C68*$N$19+D68*$N$20+E68*$N$21+F68*$N$22+G68*$N$23</f>
        <v>262941.97014743293</v>
      </c>
      <c r="J68" s="457">
        <f t="shared" ref="J68:J131" si="4">I68-B68</f>
        <v>-25464.029852567066</v>
      </c>
      <c r="K68" s="5">
        <f t="shared" ref="K68:K131" si="5">J68/B68</f>
        <v>-8.8292302700245712E-2</v>
      </c>
    </row>
    <row r="69" spans="1:17" x14ac:dyDescent="0.2">
      <c r="A69" s="453">
        <v>39630</v>
      </c>
      <c r="B69" s="171">
        <v>287542</v>
      </c>
      <c r="C69" s="458">
        <f>+'Purchased Power Model '!C69</f>
        <v>1</v>
      </c>
      <c r="D69" s="458">
        <f>+'Purchased Power Model '!D69</f>
        <v>61.4</v>
      </c>
      <c r="E69" s="443">
        <f>+'Purchased Power Model '!E69</f>
        <v>6.8000000000000005E-2</v>
      </c>
      <c r="F69" s="53">
        <f>+'Purchased Power Model '!F69</f>
        <v>31</v>
      </c>
      <c r="G69" s="53">
        <f>+'Purchased Power Model '!G69</f>
        <v>0</v>
      </c>
      <c r="H69" s="171">
        <v>301</v>
      </c>
      <c r="I69" s="456">
        <f t="shared" si="3"/>
        <v>266718.61366279633</v>
      </c>
      <c r="J69" s="457">
        <f t="shared" si="4"/>
        <v>-20823.386337203672</v>
      </c>
      <c r="K69" s="5">
        <f t="shared" si="5"/>
        <v>-7.2418590457059048E-2</v>
      </c>
    </row>
    <row r="70" spans="1:17" x14ac:dyDescent="0.2">
      <c r="A70" s="453">
        <v>39661</v>
      </c>
      <c r="B70" s="171">
        <v>288406</v>
      </c>
      <c r="C70" s="458">
        <f>+'Purchased Power Model '!C70</f>
        <v>13.8</v>
      </c>
      <c r="D70" s="458">
        <f>+'Purchased Power Model '!D70</f>
        <v>29.9</v>
      </c>
      <c r="E70" s="443">
        <f>+'Purchased Power Model '!E70</f>
        <v>6.8000000000000005E-2</v>
      </c>
      <c r="F70" s="53">
        <f>+'Purchased Power Model '!F70</f>
        <v>31</v>
      </c>
      <c r="G70" s="53">
        <f>+'Purchased Power Model '!G70</f>
        <v>0</v>
      </c>
      <c r="H70" s="171">
        <v>301</v>
      </c>
      <c r="I70" s="456">
        <f t="shared" si="3"/>
        <v>270715.11024684377</v>
      </c>
      <c r="J70" s="457">
        <f t="shared" si="4"/>
        <v>-17690.889753156225</v>
      </c>
      <c r="K70" s="5">
        <f t="shared" si="5"/>
        <v>-6.1340227849476868E-2</v>
      </c>
    </row>
    <row r="71" spans="1:17" x14ac:dyDescent="0.2">
      <c r="A71" s="453">
        <v>39692</v>
      </c>
      <c r="B71" s="171">
        <v>244903</v>
      </c>
      <c r="C71" s="458">
        <f>+'Purchased Power Model '!C71</f>
        <v>51.6</v>
      </c>
      <c r="D71" s="458">
        <f>+'Purchased Power Model '!D71</f>
        <v>15.1</v>
      </c>
      <c r="E71" s="443">
        <f>+'Purchased Power Model '!E71</f>
        <v>6.8000000000000005E-2</v>
      </c>
      <c r="F71" s="53">
        <f>+'Purchased Power Model '!F71</f>
        <v>30</v>
      </c>
      <c r="G71" s="53">
        <f>+'Purchased Power Model '!G71</f>
        <v>1</v>
      </c>
      <c r="H71" s="171">
        <v>300</v>
      </c>
      <c r="I71" s="456">
        <f t="shared" si="3"/>
        <v>266287.82322671247</v>
      </c>
      <c r="J71" s="457">
        <f t="shared" si="4"/>
        <v>21384.823226712469</v>
      </c>
      <c r="K71" s="5">
        <f t="shared" si="5"/>
        <v>8.7319564181379844E-2</v>
      </c>
    </row>
    <row r="72" spans="1:17" x14ac:dyDescent="0.2">
      <c r="A72" s="453">
        <v>39722</v>
      </c>
      <c r="B72" s="171">
        <v>243233</v>
      </c>
      <c r="C72" s="458">
        <f>+'Purchased Power Model '!C72</f>
        <v>203.1</v>
      </c>
      <c r="D72" s="458">
        <f>+'Purchased Power Model '!D72</f>
        <v>0</v>
      </c>
      <c r="E72" s="443">
        <f>+'Purchased Power Model '!E72</f>
        <v>0.08</v>
      </c>
      <c r="F72" s="53">
        <f>+'Purchased Power Model '!F72</f>
        <v>31</v>
      </c>
      <c r="G72" s="53">
        <f>+'Purchased Power Model '!G72</f>
        <v>1</v>
      </c>
      <c r="H72" s="171">
        <v>300</v>
      </c>
      <c r="I72" s="456">
        <f t="shared" si="3"/>
        <v>247550.23182642285</v>
      </c>
      <c r="J72" s="457">
        <f t="shared" si="4"/>
        <v>4317.2318264228525</v>
      </c>
      <c r="K72" s="5">
        <f t="shared" si="5"/>
        <v>1.7749367176422823E-2</v>
      </c>
    </row>
    <row r="73" spans="1:17" x14ac:dyDescent="0.2">
      <c r="A73" s="453">
        <v>39753</v>
      </c>
      <c r="B73" s="171">
        <v>236648</v>
      </c>
      <c r="C73" s="458">
        <f>+'Purchased Power Model '!C73</f>
        <v>268.8</v>
      </c>
      <c r="D73" s="458">
        <f>+'Purchased Power Model '!D73</f>
        <v>0</v>
      </c>
      <c r="E73" s="443">
        <f>+'Purchased Power Model '!E73</f>
        <v>0.08</v>
      </c>
      <c r="F73" s="53">
        <f>+'Purchased Power Model '!F73</f>
        <v>30</v>
      </c>
      <c r="G73" s="53">
        <f>+'Purchased Power Model '!G73</f>
        <v>1</v>
      </c>
      <c r="H73" s="171">
        <v>301</v>
      </c>
      <c r="I73" s="456">
        <f t="shared" si="3"/>
        <v>246124.76287879964</v>
      </c>
      <c r="J73" s="457">
        <f t="shared" si="4"/>
        <v>9476.7628787996364</v>
      </c>
      <c r="K73" s="5">
        <f t="shared" si="5"/>
        <v>4.0045818594704526E-2</v>
      </c>
    </row>
    <row r="74" spans="1:17" x14ac:dyDescent="0.2">
      <c r="A74" s="453">
        <v>39783</v>
      </c>
      <c r="B74" s="171">
        <v>236230</v>
      </c>
      <c r="C74" s="458">
        <f>+'Purchased Power Model '!C74</f>
        <v>378.9</v>
      </c>
      <c r="D74" s="458">
        <f>+'Purchased Power Model '!D74</f>
        <v>0</v>
      </c>
      <c r="E74" s="443">
        <f>+'Purchased Power Model '!E74</f>
        <v>0.08</v>
      </c>
      <c r="F74" s="53">
        <f>+'Purchased Power Model '!F74</f>
        <v>31</v>
      </c>
      <c r="G74" s="53">
        <f>+'Purchased Power Model '!G74</f>
        <v>0</v>
      </c>
      <c r="H74" s="171">
        <v>301</v>
      </c>
      <c r="I74" s="456">
        <f t="shared" si="3"/>
        <v>249220.53141229021</v>
      </c>
      <c r="J74" s="457">
        <f t="shared" si="4"/>
        <v>12990.531412290205</v>
      </c>
      <c r="K74" s="5">
        <f t="shared" si="5"/>
        <v>5.499103167375103E-2</v>
      </c>
    </row>
    <row r="75" spans="1:17" s="14" customFormat="1" x14ac:dyDescent="0.2">
      <c r="A75" s="453">
        <v>39814</v>
      </c>
      <c r="B75" s="171">
        <v>236230</v>
      </c>
      <c r="C75" s="458">
        <f>+'Purchased Power Model '!C75</f>
        <v>684.3</v>
      </c>
      <c r="D75" s="458">
        <f>+'Purchased Power Model '!D75</f>
        <v>0</v>
      </c>
      <c r="E75" s="443">
        <f>+'Purchased Power Model '!E75</f>
        <v>8.3000000000000004E-2</v>
      </c>
      <c r="F75" s="53">
        <f>+'Purchased Power Model '!F75</f>
        <v>31</v>
      </c>
      <c r="G75" s="53">
        <f>+'Purchased Power Model '!G75</f>
        <v>0</v>
      </c>
      <c r="H75" s="171">
        <v>302</v>
      </c>
      <c r="I75" s="456">
        <f t="shared" si="3"/>
        <v>237986.64050768907</v>
      </c>
      <c r="J75" s="457">
        <f t="shared" si="4"/>
        <v>1756.640507689066</v>
      </c>
      <c r="K75" s="5">
        <f t="shared" si="5"/>
        <v>7.4361448913730938E-3</v>
      </c>
      <c r="L75" s="11"/>
      <c r="M75" s="11"/>
      <c r="N75" s="11"/>
      <c r="O75" s="11"/>
      <c r="P75" s="11"/>
      <c r="Q75" s="11"/>
    </row>
    <row r="76" spans="1:17" x14ac:dyDescent="0.2">
      <c r="A76" s="453">
        <v>39845</v>
      </c>
      <c r="B76" s="171">
        <v>236526</v>
      </c>
      <c r="C76" s="458">
        <f>+'Purchased Power Model '!C76</f>
        <v>595.29999999999995</v>
      </c>
      <c r="D76" s="458">
        <f>+'Purchased Power Model '!D76</f>
        <v>0</v>
      </c>
      <c r="E76" s="443">
        <f>+'Purchased Power Model '!E76</f>
        <v>8.3000000000000004E-2</v>
      </c>
      <c r="F76" s="53">
        <f>+'Purchased Power Model '!F76</f>
        <v>28</v>
      </c>
      <c r="G76" s="53">
        <f>+'Purchased Power Model '!G76</f>
        <v>0</v>
      </c>
      <c r="H76" s="171">
        <v>302</v>
      </c>
      <c r="I76" s="456">
        <f t="shared" si="3"/>
        <v>240181.36293809675</v>
      </c>
      <c r="J76" s="457">
        <f t="shared" si="4"/>
        <v>3655.3629380967468</v>
      </c>
      <c r="K76" s="5">
        <f t="shared" si="5"/>
        <v>1.5454381074794089E-2</v>
      </c>
    </row>
    <row r="77" spans="1:17" x14ac:dyDescent="0.2">
      <c r="A77" s="453">
        <v>39873</v>
      </c>
      <c r="B77" s="171">
        <v>236526</v>
      </c>
      <c r="C77" s="458">
        <f>+'Purchased Power Model '!C77</f>
        <v>442.2</v>
      </c>
      <c r="D77" s="458">
        <f>+'Purchased Power Model '!D77</f>
        <v>0</v>
      </c>
      <c r="E77" s="443">
        <f>+'Purchased Power Model '!E77</f>
        <v>8.3000000000000004E-2</v>
      </c>
      <c r="F77" s="53">
        <f>+'Purchased Power Model '!F77</f>
        <v>31</v>
      </c>
      <c r="G77" s="53">
        <f>+'Purchased Power Model '!G77</f>
        <v>1</v>
      </c>
      <c r="H77" s="171">
        <v>302</v>
      </c>
      <c r="I77" s="456">
        <f t="shared" si="3"/>
        <v>237815.94200821908</v>
      </c>
      <c r="J77" s="457">
        <f t="shared" si="4"/>
        <v>1289.9420082190773</v>
      </c>
      <c r="K77" s="5">
        <f t="shared" si="5"/>
        <v>5.453700684994788E-3</v>
      </c>
    </row>
    <row r="78" spans="1:17" x14ac:dyDescent="0.2">
      <c r="A78" s="453">
        <v>39904</v>
      </c>
      <c r="B78" s="171">
        <v>237710</v>
      </c>
      <c r="C78" s="458">
        <f>+'Purchased Power Model '!C78</f>
        <v>313.8</v>
      </c>
      <c r="D78" s="458">
        <f>+'Purchased Power Model '!D78</f>
        <v>0</v>
      </c>
      <c r="E78" s="443">
        <f>+'Purchased Power Model '!E78</f>
        <v>8.8000000000000009E-2</v>
      </c>
      <c r="F78" s="53">
        <f>+'Purchased Power Model '!F78</f>
        <v>30</v>
      </c>
      <c r="G78" s="53">
        <f>+'Purchased Power Model '!G78</f>
        <v>1</v>
      </c>
      <c r="H78" s="171">
        <v>302</v>
      </c>
      <c r="I78" s="456">
        <f t="shared" si="3"/>
        <v>233570.3309623691</v>
      </c>
      <c r="J78" s="457">
        <f t="shared" si="4"/>
        <v>-4139.6690376308979</v>
      </c>
      <c r="K78" s="5">
        <f t="shared" si="5"/>
        <v>-1.7414787083550955E-2</v>
      </c>
    </row>
    <row r="79" spans="1:17" x14ac:dyDescent="0.2">
      <c r="A79" s="453">
        <v>39934</v>
      </c>
      <c r="B79" s="171">
        <v>209493</v>
      </c>
      <c r="C79" s="458">
        <f>+'Purchased Power Model '!C79</f>
        <v>170.1</v>
      </c>
      <c r="D79" s="458">
        <f>+'Purchased Power Model '!D79</f>
        <v>0</v>
      </c>
      <c r="E79" s="443">
        <f>+'Purchased Power Model '!E79</f>
        <v>8.8000000000000009E-2</v>
      </c>
      <c r="F79" s="53">
        <f>+'Purchased Power Model '!F79</f>
        <v>31</v>
      </c>
      <c r="G79" s="53">
        <f>+'Purchased Power Model '!G79</f>
        <v>1</v>
      </c>
      <c r="H79" s="171">
        <v>302</v>
      </c>
      <c r="I79" s="456">
        <f t="shared" si="3"/>
        <v>236760.03648222453</v>
      </c>
      <c r="J79" s="457">
        <f t="shared" si="4"/>
        <v>27267.036482224532</v>
      </c>
      <c r="K79" s="5">
        <f t="shared" si="5"/>
        <v>0.13015726769975383</v>
      </c>
    </row>
    <row r="80" spans="1:17" x14ac:dyDescent="0.2">
      <c r="A80" s="453">
        <v>39965</v>
      </c>
      <c r="B80" s="171">
        <v>238292</v>
      </c>
      <c r="C80" s="458">
        <f>+'Purchased Power Model '!C80</f>
        <v>57.9</v>
      </c>
      <c r="D80" s="458">
        <f>+'Purchased Power Model '!D80</f>
        <v>26.3</v>
      </c>
      <c r="E80" s="443">
        <f>+'Purchased Power Model '!E80</f>
        <v>8.8000000000000009E-2</v>
      </c>
      <c r="F80" s="53">
        <f>+'Purchased Power Model '!F80</f>
        <v>30</v>
      </c>
      <c r="G80" s="53">
        <f>+'Purchased Power Model '!G80</f>
        <v>0</v>
      </c>
      <c r="H80" s="171">
        <v>302</v>
      </c>
      <c r="I80" s="456">
        <f t="shared" si="3"/>
        <v>241426.52128781209</v>
      </c>
      <c r="J80" s="457">
        <f t="shared" si="4"/>
        <v>3134.5212878120947</v>
      </c>
      <c r="K80" s="5">
        <f t="shared" si="5"/>
        <v>1.3154118844997292E-2</v>
      </c>
    </row>
    <row r="81" spans="1:17" x14ac:dyDescent="0.2">
      <c r="A81" s="453">
        <v>39995</v>
      </c>
      <c r="B81" s="171">
        <v>237932</v>
      </c>
      <c r="C81" s="458">
        <f>+'Purchased Power Model '!C81</f>
        <v>16.8</v>
      </c>
      <c r="D81" s="458">
        <f>+'Purchased Power Model '!D81</f>
        <v>25.6</v>
      </c>
      <c r="E81" s="443">
        <f>+'Purchased Power Model '!E81</f>
        <v>9.5000000000000001E-2</v>
      </c>
      <c r="F81" s="53">
        <f>+'Purchased Power Model '!F81</f>
        <v>31</v>
      </c>
      <c r="G81" s="53">
        <f>+'Purchased Power Model '!G81</f>
        <v>0</v>
      </c>
      <c r="H81" s="171">
        <v>303</v>
      </c>
      <c r="I81" s="456">
        <f t="shared" si="3"/>
        <v>232296.29414691849</v>
      </c>
      <c r="J81" s="457">
        <f t="shared" si="4"/>
        <v>-5635.705853081512</v>
      </c>
      <c r="K81" s="5">
        <f t="shared" si="5"/>
        <v>-2.3686203844298002E-2</v>
      </c>
    </row>
    <row r="82" spans="1:17" x14ac:dyDescent="0.2">
      <c r="A82" s="453">
        <v>40026</v>
      </c>
      <c r="B82" s="171">
        <v>237846</v>
      </c>
      <c r="C82" s="458">
        <f>+'Purchased Power Model '!C82</f>
        <v>13.1</v>
      </c>
      <c r="D82" s="458">
        <f>+'Purchased Power Model '!D82</f>
        <v>77.7</v>
      </c>
      <c r="E82" s="443">
        <f>+'Purchased Power Model '!E82</f>
        <v>9.5000000000000001E-2</v>
      </c>
      <c r="F82" s="53">
        <f>+'Purchased Power Model '!F82</f>
        <v>31</v>
      </c>
      <c r="G82" s="53">
        <f>+'Purchased Power Model '!G82</f>
        <v>0</v>
      </c>
      <c r="H82" s="171">
        <v>303</v>
      </c>
      <c r="I82" s="456">
        <f t="shared" si="3"/>
        <v>225291.05396334155</v>
      </c>
      <c r="J82" s="457">
        <f t="shared" si="4"/>
        <v>-12554.946036658454</v>
      </c>
      <c r="K82" s="5">
        <f t="shared" si="5"/>
        <v>-5.2786029769928668E-2</v>
      </c>
    </row>
    <row r="83" spans="1:17" x14ac:dyDescent="0.2">
      <c r="A83" s="453">
        <v>40057</v>
      </c>
      <c r="B83" s="171">
        <v>238562</v>
      </c>
      <c r="C83" s="458">
        <f>+'Purchased Power Model '!C83</f>
        <v>64.8</v>
      </c>
      <c r="D83" s="458">
        <f>+'Purchased Power Model '!D83</f>
        <v>9</v>
      </c>
      <c r="E83" s="443">
        <f>+'Purchased Power Model '!E83</f>
        <v>9.5000000000000001E-2</v>
      </c>
      <c r="F83" s="53">
        <f>+'Purchased Power Model '!F83</f>
        <v>30</v>
      </c>
      <c r="G83" s="53">
        <f>+'Purchased Power Model '!G83</f>
        <v>1</v>
      </c>
      <c r="H83" s="171">
        <v>303</v>
      </c>
      <c r="I83" s="456">
        <f t="shared" si="3"/>
        <v>227883.21425758349</v>
      </c>
      <c r="J83" s="457">
        <f t="shared" si="4"/>
        <v>-10678.785742416512</v>
      </c>
      <c r="K83" s="5">
        <f t="shared" si="5"/>
        <v>-4.4763146445856897E-2</v>
      </c>
    </row>
    <row r="84" spans="1:17" x14ac:dyDescent="0.2">
      <c r="A84" s="453">
        <v>40087</v>
      </c>
      <c r="B84" s="171">
        <v>238528</v>
      </c>
      <c r="C84" s="458">
        <f>+'Purchased Power Model '!C84</f>
        <v>287.89999999999998</v>
      </c>
      <c r="D84" s="458">
        <f>+'Purchased Power Model '!D84</f>
        <v>0</v>
      </c>
      <c r="E84" s="443">
        <f>+'Purchased Power Model '!E84</f>
        <v>0.1</v>
      </c>
      <c r="F84" s="53">
        <f>+'Purchased Power Model '!F84</f>
        <v>31</v>
      </c>
      <c r="G84" s="53">
        <f>+'Purchased Power Model '!G84</f>
        <v>1</v>
      </c>
      <c r="H84" s="171">
        <v>304</v>
      </c>
      <c r="I84" s="456">
        <f t="shared" si="3"/>
        <v>216790.68220266496</v>
      </c>
      <c r="J84" s="457">
        <f t="shared" si="4"/>
        <v>-21737.317797335039</v>
      </c>
      <c r="K84" s="5">
        <f t="shared" si="5"/>
        <v>-9.1131094870770049E-2</v>
      </c>
    </row>
    <row r="85" spans="1:17" x14ac:dyDescent="0.2">
      <c r="A85" s="453">
        <v>40118</v>
      </c>
      <c r="B85" s="171">
        <v>238905</v>
      </c>
      <c r="C85" s="458">
        <f>+'Purchased Power Model '!C85</f>
        <v>347.4</v>
      </c>
      <c r="D85" s="458">
        <f>+'Purchased Power Model '!D85</f>
        <v>0</v>
      </c>
      <c r="E85" s="443">
        <f>+'Purchased Power Model '!E85</f>
        <v>0.1</v>
      </c>
      <c r="F85" s="53">
        <f>+'Purchased Power Model '!F85</f>
        <v>30</v>
      </c>
      <c r="G85" s="53">
        <f>+'Purchased Power Model '!G85</f>
        <v>1</v>
      </c>
      <c r="H85" s="171">
        <v>304</v>
      </c>
      <c r="I85" s="456">
        <f t="shared" si="3"/>
        <v>215505.44744411664</v>
      </c>
      <c r="J85" s="457">
        <f t="shared" si="4"/>
        <v>-23399.552555883361</v>
      </c>
      <c r="K85" s="5">
        <f t="shared" si="5"/>
        <v>-9.7945009756528159E-2</v>
      </c>
    </row>
    <row r="86" spans="1:17" s="31" customFormat="1" x14ac:dyDescent="0.2">
      <c r="A86" s="453">
        <v>40148</v>
      </c>
      <c r="B86" s="171">
        <v>238905</v>
      </c>
      <c r="C86" s="458">
        <f>+'Purchased Power Model '!C86</f>
        <v>619.1</v>
      </c>
      <c r="D86" s="458">
        <f>+'Purchased Power Model '!D86</f>
        <v>0</v>
      </c>
      <c r="E86" s="443">
        <f>+'Purchased Power Model '!E86</f>
        <v>0.1</v>
      </c>
      <c r="F86" s="53">
        <f>+'Purchased Power Model '!F86</f>
        <v>31</v>
      </c>
      <c r="G86" s="53">
        <f>+'Purchased Power Model '!G86</f>
        <v>0</v>
      </c>
      <c r="H86" s="171">
        <v>304</v>
      </c>
      <c r="I86" s="456">
        <f t="shared" si="3"/>
        <v>214946.07969462356</v>
      </c>
      <c r="J86" s="457">
        <f t="shared" si="4"/>
        <v>-23958.920305376436</v>
      </c>
      <c r="K86" s="5">
        <f t="shared" si="5"/>
        <v>-0.10028639126588575</v>
      </c>
      <c r="L86" s="27"/>
      <c r="M86" s="27"/>
      <c r="N86" s="27"/>
      <c r="O86" s="27"/>
      <c r="P86" s="27"/>
      <c r="Q86" s="27"/>
    </row>
    <row r="87" spans="1:17" x14ac:dyDescent="0.2">
      <c r="A87" s="453">
        <v>40179</v>
      </c>
      <c r="B87" s="454">
        <v>238905</v>
      </c>
      <c r="C87" s="458">
        <f>+'Purchased Power Model '!C87</f>
        <v>699.9</v>
      </c>
      <c r="D87" s="458">
        <f>+'Purchased Power Model '!D87</f>
        <v>0</v>
      </c>
      <c r="E87" s="443">
        <f>+'Purchased Power Model '!E87</f>
        <v>0.10300000000000001</v>
      </c>
      <c r="F87" s="53">
        <f>+'Purchased Power Model '!F87</f>
        <v>31</v>
      </c>
      <c r="G87" s="53">
        <f>+'Purchased Power Model '!G87</f>
        <v>0</v>
      </c>
      <c r="H87" s="171">
        <v>308</v>
      </c>
      <c r="I87" s="456">
        <f t="shared" si="3"/>
        <v>208792.28538134749</v>
      </c>
      <c r="J87" s="457">
        <f t="shared" si="4"/>
        <v>-30112.714618652506</v>
      </c>
      <c r="K87" s="5">
        <f t="shared" si="5"/>
        <v>-0.12604472329441621</v>
      </c>
    </row>
    <row r="88" spans="1:17" x14ac:dyDescent="0.2">
      <c r="A88" s="453">
        <v>40210</v>
      </c>
      <c r="B88" s="454">
        <v>252955</v>
      </c>
      <c r="C88" s="458">
        <f>+'Purchased Power Model '!C88</f>
        <v>583.79999999999995</v>
      </c>
      <c r="D88" s="458">
        <f>+'Purchased Power Model '!D88</f>
        <v>0</v>
      </c>
      <c r="E88" s="443">
        <f>+'Purchased Power Model '!E88</f>
        <v>0.10300000000000001</v>
      </c>
      <c r="F88" s="53">
        <f>+'Purchased Power Model '!F88</f>
        <v>28</v>
      </c>
      <c r="G88" s="53">
        <f>+'Purchased Power Model '!G88</f>
        <v>0</v>
      </c>
      <c r="H88" s="171">
        <v>308</v>
      </c>
      <c r="I88" s="456">
        <f t="shared" si="3"/>
        <v>211599.96692851791</v>
      </c>
      <c r="J88" s="457">
        <f t="shared" si="4"/>
        <v>-41355.033071482088</v>
      </c>
      <c r="K88" s="5">
        <f t="shared" si="5"/>
        <v>-0.16348770758230549</v>
      </c>
    </row>
    <row r="89" spans="1:17" x14ac:dyDescent="0.2">
      <c r="A89" s="453">
        <v>40238</v>
      </c>
      <c r="B89" s="454">
        <v>240843</v>
      </c>
      <c r="C89" s="458">
        <f>+'Purchased Power Model '!C89</f>
        <v>411</v>
      </c>
      <c r="D89" s="458">
        <f>+'Purchased Power Model '!D89</f>
        <v>0</v>
      </c>
      <c r="E89" s="443">
        <f>+'Purchased Power Model '!E89</f>
        <v>0.10300000000000001</v>
      </c>
      <c r="F89" s="53">
        <f>+'Purchased Power Model '!F89</f>
        <v>31</v>
      </c>
      <c r="G89" s="53">
        <f>+'Purchased Power Model '!G89</f>
        <v>1</v>
      </c>
      <c r="H89" s="171">
        <v>306</v>
      </c>
      <c r="I89" s="456">
        <f t="shared" si="3"/>
        <v>209680.12882521679</v>
      </c>
      <c r="J89" s="457">
        <f t="shared" si="4"/>
        <v>-31162.871174783213</v>
      </c>
      <c r="K89" s="5">
        <f t="shared" si="5"/>
        <v>-0.1293908113367763</v>
      </c>
    </row>
    <row r="90" spans="1:17" x14ac:dyDescent="0.2">
      <c r="A90" s="453">
        <v>40269</v>
      </c>
      <c r="B90" s="454">
        <v>232500</v>
      </c>
      <c r="C90" s="458">
        <f>+'Purchased Power Model '!C90</f>
        <v>244</v>
      </c>
      <c r="D90" s="458">
        <f>+'Purchased Power Model '!D90</f>
        <v>0</v>
      </c>
      <c r="E90" s="443">
        <f>+'Purchased Power Model '!E90</f>
        <v>9.9000000000000005E-2</v>
      </c>
      <c r="F90" s="53">
        <f>+'Purchased Power Model '!F90</f>
        <v>30</v>
      </c>
      <c r="G90" s="53">
        <f>+'Purchased Power Model '!G90</f>
        <v>1</v>
      </c>
      <c r="H90" s="171">
        <v>306</v>
      </c>
      <c r="I90" s="456">
        <f t="shared" si="3"/>
        <v>219286.26721379865</v>
      </c>
      <c r="J90" s="457">
        <f t="shared" si="4"/>
        <v>-13213.732786201348</v>
      </c>
      <c r="K90" s="5">
        <f t="shared" si="5"/>
        <v>-5.6833259295489671E-2</v>
      </c>
    </row>
    <row r="91" spans="1:17" x14ac:dyDescent="0.2">
      <c r="A91" s="453">
        <v>40299</v>
      </c>
      <c r="B91" s="454">
        <v>246046</v>
      </c>
      <c r="C91" s="458">
        <f>+'Purchased Power Model '!C91</f>
        <v>121.7</v>
      </c>
      <c r="D91" s="458">
        <f>+'Purchased Power Model '!D91</f>
        <v>23.2</v>
      </c>
      <c r="E91" s="443">
        <f>+'Purchased Power Model '!E91</f>
        <v>9.9000000000000005E-2</v>
      </c>
      <c r="F91" s="53">
        <f>+'Purchased Power Model '!F91</f>
        <v>31</v>
      </c>
      <c r="G91" s="53">
        <f>+'Purchased Power Model '!G91</f>
        <v>1</v>
      </c>
      <c r="H91" s="171">
        <v>306</v>
      </c>
      <c r="I91" s="456">
        <f t="shared" si="3"/>
        <v>218835.25650071801</v>
      </c>
      <c r="J91" s="457">
        <f t="shared" si="4"/>
        <v>-27210.743499281991</v>
      </c>
      <c r="K91" s="5">
        <f t="shared" si="5"/>
        <v>-0.11059209862904494</v>
      </c>
    </row>
    <row r="92" spans="1:17" x14ac:dyDescent="0.2">
      <c r="A92" s="453">
        <v>40330</v>
      </c>
      <c r="B92" s="454">
        <v>232443</v>
      </c>
      <c r="C92" s="458">
        <f>+'Purchased Power Model '!C92</f>
        <v>19.399999999999999</v>
      </c>
      <c r="D92" s="458">
        <f>+'Purchased Power Model '!D92</f>
        <v>46.6</v>
      </c>
      <c r="E92" s="443">
        <f>+'Purchased Power Model '!E92</f>
        <v>9.9000000000000005E-2</v>
      </c>
      <c r="F92" s="53">
        <f>+'Purchased Power Model '!F92</f>
        <v>30</v>
      </c>
      <c r="G92" s="53">
        <f>+'Purchased Power Model '!G92</f>
        <v>0</v>
      </c>
      <c r="H92" s="171">
        <v>306</v>
      </c>
      <c r="I92" s="456">
        <f t="shared" si="3"/>
        <v>223672.40423419408</v>
      </c>
      <c r="J92" s="457">
        <f t="shared" si="4"/>
        <v>-8770.5957658059197</v>
      </c>
      <c r="K92" s="5">
        <f t="shared" si="5"/>
        <v>-3.7732243026487866E-2</v>
      </c>
    </row>
    <row r="93" spans="1:17" x14ac:dyDescent="0.2">
      <c r="A93" s="453">
        <v>40360</v>
      </c>
      <c r="B93" s="454">
        <v>232567</v>
      </c>
      <c r="C93" s="458">
        <f>+'Purchased Power Model '!C93</f>
        <v>3.5</v>
      </c>
      <c r="D93" s="458">
        <f>+'Purchased Power Model '!D93</f>
        <v>124</v>
      </c>
      <c r="E93" s="443">
        <f>+'Purchased Power Model '!E93</f>
        <v>0.10099999999999999</v>
      </c>
      <c r="F93" s="53">
        <f>+'Purchased Power Model '!F93</f>
        <v>31</v>
      </c>
      <c r="G93" s="53">
        <f>+'Purchased Power Model '!G93</f>
        <v>0</v>
      </c>
      <c r="H93" s="171">
        <v>306</v>
      </c>
      <c r="I93" s="456">
        <f t="shared" si="3"/>
        <v>210555.98062410619</v>
      </c>
      <c r="J93" s="457">
        <f t="shared" si="4"/>
        <v>-22011.019375893811</v>
      </c>
      <c r="K93" s="5">
        <f t="shared" si="5"/>
        <v>-9.4643777388424888E-2</v>
      </c>
    </row>
    <row r="94" spans="1:17" x14ac:dyDescent="0.2">
      <c r="A94" s="453">
        <v>40391</v>
      </c>
      <c r="B94" s="454">
        <v>231873</v>
      </c>
      <c r="C94" s="458">
        <f>+'Purchased Power Model '!C94</f>
        <v>3.2</v>
      </c>
      <c r="D94" s="458">
        <f>+'Purchased Power Model '!D94</f>
        <v>96.8</v>
      </c>
      <c r="E94" s="443">
        <f>+'Purchased Power Model '!E94</f>
        <v>0.10099999999999999</v>
      </c>
      <c r="F94" s="53">
        <f>+'Purchased Power Model '!F94</f>
        <v>31</v>
      </c>
      <c r="G94" s="53">
        <f>+'Purchased Power Model '!G94</f>
        <v>0</v>
      </c>
      <c r="H94" s="171">
        <v>306</v>
      </c>
      <c r="I94" s="456">
        <f t="shared" si="3"/>
        <v>214263.70377970696</v>
      </c>
      <c r="J94" s="457">
        <f t="shared" si="4"/>
        <v>-17609.296220293036</v>
      </c>
      <c r="K94" s="5">
        <f t="shared" si="5"/>
        <v>-7.5943711515756629E-2</v>
      </c>
    </row>
    <row r="95" spans="1:17" x14ac:dyDescent="0.2">
      <c r="A95" s="453">
        <v>40422</v>
      </c>
      <c r="B95" s="454">
        <v>231868</v>
      </c>
      <c r="C95" s="458">
        <f>+'Purchased Power Model '!C95</f>
        <v>85.5</v>
      </c>
      <c r="D95" s="458">
        <f>+'Purchased Power Model '!D95</f>
        <v>18.5</v>
      </c>
      <c r="E95" s="443">
        <f>+'Purchased Power Model '!E95</f>
        <v>0.10099999999999999</v>
      </c>
      <c r="F95" s="53">
        <f>+'Purchased Power Model '!F95</f>
        <v>30</v>
      </c>
      <c r="G95" s="53">
        <f>+'Purchased Power Model '!G95</f>
        <v>1</v>
      </c>
      <c r="H95" s="171">
        <v>306</v>
      </c>
      <c r="I95" s="456">
        <f t="shared" si="3"/>
        <v>217469.95377690194</v>
      </c>
      <c r="J95" s="457">
        <f t="shared" si="4"/>
        <v>-14398.046223098063</v>
      </c>
      <c r="K95" s="5">
        <f t="shared" si="5"/>
        <v>-6.2095874476417887E-2</v>
      </c>
    </row>
    <row r="96" spans="1:17" x14ac:dyDescent="0.2">
      <c r="A96" s="453">
        <v>40452</v>
      </c>
      <c r="B96" s="454">
        <v>230332</v>
      </c>
      <c r="C96" s="458">
        <f>+'Purchased Power Model '!C96</f>
        <v>247.8</v>
      </c>
      <c r="D96" s="458">
        <f>+'Purchased Power Model '!D96</f>
        <v>0</v>
      </c>
      <c r="E96" s="443">
        <f>+'Purchased Power Model '!E96</f>
        <v>9.3000000000000013E-2</v>
      </c>
      <c r="F96" s="53">
        <f>+'Purchased Power Model '!F96</f>
        <v>31</v>
      </c>
      <c r="G96" s="53">
        <f>+'Purchased Power Model '!G96</f>
        <v>1</v>
      </c>
      <c r="H96" s="171">
        <v>307</v>
      </c>
      <c r="I96" s="456">
        <f t="shared" si="3"/>
        <v>227792.20848229638</v>
      </c>
      <c r="J96" s="457">
        <f t="shared" si="4"/>
        <v>-2539.7915177036193</v>
      </c>
      <c r="K96" s="5">
        <f t="shared" si="5"/>
        <v>-1.1026655079205753E-2</v>
      </c>
    </row>
    <row r="97" spans="1:11" x14ac:dyDescent="0.2">
      <c r="A97" s="453">
        <v>40483</v>
      </c>
      <c r="B97" s="454">
        <v>230599</v>
      </c>
      <c r="C97" s="458">
        <f>+'Purchased Power Model '!C97</f>
        <v>389.2</v>
      </c>
      <c r="D97" s="458">
        <f>+'Purchased Power Model '!D97</f>
        <v>0</v>
      </c>
      <c r="E97" s="443">
        <f>+'Purchased Power Model '!E97</f>
        <v>9.3000000000000013E-2</v>
      </c>
      <c r="F97" s="53">
        <f>+'Purchased Power Model '!F97</f>
        <v>30</v>
      </c>
      <c r="G97" s="53">
        <f>+'Purchased Power Model '!G97</f>
        <v>1</v>
      </c>
      <c r="H97" s="171">
        <v>309</v>
      </c>
      <c r="I97" s="456">
        <f t="shared" si="3"/>
        <v>224654.52532290417</v>
      </c>
      <c r="J97" s="457">
        <f t="shared" si="4"/>
        <v>-5944.47467709583</v>
      </c>
      <c r="K97" s="5">
        <f t="shared" si="5"/>
        <v>-2.5778406138343316E-2</v>
      </c>
    </row>
    <row r="98" spans="1:11" x14ac:dyDescent="0.2">
      <c r="A98" s="453">
        <v>40513</v>
      </c>
      <c r="B98" s="454">
        <v>230570</v>
      </c>
      <c r="C98" s="458">
        <f>+'Purchased Power Model '!C98</f>
        <v>628.70000000000005</v>
      </c>
      <c r="D98" s="458">
        <f>+'Purchased Power Model '!D98</f>
        <v>0</v>
      </c>
      <c r="E98" s="443">
        <f>+'Purchased Power Model '!E98</f>
        <v>9.3000000000000013E-2</v>
      </c>
      <c r="F98" s="53">
        <f>+'Purchased Power Model '!F98</f>
        <v>31</v>
      </c>
      <c r="G98" s="53">
        <f>+'Purchased Power Model '!G98</f>
        <v>0</v>
      </c>
      <c r="H98" s="171">
        <v>309</v>
      </c>
      <c r="I98" s="456">
        <f t="shared" si="3"/>
        <v>224823.47061989675</v>
      </c>
      <c r="J98" s="457">
        <f t="shared" si="4"/>
        <v>-5746.5293801032531</v>
      </c>
      <c r="K98" s="5">
        <f t="shared" si="5"/>
        <v>-2.4923144295022133E-2</v>
      </c>
    </row>
    <row r="99" spans="1:11" x14ac:dyDescent="0.2">
      <c r="A99" s="453">
        <v>40544</v>
      </c>
      <c r="B99" s="27">
        <v>231111</v>
      </c>
      <c r="C99" s="458">
        <f>+'Purchased Power Model '!C99</f>
        <v>760.9</v>
      </c>
      <c r="D99" s="458">
        <f>+'Purchased Power Model '!D99</f>
        <v>0</v>
      </c>
      <c r="E99" s="443">
        <f>+'Purchased Power Model '!E99</f>
        <v>8.8000000000000009E-2</v>
      </c>
      <c r="F99" s="53">
        <f>+'Purchased Power Model '!F99</f>
        <v>31</v>
      </c>
      <c r="G99" s="53">
        <f>+'Purchased Power Model '!G99</f>
        <v>0</v>
      </c>
      <c r="H99" s="171">
        <v>309</v>
      </c>
      <c r="I99" s="456">
        <f t="shared" si="3"/>
        <v>229043.69276711287</v>
      </c>
      <c r="J99" s="457">
        <f t="shared" si="4"/>
        <v>-2067.3072328871349</v>
      </c>
      <c r="K99" s="5">
        <f t="shared" si="5"/>
        <v>-8.9450836735903306E-3</v>
      </c>
    </row>
    <row r="100" spans="1:11" x14ac:dyDescent="0.2">
      <c r="A100" s="453">
        <v>40575</v>
      </c>
      <c r="B100" s="27">
        <v>231111</v>
      </c>
      <c r="C100" s="458">
        <f>+'Purchased Power Model '!C100</f>
        <v>634.19999999999993</v>
      </c>
      <c r="D100" s="458">
        <f>+'Purchased Power Model '!D100</f>
        <v>0</v>
      </c>
      <c r="E100" s="443">
        <f>+'Purchased Power Model '!E100</f>
        <v>8.8000000000000009E-2</v>
      </c>
      <c r="F100" s="53">
        <f>+'Purchased Power Model '!F100</f>
        <v>28</v>
      </c>
      <c r="G100" s="53">
        <f>+'Purchased Power Model '!G100</f>
        <v>0</v>
      </c>
      <c r="H100" s="171">
        <v>309</v>
      </c>
      <c r="I100" s="456">
        <f t="shared" si="3"/>
        <v>232091.12954076615</v>
      </c>
      <c r="J100" s="457">
        <f t="shared" si="4"/>
        <v>980.12954076615279</v>
      </c>
      <c r="K100" s="5">
        <f t="shared" si="5"/>
        <v>4.2409471672319914E-3</v>
      </c>
    </row>
    <row r="101" spans="1:11" x14ac:dyDescent="0.2">
      <c r="A101" s="453">
        <v>40603</v>
      </c>
      <c r="B101" s="27">
        <v>231111</v>
      </c>
      <c r="C101" s="458">
        <f>+'Purchased Power Model '!C101</f>
        <v>559.80000000000007</v>
      </c>
      <c r="D101" s="458">
        <f>+'Purchased Power Model '!D101</f>
        <v>0</v>
      </c>
      <c r="E101" s="443">
        <f>+'Purchased Power Model '!E101</f>
        <v>8.8000000000000009E-2</v>
      </c>
      <c r="F101" s="53">
        <f>+'Purchased Power Model '!F101</f>
        <v>31</v>
      </c>
      <c r="G101" s="53">
        <f>+'Purchased Power Model '!G101</f>
        <v>1</v>
      </c>
      <c r="H101" s="171">
        <v>310</v>
      </c>
      <c r="I101" s="456">
        <f t="shared" si="3"/>
        <v>227945.6391463413</v>
      </c>
      <c r="J101" s="457">
        <f t="shared" si="4"/>
        <v>-3165.360853658698</v>
      </c>
      <c r="K101" s="5">
        <f t="shared" si="5"/>
        <v>-1.3696279509234514E-2</v>
      </c>
    </row>
    <row r="102" spans="1:11" x14ac:dyDescent="0.2">
      <c r="A102" s="453">
        <v>40634</v>
      </c>
      <c r="B102" s="27">
        <v>231060</v>
      </c>
      <c r="C102" s="458">
        <f>+'Purchased Power Model '!C102</f>
        <v>350.79999999999995</v>
      </c>
      <c r="D102" s="458">
        <f>+'Purchased Power Model '!D102</f>
        <v>0</v>
      </c>
      <c r="E102" s="443">
        <f>+'Purchased Power Model '!E102</f>
        <v>9.0999999999999998E-2</v>
      </c>
      <c r="F102" s="53">
        <f>+'Purchased Power Model '!F102</f>
        <v>30</v>
      </c>
      <c r="G102" s="53">
        <f>+'Purchased Power Model '!G102</f>
        <v>1</v>
      </c>
      <c r="H102" s="171">
        <v>310</v>
      </c>
      <c r="I102" s="456">
        <f t="shared" si="3"/>
        <v>228407.22333965421</v>
      </c>
      <c r="J102" s="457">
        <f t="shared" si="4"/>
        <v>-2652.7766603457858</v>
      </c>
      <c r="K102" s="5">
        <f t="shared" si="5"/>
        <v>-1.148089959467578E-2</v>
      </c>
    </row>
    <row r="103" spans="1:11" x14ac:dyDescent="0.2">
      <c r="A103" s="453">
        <v>40664</v>
      </c>
      <c r="B103" s="27">
        <v>231231</v>
      </c>
      <c r="C103" s="458">
        <f>+'Purchased Power Model '!C103</f>
        <v>157.69999999999996</v>
      </c>
      <c r="D103" s="458">
        <f>+'Purchased Power Model '!D103</f>
        <v>2.8</v>
      </c>
      <c r="E103" s="443">
        <f>+'Purchased Power Model '!E103</f>
        <v>9.0999999999999998E-2</v>
      </c>
      <c r="F103" s="53">
        <f>+'Purchased Power Model '!F103</f>
        <v>31</v>
      </c>
      <c r="G103" s="53">
        <f>+'Purchased Power Model '!G103</f>
        <v>1</v>
      </c>
      <c r="H103" s="171">
        <v>310</v>
      </c>
      <c r="I103" s="456">
        <f t="shared" si="3"/>
        <v>232333.29981488036</v>
      </c>
      <c r="J103" s="457">
        <f t="shared" si="4"/>
        <v>1102.2998148803599</v>
      </c>
      <c r="K103" s="5">
        <f t="shared" si="5"/>
        <v>4.7670935769008474E-3</v>
      </c>
    </row>
    <row r="104" spans="1:11" x14ac:dyDescent="0.2">
      <c r="A104" s="453">
        <v>40695</v>
      </c>
      <c r="B104" s="27">
        <v>231231</v>
      </c>
      <c r="C104" s="458">
        <f>+'Purchased Power Model '!C104</f>
        <v>26.699999999999996</v>
      </c>
      <c r="D104" s="458">
        <f>+'Purchased Power Model '!D104</f>
        <v>36.900000000000006</v>
      </c>
      <c r="E104" s="443">
        <f>+'Purchased Power Model '!E104</f>
        <v>9.0999999999999998E-2</v>
      </c>
      <c r="F104" s="53">
        <f>+'Purchased Power Model '!F104</f>
        <v>30</v>
      </c>
      <c r="G104" s="53">
        <f>+'Purchased Power Model '!G104</f>
        <v>0</v>
      </c>
      <c r="H104" s="171">
        <v>297</v>
      </c>
      <c r="I104" s="456">
        <f t="shared" si="3"/>
        <v>236363.71258016248</v>
      </c>
      <c r="J104" s="457">
        <f t="shared" si="4"/>
        <v>5132.7125801624788</v>
      </c>
      <c r="K104" s="5">
        <f t="shared" si="5"/>
        <v>2.2197337641416934E-2</v>
      </c>
    </row>
    <row r="105" spans="1:11" x14ac:dyDescent="0.2">
      <c r="A105" s="453">
        <v>40725</v>
      </c>
      <c r="B105" s="27">
        <v>231231</v>
      </c>
      <c r="C105" s="458">
        <f>+'Purchased Power Model '!C105</f>
        <v>0.2</v>
      </c>
      <c r="D105" s="458">
        <f>+'Purchased Power Model '!D105</f>
        <v>141.19999999999999</v>
      </c>
      <c r="E105" s="443">
        <f>+'Purchased Power Model '!E105</f>
        <v>7.2999999999999995E-2</v>
      </c>
      <c r="F105" s="53">
        <f>+'Purchased Power Model '!F105</f>
        <v>31</v>
      </c>
      <c r="G105" s="53">
        <f>+'Purchased Power Model '!G105</f>
        <v>0</v>
      </c>
      <c r="H105" s="171">
        <v>296</v>
      </c>
      <c r="I105" s="456">
        <f t="shared" si="3"/>
        <v>248668.43354317005</v>
      </c>
      <c r="J105" s="457">
        <f t="shared" si="4"/>
        <v>17437.433543170046</v>
      </c>
      <c r="K105" s="5">
        <f t="shared" si="5"/>
        <v>7.5411313981127298E-2</v>
      </c>
    </row>
    <row r="106" spans="1:11" x14ac:dyDescent="0.2">
      <c r="A106" s="453">
        <v>40756</v>
      </c>
      <c r="B106" s="27">
        <v>229875</v>
      </c>
      <c r="C106" s="458">
        <f>+'Purchased Power Model '!C106</f>
        <v>3.7</v>
      </c>
      <c r="D106" s="458">
        <f>+'Purchased Power Model '!D106</f>
        <v>80.499999999999957</v>
      </c>
      <c r="E106" s="443">
        <f>+'Purchased Power Model '!E106</f>
        <v>7.2999999999999995E-2</v>
      </c>
      <c r="F106" s="53">
        <f>+'Purchased Power Model '!F106</f>
        <v>31</v>
      </c>
      <c r="G106" s="53">
        <f>+'Purchased Power Model '!G106</f>
        <v>0</v>
      </c>
      <c r="H106" s="171">
        <v>296</v>
      </c>
      <c r="I106" s="456">
        <f t="shared" si="3"/>
        <v>256848.34680808819</v>
      </c>
      <c r="J106" s="457">
        <f t="shared" si="4"/>
        <v>26973.346808088187</v>
      </c>
      <c r="K106" s="5">
        <f t="shared" si="5"/>
        <v>0.11733919220484257</v>
      </c>
    </row>
    <row r="107" spans="1:11" x14ac:dyDescent="0.2">
      <c r="A107" s="453">
        <v>40787</v>
      </c>
      <c r="B107" s="27">
        <v>229977</v>
      </c>
      <c r="C107" s="458">
        <f>+'Purchased Power Model '!C107</f>
        <v>48.900000000000006</v>
      </c>
      <c r="D107" s="458">
        <f>+'Purchased Power Model '!D107</f>
        <v>34.6</v>
      </c>
      <c r="E107" s="443">
        <f>+'Purchased Power Model '!E107</f>
        <v>7.2999999999999995E-2</v>
      </c>
      <c r="F107" s="53">
        <f>+'Purchased Power Model '!F107</f>
        <v>30</v>
      </c>
      <c r="G107" s="53">
        <f>+'Purchased Power Model '!G107</f>
        <v>1</v>
      </c>
      <c r="H107" s="171">
        <v>295</v>
      </c>
      <c r="I107" s="456">
        <f t="shared" si="3"/>
        <v>256485.27027361788</v>
      </c>
      <c r="J107" s="457">
        <f t="shared" si="4"/>
        <v>26508.270273617876</v>
      </c>
      <c r="K107" s="5">
        <f t="shared" si="5"/>
        <v>0.11526487550328023</v>
      </c>
    </row>
    <row r="108" spans="1:11" x14ac:dyDescent="0.2">
      <c r="A108" s="453">
        <v>40817</v>
      </c>
      <c r="B108" s="27">
        <v>229977</v>
      </c>
      <c r="C108" s="458">
        <f>+'Purchased Power Model '!C108</f>
        <v>225.29999999999998</v>
      </c>
      <c r="D108" s="458">
        <f>+'Purchased Power Model '!D108</f>
        <v>0</v>
      </c>
      <c r="E108" s="443">
        <f>+'Purchased Power Model '!E108</f>
        <v>7.400000000000001E-2</v>
      </c>
      <c r="F108" s="53">
        <f>+'Purchased Power Model '!F108</f>
        <v>31</v>
      </c>
      <c r="G108" s="53">
        <f>+'Purchased Power Model '!G108</f>
        <v>1</v>
      </c>
      <c r="H108" s="171">
        <v>295</v>
      </c>
      <c r="I108" s="456">
        <f t="shared" si="3"/>
        <v>255700.55529943295</v>
      </c>
      <c r="J108" s="457">
        <f t="shared" si="4"/>
        <v>25723.555299432948</v>
      </c>
      <c r="K108" s="5">
        <f t="shared" si="5"/>
        <v>0.11185273005314857</v>
      </c>
    </row>
    <row r="109" spans="1:11" x14ac:dyDescent="0.2">
      <c r="A109" s="453">
        <v>40848</v>
      </c>
      <c r="B109" s="27">
        <v>231136</v>
      </c>
      <c r="C109" s="458">
        <f>+'Purchased Power Model '!C109</f>
        <v>349.69999999999993</v>
      </c>
      <c r="D109" s="458">
        <f>+'Purchased Power Model '!D109</f>
        <v>0</v>
      </c>
      <c r="E109" s="443">
        <f>+'Purchased Power Model '!E109</f>
        <v>7.400000000000001E-2</v>
      </c>
      <c r="F109" s="53">
        <f>+'Purchased Power Model '!F109</f>
        <v>30</v>
      </c>
      <c r="G109" s="53">
        <f>+'Purchased Power Model '!G109</f>
        <v>1</v>
      </c>
      <c r="H109" s="171">
        <v>295</v>
      </c>
      <c r="I109" s="456">
        <f t="shared" si="3"/>
        <v>252947.38523911702</v>
      </c>
      <c r="J109" s="457">
        <f t="shared" si="4"/>
        <v>21811.385239117022</v>
      </c>
      <c r="K109" s="5">
        <f t="shared" si="5"/>
        <v>9.4366023635941709E-2</v>
      </c>
    </row>
    <row r="110" spans="1:11" x14ac:dyDescent="0.2">
      <c r="A110" s="453">
        <v>40878</v>
      </c>
      <c r="B110" s="27">
        <v>229977</v>
      </c>
      <c r="C110" s="458">
        <f>+'Purchased Power Model '!C110</f>
        <v>531.20000000000005</v>
      </c>
      <c r="D110" s="458">
        <f>+'Purchased Power Model '!D110</f>
        <v>0</v>
      </c>
      <c r="E110" s="443">
        <f>+'Purchased Power Model '!E110</f>
        <v>7.400000000000001E-2</v>
      </c>
      <c r="F110" s="53">
        <f>+'Purchased Power Model '!F110</f>
        <v>31</v>
      </c>
      <c r="G110" s="53">
        <f>+'Purchased Power Model '!G110</f>
        <v>0</v>
      </c>
      <c r="H110" s="171">
        <v>296</v>
      </c>
      <c r="I110" s="456">
        <f t="shared" si="3"/>
        <v>254428.1987564874</v>
      </c>
      <c r="J110" s="457">
        <f t="shared" si="4"/>
        <v>24451.1987564874</v>
      </c>
      <c r="K110" s="5">
        <f t="shared" si="5"/>
        <v>0.10632019182999779</v>
      </c>
    </row>
    <row r="111" spans="1:11" x14ac:dyDescent="0.2">
      <c r="A111" s="453">
        <v>40909</v>
      </c>
      <c r="B111" s="27">
        <v>230082</v>
      </c>
      <c r="C111" s="458">
        <f>+'Purchased Power Model '!C111</f>
        <v>611</v>
      </c>
      <c r="D111" s="458">
        <f>+'Purchased Power Model '!D111</f>
        <v>0</v>
      </c>
      <c r="E111" s="443">
        <f>+'Purchased Power Model '!E111</f>
        <v>7.9000000000000001E-2</v>
      </c>
      <c r="F111" s="53">
        <f>+'Purchased Power Model '!F111</f>
        <v>31</v>
      </c>
      <c r="G111" s="53">
        <f>+'Purchased Power Model '!G111</f>
        <v>0</v>
      </c>
      <c r="H111" s="171">
        <v>297</v>
      </c>
      <c r="I111" s="456">
        <f t="shared" si="3"/>
        <v>245412.87207961455</v>
      </c>
      <c r="J111" s="457">
        <f t="shared" si="4"/>
        <v>15330.87207961455</v>
      </c>
      <c r="K111" s="5">
        <f t="shared" si="5"/>
        <v>6.6632209732245679E-2</v>
      </c>
    </row>
    <row r="112" spans="1:11" x14ac:dyDescent="0.2">
      <c r="A112" s="453">
        <v>40940</v>
      </c>
      <c r="B112" s="27">
        <v>230313</v>
      </c>
      <c r="C112" s="458">
        <f>+'Purchased Power Model '!C112</f>
        <v>536.20000000000005</v>
      </c>
      <c r="D112" s="458">
        <f>+'Purchased Power Model '!D112</f>
        <v>0</v>
      </c>
      <c r="E112" s="443">
        <f>+'Purchased Power Model '!E112</f>
        <v>7.9000000000000001E-2</v>
      </c>
      <c r="F112" s="53">
        <f>+'Purchased Power Model '!F112</f>
        <v>29</v>
      </c>
      <c r="G112" s="53">
        <f>+'Purchased Power Model '!G112</f>
        <v>0</v>
      </c>
      <c r="H112" s="171">
        <v>297</v>
      </c>
      <c r="I112" s="456">
        <f t="shared" si="3"/>
        <v>247225.85189198705</v>
      </c>
      <c r="J112" s="457">
        <f t="shared" si="4"/>
        <v>16912.851891987055</v>
      </c>
      <c r="K112" s="5">
        <f t="shared" si="5"/>
        <v>7.3434204287152943E-2</v>
      </c>
    </row>
    <row r="113" spans="1:11" x14ac:dyDescent="0.2">
      <c r="A113" s="453">
        <v>40969</v>
      </c>
      <c r="B113" s="27">
        <v>230313</v>
      </c>
      <c r="C113" s="458">
        <f>+'Purchased Power Model '!C113</f>
        <v>399.39999999999992</v>
      </c>
      <c r="D113" s="458">
        <f>+'Purchased Power Model '!D113</f>
        <v>0</v>
      </c>
      <c r="E113" s="443">
        <f>+'Purchased Power Model '!E113</f>
        <v>7.9000000000000001E-2</v>
      </c>
      <c r="F113" s="53">
        <f>+'Purchased Power Model '!F113</f>
        <v>31</v>
      </c>
      <c r="G113" s="53">
        <f>+'Purchased Power Model '!G113</f>
        <v>1</v>
      </c>
      <c r="H113" s="171">
        <v>297</v>
      </c>
      <c r="I113" s="456">
        <f t="shared" si="3"/>
        <v>244552.31184356654</v>
      </c>
      <c r="J113" s="457">
        <f t="shared" si="4"/>
        <v>14239.311843566538</v>
      </c>
      <c r="K113" s="5">
        <f t="shared" si="5"/>
        <v>6.182591448839856E-2</v>
      </c>
    </row>
    <row r="114" spans="1:11" x14ac:dyDescent="0.2">
      <c r="A114" s="453">
        <v>41000</v>
      </c>
      <c r="B114" s="27">
        <v>229486</v>
      </c>
      <c r="C114" s="458">
        <f>+'Purchased Power Model '!C114</f>
        <v>336.89999999999992</v>
      </c>
      <c r="D114" s="458">
        <f>+'Purchased Power Model '!D114</f>
        <v>0</v>
      </c>
      <c r="E114" s="443">
        <f>+'Purchased Power Model '!E114</f>
        <v>8.4000000000000005E-2</v>
      </c>
      <c r="F114" s="53">
        <f>+'Purchased Power Model '!F114</f>
        <v>30</v>
      </c>
      <c r="G114" s="53">
        <f>+'Purchased Power Model '!G114</f>
        <v>1</v>
      </c>
      <c r="H114" s="171">
        <v>297</v>
      </c>
      <c r="I114" s="456">
        <f t="shared" si="3"/>
        <v>238816.1470783563</v>
      </c>
      <c r="J114" s="457">
        <f t="shared" si="4"/>
        <v>9330.1470783562982</v>
      </c>
      <c r="K114" s="5">
        <f t="shared" si="5"/>
        <v>4.0656715783778961E-2</v>
      </c>
    </row>
    <row r="115" spans="1:11" x14ac:dyDescent="0.2">
      <c r="A115" s="453">
        <v>41030</v>
      </c>
      <c r="B115" s="27">
        <v>229819</v>
      </c>
      <c r="C115" s="458">
        <f>+'Purchased Power Model '!C115</f>
        <v>109.30000000000001</v>
      </c>
      <c r="D115" s="458">
        <f>+'Purchased Power Model '!D115</f>
        <v>21.8</v>
      </c>
      <c r="E115" s="443">
        <f>+'Purchased Power Model '!E115</f>
        <v>8.4000000000000005E-2</v>
      </c>
      <c r="F115" s="53">
        <f>+'Purchased Power Model '!F115</f>
        <v>31</v>
      </c>
      <c r="G115" s="53">
        <f>+'Purchased Power Model '!G115</f>
        <v>1</v>
      </c>
      <c r="H115" s="171">
        <v>297</v>
      </c>
      <c r="I115" s="456">
        <f t="shared" si="3"/>
        <v>240937.34517464397</v>
      </c>
      <c r="J115" s="457">
        <f t="shared" si="4"/>
        <v>11118.345174643968</v>
      </c>
      <c r="K115" s="5">
        <f t="shared" si="5"/>
        <v>4.8378703130045678E-2</v>
      </c>
    </row>
    <row r="116" spans="1:11" x14ac:dyDescent="0.2">
      <c r="A116" s="453">
        <v>41061</v>
      </c>
      <c r="B116" s="27">
        <v>207283</v>
      </c>
      <c r="C116" s="458">
        <f>+'Purchased Power Model '!C116</f>
        <v>28.2</v>
      </c>
      <c r="D116" s="458">
        <f>+'Purchased Power Model '!D116</f>
        <v>64.3</v>
      </c>
      <c r="E116" s="443">
        <f>+'Purchased Power Model '!E116</f>
        <v>8.4000000000000005E-2</v>
      </c>
      <c r="F116" s="53">
        <f>+'Purchased Power Model '!F116</f>
        <v>30</v>
      </c>
      <c r="G116" s="53">
        <f>+'Purchased Power Model '!G116</f>
        <v>0</v>
      </c>
      <c r="H116" s="171">
        <v>297</v>
      </c>
      <c r="I116" s="456">
        <f t="shared" si="3"/>
        <v>242696.16228092028</v>
      </c>
      <c r="J116" s="457">
        <f t="shared" si="4"/>
        <v>35413.162280920282</v>
      </c>
      <c r="K116" s="5">
        <f t="shared" si="5"/>
        <v>0.17084450862309153</v>
      </c>
    </row>
    <row r="117" spans="1:11" x14ac:dyDescent="0.2">
      <c r="A117" s="453">
        <v>41091</v>
      </c>
      <c r="B117" s="27">
        <v>252595</v>
      </c>
      <c r="C117" s="458">
        <f>+'Purchased Power Model '!C117</f>
        <v>0</v>
      </c>
      <c r="D117" s="458">
        <f>+'Purchased Power Model '!D117</f>
        <v>155.30000000000001</v>
      </c>
      <c r="E117" s="443">
        <f>+'Purchased Power Model '!E117</f>
        <v>8.900000000000001E-2</v>
      </c>
      <c r="F117" s="53">
        <f>+'Purchased Power Model '!F117</f>
        <v>31</v>
      </c>
      <c r="G117" s="53">
        <f>+'Purchased Power Model '!G117</f>
        <v>0</v>
      </c>
      <c r="H117" s="171">
        <v>297</v>
      </c>
      <c r="I117" s="456">
        <f t="shared" si="3"/>
        <v>223681.25022027714</v>
      </c>
      <c r="J117" s="457">
        <f t="shared" si="4"/>
        <v>-28913.749779722857</v>
      </c>
      <c r="K117" s="5">
        <f t="shared" si="5"/>
        <v>-0.11446683338832066</v>
      </c>
    </row>
    <row r="118" spans="1:11" x14ac:dyDescent="0.2">
      <c r="A118" s="453">
        <v>41122</v>
      </c>
      <c r="B118" s="27">
        <v>230561</v>
      </c>
      <c r="C118" s="458">
        <f>+'Purchased Power Model '!C118</f>
        <v>4.4000000000000004</v>
      </c>
      <c r="D118" s="458">
        <f>+'Purchased Power Model '!D118</f>
        <v>102.79999999999998</v>
      </c>
      <c r="E118" s="443">
        <f>+'Purchased Power Model '!E118</f>
        <v>8.900000000000001E-2</v>
      </c>
      <c r="F118" s="53">
        <f>+'Purchased Power Model '!F118</f>
        <v>31</v>
      </c>
      <c r="G118" s="53">
        <f>+'Purchased Power Model '!G118</f>
        <v>0</v>
      </c>
      <c r="H118" s="171">
        <v>296</v>
      </c>
      <c r="I118" s="456">
        <f t="shared" si="3"/>
        <v>230725.08306492618</v>
      </c>
      <c r="J118" s="457">
        <f t="shared" si="4"/>
        <v>164.08306492617703</v>
      </c>
      <c r="K118" s="5">
        <f t="shared" si="5"/>
        <v>7.1166877714000647E-4</v>
      </c>
    </row>
    <row r="119" spans="1:11" x14ac:dyDescent="0.2">
      <c r="A119" s="453">
        <v>41153</v>
      </c>
      <c r="B119" s="27">
        <v>229887</v>
      </c>
      <c r="C119" s="458">
        <f>+'Purchased Power Model '!C119</f>
        <v>84</v>
      </c>
      <c r="D119" s="458">
        <f>+'Purchased Power Model '!D119</f>
        <v>24.400000000000002</v>
      </c>
      <c r="E119" s="443">
        <f>+'Purchased Power Model '!E119</f>
        <v>8.900000000000001E-2</v>
      </c>
      <c r="F119" s="53">
        <f>+'Purchased Power Model '!F119</f>
        <v>30</v>
      </c>
      <c r="G119" s="53">
        <f>+'Purchased Power Model '!G119</f>
        <v>1</v>
      </c>
      <c r="H119" s="171">
        <v>296</v>
      </c>
      <c r="I119" s="456">
        <f t="shared" si="3"/>
        <v>234006.00917796837</v>
      </c>
      <c r="J119" s="457">
        <f t="shared" si="4"/>
        <v>4119.0091779683717</v>
      </c>
      <c r="K119" s="5">
        <f t="shared" si="5"/>
        <v>1.7917538520961916E-2</v>
      </c>
    </row>
    <row r="120" spans="1:11" x14ac:dyDescent="0.2">
      <c r="A120" s="453">
        <v>41183</v>
      </c>
      <c r="B120" s="27">
        <v>229885</v>
      </c>
      <c r="C120" s="458">
        <f>+'Purchased Power Model '!C120</f>
        <v>228.99999999999994</v>
      </c>
      <c r="D120" s="458">
        <f>+'Purchased Power Model '!D120</f>
        <v>0</v>
      </c>
      <c r="E120" s="443">
        <f>+'Purchased Power Model '!E120</f>
        <v>9.1999999999999998E-2</v>
      </c>
      <c r="F120" s="53">
        <f>+'Purchased Power Model '!F120</f>
        <v>31</v>
      </c>
      <c r="G120" s="53">
        <f>+'Purchased Power Model '!G120</f>
        <v>1</v>
      </c>
      <c r="H120" s="171">
        <v>296</v>
      </c>
      <c r="I120" s="456">
        <f t="shared" si="3"/>
        <v>229659.5101236343</v>
      </c>
      <c r="J120" s="457">
        <f t="shared" si="4"/>
        <v>-225.48987636569655</v>
      </c>
      <c r="K120" s="5">
        <f t="shared" si="5"/>
        <v>-9.8088120741108187E-4</v>
      </c>
    </row>
    <row r="121" spans="1:11" x14ac:dyDescent="0.2">
      <c r="A121" s="453">
        <v>41214</v>
      </c>
      <c r="B121" s="27">
        <v>209602</v>
      </c>
      <c r="C121" s="458">
        <f>+'Purchased Power Model '!C121</f>
        <v>427.89999999999992</v>
      </c>
      <c r="D121" s="458">
        <f>+'Purchased Power Model '!D121</f>
        <v>0</v>
      </c>
      <c r="E121" s="443">
        <f>+'Purchased Power Model '!E121</f>
        <v>9.1999999999999998E-2</v>
      </c>
      <c r="F121" s="53">
        <f>+'Purchased Power Model '!F121</f>
        <v>30</v>
      </c>
      <c r="G121" s="53">
        <f>+'Purchased Power Model '!G121</f>
        <v>1</v>
      </c>
      <c r="H121" s="171">
        <v>296</v>
      </c>
      <c r="I121" s="456">
        <f t="shared" si="3"/>
        <v>225221.26795266068</v>
      </c>
      <c r="J121" s="457">
        <f t="shared" si="4"/>
        <v>15619.267952660681</v>
      </c>
      <c r="K121" s="5">
        <f t="shared" si="5"/>
        <v>7.4518697114820856E-2</v>
      </c>
    </row>
    <row r="122" spans="1:11" x14ac:dyDescent="0.2">
      <c r="A122" s="453">
        <v>41244</v>
      </c>
      <c r="B122" s="27">
        <v>235875</v>
      </c>
      <c r="C122" s="458">
        <f>+'Purchased Power Model '!C122</f>
        <v>451.09999999999997</v>
      </c>
      <c r="D122" s="458">
        <f>+'Purchased Power Model '!D122</f>
        <v>0</v>
      </c>
      <c r="E122" s="443">
        <f>+'Purchased Power Model '!E122</f>
        <v>9.1999999999999998E-2</v>
      </c>
      <c r="F122" s="53">
        <f>+'Purchased Power Model '!F122</f>
        <v>31</v>
      </c>
      <c r="G122" s="53">
        <f>+'Purchased Power Model '!G122</f>
        <v>0</v>
      </c>
      <c r="H122" s="171">
        <v>295</v>
      </c>
      <c r="I122" s="456">
        <f t="shared" si="3"/>
        <v>230282.57697495868</v>
      </c>
      <c r="J122" s="457">
        <f t="shared" si="4"/>
        <v>-5592.4230250413239</v>
      </c>
      <c r="K122" s="5">
        <f t="shared" si="5"/>
        <v>-2.3709265606958449E-2</v>
      </c>
    </row>
    <row r="123" spans="1:11" x14ac:dyDescent="0.2">
      <c r="A123" s="453">
        <v>41275</v>
      </c>
      <c r="B123" s="27">
        <v>228723</v>
      </c>
      <c r="C123" s="458">
        <f>+'Purchased Power Model '!C123</f>
        <v>615.40000000000009</v>
      </c>
      <c r="D123" s="458">
        <f>+'Purchased Power Model '!D123</f>
        <v>0</v>
      </c>
      <c r="E123" s="443">
        <f>+'Purchased Power Model '!E123</f>
        <v>8.8000000000000009E-2</v>
      </c>
      <c r="F123" s="53">
        <f>+'Purchased Power Model '!F123</f>
        <v>31</v>
      </c>
      <c r="G123" s="53">
        <f>+'Purchased Power Model '!G123</f>
        <v>0</v>
      </c>
      <c r="H123" s="171">
        <v>295</v>
      </c>
      <c r="I123" s="456">
        <f t="shared" si="3"/>
        <v>232334.67252685374</v>
      </c>
      <c r="J123" s="457">
        <f t="shared" si="4"/>
        <v>3611.6725268537411</v>
      </c>
      <c r="K123" s="5">
        <f t="shared" si="5"/>
        <v>1.5790596165902605E-2</v>
      </c>
    </row>
    <row r="124" spans="1:11" x14ac:dyDescent="0.2">
      <c r="A124" s="453">
        <v>41306</v>
      </c>
      <c r="B124" s="27">
        <v>229299</v>
      </c>
      <c r="C124" s="458">
        <f>+'Purchased Power Model '!C124</f>
        <v>611.5</v>
      </c>
      <c r="D124" s="458">
        <f>+'Purchased Power Model '!D124</f>
        <v>0</v>
      </c>
      <c r="E124" s="443">
        <f>+'Purchased Power Model '!E124</f>
        <v>8.8000000000000009E-2</v>
      </c>
      <c r="F124" s="53">
        <f>+'Purchased Power Model '!F124</f>
        <v>28</v>
      </c>
      <c r="G124" s="53">
        <f>+'Purchased Power Model '!G124</f>
        <v>0</v>
      </c>
      <c r="H124" s="171">
        <v>295</v>
      </c>
      <c r="I124" s="456">
        <f t="shared" si="3"/>
        <v>232604.56762012091</v>
      </c>
      <c r="J124" s="457">
        <f t="shared" si="4"/>
        <v>3305.5676201209135</v>
      </c>
      <c r="K124" s="5">
        <f t="shared" si="5"/>
        <v>1.4415970501925056E-2</v>
      </c>
    </row>
    <row r="125" spans="1:11" x14ac:dyDescent="0.2">
      <c r="A125" s="453">
        <v>41334</v>
      </c>
      <c r="B125" s="27">
        <v>228445</v>
      </c>
      <c r="C125" s="458">
        <f>+'Purchased Power Model '!C125</f>
        <v>545</v>
      </c>
      <c r="D125" s="458">
        <f>+'Purchased Power Model '!D125</f>
        <v>0</v>
      </c>
      <c r="E125" s="443">
        <f>+'Purchased Power Model '!E125</f>
        <v>8.8000000000000009E-2</v>
      </c>
      <c r="F125" s="53">
        <f>+'Purchased Power Model '!F125</f>
        <v>31</v>
      </c>
      <c r="G125" s="53">
        <f>+'Purchased Power Model '!G125</f>
        <v>1</v>
      </c>
      <c r="H125" s="171">
        <v>295</v>
      </c>
      <c r="I125" s="456">
        <f t="shared" si="3"/>
        <v>228280.39172671357</v>
      </c>
      <c r="J125" s="457">
        <f t="shared" si="4"/>
        <v>-164.60827328643063</v>
      </c>
      <c r="K125" s="5">
        <f t="shared" si="5"/>
        <v>-7.2055975524275262E-4</v>
      </c>
    </row>
    <row r="126" spans="1:11" x14ac:dyDescent="0.2">
      <c r="A126" s="453">
        <v>41365</v>
      </c>
      <c r="B126" s="27">
        <v>239530</v>
      </c>
      <c r="C126" s="458">
        <f>+'Purchased Power Model '!C126</f>
        <v>366.49999999999994</v>
      </c>
      <c r="D126" s="458">
        <f>+'Purchased Power Model '!D126</f>
        <v>0</v>
      </c>
      <c r="E126" s="443">
        <f>+'Purchased Power Model '!E126</f>
        <v>7.400000000000001E-2</v>
      </c>
      <c r="F126" s="53">
        <f>+'Purchased Power Model '!F126</f>
        <v>30</v>
      </c>
      <c r="G126" s="53">
        <f>+'Purchased Power Model '!G126</f>
        <v>1</v>
      </c>
      <c r="H126" s="171">
        <v>295</v>
      </c>
      <c r="I126" s="456">
        <f t="shared" si="3"/>
        <v>252567.39582355932</v>
      </c>
      <c r="J126" s="457">
        <f t="shared" si="4"/>
        <v>13037.395823559316</v>
      </c>
      <c r="K126" s="5">
        <f t="shared" si="5"/>
        <v>5.4429072865859462E-2</v>
      </c>
    </row>
    <row r="127" spans="1:11" x14ac:dyDescent="0.2">
      <c r="A127" s="453">
        <v>41395</v>
      </c>
      <c r="B127" s="27">
        <v>228536</v>
      </c>
      <c r="C127" s="458">
        <f>+'Purchased Power Model '!C127</f>
        <v>133.4</v>
      </c>
      <c r="D127" s="458">
        <f>+'Purchased Power Model '!D127</f>
        <v>3</v>
      </c>
      <c r="E127" s="443">
        <f>+'Purchased Power Model '!E127</f>
        <v>7.400000000000001E-2</v>
      </c>
      <c r="F127" s="53">
        <f>+'Purchased Power Model '!F127</f>
        <v>31</v>
      </c>
      <c r="G127" s="53">
        <f>+'Purchased Power Model '!G127</f>
        <v>1</v>
      </c>
      <c r="H127" s="171">
        <v>295</v>
      </c>
      <c r="I127" s="456">
        <f t="shared" si="3"/>
        <v>257370.99622580071</v>
      </c>
      <c r="J127" s="457">
        <f t="shared" si="4"/>
        <v>28834.996225800714</v>
      </c>
      <c r="K127" s="5">
        <f t="shared" si="5"/>
        <v>0.12617266525099202</v>
      </c>
    </row>
    <row r="128" spans="1:11" x14ac:dyDescent="0.2">
      <c r="A128" s="453">
        <v>41426</v>
      </c>
      <c r="B128" s="27">
        <v>228542</v>
      </c>
      <c r="C128" s="458">
        <f>+'Purchased Power Model '!C128</f>
        <v>42.900000000000006</v>
      </c>
      <c r="D128" s="458">
        <f>+'Purchased Power Model '!D128</f>
        <v>32.200000000000003</v>
      </c>
      <c r="E128" s="443">
        <f>+'Purchased Power Model '!E128</f>
        <v>7.400000000000001E-2</v>
      </c>
      <c r="F128" s="53">
        <f>+'Purchased Power Model '!F128</f>
        <v>30</v>
      </c>
      <c r="G128" s="53">
        <f>+'Purchased Power Model '!G128</f>
        <v>0</v>
      </c>
      <c r="H128" s="171">
        <v>295</v>
      </c>
      <c r="I128" s="456">
        <f t="shared" si="3"/>
        <v>261152.07610756971</v>
      </c>
      <c r="J128" s="457">
        <f t="shared" si="4"/>
        <v>32610.076107569708</v>
      </c>
      <c r="K128" s="5">
        <f t="shared" si="5"/>
        <v>0.14268745398031743</v>
      </c>
    </row>
    <row r="129" spans="1:11" x14ac:dyDescent="0.2">
      <c r="A129" s="453">
        <v>41456</v>
      </c>
      <c r="B129" s="27">
        <v>228399</v>
      </c>
      <c r="C129" s="458">
        <f>+'Purchased Power Model '!C129</f>
        <v>4.4000000000000004</v>
      </c>
      <c r="D129" s="458">
        <f>+'Purchased Power Model '!D129</f>
        <v>109.99999999999999</v>
      </c>
      <c r="E129" s="443">
        <f>+'Purchased Power Model '!E129</f>
        <v>6.2E-2</v>
      </c>
      <c r="F129" s="53">
        <f>+'Purchased Power Model '!F129</f>
        <v>31</v>
      </c>
      <c r="G129" s="53">
        <f>+'Purchased Power Model '!G129</f>
        <v>0</v>
      </c>
      <c r="H129" s="171">
        <v>295</v>
      </c>
      <c r="I129" s="456">
        <f t="shared" si="3"/>
        <v>268681.45865001687</v>
      </c>
      <c r="J129" s="457">
        <f t="shared" si="4"/>
        <v>40282.458650016866</v>
      </c>
      <c r="K129" s="5">
        <f t="shared" si="5"/>
        <v>0.17636880481095304</v>
      </c>
    </row>
    <row r="130" spans="1:11" x14ac:dyDescent="0.2">
      <c r="A130" s="453">
        <v>41487</v>
      </c>
      <c r="B130" s="27">
        <v>228399</v>
      </c>
      <c r="C130" s="458">
        <f>+'Purchased Power Model '!C130</f>
        <v>11</v>
      </c>
      <c r="D130" s="458">
        <f>+'Purchased Power Model '!D130</f>
        <v>57.899999999999991</v>
      </c>
      <c r="E130" s="443">
        <f>+'Purchased Power Model '!E130</f>
        <v>6.2E-2</v>
      </c>
      <c r="F130" s="53">
        <f>+'Purchased Power Model '!F130</f>
        <v>31</v>
      </c>
      <c r="G130" s="53">
        <f>+'Purchased Power Model '!G130</f>
        <v>0</v>
      </c>
      <c r="H130" s="171">
        <v>295</v>
      </c>
      <c r="I130" s="456">
        <f t="shared" si="3"/>
        <v>275621.10542257485</v>
      </c>
      <c r="J130" s="457">
        <f t="shared" si="4"/>
        <v>47222.105422574852</v>
      </c>
      <c r="K130" s="5">
        <f t="shared" si="5"/>
        <v>0.2067526802769489</v>
      </c>
    </row>
    <row r="131" spans="1:11" x14ac:dyDescent="0.2">
      <c r="A131" s="453">
        <v>41518</v>
      </c>
      <c r="B131" s="27">
        <v>228559</v>
      </c>
      <c r="C131" s="458">
        <f>+'Purchased Power Model '!C131</f>
        <v>96.600000000000009</v>
      </c>
      <c r="D131" s="458">
        <f>+'Purchased Power Model '!D131</f>
        <v>15.700000000000001</v>
      </c>
      <c r="E131" s="443">
        <f>+'Purchased Power Model '!E131</f>
        <v>6.2E-2</v>
      </c>
      <c r="F131" s="53">
        <f>+'Purchased Power Model '!F131</f>
        <v>30</v>
      </c>
      <c r="G131" s="53">
        <f>+'Purchased Power Model '!G131</f>
        <v>1</v>
      </c>
      <c r="H131" s="171">
        <v>296</v>
      </c>
      <c r="I131" s="456">
        <f t="shared" si="3"/>
        <v>273840.808448528</v>
      </c>
      <c r="J131" s="457">
        <f t="shared" si="4"/>
        <v>45281.808448527998</v>
      </c>
      <c r="K131" s="5">
        <f t="shared" si="5"/>
        <v>0.19811868466578869</v>
      </c>
    </row>
    <row r="132" spans="1:11" x14ac:dyDescent="0.2">
      <c r="A132" s="453">
        <v>41548</v>
      </c>
      <c r="B132" s="27">
        <v>228026</v>
      </c>
      <c r="C132" s="458">
        <f>+'Purchased Power Model '!C132</f>
        <v>221</v>
      </c>
      <c r="D132" s="458">
        <f>+'Purchased Power Model '!D132</f>
        <v>3</v>
      </c>
      <c r="E132" s="443">
        <f>+'Purchased Power Model '!E132</f>
        <v>7.5999999999999998E-2</v>
      </c>
      <c r="F132" s="53">
        <f>+'Purchased Power Model '!F132</f>
        <v>31</v>
      </c>
      <c r="G132" s="53">
        <f>+'Purchased Power Model '!G132</f>
        <v>1</v>
      </c>
      <c r="H132" s="171">
        <v>296</v>
      </c>
      <c r="I132" s="456">
        <f t="shared" ref="I132:I195" si="6">$N$18+C132*$N$19+D132*$N$20+E132*$N$21+F132*$N$22+G132*$N$23</f>
        <v>252505.47206348891</v>
      </c>
      <c r="J132" s="457">
        <f t="shared" ref="J132:J133" si="7">I132-B132</f>
        <v>24479.472063488909</v>
      </c>
      <c r="K132" s="5">
        <f t="shared" ref="K132:K133" si="8">J132/B132</f>
        <v>0.10735386343438427</v>
      </c>
    </row>
    <row r="133" spans="1:11" x14ac:dyDescent="0.2">
      <c r="A133" s="453">
        <v>41579</v>
      </c>
      <c r="B133" s="27">
        <v>227979</v>
      </c>
      <c r="C133" s="458">
        <f>+'Purchased Power Model '!C133</f>
        <v>458.6</v>
      </c>
      <c r="D133" s="458">
        <f>+'Purchased Power Model '!D133</f>
        <v>0</v>
      </c>
      <c r="E133" s="443">
        <f>+'Purchased Power Model '!E133</f>
        <v>7.5999999999999998E-2</v>
      </c>
      <c r="F133" s="53">
        <f>+'Purchased Power Model '!F133</f>
        <v>30</v>
      </c>
      <c r="G133" s="53">
        <f>+'Purchased Power Model '!G133</f>
        <v>1</v>
      </c>
      <c r="H133" s="171">
        <v>295</v>
      </c>
      <c r="I133" s="456">
        <f t="shared" si="6"/>
        <v>247600.08878208027</v>
      </c>
      <c r="J133" s="457">
        <f t="shared" si="7"/>
        <v>19621.088782080275</v>
      </c>
      <c r="K133" s="5">
        <f t="shared" si="8"/>
        <v>8.6065334009186256E-2</v>
      </c>
    </row>
    <row r="134" spans="1:11" x14ac:dyDescent="0.2">
      <c r="A134" s="453">
        <v>41609</v>
      </c>
      <c r="B134" s="27">
        <v>227979</v>
      </c>
      <c r="C134" s="458">
        <f>+'Purchased Power Model '!C134</f>
        <v>472.8</v>
      </c>
      <c r="D134" s="458">
        <f ca="1">+'Purchased Power Model '!D134</f>
        <v>0</v>
      </c>
      <c r="E134" s="443">
        <f>+'Purchased Power Model '!E134</f>
        <v>7.5999999999999998E-2</v>
      </c>
      <c r="F134" s="53">
        <f>+'Purchased Power Model '!F134</f>
        <v>31</v>
      </c>
      <c r="G134" s="53">
        <f>+'Purchased Power Model '!G134</f>
        <v>0</v>
      </c>
      <c r="H134" s="171">
        <v>295</v>
      </c>
      <c r="I134" s="456">
        <f t="shared" ca="1" si="6"/>
        <v>252864.96356271277</v>
      </c>
      <c r="J134" s="457">
        <f t="shared" ref="J134" ca="1" si="9">I134-B134</f>
        <v>24885.963562712772</v>
      </c>
      <c r="K134" s="5">
        <f t="shared" ref="K134" ca="1" si="10">J134/B134</f>
        <v>0.10915901711435164</v>
      </c>
    </row>
    <row r="135" spans="1:11" x14ac:dyDescent="0.2">
      <c r="A135" s="453">
        <v>41640</v>
      </c>
      <c r="B135" s="27">
        <v>227979</v>
      </c>
      <c r="C135" s="458">
        <f>+'Purchased Power Model '!C135</f>
        <v>771.3</v>
      </c>
      <c r="D135" s="458">
        <f>+'Purchased Power Model '!D135</f>
        <v>0</v>
      </c>
      <c r="E135" s="443">
        <f>+'Purchased Power Model '!E135</f>
        <v>7.6999999999999999E-2</v>
      </c>
      <c r="F135" s="53">
        <f>+'Purchased Power Model '!F135</f>
        <v>31</v>
      </c>
      <c r="G135" s="53">
        <f>+'Purchased Power Model '!G135</f>
        <v>0</v>
      </c>
      <c r="H135" s="171">
        <v>295</v>
      </c>
      <c r="I135" s="456">
        <f t="shared" si="6"/>
        <v>244671.29052069093</v>
      </c>
      <c r="J135" s="457"/>
      <c r="K135" s="5"/>
    </row>
    <row r="136" spans="1:11" x14ac:dyDescent="0.2">
      <c r="A136" s="453">
        <v>41671</v>
      </c>
      <c r="B136" s="27">
        <v>227979</v>
      </c>
      <c r="C136" s="458">
        <f>+'Purchased Power Model '!C136</f>
        <v>690.84999999999991</v>
      </c>
      <c r="D136" s="458">
        <f>+'Purchased Power Model '!D136</f>
        <v>0</v>
      </c>
      <c r="E136" s="443">
        <f>+'Purchased Power Model '!E136</f>
        <v>7.6999999999999999E-2</v>
      </c>
      <c r="F136" s="53">
        <f>+'Purchased Power Model '!F136</f>
        <v>28</v>
      </c>
      <c r="G136" s="53">
        <f>+'Purchased Power Model '!G136</f>
        <v>0</v>
      </c>
      <c r="H136" s="171">
        <v>295</v>
      </c>
      <c r="I136" s="456">
        <f t="shared" si="6"/>
        <v>246672.6254806809</v>
      </c>
      <c r="J136" s="457"/>
      <c r="K136" s="5"/>
    </row>
    <row r="137" spans="1:11" x14ac:dyDescent="0.2">
      <c r="A137" s="453">
        <v>41699</v>
      </c>
      <c r="B137" s="27">
        <v>228084</v>
      </c>
      <c r="C137" s="458">
        <f>+'Purchased Power Model '!C137</f>
        <v>677.95</v>
      </c>
      <c r="D137" s="458">
        <f>+'Purchased Power Model '!D137</f>
        <v>0</v>
      </c>
      <c r="E137" s="443">
        <f>+'Purchased Power Model '!E137</f>
        <v>7.6999999999999999E-2</v>
      </c>
      <c r="F137" s="53">
        <f>+'Purchased Power Model '!F137</f>
        <v>31</v>
      </c>
      <c r="G137" s="53">
        <f>+'Purchased Power Model '!G137</f>
        <v>1</v>
      </c>
      <c r="H137" s="171">
        <v>295</v>
      </c>
      <c r="I137" s="456">
        <f t="shared" si="6"/>
        <v>241136.10240430379</v>
      </c>
      <c r="J137" s="457"/>
      <c r="K137" s="5"/>
    </row>
    <row r="138" spans="1:11" x14ac:dyDescent="0.2">
      <c r="A138" s="453">
        <v>41730</v>
      </c>
      <c r="B138" s="27">
        <v>228063</v>
      </c>
      <c r="C138" s="458">
        <f>+'Purchased Power Model '!C138</f>
        <v>371.2999999999999</v>
      </c>
      <c r="D138" s="458">
        <f>+'Purchased Power Model '!D138</f>
        <v>0</v>
      </c>
      <c r="E138" s="443">
        <f>+'Purchased Power Model '!E138</f>
        <v>6.7000000000000004E-2</v>
      </c>
      <c r="F138" s="53">
        <f>+'Purchased Power Model '!F138</f>
        <v>30</v>
      </c>
      <c r="G138" s="53">
        <f>+'Purchased Power Model '!G138</f>
        <v>1</v>
      </c>
      <c r="H138" s="171">
        <v>295</v>
      </c>
      <c r="I138" s="456">
        <f t="shared" si="6"/>
        <v>262553.35515327757</v>
      </c>
      <c r="J138" s="457"/>
      <c r="K138" s="5"/>
    </row>
    <row r="139" spans="1:11" x14ac:dyDescent="0.2">
      <c r="A139" s="453">
        <v>41760</v>
      </c>
      <c r="B139" s="27">
        <v>228049</v>
      </c>
      <c r="C139" s="458">
        <f>+'Purchased Power Model '!C139</f>
        <v>160.49999999999994</v>
      </c>
      <c r="D139" s="458">
        <f>+'Purchased Power Model '!D139</f>
        <v>1.3</v>
      </c>
      <c r="E139" s="443">
        <f>+'Purchased Power Model '!E139</f>
        <v>6.7000000000000004E-2</v>
      </c>
      <c r="F139" s="53">
        <f>+'Purchased Power Model '!F139</f>
        <v>31</v>
      </c>
      <c r="G139" s="53">
        <f>+'Purchased Power Model '!G139</f>
        <v>1</v>
      </c>
      <c r="H139" s="171">
        <v>294</v>
      </c>
      <c r="I139" s="456">
        <f t="shared" si="6"/>
        <v>267083.87344509648</v>
      </c>
      <c r="J139" s="457"/>
      <c r="K139" s="5"/>
    </row>
    <row r="140" spans="1:11" x14ac:dyDescent="0.2">
      <c r="A140" s="453">
        <v>41791</v>
      </c>
      <c r="B140" s="27">
        <v>227711</v>
      </c>
      <c r="C140" s="458">
        <f>+'Purchased Power Model '!C140</f>
        <v>26.9</v>
      </c>
      <c r="D140" s="458">
        <f>+'Purchased Power Model '!D140</f>
        <v>40.1</v>
      </c>
      <c r="E140" s="443">
        <f>+'Purchased Power Model '!E140</f>
        <v>6.7000000000000004E-2</v>
      </c>
      <c r="F140" s="53">
        <f>+'Purchased Power Model '!F140</f>
        <v>30</v>
      </c>
      <c r="G140" s="53">
        <f>+'Purchased Power Model '!G140</f>
        <v>0</v>
      </c>
      <c r="H140" s="171">
        <v>294</v>
      </c>
      <c r="I140" s="456">
        <f t="shared" si="6"/>
        <v>270533.59384382132</v>
      </c>
      <c r="J140" s="457"/>
      <c r="K140" s="5"/>
    </row>
    <row r="141" spans="1:11" x14ac:dyDescent="0.2">
      <c r="A141" s="453">
        <v>41821</v>
      </c>
      <c r="B141" s="27">
        <v>227593</v>
      </c>
      <c r="C141" s="458">
        <f>+'Purchased Power Model '!C141</f>
        <v>9.5999999999999979</v>
      </c>
      <c r="D141" s="458">
        <f>+'Purchased Power Model '!D141</f>
        <v>54.599999999999994</v>
      </c>
      <c r="E141" s="443">
        <f>+'Purchased Power Model '!E141</f>
        <v>7.5999999999999998E-2</v>
      </c>
      <c r="F141" s="53">
        <f>+'Purchased Power Model '!F141</f>
        <v>31</v>
      </c>
      <c r="G141" s="53">
        <f>+'Purchased Power Model '!G141</f>
        <v>0</v>
      </c>
      <c r="H141" s="171">
        <v>295</v>
      </c>
      <c r="I141" s="456">
        <f t="shared" si="6"/>
        <v>255912.72655432165</v>
      </c>
      <c r="J141" s="457"/>
      <c r="K141" s="5"/>
    </row>
    <row r="142" spans="1:11" x14ac:dyDescent="0.2">
      <c r="A142" s="453">
        <v>41852</v>
      </c>
      <c r="B142" s="27">
        <v>227669</v>
      </c>
      <c r="C142" s="458">
        <f>+'Purchased Power Model '!C142</f>
        <v>12.7</v>
      </c>
      <c r="D142" s="458">
        <f>+'Purchased Power Model '!D142</f>
        <v>58</v>
      </c>
      <c r="E142" s="443">
        <f>+'Purchased Power Model '!E142</f>
        <v>7.5999999999999998E-2</v>
      </c>
      <c r="F142" s="53">
        <f>+'Purchased Power Model '!F142</f>
        <v>31</v>
      </c>
      <c r="G142" s="53">
        <f>+'Purchased Power Model '!G142</f>
        <v>0</v>
      </c>
      <c r="H142" s="171">
        <v>295</v>
      </c>
      <c r="I142" s="456">
        <f t="shared" si="6"/>
        <v>255379.99225599383</v>
      </c>
      <c r="J142" s="457"/>
      <c r="K142" s="5"/>
    </row>
    <row r="143" spans="1:11" x14ac:dyDescent="0.2">
      <c r="A143" s="453">
        <v>41883</v>
      </c>
      <c r="B143" s="27">
        <v>226353</v>
      </c>
      <c r="C143" s="458">
        <f>+'Purchased Power Model '!C143</f>
        <v>77.400000000000006</v>
      </c>
      <c r="D143" s="458">
        <f>+'Purchased Power Model '!D143</f>
        <v>22.5</v>
      </c>
      <c r="E143" s="443">
        <f>+'Purchased Power Model '!E143</f>
        <v>7.5999999999999998E-2</v>
      </c>
      <c r="F143" s="53">
        <f>+'Purchased Power Model '!F143</f>
        <v>30</v>
      </c>
      <c r="G143" s="53">
        <f>+'Purchased Power Model '!G143</f>
        <v>1</v>
      </c>
      <c r="H143" s="171">
        <v>295</v>
      </c>
      <c r="I143" s="456">
        <f t="shared" si="6"/>
        <v>253160.79219040088</v>
      </c>
      <c r="J143" s="457"/>
      <c r="K143" s="5"/>
    </row>
    <row r="144" spans="1:11" x14ac:dyDescent="0.2">
      <c r="A144" s="453">
        <v>41913</v>
      </c>
      <c r="B144" s="27">
        <v>226216</v>
      </c>
      <c r="C144" s="458">
        <f>+'Purchased Power Model '!C144</f>
        <v>216.29999999999998</v>
      </c>
      <c r="D144" s="458">
        <f>+'Purchased Power Model '!D144</f>
        <v>0.5</v>
      </c>
      <c r="E144" s="443">
        <f>+'Purchased Power Model '!E144</f>
        <v>7.400000000000001E-2</v>
      </c>
      <c r="F144" s="53">
        <f>+'Purchased Power Model '!F144</f>
        <v>31</v>
      </c>
      <c r="G144" s="53">
        <f>+'Purchased Power Model '!G144</f>
        <v>1</v>
      </c>
      <c r="H144" s="171">
        <v>295</v>
      </c>
      <c r="I144" s="456">
        <f t="shared" si="6"/>
        <v>255836.08911603352</v>
      </c>
      <c r="J144" s="457"/>
      <c r="K144" s="5"/>
    </row>
    <row r="145" spans="1:11" x14ac:dyDescent="0.2">
      <c r="A145" s="453">
        <v>41944</v>
      </c>
      <c r="B145" s="27">
        <v>226299</v>
      </c>
      <c r="C145" s="458">
        <f>+'Purchased Power Model '!C145</f>
        <v>407.30000000000013</v>
      </c>
      <c r="D145" s="458">
        <f>+'Purchased Power Model '!D145</f>
        <v>0</v>
      </c>
      <c r="E145" s="443">
        <f>+'Purchased Power Model '!E145</f>
        <v>6.8000000000000005E-2</v>
      </c>
      <c r="F145" s="53">
        <f>+'Purchased Power Model '!F145</f>
        <v>30</v>
      </c>
      <c r="G145" s="53">
        <f>+'Purchased Power Model '!G145</f>
        <v>1</v>
      </c>
      <c r="H145" s="171">
        <v>295</v>
      </c>
      <c r="I145" s="456">
        <f t="shared" si="6"/>
        <v>260297.01672934485</v>
      </c>
      <c r="J145" s="457"/>
      <c r="K145" s="5"/>
    </row>
    <row r="146" spans="1:11" x14ac:dyDescent="0.2">
      <c r="A146" s="453">
        <v>41974</v>
      </c>
      <c r="B146" s="27">
        <v>209224</v>
      </c>
      <c r="C146" s="458">
        <f>+'Purchased Power Model '!C146</f>
        <v>551.79999999999995</v>
      </c>
      <c r="D146" s="458">
        <f>+'Purchased Power Model '!D146</f>
        <v>0</v>
      </c>
      <c r="E146" s="443">
        <f>+'Purchased Power Model '!E146</f>
        <v>6.6000000000000003E-2</v>
      </c>
      <c r="F146" s="53">
        <f>+'Purchased Power Model '!F146</f>
        <v>31</v>
      </c>
      <c r="G146" s="53">
        <f>+'Purchased Power Model '!G146</f>
        <v>0</v>
      </c>
      <c r="H146" s="171">
        <v>296</v>
      </c>
      <c r="I146" s="456">
        <f t="shared" si="6"/>
        <v>265498.86247883545</v>
      </c>
      <c r="J146" s="457"/>
      <c r="K146" s="5"/>
    </row>
    <row r="147" spans="1:11" x14ac:dyDescent="0.2">
      <c r="A147" s="453">
        <v>42005</v>
      </c>
      <c r="B147" s="27">
        <v>210890</v>
      </c>
      <c r="C147" s="458">
        <f>+'Purchased Power Model '!C147</f>
        <v>775.6</v>
      </c>
      <c r="D147" s="458">
        <f>+'Purchased Power Model '!D147</f>
        <v>0</v>
      </c>
      <c r="E147" s="443">
        <f>+'Purchased Power Model '!E147</f>
        <v>6.7000000000000004E-2</v>
      </c>
      <c r="F147" s="53">
        <f>+'Purchased Power Model '!F147</f>
        <v>31</v>
      </c>
      <c r="G147" s="53">
        <f>+'Purchased Power Model '!G147</f>
        <v>0</v>
      </c>
      <c r="H147" s="171"/>
      <c r="I147" s="456">
        <f t="shared" si="6"/>
        <v>258994.78523098983</v>
      </c>
      <c r="J147" s="457"/>
      <c r="K147" s="5"/>
    </row>
    <row r="148" spans="1:11" x14ac:dyDescent="0.2">
      <c r="A148" s="453">
        <v>42036</v>
      </c>
      <c r="B148" s="27">
        <v>210684</v>
      </c>
      <c r="C148" s="458">
        <f>+'Purchased Power Model '!C148</f>
        <v>809.4</v>
      </c>
      <c r="D148" s="458">
        <f>+'Purchased Power Model '!D148</f>
        <v>0</v>
      </c>
      <c r="E148" s="443">
        <f>+'Purchased Power Model '!E148</f>
        <v>6.8000000000000005E-2</v>
      </c>
      <c r="F148" s="53">
        <f>+'Purchased Power Model '!F148</f>
        <v>28</v>
      </c>
      <c r="G148" s="53">
        <f>+'Purchased Power Model '!G148</f>
        <v>0</v>
      </c>
      <c r="H148" s="171"/>
      <c r="I148" s="456">
        <f t="shared" si="6"/>
        <v>256969.89059041662</v>
      </c>
      <c r="J148" s="457"/>
      <c r="K148" s="5"/>
    </row>
    <row r="149" spans="1:11" x14ac:dyDescent="0.2">
      <c r="A149" s="453">
        <v>42064</v>
      </c>
      <c r="B149" s="27">
        <v>207365</v>
      </c>
      <c r="C149" s="458">
        <f>+'Purchased Power Model '!C149</f>
        <v>611.6</v>
      </c>
      <c r="D149" s="458">
        <f>+'Purchased Power Model '!D149</f>
        <v>0</v>
      </c>
      <c r="E149" s="443">
        <f>+'Purchased Power Model '!E149</f>
        <v>7.2000000000000008E-2</v>
      </c>
      <c r="F149" s="53">
        <f>+'Purchased Power Model '!F149</f>
        <v>31</v>
      </c>
      <c r="G149" s="53">
        <f>+'Purchased Power Model '!G149</f>
        <v>1</v>
      </c>
      <c r="H149" s="171"/>
      <c r="I149" s="456">
        <f t="shared" si="6"/>
        <v>249847.21136455453</v>
      </c>
      <c r="J149" s="457"/>
      <c r="K149" s="5"/>
    </row>
    <row r="150" spans="1:11" x14ac:dyDescent="0.2">
      <c r="A150" s="453">
        <v>42095</v>
      </c>
      <c r="B150" s="27">
        <v>207328</v>
      </c>
      <c r="C150" s="458">
        <f>+'Purchased Power Model '!C150</f>
        <v>335.6</v>
      </c>
      <c r="D150" s="458">
        <f>+'Purchased Power Model '!D150</f>
        <v>0</v>
      </c>
      <c r="E150" s="443">
        <f>+'Purchased Power Model '!E150</f>
        <v>7.5999999999999998E-2</v>
      </c>
      <c r="F150" s="53">
        <f>+'Purchased Power Model '!F150</f>
        <v>30</v>
      </c>
      <c r="G150" s="53">
        <f>+'Purchased Power Model '!G150</f>
        <v>1</v>
      </c>
      <c r="H150" s="171"/>
      <c r="I150" s="456">
        <f t="shared" si="6"/>
        <v>250382.15414598491</v>
      </c>
      <c r="J150" s="457"/>
      <c r="K150" s="5"/>
    </row>
    <row r="151" spans="1:11" x14ac:dyDescent="0.2">
      <c r="A151" s="453">
        <v>42125</v>
      </c>
      <c r="B151" s="27">
        <v>206439</v>
      </c>
      <c r="C151" s="458">
        <f>+'Purchased Power Model '!C151</f>
        <v>120.5</v>
      </c>
      <c r="D151" s="458">
        <f>+'Purchased Power Model '!D151</f>
        <v>1.8</v>
      </c>
      <c r="E151" s="443">
        <f>+'Purchased Power Model '!E151</f>
        <v>7.8E-2</v>
      </c>
      <c r="F151" s="53">
        <f>+'Purchased Power Model '!F151</f>
        <v>31</v>
      </c>
      <c r="G151" s="53">
        <f>+'Purchased Power Model '!G151</f>
        <v>1</v>
      </c>
      <c r="H151" s="171"/>
      <c r="I151" s="456">
        <f t="shared" si="6"/>
        <v>252057.74891052913</v>
      </c>
      <c r="J151" s="457"/>
      <c r="K151" s="5"/>
    </row>
    <row r="152" spans="1:11" x14ac:dyDescent="0.2">
      <c r="A152" s="453">
        <v>42156</v>
      </c>
      <c r="B152" s="27">
        <v>187360</v>
      </c>
      <c r="C152" s="458">
        <f>+'Purchased Power Model '!C152</f>
        <v>50.2</v>
      </c>
      <c r="D152" s="458">
        <f>+'Purchased Power Model '!D152</f>
        <v>13.1</v>
      </c>
      <c r="E152" s="443">
        <f>+'Purchased Power Model '!E152</f>
        <v>7.8E-2</v>
      </c>
      <c r="F152" s="53">
        <f>+'Purchased Power Model '!F152</f>
        <v>30</v>
      </c>
      <c r="G152" s="53">
        <f>+'Purchased Power Model '!G152</f>
        <v>0</v>
      </c>
      <c r="H152" s="171"/>
      <c r="I152" s="456">
        <f t="shared" si="6"/>
        <v>257817.48027099788</v>
      </c>
      <c r="J152" s="457"/>
      <c r="K152" s="5"/>
    </row>
    <row r="153" spans="1:11" x14ac:dyDescent="0.2">
      <c r="A153" s="453">
        <v>42186</v>
      </c>
      <c r="B153" s="27">
        <v>238961</v>
      </c>
      <c r="C153" s="458">
        <f>+'Purchased Power Model '!C153</f>
        <v>6.8</v>
      </c>
      <c r="D153" s="458">
        <f>+'Purchased Power Model '!D153</f>
        <v>71.5</v>
      </c>
      <c r="E153" s="443">
        <f>+'Purchased Power Model '!E153</f>
        <v>7.8E-2</v>
      </c>
      <c r="F153" s="53">
        <f>+'Purchased Power Model '!F153</f>
        <v>31</v>
      </c>
      <c r="G153" s="53">
        <f>+'Purchased Power Model '!G153</f>
        <v>0</v>
      </c>
      <c r="H153" s="171"/>
      <c r="I153" s="456">
        <f t="shared" si="6"/>
        <v>250792.42771178667</v>
      </c>
      <c r="J153" s="457"/>
      <c r="K153" s="5"/>
    </row>
    <row r="154" spans="1:11" x14ac:dyDescent="0.2">
      <c r="A154" s="453">
        <v>42217</v>
      </c>
      <c r="B154" s="27">
        <v>208358</v>
      </c>
      <c r="C154" s="458">
        <f>+'Purchased Power Model '!C154</f>
        <v>4.9000000000000004</v>
      </c>
      <c r="D154" s="458">
        <f>+'Purchased Power Model '!D154</f>
        <v>62</v>
      </c>
      <c r="E154" s="443">
        <f>+'Purchased Power Model '!E154</f>
        <v>0.08</v>
      </c>
      <c r="F154" s="53">
        <f>+'Purchased Power Model '!F154</f>
        <v>31</v>
      </c>
      <c r="G154" s="53">
        <f>+'Purchased Power Model '!G154</f>
        <v>0</v>
      </c>
      <c r="H154" s="171"/>
      <c r="I154" s="456">
        <f t="shared" si="6"/>
        <v>249243.85881696703</v>
      </c>
      <c r="J154" s="457"/>
      <c r="K154" s="5"/>
    </row>
    <row r="155" spans="1:11" x14ac:dyDescent="0.2">
      <c r="A155" s="453">
        <v>42248</v>
      </c>
      <c r="B155" s="27">
        <v>206997</v>
      </c>
      <c r="C155" s="458">
        <f>+'Purchased Power Model '!C155</f>
        <v>37</v>
      </c>
      <c r="D155" s="458">
        <f>+'Purchased Power Model '!D155</f>
        <v>48.6</v>
      </c>
      <c r="E155" s="443">
        <f>+'Purchased Power Model '!E155</f>
        <v>8.3000000000000004E-2</v>
      </c>
      <c r="F155" s="53">
        <f>+'Purchased Power Model '!F155</f>
        <v>30</v>
      </c>
      <c r="G155" s="53">
        <f>+'Purchased Power Model '!G155</f>
        <v>1</v>
      </c>
      <c r="H155" s="171"/>
      <c r="I155" s="456">
        <f t="shared" si="6"/>
        <v>240428.78116847517</v>
      </c>
      <c r="J155" s="457"/>
      <c r="K155" s="5"/>
    </row>
    <row r="156" spans="1:11" x14ac:dyDescent="0.2">
      <c r="A156" s="453">
        <v>42278</v>
      </c>
      <c r="B156" s="27">
        <v>209088</v>
      </c>
      <c r="C156" s="458">
        <f>+'Purchased Power Model '!C156</f>
        <v>248.1</v>
      </c>
      <c r="D156" s="458">
        <f>+'Purchased Power Model '!D156</f>
        <v>0</v>
      </c>
      <c r="E156" s="443">
        <f>+'Purchased Power Model '!E156</f>
        <v>8.1000000000000003E-2</v>
      </c>
      <c r="F156" s="53">
        <f>+'Purchased Power Model '!F156</f>
        <v>31</v>
      </c>
      <c r="G156" s="53">
        <f>+'Purchased Power Model '!G156</f>
        <v>1</v>
      </c>
      <c r="H156" s="171"/>
      <c r="I156" s="456">
        <f t="shared" si="6"/>
        <v>245090.32764415565</v>
      </c>
      <c r="J156" s="457"/>
      <c r="K156" s="5"/>
    </row>
    <row r="157" spans="1:11" x14ac:dyDescent="0.2">
      <c r="A157" s="453">
        <v>42309</v>
      </c>
      <c r="B157" s="27">
        <v>210167</v>
      </c>
      <c r="C157" s="458">
        <f>+'Purchased Power Model '!C157</f>
        <v>345.6</v>
      </c>
      <c r="D157" s="458">
        <f>+'Purchased Power Model '!D157</f>
        <v>0</v>
      </c>
      <c r="E157" s="443">
        <f>+'Purchased Power Model '!E157</f>
        <v>7.8E-2</v>
      </c>
      <c r="F157" s="53">
        <f>+'Purchased Power Model '!F157</f>
        <v>30</v>
      </c>
      <c r="G157" s="53">
        <f>+'Purchased Power Model '!G157</f>
        <v>1</v>
      </c>
      <c r="H157" s="171"/>
      <c r="I157" s="456">
        <f t="shared" si="6"/>
        <v>247271.81918886822</v>
      </c>
      <c r="J157" s="457"/>
      <c r="K157" s="5"/>
    </row>
    <row r="158" spans="1:11" x14ac:dyDescent="0.2">
      <c r="A158" s="453">
        <v>42339</v>
      </c>
      <c r="B158" s="27">
        <v>208593</v>
      </c>
      <c r="C158" s="458">
        <f>+'Purchased Power Model '!C158</f>
        <v>415</v>
      </c>
      <c r="D158" s="458">
        <f>+'Purchased Power Model '!D158</f>
        <v>0</v>
      </c>
      <c r="E158" s="443">
        <f>+'Purchased Power Model '!E158</f>
        <v>7.0000000000000007E-2</v>
      </c>
      <c r="F158" s="53">
        <f>+'Purchased Power Model '!F158</f>
        <v>31</v>
      </c>
      <c r="G158" s="53">
        <f>+'Purchased Power Model '!G158</f>
        <v>0</v>
      </c>
      <c r="H158" s="171"/>
      <c r="I158" s="456">
        <f t="shared" si="6"/>
        <v>262824.76044314058</v>
      </c>
      <c r="J158" s="457"/>
      <c r="K158" s="5"/>
    </row>
    <row r="159" spans="1:11" x14ac:dyDescent="0.2">
      <c r="A159" s="453">
        <v>42370</v>
      </c>
      <c r="B159" s="27">
        <v>208007</v>
      </c>
      <c r="C159" s="458">
        <f>+'Purchased Power Model '!C159</f>
        <v>689.4</v>
      </c>
      <c r="D159" s="458">
        <f>+'Purchased Power Model '!D159</f>
        <v>0</v>
      </c>
      <c r="E159" s="443">
        <f>+'Purchased Power Model '!E159</f>
        <v>6.4000000000000001E-2</v>
      </c>
      <c r="F159" s="53">
        <f>+'Purchased Power Model '!F159</f>
        <v>31</v>
      </c>
      <c r="G159" s="53">
        <f>+'Purchased Power Model '!G159</f>
        <v>0</v>
      </c>
      <c r="H159" s="171"/>
      <c r="I159" s="456">
        <f t="shared" si="6"/>
        <v>265270.71899926662</v>
      </c>
      <c r="J159" s="457"/>
      <c r="K159" s="5"/>
    </row>
    <row r="160" spans="1:11" x14ac:dyDescent="0.2">
      <c r="A160" s="453">
        <v>42401</v>
      </c>
      <c r="B160" s="27">
        <v>208430</v>
      </c>
      <c r="C160" s="458">
        <f>+'Purchased Power Model '!C160</f>
        <v>623.20000000000005</v>
      </c>
      <c r="D160" s="458">
        <f>+'Purchased Power Model '!D160</f>
        <v>0</v>
      </c>
      <c r="E160" s="443">
        <f>+'Purchased Power Model '!E160</f>
        <v>6.0999999999999999E-2</v>
      </c>
      <c r="F160" s="53">
        <f>+'Purchased Power Model '!F160</f>
        <v>29</v>
      </c>
      <c r="G160" s="53">
        <f>+'Purchased Power Model '!G160</f>
        <v>0</v>
      </c>
      <c r="H160" s="171"/>
      <c r="I160" s="456">
        <f t="shared" si="6"/>
        <v>271215.406592126</v>
      </c>
      <c r="J160" s="457"/>
      <c r="K160" s="5"/>
    </row>
    <row r="161" spans="1:11" x14ac:dyDescent="0.2">
      <c r="A161" s="453">
        <v>42430</v>
      </c>
      <c r="B161" s="27">
        <v>209113</v>
      </c>
      <c r="C161" s="458">
        <f>+'Purchased Power Model '!C161</f>
        <v>531.20000000000005</v>
      </c>
      <c r="D161" s="458">
        <f>+'Purchased Power Model '!D161</f>
        <v>0</v>
      </c>
      <c r="E161" s="443">
        <f>+'Purchased Power Model '!E161</f>
        <v>6.0999999999999999E-2</v>
      </c>
      <c r="F161" s="53">
        <f>+'Purchased Power Model '!F161</f>
        <v>31</v>
      </c>
      <c r="G161" s="53">
        <f>+'Purchased Power Model '!G161</f>
        <v>1</v>
      </c>
      <c r="H161" s="171"/>
      <c r="I161" s="456">
        <f t="shared" si="6"/>
        <v>267528.56143555162</v>
      </c>
      <c r="J161" s="457"/>
      <c r="K161" s="5"/>
    </row>
    <row r="162" spans="1:11" x14ac:dyDescent="0.2">
      <c r="A162" s="453">
        <v>42461</v>
      </c>
      <c r="B162" s="27">
        <v>208700</v>
      </c>
      <c r="C162" s="458">
        <f>+'Purchased Power Model '!C162</f>
        <v>421.9</v>
      </c>
      <c r="D162" s="458">
        <f>+'Purchased Power Model '!D162</f>
        <v>0</v>
      </c>
      <c r="E162" s="443">
        <f>+'Purchased Power Model '!E162</f>
        <v>6.0999999999999999E-2</v>
      </c>
      <c r="F162" s="53">
        <f>+'Purchased Power Model '!F162</f>
        <v>30</v>
      </c>
      <c r="G162" s="53">
        <f>+'Purchased Power Model '!G162</f>
        <v>1</v>
      </c>
      <c r="H162" s="171"/>
      <c r="I162" s="456">
        <f t="shared" si="6"/>
        <v>270061.31556665443</v>
      </c>
      <c r="J162" s="457"/>
      <c r="K162" s="5"/>
    </row>
    <row r="163" spans="1:11" x14ac:dyDescent="0.2">
      <c r="A163" s="453">
        <v>42491</v>
      </c>
      <c r="B163" s="27">
        <v>190897</v>
      </c>
      <c r="C163" s="458">
        <f>+'Purchased Power Model '!C163</f>
        <v>164.3</v>
      </c>
      <c r="D163" s="458">
        <f>+'Purchased Power Model '!D163</f>
        <v>19.399999999999999</v>
      </c>
      <c r="E163" s="443">
        <f>+'Purchased Power Model '!E163</f>
        <v>5.7999999999999996E-2</v>
      </c>
      <c r="F163" s="53">
        <f>+'Purchased Power Model '!F163</f>
        <v>31</v>
      </c>
      <c r="G163" s="53">
        <f>+'Purchased Power Model '!G163</f>
        <v>1</v>
      </c>
      <c r="H163" s="171"/>
      <c r="I163" s="456">
        <f t="shared" si="6"/>
        <v>277513.84568283067</v>
      </c>
      <c r="J163" s="457"/>
      <c r="K163" s="5"/>
    </row>
    <row r="164" spans="1:11" x14ac:dyDescent="0.2">
      <c r="A164" s="453">
        <v>42522</v>
      </c>
      <c r="B164" s="27">
        <v>227545</v>
      </c>
      <c r="C164" s="458">
        <f>+'Purchased Power Model '!C164</f>
        <v>39.1</v>
      </c>
      <c r="D164" s="458">
        <f>+'Purchased Power Model '!D164</f>
        <v>43.8</v>
      </c>
      <c r="E164" s="443">
        <f>+'Purchased Power Model '!E164</f>
        <v>6.5000000000000002E-2</v>
      </c>
      <c r="F164" s="53">
        <f>+'Purchased Power Model '!F164</f>
        <v>30</v>
      </c>
      <c r="G164" s="53">
        <f>+'Purchased Power Model '!G164</f>
        <v>0</v>
      </c>
      <c r="H164" s="171"/>
      <c r="I164" s="456">
        <f t="shared" si="6"/>
        <v>272638.36356154893</v>
      </c>
      <c r="J164" s="457"/>
      <c r="K164" s="5"/>
    </row>
    <row r="165" spans="1:11" x14ac:dyDescent="0.2">
      <c r="A165" s="453">
        <v>42552</v>
      </c>
      <c r="B165" s="27">
        <v>208073</v>
      </c>
      <c r="C165" s="458">
        <f>+'Purchased Power Model '!C165</f>
        <v>2.4</v>
      </c>
      <c r="D165" s="458">
        <f>+'Purchased Power Model '!D165</f>
        <v>120.7</v>
      </c>
      <c r="E165" s="443">
        <f>+'Purchased Power Model '!E165</f>
        <v>6.5000000000000002E-2</v>
      </c>
      <c r="F165" s="53">
        <f>+'Purchased Power Model '!F165</f>
        <v>31</v>
      </c>
      <c r="G165" s="53">
        <f>+'Purchased Power Model '!G165</f>
        <v>0</v>
      </c>
      <c r="H165" s="171"/>
      <c r="I165" s="456">
        <f t="shared" si="6"/>
        <v>262944.58576031303</v>
      </c>
      <c r="J165" s="457"/>
      <c r="K165" s="5"/>
    </row>
    <row r="166" spans="1:11" x14ac:dyDescent="0.2">
      <c r="A166" s="453">
        <v>42583</v>
      </c>
      <c r="B166" s="27">
        <v>207379</v>
      </c>
      <c r="C166" s="458">
        <f>+'Purchased Power Model '!C166</f>
        <v>1.4</v>
      </c>
      <c r="D166" s="458">
        <f>+'Purchased Power Model '!D166</f>
        <v>135.6</v>
      </c>
      <c r="E166" s="443">
        <f>+'Purchased Power Model '!E166</f>
        <v>6.9000000000000006E-2</v>
      </c>
      <c r="F166" s="53">
        <f>+'Purchased Power Model '!F166</f>
        <v>31</v>
      </c>
      <c r="G166" s="53">
        <f>+'Purchased Power Model '!G166</f>
        <v>0</v>
      </c>
      <c r="H166" s="171"/>
      <c r="I166" s="456">
        <f t="shared" si="6"/>
        <v>255171.5507518572</v>
      </c>
      <c r="J166" s="457"/>
      <c r="K166" s="5"/>
    </row>
    <row r="167" spans="1:11" x14ac:dyDescent="0.2">
      <c r="A167" s="453">
        <v>42614</v>
      </c>
      <c r="B167" s="27">
        <v>207738</v>
      </c>
      <c r="C167" s="458">
        <f>+'Purchased Power Model '!C167</f>
        <v>50.8</v>
      </c>
      <c r="D167" s="458">
        <f>+'Purchased Power Model '!D167</f>
        <v>35.299999999999997</v>
      </c>
      <c r="E167" s="443">
        <f>+'Purchased Power Model '!E167</f>
        <v>6.4000000000000001E-2</v>
      </c>
      <c r="F167" s="53">
        <f>+'Purchased Power Model '!F167</f>
        <v>30</v>
      </c>
      <c r="G167" s="53">
        <f>+'Purchased Power Model '!G167</f>
        <v>1</v>
      </c>
      <c r="H167" s="171"/>
      <c r="I167" s="456">
        <f t="shared" si="6"/>
        <v>269325.72907711705</v>
      </c>
      <c r="J167" s="457"/>
      <c r="K167" s="5"/>
    </row>
    <row r="168" spans="1:11" x14ac:dyDescent="0.2">
      <c r="A168" s="453">
        <v>42644</v>
      </c>
      <c r="B168" s="27">
        <v>208307</v>
      </c>
      <c r="C168" s="458">
        <f>+'Purchased Power Model '!C168</f>
        <v>204</v>
      </c>
      <c r="D168" s="458">
        <f>+'Purchased Power Model '!D168</f>
        <v>0.3</v>
      </c>
      <c r="E168" s="443">
        <f>+'Purchased Power Model '!E168</f>
        <v>0.06</v>
      </c>
      <c r="F168" s="53">
        <f>+'Purchased Power Model '!F168</f>
        <v>31</v>
      </c>
      <c r="G168" s="53">
        <f>+'Purchased Power Model '!G168</f>
        <v>1</v>
      </c>
      <c r="H168" s="171"/>
      <c r="I168" s="456">
        <f t="shared" si="6"/>
        <v>276330.56389744423</v>
      </c>
      <c r="J168" s="457"/>
      <c r="K168" s="5"/>
    </row>
    <row r="169" spans="1:11" x14ac:dyDescent="0.2">
      <c r="A169" s="453">
        <v>42675</v>
      </c>
      <c r="B169" s="27">
        <v>208072</v>
      </c>
      <c r="C169" s="458">
        <f>+'Purchased Power Model '!C169</f>
        <v>298.5</v>
      </c>
      <c r="D169" s="458">
        <f>+'Purchased Power Model '!D169</f>
        <v>0</v>
      </c>
      <c r="E169" s="443">
        <f>+'Purchased Power Model '!E169</f>
        <v>5.4000000000000006E-2</v>
      </c>
      <c r="F169" s="53">
        <f>+'Purchased Power Model '!F169</f>
        <v>30</v>
      </c>
      <c r="G169" s="53">
        <f>+'Purchased Power Model '!G169</f>
        <v>1</v>
      </c>
      <c r="H169" s="171"/>
      <c r="I169" s="456">
        <f t="shared" si="6"/>
        <v>282946.95603175944</v>
      </c>
      <c r="J169" s="457"/>
      <c r="K169" s="5"/>
    </row>
    <row r="170" spans="1:11" x14ac:dyDescent="0.2">
      <c r="A170" s="453">
        <v>42705</v>
      </c>
      <c r="B170" s="27">
        <v>208321</v>
      </c>
      <c r="C170" s="458">
        <f>+'Purchased Power Model '!C170</f>
        <v>483.4</v>
      </c>
      <c r="D170" s="458">
        <f>+'Purchased Power Model '!D170</f>
        <v>0</v>
      </c>
      <c r="E170" s="443">
        <f>+'Purchased Power Model '!E170</f>
        <v>5.2000000000000005E-2</v>
      </c>
      <c r="F170" s="53">
        <f>+'Purchased Power Model '!F170</f>
        <v>31</v>
      </c>
      <c r="G170" s="53">
        <f>+'Purchased Power Model '!G170</f>
        <v>0</v>
      </c>
      <c r="H170" s="171"/>
      <c r="I170" s="456">
        <f t="shared" si="6"/>
        <v>287235.01771050418</v>
      </c>
      <c r="J170" s="457"/>
      <c r="K170" s="5"/>
    </row>
    <row r="171" spans="1:11" x14ac:dyDescent="0.2">
      <c r="A171" s="453">
        <v>42736</v>
      </c>
      <c r="B171" s="27">
        <v>208649</v>
      </c>
      <c r="C171" s="458">
        <f>+'Purchased Power Model '!C171</f>
        <v>584</v>
      </c>
      <c r="D171" s="458">
        <f ca="1">+'Purchased Power Model '!D171</f>
        <v>0</v>
      </c>
      <c r="E171" s="443">
        <f>+'Purchased Power Model '!E171</f>
        <v>5.2999999999999999E-2</v>
      </c>
      <c r="F171" s="53">
        <f>+'Purchased Power Model '!F171</f>
        <v>31</v>
      </c>
      <c r="G171" s="53">
        <f>+'Purchased Power Model '!G171</f>
        <v>0</v>
      </c>
      <c r="H171" s="171"/>
      <c r="I171" s="456">
        <f t="shared" ca="1" si="6"/>
        <v>283517.52951008169</v>
      </c>
      <c r="J171" s="457"/>
      <c r="K171" s="5"/>
    </row>
    <row r="172" spans="1:11" x14ac:dyDescent="0.2">
      <c r="A172" s="453">
        <v>42767</v>
      </c>
      <c r="B172" s="27">
        <v>208608</v>
      </c>
      <c r="C172" s="458">
        <f>+'Purchased Power Model '!C172</f>
        <v>506</v>
      </c>
      <c r="D172" s="458">
        <f ca="1">+'Purchased Power Model '!D172</f>
        <v>0</v>
      </c>
      <c r="E172" s="443">
        <f>+'Purchased Power Model '!E172</f>
        <v>5.9000000000000004E-2</v>
      </c>
      <c r="F172" s="53">
        <f>+'Purchased Power Model '!F172</f>
        <v>28</v>
      </c>
      <c r="G172" s="53">
        <f>+'Purchased Power Model '!G172</f>
        <v>0</v>
      </c>
      <c r="H172" s="171"/>
      <c r="I172" s="456">
        <f t="shared" ca="1" si="6"/>
        <v>276810.99700340087</v>
      </c>
      <c r="J172" s="457"/>
      <c r="K172" s="5"/>
    </row>
    <row r="173" spans="1:11" x14ac:dyDescent="0.2">
      <c r="A173" s="453">
        <v>42795</v>
      </c>
      <c r="B173" s="27">
        <v>208298</v>
      </c>
      <c r="C173" s="458">
        <f>+'Purchased Power Model '!C173</f>
        <v>561</v>
      </c>
      <c r="D173" s="458">
        <f ca="1">+'Purchased Power Model '!D173</f>
        <v>0</v>
      </c>
      <c r="E173" s="443">
        <f>+'Purchased Power Model '!E173</f>
        <v>6.2E-2</v>
      </c>
      <c r="F173" s="53">
        <f>+'Purchased Power Model '!F173</f>
        <v>31</v>
      </c>
      <c r="G173" s="53">
        <f>+'Purchased Power Model '!G173</f>
        <v>1</v>
      </c>
      <c r="H173" s="171"/>
      <c r="I173" s="456">
        <f t="shared" ca="1" si="6"/>
        <v>265412.45720069378</v>
      </c>
      <c r="J173" s="457"/>
      <c r="K173" s="5"/>
    </row>
    <row r="174" spans="1:11" x14ac:dyDescent="0.2">
      <c r="A174" s="460">
        <v>42826</v>
      </c>
      <c r="B174" s="435"/>
      <c r="C174" s="461">
        <f>+'Purchased Power Model '!C174</f>
        <v>410.06381244743028</v>
      </c>
      <c r="D174" s="461">
        <f ca="1">+'Purchased Power Model '!D174</f>
        <v>0</v>
      </c>
      <c r="E174" s="437">
        <f>+'Purchased Power Model '!E174</f>
        <v>6.7312499999999997E-2</v>
      </c>
      <c r="F174" s="462">
        <f>+'Purchased Power Model '!F174</f>
        <v>30</v>
      </c>
      <c r="G174" s="462">
        <f>+'Purchased Power Model '!G174</f>
        <v>1</v>
      </c>
      <c r="H174" s="465"/>
      <c r="I174" s="464">
        <f t="shared" ca="1" si="6"/>
        <v>261225.93049629487</v>
      </c>
      <c r="J174" s="36"/>
      <c r="K174" s="5"/>
    </row>
    <row r="175" spans="1:11" x14ac:dyDescent="0.2">
      <c r="A175" s="460">
        <v>42856</v>
      </c>
      <c r="B175" s="435"/>
      <c r="C175" s="461">
        <f>+'Purchased Power Model '!C175</f>
        <v>159.69064798557193</v>
      </c>
      <c r="D175" s="461">
        <f ca="1">+'Purchased Power Model '!D175</f>
        <v>14.000793761762511</v>
      </c>
      <c r="E175" s="437">
        <f>+'Purchased Power Model '!E175</f>
        <v>6.7312499999999997E-2</v>
      </c>
      <c r="F175" s="462">
        <f>+'Purchased Power Model '!F175</f>
        <v>31</v>
      </c>
      <c r="G175" s="462">
        <f>+'Purchased Power Model '!G175</f>
        <v>1</v>
      </c>
      <c r="H175" s="465"/>
      <c r="I175" s="464">
        <f t="shared" ca="1" si="6"/>
        <v>264923.41182502906</v>
      </c>
      <c r="J175" s="36"/>
      <c r="K175" s="5"/>
    </row>
    <row r="176" spans="1:11" x14ac:dyDescent="0.2">
      <c r="A176" s="460">
        <v>42887</v>
      </c>
      <c r="B176" s="435"/>
      <c r="C176" s="461">
        <f>+'Purchased Power Model '!C176</f>
        <v>38.003069605817792</v>
      </c>
      <c r="D176" s="461">
        <f ca="1">+'Purchased Power Model '!D176</f>
        <v>31.610039523979275</v>
      </c>
      <c r="E176" s="437">
        <f>+'Purchased Power Model '!E176</f>
        <v>6.7312499999999997E-2</v>
      </c>
      <c r="F176" s="462">
        <f>+'Purchased Power Model '!F176</f>
        <v>30</v>
      </c>
      <c r="G176" s="462">
        <f>+'Purchased Power Model '!G176</f>
        <v>0</v>
      </c>
      <c r="H176" s="465"/>
      <c r="I176" s="464">
        <f t="shared" ca="1" si="6"/>
        <v>270986.98841221008</v>
      </c>
      <c r="J176" s="36"/>
      <c r="K176" s="5"/>
    </row>
    <row r="177" spans="1:11" x14ac:dyDescent="0.2">
      <c r="A177" s="460">
        <v>42917</v>
      </c>
      <c r="B177" s="435"/>
      <c r="C177" s="461">
        <f>+'Purchased Power Model '!C177</f>
        <v>2.3326692341166928</v>
      </c>
      <c r="D177" s="461">
        <f ca="1">+'Purchased Power Model '!D177</f>
        <v>87.108031290965727</v>
      </c>
      <c r="E177" s="437">
        <f>+'Purchased Power Model '!E177</f>
        <v>6.6562659999999996E-2</v>
      </c>
      <c r="F177" s="462">
        <f>+'Purchased Power Model '!F177</f>
        <v>31</v>
      </c>
      <c r="G177" s="462">
        <f>+'Purchased Power Model '!G177</f>
        <v>0</v>
      </c>
      <c r="H177" s="465"/>
      <c r="I177" s="464">
        <f t="shared" ca="1" si="6"/>
        <v>265263.28886170435</v>
      </c>
      <c r="J177" s="36"/>
      <c r="K177" s="5"/>
    </row>
    <row r="178" spans="1:11" x14ac:dyDescent="0.2">
      <c r="A178" s="460">
        <v>42948</v>
      </c>
      <c r="B178" s="435"/>
      <c r="C178" s="461">
        <f>+'Purchased Power Model '!C178</f>
        <v>1.3607237199014042</v>
      </c>
      <c r="D178" s="461">
        <f ca="1">+'Purchased Power Model '!D178</f>
        <v>97.861218252319404</v>
      </c>
      <c r="E178" s="437">
        <f>+'Purchased Power Model '!E178</f>
        <v>6.6562659999999996E-2</v>
      </c>
      <c r="F178" s="462">
        <f>+'Purchased Power Model '!F178</f>
        <v>31</v>
      </c>
      <c r="G178" s="462">
        <f>+'Purchased Power Model '!G178</f>
        <v>0</v>
      </c>
      <c r="H178" s="465"/>
      <c r="I178" s="464">
        <f t="shared" ca="1" si="6"/>
        <v>263822.1523536056</v>
      </c>
      <c r="J178" s="36"/>
      <c r="K178" s="5"/>
    </row>
    <row r="179" spans="1:11" x14ac:dyDescent="0.2">
      <c r="A179" s="460">
        <v>42979</v>
      </c>
      <c r="B179" s="435"/>
      <c r="C179" s="461">
        <f>+'Purchased Power Model '!C179</f>
        <v>49.374832122136667</v>
      </c>
      <c r="D179" s="461">
        <f ca="1">+'Purchased Power Model '!D179</f>
        <v>25.475671123207043</v>
      </c>
      <c r="E179" s="437">
        <f>+'Purchased Power Model '!E179</f>
        <v>6.6562659999999996E-2</v>
      </c>
      <c r="F179" s="462">
        <f>+'Purchased Power Model '!F179</f>
        <v>30</v>
      </c>
      <c r="G179" s="462">
        <f>+'Purchased Power Model '!G179</f>
        <v>1</v>
      </c>
      <c r="H179" s="465"/>
      <c r="I179" s="464">
        <f t="shared" ca="1" si="6"/>
        <v>266999.15153829759</v>
      </c>
      <c r="J179" s="36"/>
      <c r="K179" s="5"/>
    </row>
    <row r="180" spans="1:11" x14ac:dyDescent="0.2">
      <c r="A180" s="460">
        <v>43009</v>
      </c>
      <c r="B180" s="435"/>
      <c r="C180" s="461">
        <f>+'Purchased Power Model '!C180</f>
        <v>198.27688489991891</v>
      </c>
      <c r="D180" s="461">
        <f ca="1">+'Purchased Power Model '!D180</f>
        <v>0.21650712002725533</v>
      </c>
      <c r="E180" s="437">
        <f>+'Purchased Power Model '!E180</f>
        <v>6.5937659999999995E-2</v>
      </c>
      <c r="F180" s="462">
        <f>+'Purchased Power Model '!F180</f>
        <v>31</v>
      </c>
      <c r="G180" s="462">
        <f>+'Purchased Power Model '!G180</f>
        <v>1</v>
      </c>
      <c r="H180" s="465"/>
      <c r="I180" s="464">
        <f t="shared" ca="1" si="6"/>
        <v>267908.81870648125</v>
      </c>
      <c r="J180" s="36"/>
      <c r="K180" s="5"/>
    </row>
    <row r="181" spans="1:11" x14ac:dyDescent="0.2">
      <c r="A181" s="460">
        <v>43040</v>
      </c>
      <c r="B181" s="435"/>
      <c r="C181" s="461">
        <f>+'Purchased Power Model '!C181</f>
        <v>290.12573599326367</v>
      </c>
      <c r="D181" s="461">
        <f ca="1">+'Purchased Power Model '!D181</f>
        <v>0</v>
      </c>
      <c r="E181" s="437">
        <f>+'Purchased Power Model '!E181</f>
        <v>6.5937659999999995E-2</v>
      </c>
      <c r="F181" s="462">
        <f>+'Purchased Power Model '!F181</f>
        <v>30</v>
      </c>
      <c r="G181" s="462">
        <f>+'Purchased Power Model '!G181</f>
        <v>1</v>
      </c>
      <c r="H181" s="465"/>
      <c r="I181" s="464">
        <f t="shared" ca="1" si="6"/>
        <v>265921.36292480817</v>
      </c>
      <c r="J181" s="36"/>
      <c r="K181" s="5"/>
    </row>
    <row r="182" spans="1:11" x14ac:dyDescent="0.2">
      <c r="A182" s="460">
        <v>43070</v>
      </c>
      <c r="B182" s="435"/>
      <c r="C182" s="461">
        <f>+'Purchased Power Model '!C182</f>
        <v>469.83846157167056</v>
      </c>
      <c r="D182" s="461">
        <f ca="1">+'Purchased Power Model '!D182</f>
        <v>0</v>
      </c>
      <c r="E182" s="437">
        <f>+'Purchased Power Model '!E182</f>
        <v>6.5937659999999995E-2</v>
      </c>
      <c r="F182" s="462">
        <f>+'Purchased Power Model '!F182</f>
        <v>31</v>
      </c>
      <c r="G182" s="462">
        <f>+'Purchased Power Model '!G182</f>
        <v>0</v>
      </c>
      <c r="H182" s="465"/>
      <c r="I182" s="464">
        <f t="shared" ca="1" si="6"/>
        <v>267442.6017613989</v>
      </c>
      <c r="J182" s="36"/>
      <c r="K182" s="5"/>
    </row>
    <row r="183" spans="1:11" x14ac:dyDescent="0.2">
      <c r="A183" s="460">
        <v>43101</v>
      </c>
      <c r="B183" s="435"/>
      <c r="C183" s="461">
        <f>+'Purchased Power Model '!C183</f>
        <v>607.71046849740094</v>
      </c>
      <c r="D183" s="461">
        <f ca="1">+'Purchased Power Model '!D183</f>
        <v>0</v>
      </c>
      <c r="E183" s="437">
        <f>+'Purchased Power Model '!E183</f>
        <v>6.6219020000000003E-2</v>
      </c>
      <c r="F183" s="462">
        <f>+'Purchased Power Model '!F183</f>
        <v>31</v>
      </c>
      <c r="G183" s="462">
        <f>+'Purchased Power Model '!G183</f>
        <v>0</v>
      </c>
      <c r="H183" s="465"/>
      <c r="I183" s="464">
        <f t="shared" ca="1" si="6"/>
        <v>263918.41280250851</v>
      </c>
      <c r="J183" s="36"/>
      <c r="K183" s="5"/>
    </row>
    <row r="184" spans="1:11" x14ac:dyDescent="0.2">
      <c r="A184" s="460">
        <v>43132</v>
      </c>
      <c r="B184" s="435"/>
      <c r="C184" s="461">
        <f>+'Purchased Power Model '!C184</f>
        <v>526.54365934877546</v>
      </c>
      <c r="D184" s="461">
        <f ca="1">+'Purchased Power Model '!D184</f>
        <v>0</v>
      </c>
      <c r="E184" s="437">
        <f>+'Purchased Power Model '!E184</f>
        <v>6.6219020000000003E-2</v>
      </c>
      <c r="F184" s="462">
        <f>+'Purchased Power Model '!F184</f>
        <v>28</v>
      </c>
      <c r="G184" s="462">
        <f>+'Purchased Power Model '!G184</f>
        <v>0</v>
      </c>
      <c r="H184" s="465"/>
      <c r="I184" s="464">
        <f t="shared" ca="1" si="6"/>
        <v>265935.96085115633</v>
      </c>
      <c r="J184" s="36"/>
      <c r="K184" s="5"/>
    </row>
    <row r="185" spans="1:11" x14ac:dyDescent="0.2">
      <c r="A185" s="460">
        <v>43160</v>
      </c>
      <c r="B185" s="435"/>
      <c r="C185" s="461">
        <f>+'Purchased Power Model '!C185</f>
        <v>583.77666579972936</v>
      </c>
      <c r="D185" s="461">
        <f ca="1">+'Purchased Power Model '!D185</f>
        <v>0</v>
      </c>
      <c r="E185" s="437">
        <f>+'Purchased Power Model '!E185</f>
        <v>6.6219020000000003E-2</v>
      </c>
      <c r="F185" s="462">
        <f>+'Purchased Power Model '!F185</f>
        <v>31</v>
      </c>
      <c r="G185" s="462">
        <f>+'Purchased Power Model '!G185</f>
        <v>1</v>
      </c>
      <c r="H185" s="465"/>
      <c r="I185" s="464">
        <f t="shared" ca="1" si="6"/>
        <v>258813.14014783857</v>
      </c>
      <c r="J185" s="36"/>
      <c r="K185" s="5"/>
    </row>
    <row r="186" spans="1:11" x14ac:dyDescent="0.2">
      <c r="A186" s="460">
        <v>43191</v>
      </c>
      <c r="B186" s="435"/>
      <c r="C186" s="461">
        <f>+'Purchased Power Model '!C186</f>
        <v>426.71245132920933</v>
      </c>
      <c r="D186" s="461">
        <f ca="1">+'Purchased Power Model '!D186</f>
        <v>0</v>
      </c>
      <c r="E186" s="437">
        <f>+'Purchased Power Model '!E186</f>
        <v>6.5531039999999999E-2</v>
      </c>
      <c r="F186" s="462">
        <f>+'Purchased Power Model '!F186</f>
        <v>30</v>
      </c>
      <c r="G186" s="462">
        <f>+'Purchased Power Model '!G186</f>
        <v>1</v>
      </c>
      <c r="H186" s="465"/>
      <c r="I186" s="464">
        <f t="shared" ca="1" si="6"/>
        <v>263418.36425504531</v>
      </c>
      <c r="J186" s="36"/>
      <c r="K186" s="5"/>
    </row>
    <row r="187" spans="1:11" x14ac:dyDescent="0.2">
      <c r="A187" s="460">
        <v>43221</v>
      </c>
      <c r="B187" s="435"/>
      <c r="C187" s="461">
        <f>+'Purchased Power Model '!C187</f>
        <v>166.17410702391345</v>
      </c>
      <c r="D187" s="461">
        <f ca="1">+'Purchased Power Model '!D187</f>
        <v>14.136286176978922</v>
      </c>
      <c r="E187" s="437">
        <f>+'Purchased Power Model '!E187</f>
        <v>6.5531039999999999E-2</v>
      </c>
      <c r="F187" s="462">
        <f>+'Purchased Power Model '!F187</f>
        <v>31</v>
      </c>
      <c r="G187" s="462">
        <f>+'Purchased Power Model '!G187</f>
        <v>1</v>
      </c>
      <c r="H187" s="465"/>
      <c r="I187" s="464">
        <f t="shared" ca="1" si="6"/>
        <v>267327.33024218876</v>
      </c>
      <c r="J187" s="36"/>
      <c r="K187" s="5"/>
    </row>
    <row r="188" spans="1:11" x14ac:dyDescent="0.2">
      <c r="A188" s="460">
        <v>43252</v>
      </c>
      <c r="B188" s="435"/>
      <c r="C188" s="461">
        <f>+'Purchased Power Model '!C188</f>
        <v>39.545998689196693</v>
      </c>
      <c r="D188" s="461">
        <f ca="1">+'Purchased Power Model '!D188</f>
        <v>31.915945079983338</v>
      </c>
      <c r="E188" s="437">
        <f>+'Purchased Power Model '!E188</f>
        <v>6.5531039999999999E-2</v>
      </c>
      <c r="F188" s="462">
        <f>+'Purchased Power Model '!F188</f>
        <v>30</v>
      </c>
      <c r="G188" s="462">
        <f>+'Purchased Power Model '!G188</f>
        <v>0</v>
      </c>
      <c r="H188" s="465"/>
      <c r="I188" s="464">
        <f t="shared" ca="1" si="6"/>
        <v>273479.46672529099</v>
      </c>
      <c r="J188" s="36"/>
      <c r="K188" s="5"/>
    </row>
    <row r="189" spans="1:11" x14ac:dyDescent="0.2">
      <c r="A189" s="460">
        <v>43282</v>
      </c>
      <c r="B189" s="435"/>
      <c r="C189" s="461">
        <f>+'Purchased Power Model '!C189</f>
        <v>2.4273758786207686</v>
      </c>
      <c r="D189" s="461">
        <f ca="1">+'Purchased Power Model '!D189</f>
        <v>87.951017606255462</v>
      </c>
      <c r="E189" s="437">
        <f>+'Purchased Power Model '!E189</f>
        <v>6.4656290000000005E-2</v>
      </c>
      <c r="F189" s="462">
        <f>+'Purchased Power Model '!F189</f>
        <v>31</v>
      </c>
      <c r="G189" s="462">
        <f>+'Purchased Power Model '!G189</f>
        <v>0</v>
      </c>
      <c r="H189" s="465"/>
      <c r="I189" s="464">
        <f t="shared" ca="1" si="6"/>
        <v>267895.57601786975</v>
      </c>
      <c r="J189" s="36"/>
      <c r="K189" s="5"/>
    </row>
    <row r="190" spans="1:11" x14ac:dyDescent="0.2">
      <c r="A190" s="460">
        <v>43313</v>
      </c>
      <c r="B190" s="435"/>
      <c r="C190" s="461">
        <f>+'Purchased Power Model '!C190</f>
        <v>1.4159692625287819</v>
      </c>
      <c r="D190" s="461">
        <f ca="1">+'Purchased Power Model '!D190</f>
        <v>98.80826832981144</v>
      </c>
      <c r="E190" s="437">
        <f>+'Purchased Power Model '!E190</f>
        <v>6.4656290000000005E-2</v>
      </c>
      <c r="F190" s="462">
        <f>+'Purchased Power Model '!F190</f>
        <v>31</v>
      </c>
      <c r="G190" s="462">
        <f>+'Purchased Power Model '!G190</f>
        <v>0</v>
      </c>
      <c r="H190" s="465"/>
      <c r="I190" s="464">
        <f t="shared" ca="1" si="6"/>
        <v>266441.17273783847</v>
      </c>
      <c r="J190" s="36"/>
      <c r="K190" s="5"/>
    </row>
    <row r="191" spans="1:11" x14ac:dyDescent="0.2">
      <c r="A191" s="460">
        <v>43344</v>
      </c>
      <c r="B191" s="435"/>
      <c r="C191" s="461">
        <f>+'Purchased Power Model '!C191</f>
        <v>51.379456097472939</v>
      </c>
      <c r="D191" s="461">
        <f ca="1">+'Purchased Power Model '!D191</f>
        <v>25.722211445739998</v>
      </c>
      <c r="E191" s="437">
        <f>+'Purchased Power Model '!E191</f>
        <v>6.4656290000000005E-2</v>
      </c>
      <c r="F191" s="462">
        <f>+'Purchased Power Model '!F191</f>
        <v>30</v>
      </c>
      <c r="G191" s="462">
        <f>+'Purchased Power Model '!G191</f>
        <v>1</v>
      </c>
      <c r="H191" s="465"/>
      <c r="I191" s="464">
        <f t="shared" ca="1" si="6"/>
        <v>269669.39414475998</v>
      </c>
      <c r="J191" s="36"/>
      <c r="K191" s="5"/>
    </row>
    <row r="192" spans="1:11" x14ac:dyDescent="0.2">
      <c r="A192" s="460">
        <v>43374</v>
      </c>
      <c r="B192" s="435"/>
      <c r="C192" s="461">
        <f>+'Purchased Power Model '!C192</f>
        <v>206.32694968276536</v>
      </c>
      <c r="D192" s="461">
        <f ca="1">+'Purchased Power Model '!D192</f>
        <v>0.21860236356152973</v>
      </c>
      <c r="E192" s="437">
        <f>+'Purchased Power Model '!E192</f>
        <v>6.3593549999999999E-2</v>
      </c>
      <c r="F192" s="462">
        <f>+'Purchased Power Model '!F192</f>
        <v>31</v>
      </c>
      <c r="G192" s="462">
        <f>+'Purchased Power Model '!G192</f>
        <v>1</v>
      </c>
      <c r="H192" s="465"/>
      <c r="I192" s="464">
        <f t="shared" ca="1" si="6"/>
        <v>271106.83723644924</v>
      </c>
      <c r="J192" s="36"/>
      <c r="K192" s="5"/>
    </row>
    <row r="193" spans="1:11" x14ac:dyDescent="0.2">
      <c r="A193" s="460">
        <v>43405</v>
      </c>
      <c r="B193" s="435"/>
      <c r="C193" s="461">
        <f>+'Purchased Power Model '!C193</f>
        <v>301.90487490345811</v>
      </c>
      <c r="D193" s="461">
        <f ca="1">+'Purchased Power Model '!D193</f>
        <v>0</v>
      </c>
      <c r="E193" s="437">
        <f>+'Purchased Power Model '!E193</f>
        <v>6.3593549999999999E-2</v>
      </c>
      <c r="F193" s="462">
        <f>+'Purchased Power Model '!F193</f>
        <v>30</v>
      </c>
      <c r="G193" s="462">
        <f>+'Purchased Power Model '!G193</f>
        <v>1</v>
      </c>
      <c r="H193" s="465"/>
      <c r="I193" s="464">
        <f t="shared" ca="1" si="6"/>
        <v>269035.32078590174</v>
      </c>
      <c r="J193" s="36"/>
      <c r="K193" s="5"/>
    </row>
    <row r="194" spans="1:11" x14ac:dyDescent="0.2">
      <c r="A194" s="460">
        <v>43435</v>
      </c>
      <c r="B194" s="435"/>
      <c r="C194" s="461">
        <f>+'Purchased Power Model '!C194</f>
        <v>488.91395821886647</v>
      </c>
      <c r="D194" s="461">
        <f ca="1">+'Purchased Power Model '!D194</f>
        <v>0</v>
      </c>
      <c r="E194" s="437">
        <f>+'Purchased Power Model '!E194</f>
        <v>6.3593549999999999E-2</v>
      </c>
      <c r="F194" s="462">
        <f>+'Purchased Power Model '!F194</f>
        <v>31</v>
      </c>
      <c r="G194" s="462">
        <f>+'Purchased Power Model '!G194</f>
        <v>0</v>
      </c>
      <c r="H194" s="465"/>
      <c r="I194" s="464">
        <f t="shared" ca="1" si="6"/>
        <v>270391.52755629114</v>
      </c>
      <c r="J194" s="36"/>
      <c r="K194" s="5"/>
    </row>
    <row r="195" spans="1:11" x14ac:dyDescent="0.2">
      <c r="A195" s="460">
        <v>43466</v>
      </c>
      <c r="B195" s="435"/>
      <c r="C195" s="461">
        <f>+'Purchased Power Model '!C195</f>
        <v>606.22673842566678</v>
      </c>
      <c r="D195" s="461">
        <f ca="1">+'Purchased Power Model '!D195</f>
        <v>0</v>
      </c>
      <c r="E195" s="437">
        <f>+'Purchased Power Model '!E195</f>
        <v>6.2343830000000003E-2</v>
      </c>
      <c r="F195" s="462">
        <f>+'Purchased Power Model '!F195</f>
        <v>31</v>
      </c>
      <c r="G195" s="462">
        <f>+'Purchased Power Model '!G195</f>
        <v>0</v>
      </c>
      <c r="H195" s="465"/>
      <c r="I195" s="464">
        <f t="shared" ca="1" si="6"/>
        <v>269540.28856174479</v>
      </c>
      <c r="J195" s="36"/>
      <c r="K195" s="5"/>
    </row>
    <row r="196" spans="1:11" x14ac:dyDescent="0.2">
      <c r="A196" s="460">
        <v>43497</v>
      </c>
      <c r="B196" s="435"/>
      <c r="C196" s="461">
        <f>+'Purchased Power Model '!C196</f>
        <v>525.25809870443049</v>
      </c>
      <c r="D196" s="461">
        <f ca="1">+'Purchased Power Model '!D196</f>
        <v>0</v>
      </c>
      <c r="E196" s="437">
        <f>+'Purchased Power Model '!E196</f>
        <v>6.2343830000000003E-2</v>
      </c>
      <c r="F196" s="462">
        <f>+'Purchased Power Model '!F196</f>
        <v>28</v>
      </c>
      <c r="G196" s="462">
        <f>+'Purchased Power Model '!G196</f>
        <v>0</v>
      </c>
      <c r="H196" s="465"/>
      <c r="I196" s="464">
        <f t="shared" ref="I196:I206" ca="1" si="11">$N$18+C196*$N$19+D196*$N$20+E196*$N$21+F196*$N$22+G196*$N$23</f>
        <v>271553.35433152976</v>
      </c>
      <c r="J196" s="36"/>
      <c r="K196" s="5"/>
    </row>
    <row r="197" spans="1:11" x14ac:dyDescent="0.2">
      <c r="A197" s="460">
        <v>43525</v>
      </c>
      <c r="B197" s="435"/>
      <c r="C197" s="461">
        <f>+'Purchased Power Model '!C197</f>
        <v>582.35137030273825</v>
      </c>
      <c r="D197" s="461">
        <f ca="1">+'Purchased Power Model '!D197</f>
        <v>0</v>
      </c>
      <c r="E197" s="437">
        <f>+'Purchased Power Model '!E197</f>
        <v>6.2343830000000003E-2</v>
      </c>
      <c r="F197" s="462">
        <f>+'Purchased Power Model '!F197</f>
        <v>31</v>
      </c>
      <c r="G197" s="462">
        <f>+'Purchased Power Model '!G197</f>
        <v>1</v>
      </c>
      <c r="H197" s="465"/>
      <c r="I197" s="464">
        <f t="shared" ca="1" si="11"/>
        <v>264433.69420946145</v>
      </c>
      <c r="J197" s="36"/>
      <c r="K197" s="5"/>
    </row>
    <row r="198" spans="1:11" x14ac:dyDescent="0.2">
      <c r="A198" s="460">
        <v>43556</v>
      </c>
      <c r="B198" s="435"/>
      <c r="C198" s="461">
        <f>+'Purchased Power Model '!C198</f>
        <v>425.67062939452069</v>
      </c>
      <c r="D198" s="461">
        <f ca="1">+'Purchased Power Model '!D198</f>
        <v>0</v>
      </c>
      <c r="E198" s="437">
        <f>+'Purchased Power Model '!E198</f>
        <v>6.0906349999999998E-2</v>
      </c>
      <c r="F198" s="462">
        <f>+'Purchased Power Model '!F198</f>
        <v>30</v>
      </c>
      <c r="G198" s="462">
        <f>+'Purchased Power Model '!G198</f>
        <v>1</v>
      </c>
      <c r="H198" s="465"/>
      <c r="I198" s="464">
        <f t="shared" ca="1" si="11"/>
        <v>270111.08025675098</v>
      </c>
      <c r="J198" s="36"/>
      <c r="K198" s="5"/>
    </row>
    <row r="199" spans="1:11" x14ac:dyDescent="0.2">
      <c r="A199" s="460">
        <v>43586</v>
      </c>
      <c r="B199" s="435"/>
      <c r="C199" s="461">
        <f>+'Purchased Power Model '!C199</f>
        <v>165.76839158454547</v>
      </c>
      <c r="D199" s="461">
        <f ca="1">+'Purchased Power Model '!D199</f>
        <v>14.271778592195387</v>
      </c>
      <c r="E199" s="437">
        <f>+'Purchased Power Model '!E199</f>
        <v>6.0906349999999998E-2</v>
      </c>
      <c r="F199" s="462">
        <f>+'Purchased Power Model '!F199</f>
        <v>31</v>
      </c>
      <c r="G199" s="462">
        <f>+'Purchased Power Model '!G199</f>
        <v>1</v>
      </c>
      <c r="H199" s="465"/>
      <c r="I199" s="464">
        <f t="shared" ca="1" si="11"/>
        <v>273987.22289735504</v>
      </c>
      <c r="J199" s="36"/>
      <c r="K199" s="5"/>
    </row>
    <row r="200" spans="1:11" x14ac:dyDescent="0.2">
      <c r="A200" s="460">
        <v>43617</v>
      </c>
      <c r="B200" s="435"/>
      <c r="C200" s="461">
        <f>+'Purchased Power Model '!C200</f>
        <v>39.449446810442659</v>
      </c>
      <c r="D200" s="461">
        <f ca="1">+'Purchased Power Model '!D200</f>
        <v>32.221850635987522</v>
      </c>
      <c r="E200" s="437">
        <f>+'Purchased Power Model '!E200</f>
        <v>6.0906349999999998E-2</v>
      </c>
      <c r="F200" s="462">
        <f>+'Purchased Power Model '!F200</f>
        <v>30</v>
      </c>
      <c r="G200" s="462">
        <f>+'Purchased Power Model '!G200</f>
        <v>0</v>
      </c>
      <c r="H200" s="465"/>
      <c r="I200" s="464">
        <f t="shared" ca="1" si="11"/>
        <v>280109.17951620941</v>
      </c>
      <c r="J200" s="36"/>
      <c r="K200" s="5"/>
    </row>
    <row r="201" spans="1:11" x14ac:dyDescent="0.2">
      <c r="A201" s="460">
        <v>43647</v>
      </c>
      <c r="B201" s="435"/>
      <c r="C201" s="461">
        <f>+'Purchased Power Model '!C201</f>
        <v>2.4214494205898305</v>
      </c>
      <c r="D201" s="461">
        <f ca="1">+'Purchased Power Model '!D201</f>
        <v>88.794003921545524</v>
      </c>
      <c r="E201" s="437">
        <f>+'Purchased Power Model '!E201</f>
        <v>5.928129E-2</v>
      </c>
      <c r="F201" s="462">
        <f>+'Purchased Power Model '!F201</f>
        <v>31</v>
      </c>
      <c r="G201" s="462">
        <f>+'Purchased Power Model '!G201</f>
        <v>0</v>
      </c>
      <c r="H201" s="465"/>
      <c r="I201" s="464">
        <f t="shared" ca="1" si="11"/>
        <v>275532.16529765067</v>
      </c>
      <c r="J201" s="36"/>
      <c r="K201" s="5"/>
    </row>
    <row r="202" spans="1:11" x14ac:dyDescent="0.2">
      <c r="A202" s="460">
        <v>43678</v>
      </c>
      <c r="B202" s="435"/>
      <c r="C202" s="461">
        <f>+'Purchased Power Model '!C202</f>
        <v>1.4125121620107346</v>
      </c>
      <c r="D202" s="461">
        <f ca="1">+'Purchased Power Model '!D202</f>
        <v>99.755318407303832</v>
      </c>
      <c r="E202" s="437">
        <f>+'Purchased Power Model '!E202</f>
        <v>5.928129E-2</v>
      </c>
      <c r="F202" s="462">
        <f>+'Purchased Power Model '!F202</f>
        <v>31</v>
      </c>
      <c r="G202" s="462">
        <f>+'Purchased Power Model '!G202</f>
        <v>0</v>
      </c>
      <c r="H202" s="465"/>
      <c r="I202" s="464">
        <f t="shared" ca="1" si="11"/>
        <v>274063.5468450464</v>
      </c>
      <c r="J202" s="36"/>
      <c r="K202" s="5"/>
    </row>
    <row r="203" spans="1:11" x14ac:dyDescent="0.2">
      <c r="A203" s="460">
        <v>43709</v>
      </c>
      <c r="B203" s="435"/>
      <c r="C203" s="461">
        <f>+'Purchased Power Model '!C203</f>
        <v>51.254012735818087</v>
      </c>
      <c r="D203" s="461">
        <f ca="1">+'Purchased Power Model '!D203</f>
        <v>25.968751768273048</v>
      </c>
      <c r="E203" s="437">
        <f>+'Purchased Power Model '!E203</f>
        <v>5.928129E-2</v>
      </c>
      <c r="F203" s="462">
        <f>+'Purchased Power Model '!F203</f>
        <v>30</v>
      </c>
      <c r="G203" s="462">
        <f>+'Purchased Power Model '!G203</f>
        <v>1</v>
      </c>
      <c r="H203" s="465"/>
      <c r="I203" s="464">
        <f t="shared" ca="1" si="11"/>
        <v>277389.84146582964</v>
      </c>
      <c r="J203" s="36"/>
      <c r="K203" s="5"/>
    </row>
    <row r="204" spans="1:11" x14ac:dyDescent="0.2">
      <c r="A204" s="460">
        <v>43739</v>
      </c>
      <c r="B204" s="435"/>
      <c r="C204" s="461">
        <f>+'Purchased Power Model '!C204</f>
        <v>205.82320075013561</v>
      </c>
      <c r="D204" s="461">
        <f ca="1">+'Purchased Power Model '!D204</f>
        <v>0.22069760709580494</v>
      </c>
      <c r="E204" s="437">
        <f>+'Purchased Power Model '!E204</f>
        <v>5.7468579999999998E-2</v>
      </c>
      <c r="F204" s="462">
        <f>+'Purchased Power Model '!F204</f>
        <v>31</v>
      </c>
      <c r="G204" s="462">
        <f>+'Purchased Power Model '!G204</f>
        <v>1</v>
      </c>
      <c r="H204" s="465"/>
      <c r="I204" s="464">
        <f t="shared" ca="1" si="11"/>
        <v>279950.61465832853</v>
      </c>
      <c r="J204" s="36"/>
      <c r="K204" s="5"/>
    </row>
    <row r="205" spans="1:11" x14ac:dyDescent="0.2">
      <c r="A205" s="460">
        <v>43770</v>
      </c>
      <c r="B205" s="435"/>
      <c r="C205" s="461">
        <f>+'Purchased Power Model '!C205</f>
        <v>301.1677716858602</v>
      </c>
      <c r="D205" s="461">
        <f ca="1">+'Purchased Power Model '!D205</f>
        <v>0</v>
      </c>
      <c r="E205" s="437">
        <f>+'Purchased Power Model '!E205</f>
        <v>5.7468579999999998E-2</v>
      </c>
      <c r="F205" s="462">
        <f>+'Purchased Power Model '!F205</f>
        <v>30</v>
      </c>
      <c r="G205" s="462">
        <f>+'Purchased Power Model '!G205</f>
        <v>1</v>
      </c>
      <c r="H205" s="465"/>
      <c r="I205" s="464">
        <f t="shared" ca="1" si="11"/>
        <v>277884.6613994175</v>
      </c>
      <c r="J205" s="36"/>
      <c r="K205" s="5"/>
    </row>
    <row r="206" spans="1:11" x14ac:dyDescent="0.2">
      <c r="A206" s="460">
        <v>43800</v>
      </c>
      <c r="B206" s="435"/>
      <c r="C206" s="461">
        <f>+'Purchased Power Model '!C206</f>
        <v>487.72027079713502</v>
      </c>
      <c r="D206" s="461">
        <f ca="1">+'Purchased Power Model '!D206</f>
        <v>0</v>
      </c>
      <c r="E206" s="437">
        <f>+'Purchased Power Model '!E206</f>
        <v>5.7468579999999998E-2</v>
      </c>
      <c r="F206" s="462">
        <f>+'Purchased Power Model '!F206</f>
        <v>31</v>
      </c>
      <c r="G206" s="462">
        <f>+'Purchased Power Model '!G206</f>
        <v>0</v>
      </c>
      <c r="H206" s="465"/>
      <c r="I206" s="464">
        <f t="shared" ca="1" si="11"/>
        <v>279251.19538200222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55" t="s">
        <v>60</v>
      </c>
      <c r="I208" s="43">
        <f ca="1">SUM(I3:I206)</f>
        <v>52866346.055204302</v>
      </c>
    </row>
    <row r="209" spans="1:11" x14ac:dyDescent="0.2">
      <c r="A209" s="3"/>
      <c r="C209" s="23"/>
      <c r="D209" s="23"/>
      <c r="F209" s="164"/>
      <c r="G209" s="164"/>
      <c r="H209"/>
      <c r="I209" s="164"/>
      <c r="J209" s="36"/>
      <c r="K209" s="5" t="s">
        <v>196</v>
      </c>
    </row>
    <row r="210" spans="1:11" x14ac:dyDescent="0.2">
      <c r="A210" s="16">
        <v>2003</v>
      </c>
      <c r="B210" s="6">
        <f>SUM(B3:B14)</f>
        <v>3600000</v>
      </c>
      <c r="C210" s="96"/>
      <c r="D210" s="23" t="s">
        <v>195</v>
      </c>
      <c r="E210" s="97" t="s">
        <v>107</v>
      </c>
      <c r="F210" s="164"/>
      <c r="G210" s="164"/>
      <c r="H210"/>
      <c r="I210" s="6">
        <f>SUM(I3:I14)</f>
        <v>3430188.2284512753</v>
      </c>
      <c r="J210" s="36">
        <f>I210-B210</f>
        <v>-169811.77154872473</v>
      </c>
      <c r="K210" s="5">
        <f>J210/B210</f>
        <v>-4.7169936541312428E-2</v>
      </c>
    </row>
    <row r="211" spans="1:11" x14ac:dyDescent="0.2">
      <c r="A211">
        <v>2004</v>
      </c>
      <c r="B211" s="6">
        <f>SUM(B15:B26)</f>
        <v>3600000</v>
      </c>
      <c r="C211" s="96">
        <f>+B211-B210</f>
        <v>0</v>
      </c>
      <c r="D211" s="98">
        <f>+C211/B210</f>
        <v>0</v>
      </c>
      <c r="E211" s="98">
        <f>RATE(1,0,-B$210,B211)</f>
        <v>-7.7878937866484453E-17</v>
      </c>
      <c r="F211" s="164"/>
      <c r="G211" s="164"/>
      <c r="H211"/>
      <c r="I211" s="6">
        <f>SUM(I15:I26)</f>
        <v>3404922.1350706685</v>
      </c>
      <c r="J211" s="36">
        <f t="shared" ref="J211:J226" si="12">I211-B211</f>
        <v>-195077.86492933147</v>
      </c>
      <c r="K211" s="5">
        <f t="shared" ref="K211:K226" si="13">J211/B211</f>
        <v>-5.4188295813703186E-2</v>
      </c>
    </row>
    <row r="212" spans="1:11" x14ac:dyDescent="0.2">
      <c r="A212" s="16">
        <v>2005</v>
      </c>
      <c r="B212" s="6">
        <f>SUM(B27:B38)</f>
        <v>3600000</v>
      </c>
      <c r="C212" s="96">
        <f t="shared" ref="C212:C226" si="14">+B212-B211</f>
        <v>0</v>
      </c>
      <c r="D212" s="98">
        <f t="shared" ref="D212:D226" si="15">+C212/B211</f>
        <v>0</v>
      </c>
      <c r="E212" s="98">
        <f>RATE(2,0,-B$210,B212)</f>
        <v>-7.6316599293886114E-17</v>
      </c>
      <c r="F212" s="164"/>
      <c r="G212" s="164"/>
      <c r="H212"/>
      <c r="I212" s="6">
        <f>SUM(I27:I38)</f>
        <v>3186327.9873522064</v>
      </c>
      <c r="J212" s="36">
        <f t="shared" si="12"/>
        <v>-413672.01264779363</v>
      </c>
      <c r="K212" s="5">
        <f t="shared" si="13"/>
        <v>-0.1149088924021649</v>
      </c>
    </row>
    <row r="213" spans="1:11" x14ac:dyDescent="0.2">
      <c r="A213">
        <v>2006</v>
      </c>
      <c r="B213" s="6">
        <f>SUM(B39:B50)</f>
        <v>3705188</v>
      </c>
      <c r="C213" s="96">
        <f t="shared" si="14"/>
        <v>105188</v>
      </c>
      <c r="D213" s="98">
        <f t="shared" si="15"/>
        <v>2.9218888888888888E-2</v>
      </c>
      <c r="E213" s="98">
        <f>RATE(3,0,-B$210,B213)</f>
        <v>9.6462797194698212E-3</v>
      </c>
      <c r="F213" s="164"/>
      <c r="G213" s="164"/>
      <c r="H213"/>
      <c r="I213" s="6">
        <f>SUM(I39:I50)</f>
        <v>3196321.2106111581</v>
      </c>
      <c r="J213" s="36">
        <f t="shared" si="12"/>
        <v>-508866.78938884195</v>
      </c>
      <c r="K213" s="5">
        <f t="shared" si="13"/>
        <v>-0.13733899316008849</v>
      </c>
    </row>
    <row r="214" spans="1:11" x14ac:dyDescent="0.2">
      <c r="A214" s="16">
        <v>2007</v>
      </c>
      <c r="B214" s="6">
        <f>SUM(B51:B62)</f>
        <v>3818865</v>
      </c>
      <c r="C214" s="96">
        <f t="shared" si="14"/>
        <v>113677</v>
      </c>
      <c r="D214" s="98">
        <f t="shared" si="15"/>
        <v>3.0680494485030178E-2</v>
      </c>
      <c r="E214" s="98">
        <f>RATE(1,0,-B$213,B214)</f>
        <v>3.0680494485030036E-2</v>
      </c>
      <c r="F214" s="164"/>
      <c r="G214" s="164"/>
      <c r="H214"/>
      <c r="I214" s="6">
        <f>SUM(I51:I62)</f>
        <v>3290447.8341701753</v>
      </c>
      <c r="J214" s="36">
        <f t="shared" si="12"/>
        <v>-528417.16582982475</v>
      </c>
      <c r="K214" s="5">
        <f t="shared" si="13"/>
        <v>-0.13837021361839832</v>
      </c>
    </row>
    <row r="215" spans="1:11" x14ac:dyDescent="0.2">
      <c r="A215">
        <v>2008</v>
      </c>
      <c r="B215" s="6">
        <f>SUM(B63:B74)</f>
        <v>3372873</v>
      </c>
      <c r="C215" s="96">
        <f t="shared" si="14"/>
        <v>-445992</v>
      </c>
      <c r="D215" s="98">
        <f t="shared" si="15"/>
        <v>-0.11678653212407351</v>
      </c>
      <c r="E215" s="98">
        <f>RATE(2,0,-B$213,B215)</f>
        <v>-4.5897859867088039E-2</v>
      </c>
      <c r="F215" s="164"/>
      <c r="G215" s="164"/>
      <c r="H215"/>
      <c r="I215" s="6">
        <f>SUM(I63:I74)</f>
        <v>3126241.4103860729</v>
      </c>
      <c r="J215" s="36">
        <f t="shared" si="12"/>
        <v>-246631.58961392706</v>
      </c>
      <c r="K215" s="5">
        <f t="shared" si="13"/>
        <v>-7.3122109730762788E-2</v>
      </c>
    </row>
    <row r="216" spans="1:11" x14ac:dyDescent="0.2">
      <c r="A216" s="16">
        <v>2009</v>
      </c>
      <c r="B216" s="6">
        <f>SUM(B75:B86)</f>
        <v>2825455</v>
      </c>
      <c r="C216" s="96">
        <f t="shared" si="14"/>
        <v>-547418</v>
      </c>
      <c r="D216" s="98">
        <f t="shared" si="15"/>
        <v>-0.16230021112564866</v>
      </c>
      <c r="E216" s="98">
        <f>RATE(3,0,-B$213,B216)</f>
        <v>-8.6393076677496503E-2</v>
      </c>
      <c r="F216" s="164"/>
      <c r="G216" s="164"/>
      <c r="H216"/>
      <c r="I216" s="6">
        <f>SUM(I75:I86)</f>
        <v>2760453.6058956594</v>
      </c>
      <c r="J216" s="36">
        <f t="shared" si="12"/>
        <v>-65001.394104340579</v>
      </c>
      <c r="K216" s="5">
        <f t="shared" si="13"/>
        <v>-2.3005637712984486E-2</v>
      </c>
    </row>
    <row r="217" spans="1:11" x14ac:dyDescent="0.2">
      <c r="A217">
        <v>2010</v>
      </c>
      <c r="B217" s="6">
        <f>SUM(B87:B98)</f>
        <v>2831501</v>
      </c>
      <c r="C217" s="96">
        <f t="shared" si="14"/>
        <v>6046</v>
      </c>
      <c r="D217" s="98">
        <f t="shared" si="15"/>
        <v>2.1398323455868169E-3</v>
      </c>
      <c r="E217" s="98">
        <f>RATE(4,0,-B$213,B217)</f>
        <v>-6.5021514379645193E-2</v>
      </c>
      <c r="F217" s="164"/>
      <c r="G217" s="164"/>
      <c r="H217"/>
      <c r="I217" s="6">
        <f>SUM(I87:I98)</f>
        <v>2611426.1516896053</v>
      </c>
      <c r="J217" s="36">
        <f t="shared" si="12"/>
        <v>-220074.84831039468</v>
      </c>
      <c r="K217" s="5">
        <f t="shared" si="13"/>
        <v>-7.7723740274290798E-2</v>
      </c>
    </row>
    <row r="218" spans="1:11" x14ac:dyDescent="0.2">
      <c r="A218">
        <v>2011</v>
      </c>
      <c r="B218" s="6">
        <f>SUM(B99:B110)</f>
        <v>2769028</v>
      </c>
      <c r="C218" s="96">
        <f t="shared" si="14"/>
        <v>-62473</v>
      </c>
      <c r="D218" s="98">
        <f t="shared" si="15"/>
        <v>-2.2063562753465389E-2</v>
      </c>
      <c r="E218" s="98">
        <f>RATE(5,0,-B$213,B218)</f>
        <v>-5.6583604122049977E-2</v>
      </c>
      <c r="F218" s="164"/>
      <c r="G218" s="164"/>
      <c r="H218"/>
      <c r="I218" s="6">
        <f>SUM(I99:I110)</f>
        <v>2911262.8871088312</v>
      </c>
      <c r="J218" s="36">
        <f t="shared" si="12"/>
        <v>142234.8871088312</v>
      </c>
      <c r="K218" s="5">
        <f t="shared" si="13"/>
        <v>5.136635928160755E-2</v>
      </c>
    </row>
    <row r="219" spans="1:11" x14ac:dyDescent="0.2">
      <c r="A219">
        <v>2012</v>
      </c>
      <c r="B219" s="6">
        <f>SUM(B111:B122)</f>
        <v>2745701</v>
      </c>
      <c r="C219" s="96">
        <f t="shared" si="14"/>
        <v>-23327</v>
      </c>
      <c r="D219" s="98">
        <f t="shared" si="15"/>
        <v>-8.4242557316141255E-3</v>
      </c>
      <c r="E219" s="98">
        <f>RATE(6,0,-B$213,B219)</f>
        <v>-4.8722629781163249E-2</v>
      </c>
      <c r="F219" s="164"/>
      <c r="G219" s="164"/>
      <c r="H219"/>
      <c r="I219" s="6">
        <f>SUM(I111:I122)</f>
        <v>2833216.3878635135</v>
      </c>
      <c r="J219" s="36">
        <f t="shared" si="12"/>
        <v>87515.387863513548</v>
      </c>
      <c r="K219" s="5">
        <f t="shared" si="13"/>
        <v>3.1873604541613795E-2</v>
      </c>
    </row>
    <row r="220" spans="1:11" x14ac:dyDescent="0.2">
      <c r="A220">
        <v>2013</v>
      </c>
      <c r="B220" s="6">
        <f>SUM(B123:B134)</f>
        <v>2752416</v>
      </c>
      <c r="C220" s="96">
        <f t="shared" si="14"/>
        <v>6715</v>
      </c>
      <c r="D220" s="98">
        <f t="shared" si="15"/>
        <v>2.4456413862980709E-3</v>
      </c>
      <c r="E220" s="98">
        <f>RATE(7,0,-B$213,B220)</f>
        <v>-4.1575980403681982E-2</v>
      </c>
      <c r="F220" s="164"/>
      <c r="G220" s="164"/>
      <c r="H220"/>
      <c r="I220" s="6">
        <f ca="1">SUM(I123:I134)</f>
        <v>3035423.9969600197</v>
      </c>
      <c r="J220" s="36">
        <f t="shared" ca="1" si="12"/>
        <v>283007.99696001969</v>
      </c>
      <c r="K220" s="5">
        <f t="shared" ca="1" si="13"/>
        <v>0.10282166538779737</v>
      </c>
    </row>
    <row r="221" spans="1:11" x14ac:dyDescent="0.2">
      <c r="A221">
        <v>2014</v>
      </c>
      <c r="B221" s="6">
        <f>SUM(B135:B146)</f>
        <v>2711219</v>
      </c>
      <c r="C221" s="96">
        <f t="shared" ref="C221" si="16">+B221-B220</f>
        <v>-41197</v>
      </c>
      <c r="D221" s="98">
        <f t="shared" ref="D221" si="17">+C221/B220</f>
        <v>-1.4967577575482775E-2</v>
      </c>
      <c r="E221" s="98">
        <f>RATE(8,0,-B$213,B221)</f>
        <v>-3.8289641514172183E-2</v>
      </c>
      <c r="F221" s="92"/>
      <c r="G221" s="164"/>
      <c r="H221"/>
      <c r="I221" s="6">
        <f>SUM(I135:I146)</f>
        <v>3078736.3201728016</v>
      </c>
      <c r="J221" s="36">
        <f t="shared" si="12"/>
        <v>367517.32017280161</v>
      </c>
      <c r="K221" s="5">
        <f t="shared" si="13"/>
        <v>0.13555427288345265</v>
      </c>
    </row>
    <row r="222" spans="1:11" x14ac:dyDescent="0.2">
      <c r="A222">
        <v>2015</v>
      </c>
      <c r="B222" s="6">
        <f>SUM(B147:B158)</f>
        <v>2512230</v>
      </c>
      <c r="C222" s="96">
        <f t="shared" si="14"/>
        <v>-198989</v>
      </c>
      <c r="D222" s="98">
        <f t="shared" si="15"/>
        <v>-7.3394661220653884E-2</v>
      </c>
      <c r="E222" s="98">
        <f>RATE(9,0,-B$213,B222)</f>
        <v>-4.225497349391634E-2</v>
      </c>
      <c r="F222" s="92"/>
      <c r="G222" s="164"/>
      <c r="H222"/>
      <c r="I222" s="6">
        <f>SUM(I147:I158)</f>
        <v>3021721.2454868667</v>
      </c>
      <c r="J222" s="36">
        <f t="shared" si="12"/>
        <v>509491.24548686668</v>
      </c>
      <c r="K222" s="5">
        <f t="shared" si="13"/>
        <v>0.20280437917183805</v>
      </c>
    </row>
    <row r="223" spans="1:11" x14ac:dyDescent="0.2">
      <c r="A223">
        <v>2016</v>
      </c>
      <c r="B223" s="6">
        <f>SUM(B159:B170)</f>
        <v>2500582</v>
      </c>
      <c r="C223" s="96">
        <f t="shared" si="14"/>
        <v>-11648</v>
      </c>
      <c r="D223" s="98">
        <f t="shared" si="15"/>
        <v>-4.6365181531945725E-3</v>
      </c>
      <c r="E223" s="98">
        <f>RATE(10,0,-B$213,B223)</f>
        <v>-3.8558010870427678E-2</v>
      </c>
      <c r="F223" s="92"/>
      <c r="G223" s="164"/>
      <c r="H223"/>
      <c r="I223" s="6">
        <f>SUM(I159:I170)</f>
        <v>3258182.6150669735</v>
      </c>
      <c r="J223" s="36">
        <f t="shared" si="12"/>
        <v>757600.61506697349</v>
      </c>
      <c r="K223" s="5">
        <f t="shared" si="13"/>
        <v>0.30296971467721256</v>
      </c>
    </row>
    <row r="224" spans="1:11" x14ac:dyDescent="0.2">
      <c r="A224">
        <v>2017</v>
      </c>
      <c r="B224" s="6">
        <f ca="1">+I224</f>
        <v>3220234.6905940063</v>
      </c>
      <c r="C224" s="96">
        <f t="shared" ca="1" si="14"/>
        <v>719652.69059400633</v>
      </c>
      <c r="D224" s="98">
        <f t="shared" ca="1" si="15"/>
        <v>0.28779407777629623</v>
      </c>
      <c r="E224" s="98">
        <f ca="1">RATE(11,0,-B$213,B224)</f>
        <v>-1.26717340500338E-2</v>
      </c>
      <c r="F224" s="92"/>
      <c r="G224" s="164"/>
      <c r="H224"/>
      <c r="I224" s="6">
        <f ca="1">SUM(I171:I182)</f>
        <v>3220234.6905940063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ca="1">+I225</f>
        <v>3207432.5035031396</v>
      </c>
      <c r="C225" s="96">
        <f t="shared" ca="1" si="14"/>
        <v>-12802.187090866733</v>
      </c>
      <c r="D225" s="98">
        <f t="shared" ca="1" si="15"/>
        <v>-3.975544741586904E-3</v>
      </c>
      <c r="E225" s="98">
        <f ca="1">RATE(12,0,-B$213,B225)</f>
        <v>-1.194996072680083E-2</v>
      </c>
      <c r="F225" s="92"/>
      <c r="G225" s="164"/>
      <c r="H225"/>
      <c r="I225" s="6">
        <f ca="1">SUM(I183:I194)</f>
        <v>3207432.5035031396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ca="1">+I226</f>
        <v>3293806.8448213269</v>
      </c>
      <c r="C226" s="96">
        <f t="shared" ca="1" si="14"/>
        <v>86374.341318187304</v>
      </c>
      <c r="D226" s="98">
        <f t="shared" ca="1" si="15"/>
        <v>2.6929433814694381E-2</v>
      </c>
      <c r="E226" s="98">
        <f ca="1">RATE(13,0,-B$213,B226)</f>
        <v>-9.0122218265980721E-3</v>
      </c>
      <c r="F226" s="92"/>
      <c r="G226" s="164"/>
      <c r="H226"/>
      <c r="I226" s="6">
        <f ca="1">SUM(I195:I206)</f>
        <v>3293806.8448213269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90"/>
      <c r="D227" s="164"/>
      <c r="F227" s="164"/>
      <c r="G227" s="164"/>
      <c r="H227"/>
      <c r="J227" s="164"/>
      <c r="K227" s="164"/>
    </row>
    <row r="228" spans="1:11" x14ac:dyDescent="0.2">
      <c r="A228" t="s">
        <v>9</v>
      </c>
      <c r="B228" s="6">
        <f ca="1">SUM(B210:B226)</f>
        <v>53066532.038918465</v>
      </c>
      <c r="C228" s="90"/>
      <c r="D228" s="164"/>
      <c r="F228" s="164"/>
      <c r="G228" s="164"/>
      <c r="H228"/>
      <c r="I228" s="6">
        <f ca="1">SUM(I210:I226)</f>
        <v>52866346.055204302</v>
      </c>
      <c r="J228" s="168">
        <f ca="1">I228-B228</f>
        <v>-200185.9837141633</v>
      </c>
      <c r="K228" s="164"/>
    </row>
    <row r="229" spans="1:11" x14ac:dyDescent="0.2">
      <c r="C229" s="164"/>
      <c r="D229" s="164"/>
      <c r="F229" s="164"/>
      <c r="G229" s="164"/>
      <c r="H229"/>
      <c r="I229" s="164"/>
      <c r="J229" s="54"/>
      <c r="K229" s="164"/>
    </row>
    <row r="230" spans="1:11" x14ac:dyDescent="0.2">
      <c r="C230" s="164"/>
      <c r="D230" s="164"/>
      <c r="F230" s="164"/>
      <c r="G230" s="164"/>
      <c r="H230"/>
      <c r="I230" s="6">
        <f ca="1">SUM(I210:I226)</f>
        <v>52866346.055204302</v>
      </c>
      <c r="J230" s="168">
        <f ca="1">I208-I230</f>
        <v>0</v>
      </c>
      <c r="K230" s="164"/>
    </row>
    <row r="231" spans="1:11" x14ac:dyDescent="0.2">
      <c r="C231" s="164"/>
      <c r="D231" s="164"/>
      <c r="F231" s="164"/>
      <c r="G231" s="164"/>
      <c r="H231"/>
      <c r="I231" s="23"/>
      <c r="J231" s="169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119"/>
  <sheetViews>
    <sheetView workbookViewId="0">
      <pane xSplit="1" ySplit="2" topLeftCell="B18" activePane="bottomRight" state="frozen"/>
      <selection pane="topRight"/>
      <selection pane="bottomLeft"/>
      <selection pane="bottomRight" activeCell="F25" sqref="F25:F26"/>
    </sheetView>
  </sheetViews>
  <sheetFormatPr defaultRowHeight="12.75" x14ac:dyDescent="0.2"/>
  <cols>
    <col min="1" max="1" width="26.85546875" customWidth="1"/>
    <col min="2" max="2" width="22.85546875" style="1" customWidth="1"/>
    <col min="3" max="5" width="18" style="1" customWidth="1"/>
    <col min="6" max="6" width="15.7109375" style="1" customWidth="1"/>
    <col min="7" max="7" width="15.85546875" style="6" customWidth="1"/>
    <col min="8" max="8" width="15" style="6" customWidth="1"/>
    <col min="9" max="10" width="14.140625" style="6" bestFit="1" customWidth="1"/>
    <col min="11" max="12" width="14.140625" style="6" customWidth="1"/>
    <col min="13" max="14" width="14.7109375" style="6" customWidth="1"/>
    <col min="15" max="15" width="12.5703125" style="6" customWidth="1"/>
    <col min="16" max="16" width="12.7109375" style="6" bestFit="1" customWidth="1"/>
    <col min="17" max="17" width="11.140625" style="6" bestFit="1" customWidth="1"/>
    <col min="18" max="18" width="11.7109375" style="6" bestFit="1" customWidth="1"/>
    <col min="19" max="19" width="10.7109375" style="6" bestFit="1" customWidth="1"/>
    <col min="20" max="20" width="9.140625" style="6"/>
    <col min="21" max="21" width="11.140625" style="6" bestFit="1" customWidth="1"/>
  </cols>
  <sheetData>
    <row r="2" spans="1:21" ht="42" customHeight="1" x14ac:dyDescent="0.2">
      <c r="B2" s="2" t="s">
        <v>6</v>
      </c>
      <c r="C2" s="2" t="s">
        <v>7</v>
      </c>
      <c r="D2" s="2" t="s">
        <v>41</v>
      </c>
      <c r="E2" s="2" t="s">
        <v>8</v>
      </c>
      <c r="F2" s="2" t="s">
        <v>1</v>
      </c>
      <c r="G2" s="7" t="s">
        <v>2</v>
      </c>
      <c r="H2" s="41" t="s">
        <v>71</v>
      </c>
      <c r="I2" s="57" t="s">
        <v>72</v>
      </c>
      <c r="J2" s="57" t="s">
        <v>73</v>
      </c>
      <c r="K2" s="57" t="s">
        <v>74</v>
      </c>
      <c r="L2" s="57" t="s">
        <v>77</v>
      </c>
      <c r="M2" s="57" t="s">
        <v>75</v>
      </c>
      <c r="N2" s="57" t="s">
        <v>78</v>
      </c>
      <c r="O2" s="42" t="s">
        <v>76</v>
      </c>
    </row>
    <row r="4" spans="1:21" x14ac:dyDescent="0.2">
      <c r="A4" s="18"/>
      <c r="B4" s="56" t="s">
        <v>70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 '!A210</f>
        <v>2003</v>
      </c>
      <c r="B7" s="6">
        <f>'Purchased Power Model '!B210</f>
        <v>1232724170</v>
      </c>
      <c r="C7" s="6">
        <f>'Purchased Power Model '!S210</f>
        <v>1232724170</v>
      </c>
      <c r="D7" s="36">
        <f t="shared" ref="D7" si="0">C7-B7</f>
        <v>0</v>
      </c>
      <c r="E7" s="5">
        <f t="shared" ref="E7" si="1">D7/B7</f>
        <v>0</v>
      </c>
      <c r="F7" s="443">
        <f t="shared" ref="F7:F17" si="2">1 +(B7-G7)/G7</f>
        <v>1.0843424198345466</v>
      </c>
      <c r="G7" s="50">
        <f t="shared" ref="G7:G14" si="3">SUM(H7:O7)</f>
        <v>1136840307.5</v>
      </c>
      <c r="H7" s="38">
        <f>Residential!B210-N7</f>
        <v>457616904</v>
      </c>
      <c r="I7" s="38">
        <f>'GS &lt; 50 kW'!B210-O7</f>
        <v>121224653</v>
      </c>
      <c r="J7" s="38">
        <f>'GS &gt; 50 kW'!B210</f>
        <v>281244125.5</v>
      </c>
      <c r="K7" s="38">
        <f>'Large User'!B210</f>
        <v>169257212.5</v>
      </c>
      <c r="L7" s="38">
        <f>'I2'!B210</f>
        <v>96172091</v>
      </c>
      <c r="M7" s="38">
        <f>Streetlights!B210</f>
        <v>8359780.5</v>
      </c>
      <c r="N7" s="38">
        <v>45541</v>
      </c>
      <c r="O7" s="38">
        <v>2920000</v>
      </c>
      <c r="P7" s="6">
        <f t="shared" ref="P7:P17" si="4">SUM(H7:O7)</f>
        <v>1136840307.5</v>
      </c>
    </row>
    <row r="8" spans="1:21" x14ac:dyDescent="0.2">
      <c r="A8">
        <f>'Purchased Power Model '!A211</f>
        <v>2004</v>
      </c>
      <c r="B8" s="6">
        <f>'Purchased Power Model '!B211</f>
        <v>1178441190</v>
      </c>
      <c r="C8" s="6">
        <f>'Purchased Power Model '!S211</f>
        <v>1178441190</v>
      </c>
      <c r="D8" s="36">
        <f t="shared" ref="D8:D23" si="5">C8-B8</f>
        <v>0</v>
      </c>
      <c r="E8" s="5">
        <f t="shared" ref="E8:E17" si="6">D8/B8</f>
        <v>0</v>
      </c>
      <c r="F8" s="443">
        <f t="shared" si="2"/>
        <v>1.0444391156043955</v>
      </c>
      <c r="G8" s="50">
        <f t="shared" si="3"/>
        <v>1128300513.0634735</v>
      </c>
      <c r="H8" s="38">
        <f>Residential!B211-N8</f>
        <v>448138859</v>
      </c>
      <c r="I8" s="38">
        <f>'GS &lt; 50 kW'!B211-O8</f>
        <v>129998490</v>
      </c>
      <c r="J8" s="38">
        <f>'GS &gt; 50 kW'!B211</f>
        <v>360631980</v>
      </c>
      <c r="K8" s="38">
        <f>'Large User'!B211</f>
        <v>112144196</v>
      </c>
      <c r="L8" s="38">
        <f>'I2'!B211</f>
        <v>65676068</v>
      </c>
      <c r="M8" s="38">
        <f>Streetlights!B211</f>
        <v>8743099.0634733941</v>
      </c>
      <c r="N8" s="38">
        <v>27821</v>
      </c>
      <c r="O8" s="38">
        <v>2940000</v>
      </c>
      <c r="P8" s="6">
        <f t="shared" si="4"/>
        <v>1128300513.0634735</v>
      </c>
    </row>
    <row r="9" spans="1:21" x14ac:dyDescent="0.2">
      <c r="A9">
        <f>'Purchased Power Model '!A212</f>
        <v>2005</v>
      </c>
      <c r="B9" s="6">
        <f>'Purchased Power Model '!B212</f>
        <v>1174501350</v>
      </c>
      <c r="C9" s="6">
        <f>'Purchased Power Model '!S212</f>
        <v>1174501350</v>
      </c>
      <c r="D9" s="36">
        <f t="shared" si="5"/>
        <v>0</v>
      </c>
      <c r="E9" s="5">
        <f t="shared" si="6"/>
        <v>0</v>
      </c>
      <c r="F9" s="443">
        <f t="shared" si="2"/>
        <v>1.0431377878987043</v>
      </c>
      <c r="G9" s="50">
        <f t="shared" si="3"/>
        <v>1125931170</v>
      </c>
      <c r="H9" s="38">
        <f>Residential!B212-N9</f>
        <v>485961504</v>
      </c>
      <c r="I9" s="38">
        <f>'GS &lt; 50 kW'!B212-O9</f>
        <v>135909028</v>
      </c>
      <c r="J9" s="38">
        <f>'GS &gt; 50 kW'!B212</f>
        <v>361962669</v>
      </c>
      <c r="K9" s="38">
        <f>'Large User'!B212</f>
        <v>62904833</v>
      </c>
      <c r="L9" s="38">
        <f>'I2'!B212</f>
        <v>67016961</v>
      </c>
      <c r="M9" s="38">
        <f>Streetlights!B212</f>
        <v>9182978</v>
      </c>
      <c r="N9" s="38">
        <v>43197</v>
      </c>
      <c r="O9" s="38">
        <v>2950000</v>
      </c>
      <c r="P9" s="6">
        <f t="shared" si="4"/>
        <v>1125931170</v>
      </c>
    </row>
    <row r="10" spans="1:21" x14ac:dyDescent="0.2">
      <c r="A10">
        <f>'Purchased Power Model '!A213</f>
        <v>2006</v>
      </c>
      <c r="B10" s="6">
        <f>'Purchased Power Model '!B213</f>
        <v>1151360440</v>
      </c>
      <c r="C10" s="6">
        <f>'Purchased Power Model '!S213</f>
        <v>1151360440</v>
      </c>
      <c r="D10" s="36">
        <f t="shared" si="5"/>
        <v>0</v>
      </c>
      <c r="E10" s="5">
        <f t="shared" si="6"/>
        <v>0</v>
      </c>
      <c r="F10" s="443">
        <f t="shared" si="2"/>
        <v>1.0363623127129424</v>
      </c>
      <c r="G10" s="50">
        <f t="shared" si="3"/>
        <v>1110963247</v>
      </c>
      <c r="H10" s="38">
        <f>Residential!B213-N10</f>
        <v>466401366</v>
      </c>
      <c r="I10" s="38">
        <f>'GS &lt; 50 kW'!B213</f>
        <v>134155770</v>
      </c>
      <c r="J10" s="38">
        <f>'GS &gt; 50 kW'!B213</f>
        <v>357086593</v>
      </c>
      <c r="K10" s="38">
        <f>'Large User'!B213</f>
        <v>59654446</v>
      </c>
      <c r="L10" s="38">
        <f>'I2'!B213</f>
        <v>80518764</v>
      </c>
      <c r="M10" s="38">
        <f>Streetlights!B213</f>
        <v>9398525</v>
      </c>
      <c r="N10" s="38">
        <v>42595</v>
      </c>
      <c r="O10" s="38">
        <f>USL!B213</f>
        <v>3705188</v>
      </c>
      <c r="P10" s="6">
        <f t="shared" si="4"/>
        <v>1110963247</v>
      </c>
    </row>
    <row r="11" spans="1:21" x14ac:dyDescent="0.2">
      <c r="A11">
        <f>'Purchased Power Model '!A214</f>
        <v>2007</v>
      </c>
      <c r="B11" s="6">
        <f>'Purchased Power Model '!B214</f>
        <v>1191153590</v>
      </c>
      <c r="C11" s="6">
        <f>'Purchased Power Model '!S214</f>
        <v>1191153590</v>
      </c>
      <c r="D11" s="36">
        <f t="shared" si="5"/>
        <v>0</v>
      </c>
      <c r="E11" s="5">
        <f t="shared" si="6"/>
        <v>0</v>
      </c>
      <c r="F11" s="443">
        <f t="shared" si="2"/>
        <v>1.0414361864542629</v>
      </c>
      <c r="G11" s="50">
        <f t="shared" si="3"/>
        <v>1143760516</v>
      </c>
      <c r="H11" s="38">
        <f>Residential!B214-N11</f>
        <v>473023155</v>
      </c>
      <c r="I11" s="38">
        <f>'GS &lt; 50 kW'!B214</f>
        <v>132346004</v>
      </c>
      <c r="J11" s="38">
        <f>'GS &gt; 50 kW'!B214</f>
        <v>359144720</v>
      </c>
      <c r="K11" s="38">
        <f>'Large User'!B214</f>
        <v>61811846</v>
      </c>
      <c r="L11" s="38">
        <f>'I2'!B214</f>
        <v>103869997</v>
      </c>
      <c r="M11" s="38">
        <f>Streetlights!B214</f>
        <v>9704521</v>
      </c>
      <c r="N11" s="38">
        <v>41408</v>
      </c>
      <c r="O11" s="38">
        <f>USL!B214</f>
        <v>3818865</v>
      </c>
      <c r="P11" s="6">
        <f t="shared" si="4"/>
        <v>1143760516</v>
      </c>
    </row>
    <row r="12" spans="1:21" x14ac:dyDescent="0.2">
      <c r="A12">
        <f>'Purchased Power Model '!A215</f>
        <v>2008</v>
      </c>
      <c r="B12" s="6">
        <f>'Purchased Power Model '!B215</f>
        <v>1158881926</v>
      </c>
      <c r="C12" s="6">
        <f>'Purchased Power Model '!S215</f>
        <v>1158881926</v>
      </c>
      <c r="D12" s="36">
        <f t="shared" si="5"/>
        <v>0</v>
      </c>
      <c r="E12" s="5">
        <f t="shared" si="6"/>
        <v>0</v>
      </c>
      <c r="F12" s="443">
        <f t="shared" si="2"/>
        <v>1.0372616891134989</v>
      </c>
      <c r="G12" s="50">
        <f t="shared" si="3"/>
        <v>1117251257</v>
      </c>
      <c r="H12" s="38">
        <f>Residential!B215-N12</f>
        <v>470718851</v>
      </c>
      <c r="I12" s="38">
        <f>'GS &lt; 50 kW'!B215</f>
        <v>131868017</v>
      </c>
      <c r="J12" s="38">
        <f>'GS &gt; 50 kW'!B215</f>
        <v>352632150</v>
      </c>
      <c r="K12" s="38">
        <f>'Large User'!B215</f>
        <v>46461021</v>
      </c>
      <c r="L12" s="38">
        <f>'I2'!B215</f>
        <v>102433272</v>
      </c>
      <c r="M12" s="38">
        <f>Streetlights!B215</f>
        <v>9725840</v>
      </c>
      <c r="N12" s="38">
        <v>39233</v>
      </c>
      <c r="O12" s="38">
        <f>USL!B215</f>
        <v>3372873</v>
      </c>
      <c r="P12" s="6">
        <f t="shared" si="4"/>
        <v>1117251257</v>
      </c>
    </row>
    <row r="13" spans="1:21" x14ac:dyDescent="0.2">
      <c r="A13">
        <f>'Purchased Power Model '!A216</f>
        <v>2009</v>
      </c>
      <c r="B13" s="6">
        <f>'Purchased Power Model '!B216</f>
        <v>1128390784.5107694</v>
      </c>
      <c r="C13" s="6">
        <f>'Purchased Power Model '!S216</f>
        <v>1128390784.5107694</v>
      </c>
      <c r="D13" s="36">
        <f t="shared" si="5"/>
        <v>0</v>
      </c>
      <c r="E13" s="5">
        <f t="shared" si="6"/>
        <v>0</v>
      </c>
      <c r="F13" s="443">
        <f t="shared" si="2"/>
        <v>1.0422349455190318</v>
      </c>
      <c r="G13" s="50">
        <f t="shared" si="3"/>
        <v>1082664508</v>
      </c>
      <c r="H13" s="38">
        <f>Residential!B216-N13</f>
        <v>467977819</v>
      </c>
      <c r="I13" s="38">
        <f>'GS &lt; 50 kW'!B216</f>
        <v>128019505</v>
      </c>
      <c r="J13" s="38">
        <f>'GS &gt; 50 kW'!B216</f>
        <v>349784301</v>
      </c>
      <c r="K13" s="38">
        <f>'Large User'!B216</f>
        <v>36580289</v>
      </c>
      <c r="L13" s="38">
        <f>'I2'!B216</f>
        <v>87237589</v>
      </c>
      <c r="M13" s="38">
        <f>Streetlights!B216</f>
        <v>10202758</v>
      </c>
      <c r="N13" s="38">
        <v>36792</v>
      </c>
      <c r="O13" s="38">
        <f>USL!B216</f>
        <v>2825455</v>
      </c>
      <c r="P13" s="6">
        <f t="shared" si="4"/>
        <v>1082664508</v>
      </c>
    </row>
    <row r="14" spans="1:21" x14ac:dyDescent="0.2">
      <c r="A14">
        <f>'Purchased Power Model '!A217</f>
        <v>2010</v>
      </c>
      <c r="B14" s="6">
        <f>'Purchased Power Model '!B217</f>
        <v>1148489331.8146157</v>
      </c>
      <c r="C14" s="6">
        <f>'Purchased Power Model '!S217</f>
        <v>1148489331.8146157</v>
      </c>
      <c r="D14" s="36">
        <f t="shared" si="5"/>
        <v>0</v>
      </c>
      <c r="E14" s="5">
        <f t="shared" si="6"/>
        <v>0</v>
      </c>
      <c r="F14" s="443">
        <f t="shared" si="2"/>
        <v>1.052753523421738</v>
      </c>
      <c r="G14" s="50">
        <f t="shared" si="3"/>
        <v>1090938483</v>
      </c>
      <c r="H14" s="38">
        <f>Residential!B217-N14</f>
        <v>476941035</v>
      </c>
      <c r="I14" s="38">
        <f>'GS &lt; 50 kW'!B217</f>
        <v>131282103</v>
      </c>
      <c r="J14" s="38">
        <f>'GS &gt; 50 kW'!B217</f>
        <v>355234224</v>
      </c>
      <c r="K14" s="38">
        <f>'Large User'!B217</f>
        <v>33402763</v>
      </c>
      <c r="L14" s="38">
        <f>'I2'!B217</f>
        <v>80783141</v>
      </c>
      <c r="M14" s="38">
        <f>Streetlights!B217</f>
        <v>10427904</v>
      </c>
      <c r="N14" s="38">
        <v>35812</v>
      </c>
      <c r="O14" s="38">
        <f>USL!B217</f>
        <v>2831501</v>
      </c>
      <c r="P14" s="6">
        <f t="shared" si="4"/>
        <v>1090938483</v>
      </c>
    </row>
    <row r="15" spans="1:21" x14ac:dyDescent="0.2">
      <c r="A15">
        <f>'Purchased Power Model '!A218</f>
        <v>2011</v>
      </c>
      <c r="B15" s="6">
        <f>'Purchased Power Model '!B218</f>
        <v>1148632387.3953846</v>
      </c>
      <c r="C15" s="6">
        <f>'Purchased Power Model '!S218</f>
        <v>1148632387.3953846</v>
      </c>
      <c r="D15" s="36">
        <f t="shared" si="5"/>
        <v>0</v>
      </c>
      <c r="E15" s="5">
        <f t="shared" si="6"/>
        <v>0</v>
      </c>
      <c r="F15" s="443">
        <f t="shared" si="2"/>
        <v>1.0343204804658166</v>
      </c>
      <c r="G15" s="50">
        <f t="shared" ref="G15:G17" si="7">SUM(H15:O15)</f>
        <v>1110518847</v>
      </c>
      <c r="H15" s="38">
        <f>Residential!B218-N15</f>
        <v>484582022</v>
      </c>
      <c r="I15" s="38">
        <f>'GS &lt; 50 kW'!B218</f>
        <v>135695878</v>
      </c>
      <c r="J15" s="38">
        <f>'GS &gt; 50 kW'!B218</f>
        <v>359534375</v>
      </c>
      <c r="K15" s="38">
        <f>'Large User'!B218</f>
        <v>37740699</v>
      </c>
      <c r="L15" s="38">
        <f>'I2'!B218</f>
        <v>79908016</v>
      </c>
      <c r="M15" s="38">
        <f>Streetlights!B218</f>
        <v>10253017</v>
      </c>
      <c r="N15" s="38">
        <v>35812</v>
      </c>
      <c r="O15" s="38">
        <f>USL!B218</f>
        <v>2769028</v>
      </c>
      <c r="P15" s="6">
        <f t="shared" si="4"/>
        <v>1110518847</v>
      </c>
    </row>
    <row r="16" spans="1:21" x14ac:dyDescent="0.2">
      <c r="A16">
        <f>'Purchased Power Model '!A219</f>
        <v>2012</v>
      </c>
      <c r="B16" s="6">
        <f>'Purchased Power Model '!B219</f>
        <v>1136211952.670979</v>
      </c>
      <c r="C16" s="6">
        <f>'Purchased Power Model '!S219</f>
        <v>1136211952.670979</v>
      </c>
      <c r="D16" s="36">
        <f t="shared" si="5"/>
        <v>0</v>
      </c>
      <c r="E16" s="5">
        <f t="shared" si="6"/>
        <v>0</v>
      </c>
      <c r="F16" s="443">
        <f t="shared" si="2"/>
        <v>1.0581384050896951</v>
      </c>
      <c r="G16" s="50">
        <f t="shared" si="7"/>
        <v>1073783871</v>
      </c>
      <c r="H16" s="38">
        <f>Residential!B219-N16</f>
        <v>473288468</v>
      </c>
      <c r="I16" s="38">
        <f>'GS &lt; 50 kW'!B219</f>
        <v>131590801</v>
      </c>
      <c r="J16" s="38">
        <f>'GS &gt; 50 kW'!B219</f>
        <v>338342507</v>
      </c>
      <c r="K16" s="38">
        <f>'Large User'!B219</f>
        <v>40812737</v>
      </c>
      <c r="L16" s="38">
        <f>'I2'!B219</f>
        <v>76828137</v>
      </c>
      <c r="M16" s="38">
        <f>Streetlights!B219</f>
        <v>10139708</v>
      </c>
      <c r="N16" s="38">
        <v>35812</v>
      </c>
      <c r="O16" s="38">
        <f>USL!B219</f>
        <v>2745701</v>
      </c>
      <c r="P16" s="6">
        <f t="shared" si="4"/>
        <v>1073783871</v>
      </c>
    </row>
    <row r="17" spans="1:17" x14ac:dyDescent="0.2">
      <c r="A17">
        <f>'Purchased Power Model '!A220</f>
        <v>2013</v>
      </c>
      <c r="B17" s="6">
        <f>'Purchased Power Model '!B220</f>
        <v>1130407041.6666667</v>
      </c>
      <c r="C17" s="6">
        <f>'Purchased Power Model '!S220</f>
        <v>1130407041.6666667</v>
      </c>
      <c r="D17" s="36">
        <f t="shared" si="5"/>
        <v>0</v>
      </c>
      <c r="E17" s="5">
        <f t="shared" si="6"/>
        <v>0</v>
      </c>
      <c r="F17" s="443">
        <f t="shared" si="2"/>
        <v>1.0484582752843845</v>
      </c>
      <c r="G17" s="50">
        <f t="shared" si="7"/>
        <v>1078161209</v>
      </c>
      <c r="H17" s="38">
        <f>Residential!B220-N17</f>
        <v>475282449</v>
      </c>
      <c r="I17" s="38">
        <f>'GS &lt; 50 kW'!B220</f>
        <v>132382128</v>
      </c>
      <c r="J17" s="38">
        <f>'GS &gt; 50 kW'!B220</f>
        <v>337123668</v>
      </c>
      <c r="K17" s="38">
        <f>'Large User'!B220</f>
        <v>42326219</v>
      </c>
      <c r="L17" s="38">
        <f>'I2'!B220</f>
        <v>79176233</v>
      </c>
      <c r="M17" s="38">
        <f>Streetlights!B220</f>
        <v>9082284</v>
      </c>
      <c r="N17" s="38">
        <v>35812</v>
      </c>
      <c r="O17" s="38">
        <f>USL!B220</f>
        <v>2752416</v>
      </c>
      <c r="P17" s="6">
        <f t="shared" si="4"/>
        <v>1078161209</v>
      </c>
    </row>
    <row r="18" spans="1:17" x14ac:dyDescent="0.2">
      <c r="A18">
        <f>'Purchased Power Model '!A221</f>
        <v>2014</v>
      </c>
      <c r="B18" s="6">
        <f>'Purchased Power Model '!B221</f>
        <v>1134970142.7733078</v>
      </c>
      <c r="C18" s="27">
        <f>'Purchased Power Model '!S221</f>
        <v>1134970142.7733078</v>
      </c>
      <c r="D18" s="36">
        <f t="shared" si="5"/>
        <v>0</v>
      </c>
      <c r="E18" s="5">
        <f t="shared" ref="E18" si="8">D18/B18</f>
        <v>0</v>
      </c>
      <c r="F18" s="443">
        <f t="shared" ref="F18" si="9">1 +(B18-G18)/G18</f>
        <v>1.0396904271675524</v>
      </c>
      <c r="G18" s="50">
        <f t="shared" ref="G18:G20" si="10">SUM(H18:O18)</f>
        <v>1091642390</v>
      </c>
      <c r="H18" s="38">
        <f>Residential!B221-N18</f>
        <v>485503507</v>
      </c>
      <c r="I18" s="38">
        <f>'GS &lt; 50 kW'!B221</f>
        <v>133729082</v>
      </c>
      <c r="J18" s="38">
        <f>'GS &gt; 50 kW'!B221</f>
        <v>336406114</v>
      </c>
      <c r="K18" s="38">
        <f>'Large User'!B221</f>
        <v>42700435</v>
      </c>
      <c r="L18" s="38">
        <f>'I2'!B221</f>
        <v>81400346</v>
      </c>
      <c r="M18" s="38">
        <f>Streetlights!B221</f>
        <v>9155875</v>
      </c>
      <c r="N18" s="38">
        <v>35812</v>
      </c>
      <c r="O18" s="38">
        <f>USL!B221</f>
        <v>2711219</v>
      </c>
      <c r="P18" s="6">
        <f t="shared" ref="P18" si="11">SUM(H18:O18)</f>
        <v>1091642390</v>
      </c>
      <c r="Q18" s="6">
        <f>+P18-G18</f>
        <v>0</v>
      </c>
    </row>
    <row r="19" spans="1:17" x14ac:dyDescent="0.2">
      <c r="A19">
        <f>'Purchased Power Model '!A222</f>
        <v>2015</v>
      </c>
      <c r="B19" s="6">
        <f>'Purchased Power Model '!B222</f>
        <v>1123341031.2123077</v>
      </c>
      <c r="C19" s="364">
        <f>'Purchased Power Model '!S222</f>
        <v>1123341031.2123077</v>
      </c>
      <c r="D19" s="36">
        <f t="shared" si="5"/>
        <v>0</v>
      </c>
      <c r="E19" s="5">
        <f t="shared" ref="E19:E20" si="12">D19/B19</f>
        <v>0</v>
      </c>
      <c r="F19" s="443">
        <f>1 +(B19-G19)/G19</f>
        <v>1.0403613240746523</v>
      </c>
      <c r="G19" s="50">
        <f t="shared" si="10"/>
        <v>1079760469</v>
      </c>
      <c r="H19" s="38">
        <f>Residential!B222-N19</f>
        <v>479177852</v>
      </c>
      <c r="I19" s="38">
        <f>'GS &lt; 50 kW'!B222</f>
        <v>132197810</v>
      </c>
      <c r="J19" s="38">
        <f>'GS &gt; 50 kW'!B222</f>
        <v>333350818</v>
      </c>
      <c r="K19" s="38">
        <f>'Large User'!B222</f>
        <v>41948976</v>
      </c>
      <c r="L19" s="38">
        <f>'I2'!B222</f>
        <v>81234207</v>
      </c>
      <c r="M19" s="38">
        <f>Streetlights!B222</f>
        <v>9302763</v>
      </c>
      <c r="N19" s="38">
        <v>35813</v>
      </c>
      <c r="O19" s="38">
        <f>USL!B222</f>
        <v>2512230</v>
      </c>
      <c r="P19" s="6">
        <f t="shared" ref="P19:P23" si="13">SUM(H19:O19)</f>
        <v>1079760469</v>
      </c>
      <c r="Q19" s="6">
        <f t="shared" ref="Q19:Q23" si="14">+P19-G19</f>
        <v>0</v>
      </c>
    </row>
    <row r="20" spans="1:17" x14ac:dyDescent="0.2">
      <c r="A20">
        <f>'Purchased Power Model '!A223</f>
        <v>2016</v>
      </c>
      <c r="B20" s="6">
        <f>'Purchased Power Model '!B223</f>
        <v>1122027434.2815385</v>
      </c>
      <c r="C20" s="364">
        <f>'Purchased Power Model '!S223</f>
        <v>1122027434.2815385</v>
      </c>
      <c r="D20" s="36">
        <f t="shared" si="5"/>
        <v>0</v>
      </c>
      <c r="E20" s="5">
        <f t="shared" si="12"/>
        <v>0</v>
      </c>
      <c r="F20" s="443">
        <f>1 +(B20-G20)/G20</f>
        <v>1.0442963623873105</v>
      </c>
      <c r="G20" s="50">
        <f t="shared" si="10"/>
        <v>1074433920</v>
      </c>
      <c r="H20" s="38">
        <f>Residential!B223-N20</f>
        <v>477455153</v>
      </c>
      <c r="I20" s="38">
        <f>'GS &lt; 50 kW'!B223</f>
        <v>130049530</v>
      </c>
      <c r="J20" s="38">
        <f>'GS &gt; 50 kW'!B223</f>
        <v>330168199</v>
      </c>
      <c r="K20" s="38">
        <f>'Large User'!B223</f>
        <v>41438246</v>
      </c>
      <c r="L20" s="38">
        <f>'I2'!B223</f>
        <v>83295745</v>
      </c>
      <c r="M20" s="38">
        <f>Streetlights!B223</f>
        <v>9490651</v>
      </c>
      <c r="N20" s="38">
        <v>35814</v>
      </c>
      <c r="O20" s="38">
        <f>USL!B223</f>
        <v>2500582</v>
      </c>
      <c r="P20" s="6">
        <f t="shared" si="13"/>
        <v>1074433920</v>
      </c>
      <c r="Q20" s="6">
        <f t="shared" si="14"/>
        <v>0</v>
      </c>
    </row>
    <row r="21" spans="1:17" x14ac:dyDescent="0.2">
      <c r="A21">
        <f>'Purchased Power Model '!A224</f>
        <v>2017</v>
      </c>
      <c r="B21" s="6">
        <f>'Purchased Power Model '!B224</f>
        <v>1115920797.7611427</v>
      </c>
      <c r="C21" s="364">
        <f>'Purchased Power Model '!B224</f>
        <v>1115920797.7611427</v>
      </c>
      <c r="D21" s="36">
        <f t="shared" si="5"/>
        <v>0</v>
      </c>
      <c r="E21" s="5">
        <f t="shared" ref="E21:E23" si="15">D21/B21</f>
        <v>0</v>
      </c>
      <c r="F21" s="443">
        <f>1 +(B21-G21)/G21</f>
        <v>1.0358754734164299</v>
      </c>
      <c r="G21" s="21">
        <f>C21/$F$25</f>
        <v>1077273114.7699778</v>
      </c>
      <c r="H21" s="6">
        <f t="shared" ref="H21:O23" si="16">+H80</f>
        <v>483401337.81150025</v>
      </c>
      <c r="I21" s="6">
        <f t="shared" si="16"/>
        <v>130692803.978958</v>
      </c>
      <c r="J21" s="6">
        <f t="shared" si="16"/>
        <v>330627162.70894676</v>
      </c>
      <c r="K21" s="6">
        <f t="shared" si="16"/>
        <v>40933734.152569443</v>
      </c>
      <c r="L21" s="6">
        <f t="shared" si="16"/>
        <v>79319917.76367189</v>
      </c>
      <c r="M21" s="6">
        <f t="shared" si="16"/>
        <v>9687238.5400217902</v>
      </c>
      <c r="N21" s="6">
        <f t="shared" si="16"/>
        <v>34829.021613311925</v>
      </c>
      <c r="O21" s="6">
        <f t="shared" si="16"/>
        <v>2576090.7926964159</v>
      </c>
      <c r="P21" s="6">
        <f t="shared" si="13"/>
        <v>1077273114.7699778</v>
      </c>
      <c r="Q21" s="6">
        <f t="shared" si="14"/>
        <v>0</v>
      </c>
    </row>
    <row r="22" spans="1:17" x14ac:dyDescent="0.2">
      <c r="A22">
        <f>'Purchased Power Model '!A225</f>
        <v>2018</v>
      </c>
      <c r="B22" s="6">
        <f>'Purchased Power Model '!B225</f>
        <v>1111394475.2315521</v>
      </c>
      <c r="C22" s="364">
        <f>'Purchased Power Model '!B225</f>
        <v>1111394475.2315521</v>
      </c>
      <c r="D22" s="36">
        <f t="shared" si="5"/>
        <v>0</v>
      </c>
      <c r="E22" s="5">
        <f t="shared" si="15"/>
        <v>0</v>
      </c>
      <c r="F22" s="443">
        <f>1 +(B22-G22)/G22</f>
        <v>1.0358754734164299</v>
      </c>
      <c r="G22" s="21">
        <f>C22/$F$25</f>
        <v>1072903552.3604515</v>
      </c>
      <c r="H22" s="6">
        <f t="shared" si="16"/>
        <v>485745784.6546948</v>
      </c>
      <c r="I22" s="6">
        <f t="shared" si="16"/>
        <v>130352838.87466843</v>
      </c>
      <c r="J22" s="6">
        <f t="shared" si="16"/>
        <v>328751032.02198231</v>
      </c>
      <c r="K22" s="6">
        <f t="shared" si="16"/>
        <v>40435364.751520373</v>
      </c>
      <c r="L22" s="6">
        <f t="shared" si="16"/>
        <v>75042883.082226098</v>
      </c>
      <c r="M22" s="6">
        <f t="shared" si="16"/>
        <v>9887898.1569634676</v>
      </c>
      <c r="N22" s="6">
        <f t="shared" si="16"/>
        <v>33871.132700635215</v>
      </c>
      <c r="O22" s="6">
        <f t="shared" si="16"/>
        <v>2653879.6856952701</v>
      </c>
      <c r="P22" s="6">
        <f t="shared" si="13"/>
        <v>1072903552.3604515</v>
      </c>
      <c r="Q22" s="6">
        <f t="shared" si="14"/>
        <v>0</v>
      </c>
    </row>
    <row r="23" spans="1:17" x14ac:dyDescent="0.2">
      <c r="A23">
        <f>'Purchased Power Model '!A226</f>
        <v>2019</v>
      </c>
      <c r="B23" s="6">
        <f>'Purchased Power Model '!B226</f>
        <v>1106868152.7019615</v>
      </c>
      <c r="C23" s="364">
        <f>'Purchased Power Model '!B226</f>
        <v>1106868152.7019615</v>
      </c>
      <c r="D23" s="36">
        <f t="shared" si="5"/>
        <v>0</v>
      </c>
      <c r="E23" s="5">
        <f t="shared" si="15"/>
        <v>0</v>
      </c>
      <c r="F23" s="443">
        <f t="shared" ref="F23" si="17">1 +(B23-G23)/G23</f>
        <v>1.0358754734164299</v>
      </c>
      <c r="G23" s="21">
        <f>C23/$F$25</f>
        <v>1068533989.9509252</v>
      </c>
      <c r="H23" s="6">
        <f t="shared" si="16"/>
        <v>487969934.77356982</v>
      </c>
      <c r="I23" s="6">
        <f t="shared" si="16"/>
        <v>129978686.45671172</v>
      </c>
      <c r="J23" s="6">
        <f t="shared" si="16"/>
        <v>326802732.18700236</v>
      </c>
      <c r="K23" s="6">
        <f t="shared" si="16"/>
        <v>39943063.012389861</v>
      </c>
      <c r="L23" s="6">
        <f t="shared" si="16"/>
        <v>70979902.203952119</v>
      </c>
      <c r="M23" s="6">
        <f t="shared" si="16"/>
        <v>10092714.199051986</v>
      </c>
      <c r="N23" s="6">
        <f t="shared" si="16"/>
        <v>32939.588230797461</v>
      </c>
      <c r="O23" s="6">
        <f t="shared" si="16"/>
        <v>2734017.5300164702</v>
      </c>
      <c r="P23" s="6">
        <f t="shared" si="13"/>
        <v>1068533989.9509252</v>
      </c>
      <c r="Q23" s="6">
        <f t="shared" si="14"/>
        <v>0</v>
      </c>
    </row>
    <row r="25" spans="1:17" x14ac:dyDescent="0.2">
      <c r="A25" s="19" t="s">
        <v>12</v>
      </c>
      <c r="E25" s="367" t="s">
        <v>285</v>
      </c>
      <c r="F25" s="175">
        <v>1.0358754734164299</v>
      </c>
      <c r="G25" s="169" t="s">
        <v>203</v>
      </c>
      <c r="H25" s="169"/>
      <c r="I25" s="169"/>
      <c r="J25" s="169"/>
    </row>
    <row r="26" spans="1:17" x14ac:dyDescent="0.2">
      <c r="E26" t="s">
        <v>74</v>
      </c>
      <c r="F26" s="175">
        <v>1.0358754734164299</v>
      </c>
      <c r="G26" s="169" t="s">
        <v>204</v>
      </c>
      <c r="H26" s="169"/>
      <c r="I26" s="169"/>
      <c r="J26" s="169"/>
    </row>
    <row r="27" spans="1:17" x14ac:dyDescent="0.2">
      <c r="E27"/>
      <c r="G27" s="174" t="s">
        <v>104</v>
      </c>
      <c r="H27" s="169"/>
      <c r="I27" s="169"/>
      <c r="J27" s="169"/>
    </row>
    <row r="28" spans="1:17" x14ac:dyDescent="0.2">
      <c r="A28" s="22" t="s">
        <v>14</v>
      </c>
      <c r="B28" s="13"/>
      <c r="F28" s="92"/>
    </row>
    <row r="30" spans="1:17" x14ac:dyDescent="0.2">
      <c r="A30">
        <f t="shared" ref="A30:A39" si="18">A7</f>
        <v>2003</v>
      </c>
      <c r="G30" s="27">
        <f>G7/'Rate Class Customer Model'!J3</f>
        <v>19614.052803202179</v>
      </c>
      <c r="H30" s="27">
        <f>H7/'Rate Class Customer Model'!B3</f>
        <v>10563.762370295133</v>
      </c>
      <c r="I30" s="27">
        <f>I7/'Rate Class Customer Model'!C3</f>
        <v>32861.114936297097</v>
      </c>
      <c r="J30" s="27">
        <f>J7/'Rate Class Customer Model'!D3</f>
        <v>503120.08139534883</v>
      </c>
      <c r="K30" s="27">
        <f>K7/'Rate Class Customer Model'!E3</f>
        <v>67702885</v>
      </c>
      <c r="L30" s="27">
        <f>L7/'Rate Class Customer Model'!F3</f>
        <v>19234418.199999999</v>
      </c>
      <c r="M30" s="27">
        <f>M7/'Rate Class Customer Model'!G3</f>
        <v>831.07470921562776</v>
      </c>
      <c r="N30" s="27">
        <f>N7/'Rate Class Customer Model'!H3</f>
        <v>1320.0289855072465</v>
      </c>
      <c r="O30" s="27">
        <f>O7/'Rate Class Customer Model'!I3</f>
        <v>10000</v>
      </c>
      <c r="P30" s="27">
        <f>P7/'Rate Class Customer Model'!J3</f>
        <v>19614.052803202179</v>
      </c>
    </row>
    <row r="31" spans="1:17" x14ac:dyDescent="0.2">
      <c r="A31">
        <f t="shared" si="18"/>
        <v>2004</v>
      </c>
      <c r="G31" s="27">
        <f>G8/'Rate Class Customer Model'!J4</f>
        <v>19211.491696196583</v>
      </c>
      <c r="H31" s="27">
        <f>H8/'Rate Class Customer Model'!B4</f>
        <v>10189.721552086768</v>
      </c>
      <c r="I31" s="27">
        <f>I8/'Rate Class Customer Model'!C4</f>
        <v>35846.819247208055</v>
      </c>
      <c r="J31" s="27">
        <f>J8/'Rate Class Customer Model'!D4</f>
        <v>680437.69811320759</v>
      </c>
      <c r="K31" s="27">
        <f>K8/'Rate Class Customer Model'!E4</f>
        <v>44857678.399999999</v>
      </c>
      <c r="L31" s="27">
        <f>L8/'Rate Class Customer Model'!F4</f>
        <v>10946011.333333334</v>
      </c>
      <c r="M31" s="27">
        <f>M8/'Rate Class Customer Model'!G4</f>
        <v>851.98782532385439</v>
      </c>
      <c r="N31" s="27">
        <f>N8/'Rate Class Customer Model'!H4</f>
        <v>927.36666666666667</v>
      </c>
      <c r="O31" s="27">
        <f>O8/'Rate Class Customer Model'!I4</f>
        <v>10000</v>
      </c>
      <c r="P31" s="27">
        <f>P8/'Rate Class Customer Model'!J4</f>
        <v>19211.491696196583</v>
      </c>
    </row>
    <row r="32" spans="1:17" x14ac:dyDescent="0.2">
      <c r="A32">
        <f t="shared" si="18"/>
        <v>2005</v>
      </c>
      <c r="G32" s="27">
        <f>G9/'Rate Class Customer Model'!J5</f>
        <v>18886.867624487331</v>
      </c>
      <c r="H32" s="27">
        <f>H9/'Rate Class Customer Model'!B5</f>
        <v>10896.364317185555</v>
      </c>
      <c r="I32" s="27">
        <f>I9/'Rate Class Customer Model'!C5</f>
        <v>37113.333697433096</v>
      </c>
      <c r="J32" s="27">
        <f>J9/'Rate Class Customer Model'!D5</f>
        <v>694079.90220517735</v>
      </c>
      <c r="K32" s="27">
        <f>K9/'Rate Class Customer Model'!E5</f>
        <v>31452416.5</v>
      </c>
      <c r="L32" s="27">
        <f>L9/'Rate Class Customer Model'!F5</f>
        <v>8935594.8000000007</v>
      </c>
      <c r="M32" s="27">
        <f>M9/'Rate Class Customer Model'!G5</f>
        <v>874.69428966042767</v>
      </c>
      <c r="N32" s="27">
        <f>N9/'Rate Class Customer Model'!H5</f>
        <v>1464.3050847457628</v>
      </c>
      <c r="O32" s="27">
        <f>O9/'Rate Class Customer Model'!I5</f>
        <v>10000</v>
      </c>
      <c r="P32" s="27">
        <f>P9/'Rate Class Customer Model'!J5</f>
        <v>18886.867624487331</v>
      </c>
    </row>
    <row r="33" spans="1:16" x14ac:dyDescent="0.2">
      <c r="A33">
        <f t="shared" si="18"/>
        <v>2006</v>
      </c>
      <c r="G33" s="27">
        <f>G10/'Rate Class Customer Model'!J6</f>
        <v>18250.65911536408</v>
      </c>
      <c r="H33" s="27">
        <f>H10/'Rate Class Customer Model'!B6</f>
        <v>10264.340456436101</v>
      </c>
      <c r="I33" s="27">
        <f>I10/'Rate Class Customer Model'!C6</f>
        <v>35865.731854030208</v>
      </c>
      <c r="J33" s="27">
        <f>J10/'Rate Class Customer Model'!D6</f>
        <v>680164.939047619</v>
      </c>
      <c r="K33" s="27">
        <f>K10/'Rate Class Customer Model'!E6</f>
        <v>29827223</v>
      </c>
      <c r="L33" s="27">
        <f>L10/'Rate Class Customer Model'!F6</f>
        <v>9472795.7647058815</v>
      </c>
      <c r="M33" s="27">
        <f>M10/'Rate Class Customer Model'!G6</f>
        <v>867.7430523497369</v>
      </c>
      <c r="N33" s="27">
        <f>N10/'Rate Class Customer Model'!H6</f>
        <v>1494.5614035087719</v>
      </c>
      <c r="O33" s="27">
        <f>O10/'Rate Class Customer Model'!I6</f>
        <v>12433.51677852349</v>
      </c>
      <c r="P33" s="27">
        <f>P10/'Rate Class Customer Model'!J6</f>
        <v>18250.65911536408</v>
      </c>
    </row>
    <row r="34" spans="1:16" x14ac:dyDescent="0.2">
      <c r="A34">
        <f t="shared" si="18"/>
        <v>2007</v>
      </c>
      <c r="G34" s="27">
        <f>G11/'Rate Class Customer Model'!J7</f>
        <v>18385.181334490684</v>
      </c>
      <c r="H34" s="27">
        <f>H11/'Rate Class Customer Model'!B7</f>
        <v>10212.071567357512</v>
      </c>
      <c r="I34" s="27">
        <f>I11/'Rate Class Customer Model'!C7</f>
        <v>35301.681515070683</v>
      </c>
      <c r="J34" s="27">
        <f>J11/'Rate Class Customer Model'!D7</f>
        <v>686701.18546845124</v>
      </c>
      <c r="K34" s="27">
        <f>K11/'Rate Class Customer Model'!E7</f>
        <v>30905923</v>
      </c>
      <c r="L34" s="27">
        <f>L11/'Rate Class Customer Model'!F7</f>
        <v>11541110.777777778</v>
      </c>
      <c r="M34" s="27">
        <f>M11/'Rate Class Customer Model'!G7</f>
        <v>860.29174238730548</v>
      </c>
      <c r="N34" s="27">
        <f>N11/'Rate Class Customer Model'!H7</f>
        <v>1562.566037735849</v>
      </c>
      <c r="O34" s="27">
        <f>O11/'Rate Class Customer Model'!I7</f>
        <v>12687.259136212624</v>
      </c>
      <c r="P34" s="27">
        <f>P11/'Rate Class Customer Model'!J7</f>
        <v>18385.181334490684</v>
      </c>
    </row>
    <row r="35" spans="1:16" x14ac:dyDescent="0.2">
      <c r="A35">
        <f t="shared" si="18"/>
        <v>2008</v>
      </c>
      <c r="G35" s="27">
        <f>G12/'Rate Class Customer Model'!J8</f>
        <v>17637.699516137945</v>
      </c>
      <c r="H35" s="27">
        <f>H12/'Rate Class Customer Model'!B8</f>
        <v>10003.056919725866</v>
      </c>
      <c r="I35" s="27">
        <f>I12/'Rate Class Customer Model'!C8</f>
        <v>34761.570317648606</v>
      </c>
      <c r="J35" s="27">
        <f>J12/'Rate Class Customer Model'!D8</f>
        <v>660978.72539831302</v>
      </c>
      <c r="K35" s="27">
        <f>K12/'Rate Class Customer Model'!E8</f>
        <v>18584408.399999999</v>
      </c>
      <c r="L35" s="27">
        <f>L12/'Rate Class Customer Model'!F8</f>
        <v>11381474.666666666</v>
      </c>
      <c r="M35" s="27">
        <f>M12/'Rate Class Customer Model'!G8</f>
        <v>836.88336273286586</v>
      </c>
      <c r="N35" s="27">
        <f>N12/'Rate Class Customer Model'!H8</f>
        <v>1508.9615384615386</v>
      </c>
      <c r="O35" s="27">
        <f>O12/'Rate Class Customer Model'!I8</f>
        <v>11205.558139534884</v>
      </c>
      <c r="P35" s="27">
        <f>P12/'Rate Class Customer Model'!J8</f>
        <v>17637.699516137945</v>
      </c>
    </row>
    <row r="36" spans="1:16" x14ac:dyDescent="0.2">
      <c r="A36">
        <f t="shared" si="18"/>
        <v>2009</v>
      </c>
      <c r="G36" s="27">
        <f>G13/'Rate Class Customer Model'!J9</f>
        <v>16882.867203093814</v>
      </c>
      <c r="H36" s="27">
        <f>H13/'Rate Class Customer Model'!B9</f>
        <v>9830.9504542828636</v>
      </c>
      <c r="I36" s="27">
        <f>I13/'Rate Class Customer Model'!C9</f>
        <v>33169.97149889882</v>
      </c>
      <c r="J36" s="27">
        <f>J13/'Rate Class Customer Model'!D9</f>
        <v>666255.81142857147</v>
      </c>
      <c r="K36" s="27">
        <f>K13/'Rate Class Customer Model'!E9</f>
        <v>18290144.5</v>
      </c>
      <c r="L36" s="27">
        <f>L13/'Rate Class Customer Model'!F9</f>
        <v>9182904.1052631587</v>
      </c>
      <c r="M36" s="27">
        <f>M13/'Rate Class Customer Model'!G9</f>
        <v>864.56724006440129</v>
      </c>
      <c r="N36" s="27">
        <f>N13/'Rate Class Customer Model'!H9</f>
        <v>1415.0769230769231</v>
      </c>
      <c r="O36" s="27">
        <f>O13/'Rate Class Customer Model'!I9</f>
        <v>9340.3471074380159</v>
      </c>
      <c r="P36" s="27">
        <f>P13/'Rate Class Customer Model'!J9</f>
        <v>16882.867203093814</v>
      </c>
    </row>
    <row r="37" spans="1:16" x14ac:dyDescent="0.2">
      <c r="A37">
        <f t="shared" si="18"/>
        <v>2010</v>
      </c>
      <c r="G37" s="27">
        <f>G14/'Rate Class Customer Model'!J10</f>
        <v>16811.083967701175</v>
      </c>
      <c r="H37" s="27">
        <f>H14/'Rate Class Customer Model'!B10</f>
        <v>9912.6258196593535</v>
      </c>
      <c r="I37" s="27">
        <f>I14/'Rate Class Customer Model'!C10</f>
        <v>33413.617459913461</v>
      </c>
      <c r="J37" s="27">
        <f>J14/'Rate Class Customer Model'!D10</f>
        <v>693139.94926829264</v>
      </c>
      <c r="K37" s="27">
        <f>K14/'Rate Class Customer Model'!E10</f>
        <v>33402763</v>
      </c>
      <c r="L37" s="27">
        <f>L14/'Rate Class Customer Model'!F10</f>
        <v>8078314.0999999996</v>
      </c>
      <c r="M37" s="27">
        <f>M14/'Rate Class Customer Model'!G10</f>
        <v>869.31799424784299</v>
      </c>
      <c r="N37" s="27">
        <f>N14/'Rate Class Customer Model'!H10</f>
        <v>1432.48</v>
      </c>
      <c r="O37" s="27">
        <f>O14/'Rate Class Customer Model'!I10</f>
        <v>9238.1761827079936</v>
      </c>
      <c r="P37" s="27">
        <f>P14/'Rate Class Customer Model'!J10</f>
        <v>16811.083967701175</v>
      </c>
    </row>
    <row r="38" spans="1:16" x14ac:dyDescent="0.2">
      <c r="A38">
        <f t="shared" si="18"/>
        <v>2011</v>
      </c>
      <c r="G38" s="27">
        <f>G15/'Rate Class Customer Model'!J11</f>
        <v>16948.146830574824</v>
      </c>
      <c r="H38" s="27">
        <f>H15/'Rate Class Customer Model'!B11</f>
        <v>9960.4736230871222</v>
      </c>
      <c r="I38" s="27">
        <f>I15/'Rate Class Customer Model'!C11</f>
        <v>34896.715442972869</v>
      </c>
      <c r="J38" s="27">
        <f>J15/'Rate Class Customer Model'!D11</f>
        <v>690748.07877041306</v>
      </c>
      <c r="K38" s="27">
        <f>K15/'Rate Class Customer Model'!E11</f>
        <v>37740699</v>
      </c>
      <c r="L38" s="27">
        <f>L15/'Rate Class Customer Model'!F11</f>
        <v>7990801.5999999996</v>
      </c>
      <c r="M38" s="27">
        <f>M15/'Rate Class Customer Model'!G11</f>
        <v>845.43533292104723</v>
      </c>
      <c r="N38" s="27">
        <f>N15/'Rate Class Customer Model'!H11</f>
        <v>1492.1666666666667</v>
      </c>
      <c r="O38" s="27">
        <f>O15/'Rate Class Customer Model'!I11</f>
        <v>9153.8115702479336</v>
      </c>
      <c r="P38" s="27">
        <f>P15/'Rate Class Customer Model'!J11</f>
        <v>16948.146830574824</v>
      </c>
    </row>
    <row r="39" spans="1:16" x14ac:dyDescent="0.2">
      <c r="A39">
        <f t="shared" si="18"/>
        <v>2012</v>
      </c>
      <c r="G39" s="27">
        <f>G16/'Rate Class Customer Model'!J12</f>
        <v>16287.46751710225</v>
      </c>
      <c r="H39" s="27">
        <f>H16/'Rate Class Customer Model'!B12</f>
        <v>9654.8105505803633</v>
      </c>
      <c r="I39" s="27">
        <f>I16/'Rate Class Customer Model'!C12</f>
        <v>34174.990520711595</v>
      </c>
      <c r="J39" s="27">
        <f>J16/'Rate Class Customer Model'!D12</f>
        <v>661471.17693059624</v>
      </c>
      <c r="K39" s="27">
        <f>K16/'Rate Class Customer Model'!E12</f>
        <v>40812737</v>
      </c>
      <c r="L39" s="27">
        <f>L16/'Rate Class Customer Model'!F12</f>
        <v>7316965.4285714282</v>
      </c>
      <c r="M39" s="27">
        <f>M16/'Rate Class Customer Model'!G12</f>
        <v>830.23892573487262</v>
      </c>
      <c r="N39" s="27">
        <f>N16/'Rate Class Customer Model'!H12</f>
        <v>1492.1666666666667</v>
      </c>
      <c r="O39" s="27">
        <f>O16/'Rate Class Customer Model'!I12</f>
        <v>9291.7123519458546</v>
      </c>
      <c r="P39" s="27">
        <f>P16/'Rate Class Customer Model'!J12</f>
        <v>16287.46751710225</v>
      </c>
    </row>
    <row r="40" spans="1:16" x14ac:dyDescent="0.2">
      <c r="A40">
        <f t="shared" ref="A40:A46" si="19">A17</f>
        <v>2013</v>
      </c>
      <c r="B40" s="167"/>
      <c r="C40" s="167"/>
      <c r="D40" s="167"/>
      <c r="E40" s="167"/>
      <c r="F40" s="167"/>
      <c r="G40" s="27">
        <f>G17/'Rate Class Customer Model'!J13</f>
        <v>16192.496831070528</v>
      </c>
      <c r="H40" s="27">
        <f>H17/'Rate Class Customer Model'!B13</f>
        <v>9598.5630705226595</v>
      </c>
      <c r="I40" s="27">
        <f>I17/'Rate Class Customer Model'!C13</f>
        <v>33905.014214368035</v>
      </c>
      <c r="J40" s="27">
        <f>J17/'Rate Class Customer Model'!D13</f>
        <v>674247.33600000001</v>
      </c>
      <c r="K40" s="27">
        <f>K17/'Rate Class Customer Model'!E13</f>
        <v>42326219</v>
      </c>
      <c r="L40" s="27">
        <f>L17/'Rate Class Customer Model'!F13</f>
        <v>7197839.3636363633</v>
      </c>
      <c r="M40" s="27">
        <f>M17/'Rate Class Customer Model'!G13</f>
        <v>736.45116561929865</v>
      </c>
      <c r="N40" s="27">
        <f>N17/'Rate Class Customer Model'!H13</f>
        <v>1492.1666666666667</v>
      </c>
      <c r="O40" s="27">
        <f>O17/'Rate Class Customer Model'!I13</f>
        <v>9330.2237288135602</v>
      </c>
      <c r="P40" s="27">
        <f>P17/'Rate Class Customer Model'!J13</f>
        <v>16192.496831070528</v>
      </c>
    </row>
    <row r="41" spans="1:16" x14ac:dyDescent="0.2">
      <c r="A41">
        <f t="shared" si="19"/>
        <v>2014</v>
      </c>
      <c r="B41" s="167"/>
      <c r="C41" s="167"/>
      <c r="D41" s="167"/>
      <c r="E41" s="167"/>
      <c r="F41" s="167"/>
      <c r="G41" s="27">
        <f>G18/'Rate Class Customer Model'!J14</f>
        <v>16183.628573758218</v>
      </c>
      <c r="H41" s="27">
        <f>H18/'Rate Class Customer Model'!B14</f>
        <v>9670.9029829191768</v>
      </c>
      <c r="I41" s="27">
        <f>I18/'Rate Class Customer Model'!C14</f>
        <v>33834.049841872235</v>
      </c>
      <c r="J41" s="27">
        <f>J18/'Rate Class Customer Model'!D14</f>
        <v>669464.90348258708</v>
      </c>
      <c r="K41" s="27">
        <f>K18/'Rate Class Customer Model'!E14</f>
        <v>42700435</v>
      </c>
      <c r="L41" s="27">
        <f>L18/'Rate Class Customer Model'!F14</f>
        <v>7400031.4545454541</v>
      </c>
      <c r="M41" s="27">
        <f>M18/'Rate Class Customer Model'!G14</f>
        <v>734.55613943599826</v>
      </c>
      <c r="N41" s="27">
        <f>N18/'Rate Class Customer Model'!H14</f>
        <v>1492.1666666666667</v>
      </c>
      <c r="O41" s="27">
        <f>O18/'Rate Class Customer Model'!I14</f>
        <v>9175.0219966159057</v>
      </c>
      <c r="P41" s="27">
        <f>P18/'Rate Class Customer Model'!J14</f>
        <v>16183.628573758218</v>
      </c>
    </row>
    <row r="42" spans="1:16" x14ac:dyDescent="0.2">
      <c r="A42">
        <f t="shared" si="19"/>
        <v>2015</v>
      </c>
      <c r="B42" s="167"/>
      <c r="C42" s="167"/>
      <c r="D42" s="167"/>
      <c r="E42" s="167"/>
      <c r="F42" s="167"/>
      <c r="G42" s="27">
        <f>G19/'Rate Class Customer Model'!J15</f>
        <v>15711.548643850765</v>
      </c>
      <c r="H42" s="27">
        <f>H19/'Rate Class Customer Model'!B15</f>
        <v>9367.6330971115785</v>
      </c>
      <c r="I42" s="27">
        <f>I19/'Rate Class Customer Model'!C15</f>
        <v>32823.788950962138</v>
      </c>
      <c r="J42" s="27">
        <f>J19/'Rate Class Customer Model'!D15</f>
        <v>655557.16420845629</v>
      </c>
      <c r="K42" s="27">
        <f>K19/'Rate Class Customer Model'!E15</f>
        <v>41948976</v>
      </c>
      <c r="L42" s="27">
        <f>L19/'Rate Class Customer Model'!F15</f>
        <v>6769517.25</v>
      </c>
      <c r="M42" s="27">
        <f>M19/'Rate Class Customer Model'!G15</f>
        <v>731.69443133553568</v>
      </c>
      <c r="N42" s="27">
        <f>N19/'Rate Class Customer Model'!H15</f>
        <v>1492.2083333333333</v>
      </c>
      <c r="O42" s="27">
        <f>O19/'Rate Class Customer Model'!I15</f>
        <v>8830.3339191564155</v>
      </c>
      <c r="P42" s="27">
        <f>P19/'Rate Class Customer Model'!J15</f>
        <v>15711.548643850765</v>
      </c>
    </row>
    <row r="43" spans="1:16" x14ac:dyDescent="0.2">
      <c r="A43">
        <f t="shared" si="19"/>
        <v>2016</v>
      </c>
      <c r="B43" s="167"/>
      <c r="C43" s="167"/>
      <c r="D43" s="167"/>
      <c r="E43" s="167"/>
      <c r="F43" s="167"/>
      <c r="G43" s="27">
        <f>G20/'Rate Class Customer Model'!J16</f>
        <v>15346.315586502411</v>
      </c>
      <c r="H43" s="27">
        <f>H20/'Rate Class Customer Model'!B16</f>
        <v>9161.5687038280721</v>
      </c>
      <c r="I43" s="27">
        <f>I20/'Rate Class Customer Model'!C16</f>
        <v>31626.831225680933</v>
      </c>
      <c r="J43" s="27">
        <f>J20/'Rate Class Customer Model'!D16</f>
        <v>639241.43078412395</v>
      </c>
      <c r="K43" s="27">
        <f>K20/'Rate Class Customer Model'!E16</f>
        <v>41438246</v>
      </c>
      <c r="L43" s="27">
        <f>L20/'Rate Class Customer Model'!F16</f>
        <v>6407365</v>
      </c>
      <c r="M43" s="27">
        <f>M20/'Rate Class Customer Model'!G16</f>
        <v>732.44460737024895</v>
      </c>
      <c r="N43" s="27">
        <f>N20/'Rate Class Customer Model'!H16</f>
        <v>1492.25</v>
      </c>
      <c r="O43" s="27">
        <f>O20/'Rate Class Customer Model'!I16</f>
        <v>9142.8957952468008</v>
      </c>
      <c r="P43" s="27">
        <f>P20/'Rate Class Customer Model'!J16</f>
        <v>15346.315586502411</v>
      </c>
    </row>
    <row r="44" spans="1:16" x14ac:dyDescent="0.2">
      <c r="A44">
        <f t="shared" si="19"/>
        <v>2017</v>
      </c>
      <c r="B44" s="167"/>
      <c r="C44" s="167"/>
      <c r="D44" s="167"/>
      <c r="E44" s="167"/>
      <c r="F44" s="167"/>
      <c r="G44" s="21">
        <f>G21/'Rate Class Customer Model'!J17</f>
        <v>15163.00960145615</v>
      </c>
      <c r="H44" s="21">
        <f t="shared" ref="H44:O46" si="20">+H43*H$66</f>
        <v>9080.7238759225183</v>
      </c>
      <c r="I44" s="21">
        <f t="shared" si="20"/>
        <v>31298.445568162133</v>
      </c>
      <c r="J44" s="21">
        <f t="shared" si="20"/>
        <v>635923.13830832217</v>
      </c>
      <c r="K44" s="21">
        <f t="shared" si="20"/>
        <v>40933734.152569443</v>
      </c>
      <c r="L44" s="21">
        <f t="shared" si="20"/>
        <v>6064586.9900434921</v>
      </c>
      <c r="M44" s="21">
        <f t="shared" si="20"/>
        <v>733.19555252942041</v>
      </c>
      <c r="N44" s="21">
        <f t="shared" si="20"/>
        <v>1492.2916678301178</v>
      </c>
      <c r="O44" s="21">
        <f t="shared" si="20"/>
        <v>9466.5212310258194</v>
      </c>
      <c r="P44" s="27">
        <f>+G73/'Rate Class Customer Model'!J17</f>
        <v>15065.188984046363</v>
      </c>
    </row>
    <row r="45" spans="1:16" x14ac:dyDescent="0.2">
      <c r="A45">
        <f t="shared" si="19"/>
        <v>2018</v>
      </c>
      <c r="B45" s="167"/>
      <c r="C45" s="167"/>
      <c r="D45" s="167"/>
      <c r="E45" s="167"/>
      <c r="F45" s="167"/>
      <c r="G45" s="21">
        <f>G22/'Rate Class Customer Model'!J18</f>
        <v>14881.643582406738</v>
      </c>
      <c r="H45" s="21">
        <f t="shared" si="20"/>
        <v>9000.592450536813</v>
      </c>
      <c r="I45" s="21">
        <f t="shared" si="20"/>
        <v>30973.469583249942</v>
      </c>
      <c r="J45" s="21">
        <f t="shared" si="20"/>
        <v>632622.07103793521</v>
      </c>
      <c r="K45" s="21">
        <f t="shared" si="20"/>
        <v>40435364.751520373</v>
      </c>
      <c r="L45" s="21">
        <f t="shared" si="20"/>
        <v>5740146.7467211224</v>
      </c>
      <c r="M45" s="21">
        <f t="shared" si="20"/>
        <v>733.94726760160154</v>
      </c>
      <c r="N45" s="21">
        <f t="shared" si="20"/>
        <v>1492.333336823719</v>
      </c>
      <c r="O45" s="21">
        <f t="shared" si="20"/>
        <v>9801.6018364828742</v>
      </c>
      <c r="P45" s="27">
        <f>+G74/'Rate Class Customer Model'!J18</f>
        <v>14792.64180904058</v>
      </c>
    </row>
    <row r="46" spans="1:16" x14ac:dyDescent="0.2">
      <c r="A46">
        <f t="shared" si="19"/>
        <v>2019</v>
      </c>
      <c r="B46" s="167"/>
      <c r="C46" s="167"/>
      <c r="D46" s="167"/>
      <c r="E46" s="167"/>
      <c r="F46" s="167"/>
      <c r="G46" s="21">
        <f>G23/'Rate Class Customer Model'!J19</f>
        <v>14605.104480363407</v>
      </c>
      <c r="H46" s="21">
        <f t="shared" si="20"/>
        <v>8921.1681323621724</v>
      </c>
      <c r="I46" s="21">
        <f t="shared" si="20"/>
        <v>30651.867867853456</v>
      </c>
      <c r="J46" s="21">
        <f t="shared" si="20"/>
        <v>629338.1395571857</v>
      </c>
      <c r="K46" s="21">
        <f t="shared" si="20"/>
        <v>39943063.012389861</v>
      </c>
      <c r="L46" s="21">
        <f t="shared" si="20"/>
        <v>5433063.2453598939</v>
      </c>
      <c r="M46" s="21">
        <f t="shared" si="20"/>
        <v>734.69975337615233</v>
      </c>
      <c r="N46" s="21">
        <f t="shared" si="20"/>
        <v>1492.3750069808361</v>
      </c>
      <c r="O46" s="21">
        <f t="shared" si="20"/>
        <v>10148.543083184306</v>
      </c>
      <c r="P46" s="27">
        <f>+G75/'Rate Class Customer Model'!J19</f>
        <v>14528.260534969029</v>
      </c>
    </row>
    <row r="48" spans="1:16" x14ac:dyDescent="0.2">
      <c r="A48" s="37">
        <v>2003</v>
      </c>
      <c r="D48" s="6"/>
      <c r="G48" s="178"/>
      <c r="H48" s="178"/>
      <c r="I48" s="178"/>
      <c r="J48" s="178"/>
      <c r="K48" s="178"/>
      <c r="L48" s="178"/>
      <c r="M48" s="178"/>
      <c r="N48" s="178"/>
      <c r="O48" s="178"/>
    </row>
    <row r="49" spans="1:15" x14ac:dyDescent="0.2">
      <c r="A49" s="37">
        <v>2004</v>
      </c>
      <c r="D49" s="6"/>
      <c r="G49" s="25">
        <f t="shared" ref="G49" si="21">G31/G30</f>
        <v>0.97947588338602443</v>
      </c>
      <c r="H49" s="25">
        <f t="shared" ref="H49:O64" si="22">H31/H30</f>
        <v>0.96459208328463042</v>
      </c>
      <c r="I49" s="25">
        <f t="shared" ref="I49:N53" si="23">I31/I30</f>
        <v>1.0908582778368565</v>
      </c>
      <c r="J49" s="25">
        <f t="shared" si="23"/>
        <v>1.3524359755748323</v>
      </c>
      <c r="K49" s="25">
        <f t="shared" si="23"/>
        <v>0.66256671927643851</v>
      </c>
      <c r="L49" s="25">
        <f t="shared" si="23"/>
        <v>0.56908460757775015</v>
      </c>
      <c r="M49" s="25">
        <f>M31/M30</f>
        <v>1.0251639423944985</v>
      </c>
      <c r="N49" s="25">
        <f t="shared" si="23"/>
        <v>0.70253507828110928</v>
      </c>
      <c r="O49" s="25">
        <f t="shared" ref="O49" si="24">O31/O30</f>
        <v>1</v>
      </c>
    </row>
    <row r="50" spans="1:15" x14ac:dyDescent="0.2">
      <c r="A50" s="37">
        <v>2005</v>
      </c>
      <c r="D50" s="6"/>
      <c r="G50" s="25">
        <f t="shared" ref="G50:G64" si="25">G32/G31</f>
        <v>0.98310260978987285</v>
      </c>
      <c r="H50" s="25">
        <f t="shared" si="22"/>
        <v>1.0693485844030812</v>
      </c>
      <c r="I50" s="25">
        <f t="shared" si="23"/>
        <v>1.0353312923384042</v>
      </c>
      <c r="J50" s="25">
        <f t="shared" si="23"/>
        <v>1.0200491597243926</v>
      </c>
      <c r="K50" s="25">
        <f t="shared" si="23"/>
        <v>0.70116014965232798</v>
      </c>
      <c r="L50" s="25">
        <f t="shared" si="23"/>
        <v>0.81633341387002645</v>
      </c>
      <c r="M50" s="25">
        <f>M32/M31</f>
        <v>1.0266511605702138</v>
      </c>
      <c r="N50" s="25">
        <f t="shared" si="23"/>
        <v>1.5789925790723871</v>
      </c>
      <c r="O50" s="25">
        <f t="shared" ref="O50" si="26">O32/O31</f>
        <v>1</v>
      </c>
    </row>
    <row r="51" spans="1:15" x14ac:dyDescent="0.2">
      <c r="A51" s="37">
        <v>2006</v>
      </c>
      <c r="D51" s="6"/>
      <c r="G51" s="25">
        <f t="shared" si="25"/>
        <v>0.96631476845327224</v>
      </c>
      <c r="H51" s="25">
        <f t="shared" si="22"/>
        <v>0.94199681266597912</v>
      </c>
      <c r="I51" s="25">
        <f t="shared" si="23"/>
        <v>0.96638399951958032</v>
      </c>
      <c r="J51" s="25">
        <f t="shared" si="23"/>
        <v>0.97995192900219585</v>
      </c>
      <c r="K51" s="25">
        <f t="shared" si="23"/>
        <v>0.94832850124568335</v>
      </c>
      <c r="L51" s="25">
        <f t="shared" si="23"/>
        <v>1.060119217212701</v>
      </c>
      <c r="M51" s="25">
        <f>M33/M32</f>
        <v>0.9920529522224395</v>
      </c>
      <c r="N51" s="25">
        <f t="shared" si="23"/>
        <v>1.0206625785010248</v>
      </c>
      <c r="O51" s="25">
        <f t="shared" ref="O51" si="27">O33/O32</f>
        <v>1.243351677852349</v>
      </c>
    </row>
    <row r="52" spans="1:15" x14ac:dyDescent="0.2">
      <c r="A52" s="37">
        <v>2007</v>
      </c>
      <c r="D52" s="6"/>
      <c r="G52" s="25">
        <f t="shared" si="25"/>
        <v>1.0073708142964195</v>
      </c>
      <c r="H52" s="25">
        <f t="shared" si="22"/>
        <v>0.9949077206372462</v>
      </c>
      <c r="I52" s="25">
        <f t="shared" si="23"/>
        <v>0.98427327954005928</v>
      </c>
      <c r="J52" s="25">
        <f t="shared" si="23"/>
        <v>1.0096097961620669</v>
      </c>
      <c r="K52" s="25">
        <f t="shared" si="23"/>
        <v>1.0361649490467149</v>
      </c>
      <c r="L52" s="25">
        <f t="shared" si="23"/>
        <v>1.2183426165249025</v>
      </c>
      <c r="M52" s="25">
        <f>M34/M33</f>
        <v>0.99141299957141205</v>
      </c>
      <c r="N52" s="25">
        <f t="shared" si="23"/>
        <v>1.0455013986494117</v>
      </c>
      <c r="O52" s="25">
        <f t="shared" ref="O52" si="28">O34/O33</f>
        <v>1.0204079314170731</v>
      </c>
    </row>
    <row r="53" spans="1:15" x14ac:dyDescent="0.2">
      <c r="A53" s="37">
        <v>2008</v>
      </c>
      <c r="D53" s="6"/>
      <c r="G53" s="25">
        <f t="shared" si="25"/>
        <v>0.95934324471684929</v>
      </c>
      <c r="H53" s="25">
        <f t="shared" si="22"/>
        <v>0.97953259079188659</v>
      </c>
      <c r="I53" s="25">
        <f t="shared" si="23"/>
        <v>0.98470012831565834</v>
      </c>
      <c r="J53" s="25">
        <f t="shared" si="23"/>
        <v>0.96254198971188476</v>
      </c>
      <c r="K53" s="25">
        <f t="shared" si="23"/>
        <v>0.60132190195387458</v>
      </c>
      <c r="L53" s="25">
        <f t="shared" si="23"/>
        <v>0.98616804619720932</v>
      </c>
      <c r="M53" s="25">
        <f>M35/M34</f>
        <v>0.97279018442106457</v>
      </c>
      <c r="N53" s="25">
        <f t="shared" si="23"/>
        <v>0.96569457035429807</v>
      </c>
      <c r="O53" s="25">
        <f t="shared" ref="O53" si="29">O35/O34</f>
        <v>0.88321346787592647</v>
      </c>
    </row>
    <row r="54" spans="1:15" x14ac:dyDescent="0.2">
      <c r="A54" s="37">
        <v>2009</v>
      </c>
      <c r="D54" s="6"/>
      <c r="G54" s="25">
        <f t="shared" si="25"/>
        <v>0.95720347132836214</v>
      </c>
      <c r="H54" s="25">
        <f t="shared" si="22"/>
        <v>0.98279461300438953</v>
      </c>
      <c r="I54" s="25">
        <f t="shared" ref="I54:O54" si="30">I36/I35</f>
        <v>0.95421384004790699</v>
      </c>
      <c r="J54" s="25">
        <f t="shared" si="30"/>
        <v>1.0079837456600111</v>
      </c>
      <c r="K54" s="25">
        <f t="shared" si="30"/>
        <v>0.98416608731004862</v>
      </c>
      <c r="L54" s="25">
        <f t="shared" si="30"/>
        <v>0.80682902472712614</v>
      </c>
      <c r="M54" s="25">
        <f t="shared" si="30"/>
        <v>1.0330797319726048</v>
      </c>
      <c r="N54" s="25">
        <f>N36/N35</f>
        <v>0.93778196926057145</v>
      </c>
      <c r="O54" s="25">
        <f t="shared" si="30"/>
        <v>0.83354590562373465</v>
      </c>
    </row>
    <row r="55" spans="1:15" x14ac:dyDescent="0.2">
      <c r="A55" s="37">
        <v>2010</v>
      </c>
      <c r="D55" s="6"/>
      <c r="G55" s="25">
        <f t="shared" si="25"/>
        <v>0.99574816087047791</v>
      </c>
      <c r="H55" s="25">
        <f t="shared" si="22"/>
        <v>1.0083079826061891</v>
      </c>
      <c r="I55" s="25">
        <f t="shared" ref="I55:O55" si="31">I37/I36</f>
        <v>1.0073453774605363</v>
      </c>
      <c r="J55" s="25">
        <f t="shared" si="31"/>
        <v>1.0403510744350233</v>
      </c>
      <c r="K55" s="25">
        <f>K37/K36</f>
        <v>1.8262711374423533</v>
      </c>
      <c r="L55" s="25">
        <f>L37/L36</f>
        <v>0.87971234452616509</v>
      </c>
      <c r="M55" s="25">
        <f t="shared" si="31"/>
        <v>1.0054949504946402</v>
      </c>
      <c r="N55" s="25">
        <f>N37/N36</f>
        <v>1.0122983257229832</v>
      </c>
      <c r="O55" s="25">
        <f t="shared" si="31"/>
        <v>0.98906133534923335</v>
      </c>
    </row>
    <row r="56" spans="1:15" x14ac:dyDescent="0.2">
      <c r="A56" s="37">
        <v>2011</v>
      </c>
      <c r="B56" s="167"/>
      <c r="C56" s="167"/>
      <c r="D56" s="6"/>
      <c r="E56" s="167"/>
      <c r="F56" s="167"/>
      <c r="G56" s="25">
        <f t="shared" si="25"/>
        <v>1.0081531246371136</v>
      </c>
      <c r="H56" s="25">
        <f t="shared" si="22"/>
        <v>1.0048269554705549</v>
      </c>
      <c r="I56" s="25">
        <f t="shared" ref="I56:O59" si="32">I38/I37</f>
        <v>1.0443860346710048</v>
      </c>
      <c r="J56" s="25">
        <f t="shared" si="32"/>
        <v>0.99654922429387527</v>
      </c>
      <c r="K56" s="25">
        <f t="shared" si="32"/>
        <v>1.129867580116052</v>
      </c>
      <c r="L56" s="25">
        <f t="shared" si="32"/>
        <v>0.98916698473014308</v>
      </c>
      <c r="M56" s="25">
        <f t="shared" si="32"/>
        <v>0.97252712875515746</v>
      </c>
      <c r="N56" s="25">
        <f>N38/N37</f>
        <v>1.0416666666666667</v>
      </c>
      <c r="O56" s="25">
        <f t="shared" si="32"/>
        <v>0.99086782815227392</v>
      </c>
    </row>
    <row r="57" spans="1:15" x14ac:dyDescent="0.2">
      <c r="A57" s="37">
        <v>2012</v>
      </c>
      <c r="B57" s="167"/>
      <c r="C57" s="167"/>
      <c r="D57" s="6"/>
      <c r="E57" s="167"/>
      <c r="F57" s="167"/>
      <c r="G57" s="25">
        <f t="shared" si="25"/>
        <v>0.96101760740704145</v>
      </c>
      <c r="H57" s="25">
        <f t="shared" si="22"/>
        <v>0.96931239576818207</v>
      </c>
      <c r="I57" s="25">
        <f t="shared" si="32"/>
        <v>0.97931825637170078</v>
      </c>
      <c r="J57" s="25">
        <f t="shared" si="32"/>
        <v>0.95761565939939775</v>
      </c>
      <c r="K57" s="25">
        <f t="shared" si="32"/>
        <v>1.0813985453740536</v>
      </c>
      <c r="L57" s="25">
        <f t="shared" si="32"/>
        <v>0.91567351998470703</v>
      </c>
      <c r="M57" s="25">
        <f t="shared" si="32"/>
        <v>0.98202534647603412</v>
      </c>
      <c r="N57" s="25">
        <f t="shared" si="32"/>
        <v>1</v>
      </c>
      <c r="O57" s="25">
        <f t="shared" si="32"/>
        <v>1.0150648481935254</v>
      </c>
    </row>
    <row r="58" spans="1:15" x14ac:dyDescent="0.2">
      <c r="A58" s="37">
        <v>2013</v>
      </c>
      <c r="B58" s="167"/>
      <c r="C58" s="167"/>
      <c r="D58" s="6"/>
      <c r="E58" s="167"/>
      <c r="F58" s="167"/>
      <c r="G58" s="25">
        <f t="shared" si="25"/>
        <v>0.99416909437074852</v>
      </c>
      <c r="H58" s="25">
        <f t="shared" si="22"/>
        <v>0.99417414979164742</v>
      </c>
      <c r="I58" s="25">
        <f t="shared" si="32"/>
        <v>0.99210017904233383</v>
      </c>
      <c r="J58" s="25">
        <f t="shared" si="32"/>
        <v>1.019314763084143</v>
      </c>
      <c r="K58" s="25">
        <f t="shared" si="32"/>
        <v>1.0370835702589611</v>
      </c>
      <c r="L58" s="25">
        <f t="shared" si="32"/>
        <v>0.98371919806127561</v>
      </c>
      <c r="M58" s="25">
        <f t="shared" si="32"/>
        <v>0.88703521696172072</v>
      </c>
      <c r="N58" s="25">
        <f t="shared" si="32"/>
        <v>1</v>
      </c>
      <c r="O58" s="25">
        <f t="shared" si="32"/>
        <v>1.0041447017954275</v>
      </c>
    </row>
    <row r="59" spans="1:15" x14ac:dyDescent="0.2">
      <c r="A59" s="37">
        <v>2014</v>
      </c>
      <c r="B59" s="167"/>
      <c r="C59" s="167"/>
      <c r="D59" s="6"/>
      <c r="E59" s="167"/>
      <c r="F59" s="167"/>
      <c r="G59" s="25">
        <f t="shared" si="25"/>
        <v>0.99945232304783949</v>
      </c>
      <c r="H59" s="25">
        <f t="shared" si="22"/>
        <v>1.0075365356111139</v>
      </c>
      <c r="I59" s="25">
        <f t="shared" si="32"/>
        <v>0.99790696526339373</v>
      </c>
      <c r="J59" s="25">
        <f t="shared" si="32"/>
        <v>0.99290700569054535</v>
      </c>
      <c r="K59" s="25">
        <f t="shared" si="32"/>
        <v>1.0088412338460944</v>
      </c>
      <c r="L59" s="25">
        <f t="shared" si="32"/>
        <v>1.0280906645306047</v>
      </c>
      <c r="M59" s="25">
        <f t="shared" si="32"/>
        <v>0.99742681351898355</v>
      </c>
      <c r="N59" s="25">
        <f t="shared" si="32"/>
        <v>1</v>
      </c>
      <c r="O59" s="25">
        <f t="shared" si="32"/>
        <v>0.98336570089757214</v>
      </c>
    </row>
    <row r="60" spans="1:15" x14ac:dyDescent="0.2">
      <c r="A60" s="37">
        <v>2015</v>
      </c>
      <c r="B60" s="167"/>
      <c r="C60" s="167"/>
      <c r="D60" s="6"/>
      <c r="E60" s="167"/>
      <c r="F60" s="167"/>
      <c r="G60" s="25">
        <f t="shared" si="25"/>
        <v>0.97082978469532277</v>
      </c>
      <c r="H60" s="25">
        <f t="shared" si="22"/>
        <v>0.96864099595009523</v>
      </c>
      <c r="I60" s="25">
        <f t="shared" si="22"/>
        <v>0.97014070453783452</v>
      </c>
      <c r="J60" s="25">
        <f t="shared" si="22"/>
        <v>0.97922558867271148</v>
      </c>
      <c r="K60" s="25">
        <f t="shared" si="22"/>
        <v>0.98240160785247266</v>
      </c>
      <c r="L60" s="25">
        <f t="shared" si="22"/>
        <v>0.91479573993456986</v>
      </c>
      <c r="M60" s="25">
        <f t="shared" si="22"/>
        <v>0.99610416692907933</v>
      </c>
      <c r="N60" s="25">
        <f t="shared" si="22"/>
        <v>1.0000279236010274</v>
      </c>
      <c r="O60" s="25">
        <f t="shared" si="22"/>
        <v>0.96243190723830152</v>
      </c>
    </row>
    <row r="61" spans="1:15" x14ac:dyDescent="0.2">
      <c r="A61" s="37">
        <v>2016</v>
      </c>
      <c r="B61" s="167"/>
      <c r="C61" s="167"/>
      <c r="D61" s="6"/>
      <c r="E61" s="167"/>
      <c r="F61" s="167"/>
      <c r="G61" s="25">
        <f t="shared" si="25"/>
        <v>0.97675384740056803</v>
      </c>
      <c r="H61" s="25">
        <f t="shared" si="22"/>
        <v>0.9780025123585333</v>
      </c>
      <c r="I61" s="25">
        <f t="shared" si="22"/>
        <v>0.96353383434589379</v>
      </c>
      <c r="J61" s="25">
        <f t="shared" si="22"/>
        <v>0.97511165415447398</v>
      </c>
      <c r="K61" s="25">
        <f t="shared" si="22"/>
        <v>0.98782497098379707</v>
      </c>
      <c r="L61" s="25">
        <f t="shared" si="22"/>
        <v>0.94650249986437363</v>
      </c>
      <c r="M61" s="25">
        <f t="shared" si="22"/>
        <v>1.0010252586361004</v>
      </c>
      <c r="N61" s="25">
        <f t="shared" si="22"/>
        <v>1.000027922821322</v>
      </c>
      <c r="O61" s="25">
        <f t="shared" si="22"/>
        <v>1.0353963823964027</v>
      </c>
    </row>
    <row r="62" spans="1:15" x14ac:dyDescent="0.2">
      <c r="A62" s="37">
        <v>2017</v>
      </c>
      <c r="B62" s="167"/>
      <c r="C62" s="167"/>
      <c r="D62" s="6"/>
      <c r="E62" s="167"/>
      <c r="F62" s="167"/>
      <c r="G62" s="450">
        <f t="shared" si="25"/>
        <v>0.98805537498476281</v>
      </c>
      <c r="H62" s="450">
        <f t="shared" si="22"/>
        <v>0.99117565664581286</v>
      </c>
      <c r="I62" s="450">
        <f t="shared" si="22"/>
        <v>0.9896168650227547</v>
      </c>
      <c r="J62" s="450">
        <f t="shared" si="22"/>
        <v>0.99480901531721533</v>
      </c>
      <c r="K62" s="450">
        <f t="shared" si="22"/>
        <v>0.98782497098379707</v>
      </c>
      <c r="L62" s="450">
        <f t="shared" si="22"/>
        <v>0.94650249986437363</v>
      </c>
      <c r="M62" s="450">
        <f t="shared" si="22"/>
        <v>1.0010252586361004</v>
      </c>
      <c r="N62" s="450">
        <f t="shared" si="22"/>
        <v>1.000027922821322</v>
      </c>
      <c r="O62" s="450">
        <f t="shared" si="22"/>
        <v>1.0353963823964027</v>
      </c>
    </row>
    <row r="63" spans="1:15" x14ac:dyDescent="0.2">
      <c r="A63" s="37">
        <v>2018</v>
      </c>
      <c r="B63" s="167"/>
      <c r="C63" s="167"/>
      <c r="D63" s="6"/>
      <c r="E63" s="167"/>
      <c r="F63" s="167"/>
      <c r="G63" s="450">
        <f t="shared" si="25"/>
        <v>0.98144392001028669</v>
      </c>
      <c r="H63" s="450">
        <f t="shared" si="22"/>
        <v>0.99117565664581286</v>
      </c>
      <c r="I63" s="450">
        <f t="shared" si="22"/>
        <v>0.9896168650227547</v>
      </c>
      <c r="J63" s="450">
        <f t="shared" si="22"/>
        <v>0.99480901531721522</v>
      </c>
      <c r="K63" s="450">
        <f t="shared" si="22"/>
        <v>0.98782497098379707</v>
      </c>
      <c r="L63" s="450">
        <f t="shared" si="22"/>
        <v>0.94650249986437363</v>
      </c>
      <c r="M63" s="450">
        <f t="shared" si="22"/>
        <v>1.0010252586361004</v>
      </c>
      <c r="N63" s="450">
        <f t="shared" si="22"/>
        <v>1.000027922821322</v>
      </c>
      <c r="O63" s="450">
        <f t="shared" si="22"/>
        <v>1.0353963823964027</v>
      </c>
    </row>
    <row r="64" spans="1:15" x14ac:dyDescent="0.2">
      <c r="A64" s="37">
        <v>2019</v>
      </c>
      <c r="B64" s="167"/>
      <c r="C64" s="167"/>
      <c r="D64" s="6"/>
      <c r="E64" s="167"/>
      <c r="F64" s="167"/>
      <c r="G64" s="450">
        <f t="shared" si="25"/>
        <v>0.98141743547935401</v>
      </c>
      <c r="H64" s="450">
        <f t="shared" si="22"/>
        <v>0.99117565664581297</v>
      </c>
      <c r="I64" s="450">
        <f t="shared" si="22"/>
        <v>0.9896168650227547</v>
      </c>
      <c r="J64" s="450">
        <f t="shared" si="22"/>
        <v>0.99480901531721522</v>
      </c>
      <c r="K64" s="450">
        <f t="shared" si="22"/>
        <v>0.98782497098379707</v>
      </c>
      <c r="L64" s="450">
        <f t="shared" si="22"/>
        <v>0.94650249986437363</v>
      </c>
      <c r="M64" s="450">
        <f t="shared" si="22"/>
        <v>1.0010252586361004</v>
      </c>
      <c r="N64" s="450">
        <f t="shared" si="22"/>
        <v>1.000027922821322</v>
      </c>
      <c r="O64" s="450">
        <f t="shared" si="22"/>
        <v>1.0353963823964027</v>
      </c>
    </row>
    <row r="65" spans="1:16" x14ac:dyDescent="0.2">
      <c r="A65" s="3"/>
      <c r="D65" s="6"/>
      <c r="E65" s="6"/>
      <c r="F65" s="6"/>
    </row>
    <row r="66" spans="1:16" x14ac:dyDescent="0.2">
      <c r="A66" t="s">
        <v>16</v>
      </c>
      <c r="D66" s="6"/>
      <c r="G66" s="88">
        <f t="shared" ref="G66" si="33">G68</f>
        <v>0.98145468647022038</v>
      </c>
      <c r="H66" s="88">
        <f>H68</f>
        <v>0.99117565664581286</v>
      </c>
      <c r="I66" s="88">
        <f t="shared" ref="I66" si="34">I68</f>
        <v>0.9896168650227547</v>
      </c>
      <c r="J66" s="88">
        <f>J68</f>
        <v>0.99480901531721522</v>
      </c>
      <c r="K66" s="88">
        <f>+K61</f>
        <v>0.98782497098379707</v>
      </c>
      <c r="L66" s="88">
        <f t="shared" ref="L66:O66" si="35">+L61</f>
        <v>0.94650249986437363</v>
      </c>
      <c r="M66" s="88">
        <f t="shared" si="35"/>
        <v>1.0010252586361004</v>
      </c>
      <c r="N66" s="88">
        <f t="shared" si="35"/>
        <v>1.000027922821322</v>
      </c>
      <c r="O66" s="88">
        <f t="shared" si="35"/>
        <v>1.0353963823964027</v>
      </c>
    </row>
    <row r="67" spans="1:16" x14ac:dyDescent="0.2">
      <c r="A67" s="3"/>
      <c r="D67" s="6"/>
      <c r="G67" s="13"/>
      <c r="H67" s="13"/>
      <c r="I67" s="13"/>
      <c r="M67" s="11"/>
      <c r="N67" s="11"/>
      <c r="O67" s="11"/>
    </row>
    <row r="68" spans="1:16" x14ac:dyDescent="0.2">
      <c r="A68" s="58" t="s">
        <v>103</v>
      </c>
      <c r="D68" s="6"/>
      <c r="G68" s="25">
        <f>GEOMEAN(G50:G61)</f>
        <v>0.98145468647022038</v>
      </c>
      <c r="H68" s="25">
        <f t="shared" ref="H68:O68" si="36">GEOMEAN(H50:H61)</f>
        <v>0.99117565664581286</v>
      </c>
      <c r="I68" s="25">
        <f t="shared" si="36"/>
        <v>0.9896168650227547</v>
      </c>
      <c r="J68" s="25">
        <f t="shared" si="36"/>
        <v>0.99480901531721522</v>
      </c>
      <c r="K68" s="25">
        <f t="shared" si="36"/>
        <v>0.99341423973541865</v>
      </c>
      <c r="L68" s="25">
        <f t="shared" si="36"/>
        <v>0.95635389487197842</v>
      </c>
      <c r="M68" s="25">
        <f t="shared" si="36"/>
        <v>0.98748032145862963</v>
      </c>
      <c r="N68" s="25">
        <f t="shared" si="36"/>
        <v>1.0404371293659986</v>
      </c>
      <c r="O68" s="25">
        <f t="shared" si="36"/>
        <v>0.99256048363132587</v>
      </c>
    </row>
    <row r="69" spans="1:16" x14ac:dyDescent="0.2">
      <c r="D69" s="6"/>
      <c r="H69" s="25"/>
      <c r="I69" s="25"/>
      <c r="J69" s="25"/>
      <c r="K69" s="25"/>
      <c r="L69" s="25"/>
      <c r="M69" s="25"/>
      <c r="N69" s="25"/>
      <c r="O69" s="25"/>
    </row>
    <row r="70" spans="1:16" x14ac:dyDescent="0.2">
      <c r="A70" s="19" t="s">
        <v>44</v>
      </c>
    </row>
    <row r="71" spans="1:16" x14ac:dyDescent="0.2">
      <c r="A71">
        <v>2015</v>
      </c>
      <c r="G71" s="36">
        <f>SUM(H71:O71)</f>
        <v>1079760469</v>
      </c>
      <c r="H71" s="36">
        <f>+H42*'Rate Class Customer Model'!B15</f>
        <v>479177852</v>
      </c>
      <c r="I71" s="36">
        <f>I42*'Rate Class Customer Model'!C15</f>
        <v>132197810.00000001</v>
      </c>
      <c r="J71" s="36">
        <f>J42*'Rate Class Customer Model'!D15</f>
        <v>333350818</v>
      </c>
      <c r="K71" s="36">
        <f>K42*'Rate Class Customer Model'!E15</f>
        <v>41948976</v>
      </c>
      <c r="L71" s="36">
        <f>L42*'Rate Class Customer Model'!F15</f>
        <v>81234207</v>
      </c>
      <c r="M71" s="36">
        <f>M42*'Rate Class Customer Model'!G15</f>
        <v>9302763</v>
      </c>
      <c r="N71" s="36">
        <f>N42*'Rate Class Customer Model'!H15</f>
        <v>35813</v>
      </c>
      <c r="O71" s="36">
        <f>O42*'Rate Class Customer Model'!I15</f>
        <v>2512230</v>
      </c>
      <c r="P71" s="36"/>
    </row>
    <row r="72" spans="1:16" x14ac:dyDescent="0.2">
      <c r="A72">
        <v>2016</v>
      </c>
      <c r="B72" s="167"/>
      <c r="C72" s="167"/>
      <c r="D72" s="167"/>
      <c r="E72" s="167"/>
      <c r="F72" s="167"/>
      <c r="G72" s="36">
        <f t="shared" ref="G72:G75" si="37">SUM(H72:O72)</f>
        <v>1074433920</v>
      </c>
      <c r="H72" s="36">
        <f>+H43*'Rate Class Customer Model'!B16</f>
        <v>477455153</v>
      </c>
      <c r="I72" s="36">
        <f>I43*'Rate Class Customer Model'!C16</f>
        <v>130049530</v>
      </c>
      <c r="J72" s="36">
        <f>J43*'Rate Class Customer Model'!D16</f>
        <v>330168199</v>
      </c>
      <c r="K72" s="36">
        <f>K43*'Rate Class Customer Model'!E16</f>
        <v>41438246</v>
      </c>
      <c r="L72" s="36">
        <f>L43*'Rate Class Customer Model'!F16</f>
        <v>83295745</v>
      </c>
      <c r="M72" s="36">
        <f>M43*'Rate Class Customer Model'!G16</f>
        <v>9490651</v>
      </c>
      <c r="N72" s="36">
        <f>N43*'Rate Class Customer Model'!H16</f>
        <v>35814</v>
      </c>
      <c r="O72" s="36">
        <f>O43*'Rate Class Customer Model'!I16</f>
        <v>2500582</v>
      </c>
      <c r="P72" s="36"/>
    </row>
    <row r="73" spans="1:16" x14ac:dyDescent="0.2">
      <c r="A73">
        <v>2017</v>
      </c>
      <c r="B73" s="167"/>
      <c r="C73" s="167"/>
      <c r="D73" s="167"/>
      <c r="E73" s="167"/>
      <c r="F73" s="167"/>
      <c r="G73" s="36">
        <f t="shared" si="37"/>
        <v>1070323338.7047009</v>
      </c>
      <c r="H73" s="36">
        <f>+H44*'Rate Class Customer Model'!B17</f>
        <v>480019127.67198223</v>
      </c>
      <c r="I73" s="36">
        <f>I44*'Rate Class Customer Model'!C17</f>
        <v>129778386.71900402</v>
      </c>
      <c r="J73" s="36">
        <f>J44*'Rate Class Customer Model'!D17</f>
        <v>328454300.93624842</v>
      </c>
      <c r="K73" s="36">
        <f>K44*'Rate Class Customer Model'!E17</f>
        <v>40933734.152569443</v>
      </c>
      <c r="L73" s="36">
        <f>L44*'Rate Class Customer Model'!F17</f>
        <v>78839630.8705654</v>
      </c>
      <c r="M73" s="36">
        <f>M44*'Rate Class Customer Model'!G17</f>
        <v>9687238.5400217902</v>
      </c>
      <c r="N73" s="36">
        <f>N44*'Rate Class Customer Model'!H17</f>
        <v>34829.021613311925</v>
      </c>
      <c r="O73" s="36">
        <f>O44*'Rate Class Customer Model'!I17</f>
        <v>2576090.7926964159</v>
      </c>
      <c r="P73" s="36"/>
    </row>
    <row r="74" spans="1:16" x14ac:dyDescent="0.2">
      <c r="A74">
        <v>2018</v>
      </c>
      <c r="B74" s="167"/>
      <c r="C74" s="167"/>
      <c r="D74" s="167"/>
      <c r="E74" s="167"/>
      <c r="F74" s="167"/>
      <c r="G74" s="36">
        <f t="shared" si="37"/>
        <v>1066486900.981714</v>
      </c>
      <c r="H74" s="36">
        <f>+H45*'Rate Class Customer Model'!B18</f>
        <v>482596871.10544348</v>
      </c>
      <c r="I74" s="36">
        <f>I45*'Rate Class Customer Model'!C18</f>
        <v>129507808.75092252</v>
      </c>
      <c r="J74" s="36">
        <f>J45*'Rate Class Customer Model'!D18</f>
        <v>326749299.69109356</v>
      </c>
      <c r="K74" s="36">
        <f>K45*'Rate Class Customer Model'!E18</f>
        <v>40435364.751520373</v>
      </c>
      <c r="L74" s="36">
        <f>L45*'Rate Class Customer Model'!F18</f>
        <v>74621907.707374588</v>
      </c>
      <c r="M74" s="36">
        <f>M45*'Rate Class Customer Model'!G18</f>
        <v>9887898.1569634676</v>
      </c>
      <c r="N74" s="36">
        <f>N45*'Rate Class Customer Model'!H18</f>
        <v>33871.132700635215</v>
      </c>
      <c r="O74" s="36">
        <f>O45*'Rate Class Customer Model'!I18</f>
        <v>2653879.6856952701</v>
      </c>
      <c r="P74" s="36"/>
    </row>
    <row r="75" spans="1:16" x14ac:dyDescent="0.2">
      <c r="A75">
        <v>2019</v>
      </c>
      <c r="B75" s="167"/>
      <c r="C75" s="167"/>
      <c r="D75" s="167"/>
      <c r="E75" s="167"/>
      <c r="F75" s="167"/>
      <c r="G75" s="36">
        <f t="shared" si="37"/>
        <v>1062911957.7575766</v>
      </c>
      <c r="H75" s="36">
        <f>+H46*'Rate Class Customer Model'!B19</f>
        <v>485188457.23980081</v>
      </c>
      <c r="I75" s="36">
        <f>I46*'Rate Class Customer Model'!C19</f>
        <v>129237794.91712147</v>
      </c>
      <c r="J75" s="36">
        <f>J46*'Rate Class Customer Model'!D19</f>
        <v>325053149.08128643</v>
      </c>
      <c r="K75" s="36">
        <f>K46*'Rate Class Customer Model'!E19</f>
        <v>39943063.012389861</v>
      </c>
      <c r="L75" s="36">
        <f>L46*'Rate Class Customer Model'!F19</f>
        <v>70629822.189678624</v>
      </c>
      <c r="M75" s="36">
        <f>M46*'Rate Class Customer Model'!G19</f>
        <v>10092714.199051986</v>
      </c>
      <c r="N75" s="36">
        <f>N46*'Rate Class Customer Model'!H19</f>
        <v>32939.588230797461</v>
      </c>
      <c r="O75" s="36">
        <f>O46*'Rate Class Customer Model'!I19</f>
        <v>2734017.5300164702</v>
      </c>
      <c r="P75" s="36"/>
    </row>
    <row r="76" spans="1:16" x14ac:dyDescent="0.2"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 x14ac:dyDescent="0.2">
      <c r="A77" s="19" t="s">
        <v>43</v>
      </c>
      <c r="G77" s="36"/>
      <c r="H77" s="36"/>
      <c r="I77" s="36"/>
      <c r="J77" s="36"/>
      <c r="K77" s="36"/>
      <c r="L77" s="36"/>
      <c r="M77" s="36"/>
      <c r="N77" s="36"/>
      <c r="O77" s="36"/>
      <c r="P77" s="36" t="s">
        <v>15</v>
      </c>
    </row>
    <row r="78" spans="1:16" x14ac:dyDescent="0.2">
      <c r="A78">
        <v>2015</v>
      </c>
      <c r="G78" s="51">
        <f>G19</f>
        <v>1079760469</v>
      </c>
      <c r="H78" s="36">
        <f t="shared" ref="H78:O82" si="38">H71+H92</f>
        <v>479177852</v>
      </c>
      <c r="I78" s="36">
        <f t="shared" si="38"/>
        <v>132197810.00000001</v>
      </c>
      <c r="J78" s="36">
        <f t="shared" si="38"/>
        <v>333350818</v>
      </c>
      <c r="K78" s="36">
        <f t="shared" si="38"/>
        <v>41948976</v>
      </c>
      <c r="L78" s="36">
        <f t="shared" si="38"/>
        <v>81234207</v>
      </c>
      <c r="M78" s="36">
        <f t="shared" si="38"/>
        <v>9302763</v>
      </c>
      <c r="N78" s="36">
        <f t="shared" si="38"/>
        <v>35813</v>
      </c>
      <c r="O78" s="36">
        <f t="shared" si="38"/>
        <v>2512230</v>
      </c>
      <c r="P78" s="36">
        <f t="shared" ref="P78:P82" si="39">SUM(H78:O78)</f>
        <v>1079760469</v>
      </c>
    </row>
    <row r="79" spans="1:16" x14ac:dyDescent="0.2">
      <c r="A79">
        <v>2016</v>
      </c>
      <c r="B79" s="167"/>
      <c r="C79" s="167"/>
      <c r="D79" s="167"/>
      <c r="E79" s="167"/>
      <c r="F79" s="167"/>
      <c r="G79" s="51">
        <f>G20</f>
        <v>1074433920</v>
      </c>
      <c r="H79" s="36">
        <f t="shared" si="38"/>
        <v>477455153</v>
      </c>
      <c r="I79" s="36">
        <f t="shared" si="38"/>
        <v>130049530</v>
      </c>
      <c r="J79" s="36">
        <f t="shared" si="38"/>
        <v>330168199</v>
      </c>
      <c r="K79" s="36">
        <f t="shared" si="38"/>
        <v>41438246</v>
      </c>
      <c r="L79" s="36">
        <f t="shared" si="38"/>
        <v>83295745</v>
      </c>
      <c r="M79" s="36">
        <f t="shared" si="38"/>
        <v>9490651</v>
      </c>
      <c r="N79" s="36">
        <f t="shared" si="38"/>
        <v>35814</v>
      </c>
      <c r="O79" s="36">
        <f t="shared" si="38"/>
        <v>2500582</v>
      </c>
      <c r="P79" s="36">
        <f t="shared" si="39"/>
        <v>1074433920</v>
      </c>
    </row>
    <row r="80" spans="1:16" x14ac:dyDescent="0.2">
      <c r="A80">
        <v>2017</v>
      </c>
      <c r="B80" s="167"/>
      <c r="C80" s="167"/>
      <c r="D80" s="167"/>
      <c r="E80" s="167"/>
      <c r="F80" s="167"/>
      <c r="G80" s="51">
        <f>G21</f>
        <v>1077273114.7699778</v>
      </c>
      <c r="H80" s="36">
        <f t="shared" si="38"/>
        <v>483401337.81150025</v>
      </c>
      <c r="I80" s="36">
        <f t="shared" si="38"/>
        <v>130692803.978958</v>
      </c>
      <c r="J80" s="36">
        <f t="shared" si="38"/>
        <v>330627162.70894676</v>
      </c>
      <c r="K80" s="36">
        <f t="shared" si="38"/>
        <v>40933734.152569443</v>
      </c>
      <c r="L80" s="36">
        <f t="shared" si="38"/>
        <v>79319917.76367189</v>
      </c>
      <c r="M80" s="36">
        <f t="shared" si="38"/>
        <v>9687238.5400217902</v>
      </c>
      <c r="N80" s="36">
        <f t="shared" si="38"/>
        <v>34829.021613311925</v>
      </c>
      <c r="O80" s="36">
        <f t="shared" si="38"/>
        <v>2576090.7926964159</v>
      </c>
      <c r="P80" s="36">
        <f t="shared" si="39"/>
        <v>1077273114.7699778</v>
      </c>
    </row>
    <row r="81" spans="1:16" x14ac:dyDescent="0.2">
      <c r="A81">
        <v>2018</v>
      </c>
      <c r="B81" s="167"/>
      <c r="C81" s="167"/>
      <c r="D81" s="167"/>
      <c r="E81" s="167"/>
      <c r="F81" s="167"/>
      <c r="G81" s="51">
        <f>G22</f>
        <v>1072903552.3604515</v>
      </c>
      <c r="H81" s="36">
        <f>H74+H95</f>
        <v>485745784.6546948</v>
      </c>
      <c r="I81" s="36">
        <f t="shared" si="38"/>
        <v>130352838.87466843</v>
      </c>
      <c r="J81" s="36">
        <f t="shared" si="38"/>
        <v>328751032.02198231</v>
      </c>
      <c r="K81" s="36">
        <f t="shared" si="38"/>
        <v>40435364.751520373</v>
      </c>
      <c r="L81" s="36">
        <f t="shared" si="38"/>
        <v>75042883.082226098</v>
      </c>
      <c r="M81" s="36">
        <f t="shared" si="38"/>
        <v>9887898.1569634676</v>
      </c>
      <c r="N81" s="36">
        <f t="shared" si="38"/>
        <v>33871.132700635215</v>
      </c>
      <c r="O81" s="36">
        <f t="shared" si="38"/>
        <v>2653879.6856952701</v>
      </c>
      <c r="P81" s="36">
        <f t="shared" si="39"/>
        <v>1072903552.3604515</v>
      </c>
    </row>
    <row r="82" spans="1:16" x14ac:dyDescent="0.2">
      <c r="A82">
        <v>2019</v>
      </c>
      <c r="B82" s="167"/>
      <c r="C82" s="167"/>
      <c r="D82" s="167"/>
      <c r="E82" s="167"/>
      <c r="F82" s="167"/>
      <c r="G82" s="51">
        <f>G23</f>
        <v>1068533989.9509252</v>
      </c>
      <c r="H82" s="36">
        <f t="shared" si="38"/>
        <v>487969934.77356982</v>
      </c>
      <c r="I82" s="36">
        <f t="shared" si="38"/>
        <v>129978686.45671172</v>
      </c>
      <c r="J82" s="36">
        <f t="shared" si="38"/>
        <v>326802732.18700236</v>
      </c>
      <c r="K82" s="36">
        <f t="shared" si="38"/>
        <v>39943063.012389861</v>
      </c>
      <c r="L82" s="36">
        <f t="shared" si="38"/>
        <v>70979902.203952119</v>
      </c>
      <c r="M82" s="36">
        <f t="shared" si="38"/>
        <v>10092714.199051986</v>
      </c>
      <c r="N82" s="36">
        <f t="shared" si="38"/>
        <v>32939.588230797461</v>
      </c>
      <c r="O82" s="36">
        <f t="shared" si="38"/>
        <v>2734017.5300164702</v>
      </c>
      <c r="P82" s="36">
        <f t="shared" si="39"/>
        <v>1068533989.9509252</v>
      </c>
    </row>
    <row r="83" spans="1:16" x14ac:dyDescent="0.2"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1:16" x14ac:dyDescent="0.2">
      <c r="A84" s="45" t="s">
        <v>45</v>
      </c>
      <c r="G84" s="36"/>
      <c r="H84" s="52">
        <f>(100%+J84)/2</f>
        <v>0.94241011075586667</v>
      </c>
      <c r="I84" s="52">
        <f>H84</f>
        <v>0.94241011075586667</v>
      </c>
      <c r="J84" s="52">
        <v>0.88482022151173345</v>
      </c>
      <c r="K84" s="52">
        <v>0</v>
      </c>
      <c r="L84" s="52">
        <v>0.81480567631147327</v>
      </c>
      <c r="M84" s="52">
        <v>0</v>
      </c>
      <c r="N84" s="52">
        <v>0</v>
      </c>
      <c r="O84" s="52">
        <v>0</v>
      </c>
      <c r="P84" s="36" t="s">
        <v>15</v>
      </c>
    </row>
    <row r="85" spans="1:16" x14ac:dyDescent="0.2">
      <c r="A85">
        <v>2015</v>
      </c>
      <c r="G85" s="36">
        <f>G78-G71</f>
        <v>0</v>
      </c>
      <c r="H85" s="36">
        <f t="shared" ref="H85:O89" si="40">H71*H$84</f>
        <v>451582052.57507831</v>
      </c>
      <c r="I85" s="36">
        <f t="shared" si="40"/>
        <v>124584552.76378304</v>
      </c>
      <c r="J85" s="36">
        <f t="shared" si="40"/>
        <v>294955544.62387753</v>
      </c>
      <c r="K85" s="36">
        <f t="shared" si="40"/>
        <v>0</v>
      </c>
      <c r="L85" s="36">
        <f t="shared" si="40"/>
        <v>66190092.974261217</v>
      </c>
      <c r="M85" s="36">
        <f t="shared" si="40"/>
        <v>0</v>
      </c>
      <c r="N85" s="36">
        <f t="shared" si="40"/>
        <v>0</v>
      </c>
      <c r="O85" s="36">
        <f t="shared" si="40"/>
        <v>0</v>
      </c>
      <c r="P85" s="36">
        <f t="shared" ref="P85:P89" si="41">SUM(H85:O85)</f>
        <v>937312242.93700004</v>
      </c>
    </row>
    <row r="86" spans="1:16" x14ac:dyDescent="0.2">
      <c r="A86">
        <v>2016</v>
      </c>
      <c r="B86" s="167"/>
      <c r="C86" s="167"/>
      <c r="D86" s="167"/>
      <c r="E86" s="167"/>
      <c r="F86" s="167"/>
      <c r="G86" s="36">
        <f>G79-G72</f>
        <v>0</v>
      </c>
      <c r="H86" s="36">
        <f t="shared" si="40"/>
        <v>449958563.61968929</v>
      </c>
      <c r="I86" s="36">
        <f t="shared" si="40"/>
        <v>122559991.9710484</v>
      </c>
      <c r="J86" s="36">
        <f t="shared" si="40"/>
        <v>292139498.97531009</v>
      </c>
      <c r="K86" s="36">
        <f t="shared" si="40"/>
        <v>0</v>
      </c>
      <c r="L86" s="36">
        <f t="shared" si="40"/>
        <v>67869845.838593021</v>
      </c>
      <c r="M86" s="36">
        <f t="shared" si="40"/>
        <v>0</v>
      </c>
      <c r="N86" s="36">
        <f t="shared" si="40"/>
        <v>0</v>
      </c>
      <c r="O86" s="36">
        <f t="shared" si="40"/>
        <v>0</v>
      </c>
      <c r="P86" s="36">
        <f t="shared" si="41"/>
        <v>932527900.40464079</v>
      </c>
    </row>
    <row r="87" spans="1:16" x14ac:dyDescent="0.2">
      <c r="A87">
        <v>2017</v>
      </c>
      <c r="B87" s="167"/>
      <c r="C87" s="167"/>
      <c r="D87" s="167"/>
      <c r="E87" s="167"/>
      <c r="F87" s="167"/>
      <c r="G87" s="36">
        <f>G80-G73</f>
        <v>6949776.0652768612</v>
      </c>
      <c r="H87" s="36">
        <f t="shared" si="40"/>
        <v>452374879.27428728</v>
      </c>
      <c r="I87" s="36">
        <f t="shared" si="40"/>
        <v>122304463.80157427</v>
      </c>
      <c r="J87" s="36">
        <f t="shared" si="40"/>
        <v>290623007.31089288</v>
      </c>
      <c r="K87" s="36">
        <f t="shared" si="40"/>
        <v>0</v>
      </c>
      <c r="L87" s="36">
        <f t="shared" si="40"/>
        <v>64238978.751637943</v>
      </c>
      <c r="M87" s="36">
        <f t="shared" si="40"/>
        <v>0</v>
      </c>
      <c r="N87" s="36">
        <f t="shared" si="40"/>
        <v>0</v>
      </c>
      <c r="O87" s="36">
        <f t="shared" si="40"/>
        <v>0</v>
      </c>
      <c r="P87" s="36">
        <f t="shared" si="41"/>
        <v>929541329.13839245</v>
      </c>
    </row>
    <row r="88" spans="1:16" x14ac:dyDescent="0.2">
      <c r="A88">
        <v>2018</v>
      </c>
      <c r="B88" s="167"/>
      <c r="C88" s="167"/>
      <c r="D88" s="167"/>
      <c r="E88" s="167"/>
      <c r="F88" s="167"/>
      <c r="G88" s="36">
        <f>G81-G74</f>
        <v>6416651.3787374496</v>
      </c>
      <c r="H88" s="36">
        <f t="shared" si="40"/>
        <v>454804170.74891567</v>
      </c>
      <c r="I88" s="36">
        <f t="shared" si="40"/>
        <v>122049468.38870649</v>
      </c>
      <c r="J88" s="36">
        <f t="shared" si="40"/>
        <v>289114387.7314772</v>
      </c>
      <c r="K88" s="36">
        <f t="shared" si="40"/>
        <v>0</v>
      </c>
      <c r="L88" s="36">
        <f t="shared" si="40"/>
        <v>60802353.977159694</v>
      </c>
      <c r="M88" s="36">
        <f t="shared" si="40"/>
        <v>0</v>
      </c>
      <c r="N88" s="36">
        <f t="shared" si="40"/>
        <v>0</v>
      </c>
      <c r="O88" s="36">
        <f t="shared" si="40"/>
        <v>0</v>
      </c>
      <c r="P88" s="36">
        <f t="shared" si="41"/>
        <v>926770380.84625912</v>
      </c>
    </row>
    <row r="89" spans="1:16" x14ac:dyDescent="0.2">
      <c r="A89">
        <v>2019</v>
      </c>
      <c r="B89" s="167"/>
      <c r="C89" s="167"/>
      <c r="D89" s="167"/>
      <c r="E89" s="167"/>
      <c r="F89" s="167"/>
      <c r="G89" s="36">
        <f>G82-G75</f>
        <v>5622032.1933486462</v>
      </c>
      <c r="H89" s="36">
        <f t="shared" si="40"/>
        <v>457246507.72482878</v>
      </c>
      <c r="I89" s="36">
        <f t="shared" si="40"/>
        <v>121795004.62168843</v>
      </c>
      <c r="J89" s="36">
        <f t="shared" si="40"/>
        <v>287613599.3731904</v>
      </c>
      <c r="K89" s="36">
        <f t="shared" si="40"/>
        <v>0</v>
      </c>
      <c r="L89" s="36">
        <f t="shared" si="40"/>
        <v>57549580.037020192</v>
      </c>
      <c r="M89" s="36">
        <f t="shared" si="40"/>
        <v>0</v>
      </c>
      <c r="N89" s="36">
        <f t="shared" si="40"/>
        <v>0</v>
      </c>
      <c r="O89" s="36">
        <f t="shared" si="40"/>
        <v>0</v>
      </c>
      <c r="P89" s="36">
        <f t="shared" si="41"/>
        <v>924204691.75672781</v>
      </c>
    </row>
    <row r="90" spans="1:16" ht="12" customHeight="1" x14ac:dyDescent="0.2">
      <c r="G90" s="36"/>
      <c r="H90" s="36"/>
      <c r="I90" s="36"/>
      <c r="J90" s="36"/>
      <c r="K90" s="36"/>
      <c r="L90" s="36"/>
      <c r="M90" s="36"/>
      <c r="N90" s="36"/>
      <c r="O90" s="36"/>
      <c r="P90" s="36"/>
    </row>
    <row r="91" spans="1:16" x14ac:dyDescent="0.2">
      <c r="A91" t="s">
        <v>46</v>
      </c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 x14ac:dyDescent="0.2">
      <c r="A92">
        <v>2015</v>
      </c>
      <c r="G92" s="36"/>
      <c r="H92" s="36">
        <f t="shared" ref="H92:O96" si="42">H85/$P85*$G85</f>
        <v>0</v>
      </c>
      <c r="I92" s="36">
        <f t="shared" si="42"/>
        <v>0</v>
      </c>
      <c r="J92" s="36">
        <f t="shared" si="42"/>
        <v>0</v>
      </c>
      <c r="K92" s="36">
        <f t="shared" si="42"/>
        <v>0</v>
      </c>
      <c r="L92" s="36">
        <f t="shared" si="42"/>
        <v>0</v>
      </c>
      <c r="M92" s="36">
        <f t="shared" si="42"/>
        <v>0</v>
      </c>
      <c r="N92" s="36">
        <f t="shared" si="42"/>
        <v>0</v>
      </c>
      <c r="O92" s="36">
        <f t="shared" si="42"/>
        <v>0</v>
      </c>
      <c r="P92" s="36">
        <f>SUM(H92:O92)</f>
        <v>0</v>
      </c>
    </row>
    <row r="93" spans="1:16" x14ac:dyDescent="0.2">
      <c r="A93">
        <v>2016</v>
      </c>
      <c r="B93" s="167"/>
      <c r="C93" s="167"/>
      <c r="D93" s="167"/>
      <c r="E93" s="167"/>
      <c r="F93" s="167"/>
      <c r="G93" s="36"/>
      <c r="H93" s="36">
        <f t="shared" si="42"/>
        <v>0</v>
      </c>
      <c r="I93" s="36">
        <f t="shared" si="42"/>
        <v>0</v>
      </c>
      <c r="J93" s="36">
        <f t="shared" si="42"/>
        <v>0</v>
      </c>
      <c r="K93" s="36">
        <f t="shared" si="42"/>
        <v>0</v>
      </c>
      <c r="L93" s="36">
        <f t="shared" si="42"/>
        <v>0</v>
      </c>
      <c r="M93" s="36">
        <f t="shared" si="42"/>
        <v>0</v>
      </c>
      <c r="N93" s="36">
        <f t="shared" si="42"/>
        <v>0</v>
      </c>
      <c r="O93" s="36">
        <f t="shared" si="42"/>
        <v>0</v>
      </c>
      <c r="P93" s="36">
        <f t="shared" ref="P93:P96" si="43">SUM(H93:O93)</f>
        <v>0</v>
      </c>
    </row>
    <row r="94" spans="1:16" x14ac:dyDescent="0.2">
      <c r="A94">
        <v>2017</v>
      </c>
      <c r="B94" s="167"/>
      <c r="C94" s="167"/>
      <c r="D94" s="167"/>
      <c r="E94" s="167"/>
      <c r="F94" s="167"/>
      <c r="G94" s="36"/>
      <c r="H94" s="36">
        <f t="shared" si="42"/>
        <v>3382210.1395180454</v>
      </c>
      <c r="I94" s="36">
        <f t="shared" si="42"/>
        <v>914417.2599539709</v>
      </c>
      <c r="J94" s="36">
        <f t="shared" si="42"/>
        <v>2172861.7726983475</v>
      </c>
      <c r="K94" s="36">
        <f t="shared" si="42"/>
        <v>0</v>
      </c>
      <c r="L94" s="36">
        <f t="shared" si="42"/>
        <v>480286.89310649695</v>
      </c>
      <c r="M94" s="36">
        <f t="shared" si="42"/>
        <v>0</v>
      </c>
      <c r="N94" s="36">
        <f t="shared" si="42"/>
        <v>0</v>
      </c>
      <c r="O94" s="36">
        <f t="shared" si="42"/>
        <v>0</v>
      </c>
      <c r="P94" s="36">
        <f t="shared" si="43"/>
        <v>6949776.0652768603</v>
      </c>
    </row>
    <row r="95" spans="1:16" x14ac:dyDescent="0.2">
      <c r="A95">
        <v>2018</v>
      </c>
      <c r="B95" s="167"/>
      <c r="C95" s="167"/>
      <c r="D95" s="167"/>
      <c r="E95" s="167"/>
      <c r="F95" s="167"/>
      <c r="G95" s="36"/>
      <c r="H95" s="36">
        <f t="shared" si="42"/>
        <v>3148913.5492512994</v>
      </c>
      <c r="I95" s="36">
        <f t="shared" si="42"/>
        <v>845030.12374591851</v>
      </c>
      <c r="J95" s="36">
        <f t="shared" si="42"/>
        <v>2001732.3308887286</v>
      </c>
      <c r="K95" s="36">
        <f t="shared" si="42"/>
        <v>0</v>
      </c>
      <c r="L95" s="36">
        <f t="shared" si="42"/>
        <v>420975.37485150306</v>
      </c>
      <c r="M95" s="36">
        <f t="shared" si="42"/>
        <v>0</v>
      </c>
      <c r="N95" s="36">
        <f t="shared" si="42"/>
        <v>0</v>
      </c>
      <c r="O95" s="36">
        <f t="shared" si="42"/>
        <v>0</v>
      </c>
      <c r="P95" s="36">
        <f t="shared" si="43"/>
        <v>6416651.3787374496</v>
      </c>
    </row>
    <row r="96" spans="1:16" x14ac:dyDescent="0.2">
      <c r="A96">
        <v>2019</v>
      </c>
      <c r="B96" s="167"/>
      <c r="C96" s="167"/>
      <c r="D96" s="167"/>
      <c r="E96" s="167"/>
      <c r="F96" s="167"/>
      <c r="G96" s="36"/>
      <c r="H96" s="36">
        <f t="shared" si="42"/>
        <v>2781477.5337689845</v>
      </c>
      <c r="I96" s="36">
        <f t="shared" si="42"/>
        <v>740891.53959025536</v>
      </c>
      <c r="J96" s="36">
        <f t="shared" si="42"/>
        <v>1749583.1057159158</v>
      </c>
      <c r="K96" s="36">
        <f t="shared" si="42"/>
        <v>0</v>
      </c>
      <c r="L96" s="36">
        <f t="shared" si="42"/>
        <v>350080.01427349041</v>
      </c>
      <c r="M96" s="36">
        <f t="shared" si="42"/>
        <v>0</v>
      </c>
      <c r="N96" s="36">
        <f t="shared" si="42"/>
        <v>0</v>
      </c>
      <c r="O96" s="36">
        <f t="shared" si="42"/>
        <v>0</v>
      </c>
      <c r="P96" s="36">
        <f t="shared" si="43"/>
        <v>5622032.1933486462</v>
      </c>
    </row>
    <row r="98" spans="1:16" x14ac:dyDescent="0.2">
      <c r="F98" s="366" t="s">
        <v>284</v>
      </c>
    </row>
    <row r="99" spans="1:16" x14ac:dyDescent="0.2">
      <c r="A99" s="365">
        <v>2015</v>
      </c>
      <c r="B99" s="366"/>
      <c r="C99" s="366"/>
      <c r="D99" s="366"/>
      <c r="E99" s="366"/>
      <c r="F99" s="366"/>
      <c r="G99" s="364">
        <f>' CDM Summary'!K$17</f>
        <v>42635787.187697716</v>
      </c>
      <c r="H99" s="364">
        <f>($G$99-$M$99)*H71/($G$71-$M$71)</f>
        <v>19085410.669116255</v>
      </c>
      <c r="I99" s="364">
        <f>($G$99-$M$99)*I71/($G$71-$M$71)</f>
        <v>5265371.6837643078</v>
      </c>
      <c r="J99" s="364">
        <f>($G$99-$M$99)*J71/($G$71-$M$71)</f>
        <v>13277193.910072103</v>
      </c>
      <c r="K99" s="364">
        <f>($G$99-$M$99)*K71/($G$71-$M$71)</f>
        <v>1670806.425562636</v>
      </c>
      <c r="L99" s="364">
        <f>($G$99-$M$99)*L71/($G$71-$M$71)</f>
        <v>3235517.2395885242</v>
      </c>
      <c r="M99" s="364">
        <f>' CDM Summary'!K18</f>
        <v>0</v>
      </c>
      <c r="N99" s="364">
        <f>($G$99-$M$99)*N71/($G$71-$M$71)</f>
        <v>1426.4136154044543</v>
      </c>
      <c r="O99" s="364">
        <f>($G$99-$M$99)*O71/($G$71-$M$71)</f>
        <v>100060.84597848635</v>
      </c>
      <c r="P99" s="364">
        <f t="shared" ref="P99:P103" si="44">SUM(H99:O99)</f>
        <v>42635787.187697716</v>
      </c>
    </row>
    <row r="100" spans="1:16" x14ac:dyDescent="0.2">
      <c r="A100" s="365">
        <v>2016</v>
      </c>
      <c r="B100" s="366"/>
      <c r="C100" s="366"/>
      <c r="D100" s="366"/>
      <c r="E100" s="366"/>
      <c r="F100" s="366"/>
      <c r="G100" s="364">
        <f>' CDM Summary'!L$17</f>
        <v>53959412.807951793</v>
      </c>
      <c r="H100" s="364">
        <f>($G$100-$M$100)*H72/($G$72-$M$72)</f>
        <v>24192086.515747331</v>
      </c>
      <c r="I100" s="364">
        <f>($G$100-$M$100)*I72/($G$72-$M$72)</f>
        <v>6589455.494037318</v>
      </c>
      <c r="J100" s="364">
        <f>($G$100-$M$100)*J72/($G$72-$M$72)</f>
        <v>16729231.184895143</v>
      </c>
      <c r="K100" s="364">
        <f>($G$100-$M$100)*K72/($G$72-$M$72)</f>
        <v>2099626.7942526969</v>
      </c>
      <c r="L100" s="364">
        <f>($G$100-$M$100)*L72/($G$72-$M$72)</f>
        <v>4220496.6409350457</v>
      </c>
      <c r="M100" s="364">
        <f>' CDM Summary'!L18</f>
        <v>0</v>
      </c>
      <c r="N100" s="364">
        <f>($G$100-$M$100)*N72/($G$72-$M$72)</f>
        <v>1814.6529177264424</v>
      </c>
      <c r="O100" s="364">
        <f>($G$100-$M$100)*O72/($G$72-$M$72)</f>
        <v>126701.52516653326</v>
      </c>
      <c r="P100" s="364">
        <f t="shared" si="44"/>
        <v>53959412.807951801</v>
      </c>
    </row>
    <row r="101" spans="1:16" x14ac:dyDescent="0.2">
      <c r="A101" s="365">
        <v>2017</v>
      </c>
      <c r="B101" s="366"/>
      <c r="C101" s="366"/>
      <c r="D101" s="366"/>
      <c r="E101" s="366"/>
      <c r="F101" s="366"/>
      <c r="G101" s="364">
        <f>' CDM Summary'!M$17</f>
        <v>7257963.9110897565</v>
      </c>
      <c r="H101" s="364">
        <f>($G$101-$M$101)*H73/($G$73-$M$73)</f>
        <v>2158896.458867549</v>
      </c>
      <c r="I101" s="364">
        <f>($G$101-$M$101)*I73/($G$73-$M$73)</f>
        <v>583681.11471728468</v>
      </c>
      <c r="J101" s="364">
        <f>($G$101-$M$101)*J73/($G$73-$M$73)</f>
        <v>1477230.3566945374</v>
      </c>
      <c r="K101" s="364">
        <f>($G$101-$M$101)*K73/($G$73-$M$73)</f>
        <v>184100.35895610397</v>
      </c>
      <c r="L101" s="364">
        <f>($G$101-$M$101)*L73/($G$73-$M$73)</f>
        <v>354582.95324680861</v>
      </c>
      <c r="M101" s="364">
        <f>' CDM Summary'!M18</f>
        <v>2487730</v>
      </c>
      <c r="N101" s="364">
        <f>($G$101-$M$101)*N73/($G$73-$M$73)</f>
        <v>156.64428163825701</v>
      </c>
      <c r="O101" s="364">
        <f>($G$101-$M$101)*O73/($G$73-$M$73)</f>
        <v>11586.024325834805</v>
      </c>
      <c r="P101" s="364">
        <f t="shared" si="44"/>
        <v>7257963.9110897565</v>
      </c>
    </row>
    <row r="102" spans="1:16" x14ac:dyDescent="0.2">
      <c r="A102" s="365">
        <v>2018</v>
      </c>
      <c r="B102" s="366"/>
      <c r="C102" s="366"/>
      <c r="D102" s="366"/>
      <c r="E102" s="366"/>
      <c r="F102" s="366"/>
      <c r="G102" s="364">
        <f>' CDM Summary'!N$17</f>
        <v>21386968.526840698</v>
      </c>
      <c r="H102" s="364">
        <f>($G$102-$M$102)*H74/($G$74-$M$74)</f>
        <v>7495883.1534003224</v>
      </c>
      <c r="I102" s="364">
        <f>($G$102-$M$102)*I74/($G$74-$M$74)</f>
        <v>2011565.8844330227</v>
      </c>
      <c r="J102" s="364">
        <f>($G$102-$M$102)*J74/($G$74-$M$74)</f>
        <v>5075197.7842903892</v>
      </c>
      <c r="K102" s="364">
        <f>($G$102-$M$102)*K74/($G$74-$M$74)</f>
        <v>628057.88348406868</v>
      </c>
      <c r="L102" s="364">
        <f>($G$102-$M$102)*L74/($G$74-$M$74)</f>
        <v>1159056.6254129068</v>
      </c>
      <c r="M102" s="364">
        <f>' CDM Summary'!N18</f>
        <v>4975460</v>
      </c>
      <c r="N102" s="364">
        <f>($G$102-$M$102)*N74/($G$74-$M$74)</f>
        <v>526.09966661347153</v>
      </c>
      <c r="O102" s="364">
        <f>($G$102-$M$102)*O74/($G$74-$M$74)</f>
        <v>41221.096153373153</v>
      </c>
      <c r="P102" s="364">
        <f t="shared" si="44"/>
        <v>21386968.526840698</v>
      </c>
    </row>
    <row r="103" spans="1:16" x14ac:dyDescent="0.2">
      <c r="A103" s="365">
        <v>2019</v>
      </c>
      <c r="B103" s="365"/>
      <c r="C103" s="365"/>
      <c r="D103" s="365"/>
      <c r="E103" s="365"/>
      <c r="F103" s="365"/>
      <c r="G103" s="364">
        <f>' CDM Summary'!O$17</f>
        <v>33115717.927591637</v>
      </c>
      <c r="H103" s="364">
        <f>($G$103-$M$103)*H75/($G$75-$M$75)</f>
        <v>12968349.898383381</v>
      </c>
      <c r="I103" s="364">
        <f>($G$103-$M$103)*I75/($G$75-$M$75)</f>
        <v>3454329.7961278441</v>
      </c>
      <c r="J103" s="364">
        <f>($G$103-$M$103)*J75/($G$75-$M$75)</f>
        <v>8688176.5424482618</v>
      </c>
      <c r="K103" s="364">
        <f>($G$103-$M$103)*K75/($G$75-$M$75)</f>
        <v>1067617.3545114482</v>
      </c>
      <c r="L103" s="364">
        <f>($G$103-$M$103)*L75/($G$75-$M$75)</f>
        <v>1887827.7785649225</v>
      </c>
      <c r="M103" s="364">
        <f>' CDM Summary'!O18</f>
        <v>4975460</v>
      </c>
      <c r="N103" s="364">
        <f>($G$103-$M$103)*N75/($G$75-$M$75)</f>
        <v>880.42511999523106</v>
      </c>
      <c r="O103" s="364">
        <f>($G$103-$M$103)*O75/($G$75-$M$75)</f>
        <v>73076.132435780019</v>
      </c>
      <c r="P103" s="364">
        <f t="shared" si="44"/>
        <v>33115717.927591633</v>
      </c>
    </row>
    <row r="104" spans="1:16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6" x14ac:dyDescent="0.2">
      <c r="A105" s="365">
        <v>2015</v>
      </c>
      <c r="B105" s="365"/>
      <c r="C105" s="365"/>
      <c r="D105" s="365"/>
      <c r="E105" s="365"/>
      <c r="F105" s="365"/>
      <c r="G105" s="365"/>
      <c r="H105" s="489">
        <f>+H99/$P99</f>
        <v>0.44763828529998922</v>
      </c>
      <c r="I105" s="489">
        <f t="shared" ref="I105:O105" si="45">+I99/$P99</f>
        <v>0.12349652794222589</v>
      </c>
      <c r="J105" s="489">
        <f t="shared" si="45"/>
        <v>0.3114096111705697</v>
      </c>
      <c r="K105" s="489">
        <f t="shared" si="45"/>
        <v>3.9187887354047414E-2</v>
      </c>
      <c r="L105" s="489">
        <f t="shared" si="45"/>
        <v>7.5887357851389975E-2</v>
      </c>
      <c r="M105" s="489">
        <f t="shared" si="45"/>
        <v>0</v>
      </c>
      <c r="N105" s="489">
        <f t="shared" si="45"/>
        <v>3.3455782324948764E-5</v>
      </c>
      <c r="O105" s="489">
        <f t="shared" si="45"/>
        <v>2.3468745994528811E-3</v>
      </c>
      <c r="P105" s="490">
        <f>SUM(H105:O105)</f>
        <v>1.0000000000000002</v>
      </c>
    </row>
    <row r="106" spans="1:16" x14ac:dyDescent="0.2">
      <c r="A106" s="365">
        <v>2016</v>
      </c>
      <c r="B106" s="365"/>
      <c r="C106" s="365"/>
      <c r="D106" s="365"/>
      <c r="E106" s="365"/>
      <c r="F106" s="365"/>
      <c r="G106" s="365"/>
      <c r="H106" s="489">
        <f t="shared" ref="H106:O109" si="46">+H100/$P100</f>
        <v>0.44833857999622695</v>
      </c>
      <c r="I106" s="489">
        <f t="shared" si="46"/>
        <v>0.12211873982932324</v>
      </c>
      <c r="J106" s="489">
        <f t="shared" si="46"/>
        <v>0.31003360330173602</v>
      </c>
      <c r="K106" s="489">
        <f t="shared" si="46"/>
        <v>3.8911223917975669E-2</v>
      </c>
      <c r="L106" s="489">
        <f t="shared" si="46"/>
        <v>7.8216133595751192E-2</v>
      </c>
      <c r="M106" s="489">
        <f t="shared" si="46"/>
        <v>0</v>
      </c>
      <c r="N106" s="489">
        <f t="shared" si="46"/>
        <v>3.3629960433131767E-5</v>
      </c>
      <c r="O106" s="489">
        <f t="shared" si="46"/>
        <v>2.3480893985536795E-3</v>
      </c>
      <c r="P106" s="490">
        <f t="shared" ref="P106:P109" si="47">SUM(H106:O106)</f>
        <v>0.99999999999999978</v>
      </c>
    </row>
    <row r="107" spans="1:16" x14ac:dyDescent="0.2">
      <c r="A107" s="365">
        <v>2017</v>
      </c>
      <c r="B107" s="365"/>
      <c r="C107" s="365"/>
      <c r="D107" s="365"/>
      <c r="E107" s="365"/>
      <c r="F107" s="365"/>
      <c r="G107" s="365"/>
      <c r="H107" s="489">
        <f t="shared" si="46"/>
        <v>0.29745207957962949</v>
      </c>
      <c r="I107" s="489">
        <f t="shared" si="46"/>
        <v>8.0419401621087294E-2</v>
      </c>
      <c r="J107" s="489">
        <f t="shared" si="46"/>
        <v>0.20353233700120957</v>
      </c>
      <c r="K107" s="489">
        <f t="shared" si="46"/>
        <v>2.5365289936866327E-2</v>
      </c>
      <c r="L107" s="489">
        <f t="shared" si="46"/>
        <v>4.8854328512852756E-2</v>
      </c>
      <c r="M107" s="489">
        <f t="shared" si="46"/>
        <v>0.34275866213648293</v>
      </c>
      <c r="N107" s="489">
        <f t="shared" si="46"/>
        <v>2.1582400182358782E-5</v>
      </c>
      <c r="O107" s="489">
        <f t="shared" si="46"/>
        <v>1.5963188116893249E-3</v>
      </c>
      <c r="P107" s="490">
        <f t="shared" si="47"/>
        <v>1.0000000000000002</v>
      </c>
    </row>
    <row r="108" spans="1:16" x14ac:dyDescent="0.2">
      <c r="A108" s="365">
        <v>2018</v>
      </c>
      <c r="B108" s="365"/>
      <c r="C108" s="365"/>
      <c r="D108" s="365"/>
      <c r="E108" s="365"/>
      <c r="F108" s="365"/>
      <c r="G108" s="365"/>
      <c r="H108" s="489">
        <f t="shared" si="46"/>
        <v>0.3504883426556209</v>
      </c>
      <c r="I108" s="489">
        <f t="shared" si="46"/>
        <v>9.4055680771611111E-2</v>
      </c>
      <c r="J108" s="489">
        <f t="shared" si="46"/>
        <v>0.23730328016899654</v>
      </c>
      <c r="K108" s="489">
        <f t="shared" si="46"/>
        <v>2.9366381808429487E-2</v>
      </c>
      <c r="L108" s="489">
        <f t="shared" si="46"/>
        <v>5.419452616476654E-2</v>
      </c>
      <c r="M108" s="489">
        <f t="shared" si="46"/>
        <v>0.23263979622711772</v>
      </c>
      <c r="N108" s="489">
        <f t="shared" si="46"/>
        <v>2.4599076112784061E-5</v>
      </c>
      <c r="O108" s="489">
        <f t="shared" si="46"/>
        <v>1.9273931273448397E-3</v>
      </c>
      <c r="P108" s="490">
        <f t="shared" si="47"/>
        <v>0.99999999999999978</v>
      </c>
    </row>
    <row r="109" spans="1:16" x14ac:dyDescent="0.2">
      <c r="A109" s="365">
        <v>2019</v>
      </c>
      <c r="B109" s="365"/>
      <c r="C109" s="365"/>
      <c r="D109" s="365"/>
      <c r="E109" s="365"/>
      <c r="F109" s="365"/>
      <c r="G109" s="365"/>
      <c r="H109" s="489">
        <f t="shared" si="46"/>
        <v>0.39160708901854435</v>
      </c>
      <c r="I109" s="489">
        <f t="shared" si="46"/>
        <v>0.10431088354118805</v>
      </c>
      <c r="J109" s="489">
        <f t="shared" si="46"/>
        <v>0.26235809114708558</v>
      </c>
      <c r="K109" s="489">
        <f t="shared" si="46"/>
        <v>3.2238991672951828E-2</v>
      </c>
      <c r="L109" s="489">
        <f t="shared" si="46"/>
        <v>5.7007001409201105E-2</v>
      </c>
      <c r="M109" s="489">
        <f t="shared" si="46"/>
        <v>0.15024466662262828</v>
      </c>
      <c r="N109" s="489">
        <f t="shared" si="46"/>
        <v>2.6586321393372876E-5</v>
      </c>
      <c r="O109" s="489">
        <f t="shared" si="46"/>
        <v>2.206690267007433E-3</v>
      </c>
      <c r="P109" s="490">
        <f t="shared" si="47"/>
        <v>1</v>
      </c>
    </row>
    <row r="110" spans="1:16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6" x14ac:dyDescent="0.2">
      <c r="B111" s="167"/>
      <c r="C111" s="167"/>
      <c r="D111" s="167"/>
      <c r="E111" s="167"/>
      <c r="F111" s="497" t="s">
        <v>268</v>
      </c>
    </row>
    <row r="112" spans="1:16" x14ac:dyDescent="0.2">
      <c r="A112" s="365">
        <v>2015</v>
      </c>
      <c r="B112" s="366"/>
      <c r="C112" s="366"/>
      <c r="D112" s="366"/>
      <c r="E112" s="366"/>
      <c r="F112" s="366"/>
      <c r="G112" s="364">
        <f>+'City Expansion'!J97</f>
        <v>0</v>
      </c>
      <c r="H112" s="364">
        <f>+'City Expansion'!B97</f>
        <v>0</v>
      </c>
      <c r="I112" s="364">
        <f>+'City Expansion'!C97</f>
        <v>0</v>
      </c>
      <c r="J112" s="364">
        <f>+'City Expansion'!D97</f>
        <v>0</v>
      </c>
      <c r="K112" s="364">
        <f>+'City Expansion'!E97</f>
        <v>0</v>
      </c>
      <c r="L112" s="364">
        <f>+'City Expansion'!F97</f>
        <v>0</v>
      </c>
      <c r="M112" s="364">
        <f>+'City Expansion'!G97</f>
        <v>0</v>
      </c>
      <c r="N112" s="364">
        <f>+'City Expansion'!H97</f>
        <v>0</v>
      </c>
      <c r="O112" s="364">
        <f>+'City Expansion'!I97</f>
        <v>0</v>
      </c>
      <c r="P112" s="364">
        <f t="shared" ref="P112:P116" si="48">SUM(H112:O112)</f>
        <v>0</v>
      </c>
    </row>
    <row r="113" spans="1:16" x14ac:dyDescent="0.2">
      <c r="A113" s="365">
        <v>2016</v>
      </c>
      <c r="B113" s="366"/>
      <c r="C113" s="366"/>
      <c r="D113" s="366"/>
      <c r="E113" s="366"/>
      <c r="F113" s="366"/>
      <c r="G113" s="364">
        <f>+'City Expansion'!J98</f>
        <v>0</v>
      </c>
      <c r="H113" s="364">
        <f>+'City Expansion'!B98</f>
        <v>0</v>
      </c>
      <c r="I113" s="364">
        <f>+'City Expansion'!C98</f>
        <v>0</v>
      </c>
      <c r="J113" s="364">
        <f>+'City Expansion'!D98</f>
        <v>0</v>
      </c>
      <c r="K113" s="364">
        <f>+'City Expansion'!E98</f>
        <v>0</v>
      </c>
      <c r="L113" s="364">
        <f>+'City Expansion'!F98</f>
        <v>0</v>
      </c>
      <c r="M113" s="364">
        <f>+'City Expansion'!G98</f>
        <v>0</v>
      </c>
      <c r="N113" s="364">
        <f>+'City Expansion'!H98</f>
        <v>0</v>
      </c>
      <c r="O113" s="364">
        <f>+'City Expansion'!I98</f>
        <v>0</v>
      </c>
      <c r="P113" s="364">
        <f t="shared" si="48"/>
        <v>0</v>
      </c>
    </row>
    <row r="114" spans="1:16" x14ac:dyDescent="0.2">
      <c r="A114" s="365">
        <v>2017</v>
      </c>
      <c r="B114" s="366"/>
      <c r="C114" s="366"/>
      <c r="D114" s="366"/>
      <c r="E114" s="366"/>
      <c r="F114" s="366"/>
      <c r="G114" s="364">
        <f>+'City Expansion'!J99</f>
        <v>0</v>
      </c>
      <c r="H114" s="364">
        <f>+'City Expansion'!B99</f>
        <v>0</v>
      </c>
      <c r="I114" s="364">
        <f>+'City Expansion'!C99</f>
        <v>0</v>
      </c>
      <c r="J114" s="364">
        <f>+'City Expansion'!D99</f>
        <v>0</v>
      </c>
      <c r="K114" s="364">
        <f>+'City Expansion'!E99</f>
        <v>0</v>
      </c>
      <c r="L114" s="364">
        <f>+'City Expansion'!F99</f>
        <v>0</v>
      </c>
      <c r="M114" s="364">
        <f>+'City Expansion'!G99</f>
        <v>0</v>
      </c>
      <c r="N114" s="364">
        <f>+'City Expansion'!H99</f>
        <v>0</v>
      </c>
      <c r="O114" s="364">
        <f>+'City Expansion'!I99</f>
        <v>0</v>
      </c>
      <c r="P114" s="364">
        <f t="shared" si="48"/>
        <v>0</v>
      </c>
    </row>
    <row r="115" spans="1:16" x14ac:dyDescent="0.2">
      <c r="A115" s="365">
        <v>2018</v>
      </c>
      <c r="B115" s="366"/>
      <c r="C115" s="366"/>
      <c r="D115" s="366"/>
      <c r="E115" s="366"/>
      <c r="F115" s="366"/>
      <c r="G115" s="364">
        <f>+'City Expansion'!J100</f>
        <v>10079877.068601504</v>
      </c>
      <c r="H115" s="364">
        <f>+'City Expansion'!B100</f>
        <v>1762037.8834376917</v>
      </c>
      <c r="I115" s="364">
        <f>+'City Expansion'!C100</f>
        <v>1243905.222269834</v>
      </c>
      <c r="J115" s="364">
        <f>+'City Expansion'!D100</f>
        <v>5919428.0693212701</v>
      </c>
      <c r="K115" s="364">
        <f>+'City Expansion'!E100</f>
        <v>0</v>
      </c>
      <c r="L115" s="364">
        <f>+'City Expansion'!F100</f>
        <v>1154505.8935727093</v>
      </c>
      <c r="M115" s="364">
        <f>+'City Expansion'!G100</f>
        <v>0</v>
      </c>
      <c r="N115" s="364">
        <f>+'City Expansion'!H100</f>
        <v>0</v>
      </c>
      <c r="O115" s="364">
        <f>+'City Expansion'!I100</f>
        <v>0</v>
      </c>
      <c r="P115" s="364">
        <f t="shared" si="48"/>
        <v>10079877.068601504</v>
      </c>
    </row>
    <row r="116" spans="1:16" x14ac:dyDescent="0.2">
      <c r="A116" s="365">
        <v>2019</v>
      </c>
      <c r="B116" s="365"/>
      <c r="C116" s="365"/>
      <c r="D116" s="365"/>
      <c r="E116" s="365"/>
      <c r="F116" s="365"/>
      <c r="G116" s="364">
        <f>+'City Expansion'!J101</f>
        <v>24484854.535874467</v>
      </c>
      <c r="H116" s="364">
        <f>+'City Expansion'!B101</f>
        <v>3546754.6195185855</v>
      </c>
      <c r="I116" s="364">
        <f>+'City Expansion'!C101</f>
        <v>2490869.1273897756</v>
      </c>
      <c r="J116" s="364">
        <f>+'City Expansion'!D101</f>
        <v>11895239.816293601</v>
      </c>
      <c r="K116" s="364">
        <f>+'City Expansion'!E101</f>
        <v>0</v>
      </c>
      <c r="L116" s="364">
        <f>+'City Expansion'!F101</f>
        <v>6551990.9726725034</v>
      </c>
      <c r="M116" s="364">
        <f>+'City Expansion'!G101</f>
        <v>0</v>
      </c>
      <c r="N116" s="364">
        <f>+'City Expansion'!H101</f>
        <v>0</v>
      </c>
      <c r="O116" s="364">
        <f>+'City Expansion'!I101</f>
        <v>0</v>
      </c>
      <c r="P116" s="364">
        <f t="shared" si="48"/>
        <v>24484854.535874467</v>
      </c>
    </row>
    <row r="117" spans="1:16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6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6" x14ac:dyDescent="0.2">
      <c r="B119"/>
      <c r="C119"/>
      <c r="D119"/>
      <c r="E119"/>
      <c r="F119"/>
      <c r="G119" s="159"/>
      <c r="H119"/>
      <c r="I119"/>
      <c r="J119"/>
      <c r="K119"/>
      <c r="L119"/>
      <c r="M119"/>
      <c r="N119"/>
    </row>
  </sheetData>
  <phoneticPr fontId="0" type="noConversion"/>
  <pageMargins left="0.38" right="0.75" top="0.73" bottom="0.74" header="0.5" footer="0.5"/>
  <pageSetup scale="58" orientation="portrait" verticalDpi="300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zoomScale="89" zoomScaleNormal="89" workbookViewId="0">
      <pane xSplit="1" ySplit="2" topLeftCell="B3" activePane="bottomRight" state="frozen"/>
      <selection pane="topRight"/>
      <selection pane="bottomLeft"/>
      <selection pane="bottomRight" activeCell="J19" sqref="J19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6" width="14.140625" style="6" customWidth="1"/>
    <col min="7" max="8" width="17.5703125" style="6" customWidth="1"/>
    <col min="9" max="9" width="12.5703125" style="6" customWidth="1"/>
    <col min="10" max="11" width="12.7109375" style="6" bestFit="1" customWidth="1"/>
  </cols>
  <sheetData>
    <row r="2" spans="1:11" ht="42" customHeight="1" x14ac:dyDescent="0.2">
      <c r="B2" s="9" t="str">
        <f>'Rate Class Energy Model'!H2</f>
        <v>Residential</v>
      </c>
      <c r="C2" s="9" t="str">
        <f>'Rate Class Energy Model'!I2</f>
        <v>GS&lt;50</v>
      </c>
      <c r="D2" s="9" t="str">
        <f>'Rate Class Energy Model'!J2</f>
        <v>GS&gt;50</v>
      </c>
      <c r="E2" s="9" t="str">
        <f>'Rate Class Energy Model'!K2</f>
        <v>Large User</v>
      </c>
      <c r="F2" s="9" t="str">
        <f>'Rate Class Energy Model'!L2</f>
        <v>I2</v>
      </c>
      <c r="G2" s="9" t="str">
        <f>'Rate Class Energy Model'!M2</f>
        <v>Streetlights</v>
      </c>
      <c r="H2" s="9" t="s">
        <v>78</v>
      </c>
      <c r="I2" s="9" t="str">
        <f>'Rate Class Energy Model'!O2</f>
        <v>USL</v>
      </c>
      <c r="J2" s="6" t="s">
        <v>9</v>
      </c>
    </row>
    <row r="3" spans="1:11" x14ac:dyDescent="0.2">
      <c r="A3" s="4">
        <v>2003</v>
      </c>
      <c r="B3" s="39">
        <f>AVERAGE('Year End Customer'!B6:B7)</f>
        <v>43319.5</v>
      </c>
      <c r="C3" s="39">
        <f>AVERAGE('Year End Customer'!C6:C7)</f>
        <v>3689</v>
      </c>
      <c r="D3" s="39">
        <f>AVERAGE('Year End Customer'!D6:D7)</f>
        <v>559</v>
      </c>
      <c r="E3" s="38">
        <f>AVERAGE('Year End Customer'!E6:E7)</f>
        <v>2.5</v>
      </c>
      <c r="F3" s="38">
        <f>AVERAGE('Year End Customer'!F6:F7)</f>
        <v>5</v>
      </c>
      <c r="G3" s="38">
        <f>AVERAGE('Year End Customer'!G6:G7)</f>
        <v>10059</v>
      </c>
      <c r="H3" s="39">
        <f>AVERAGE('Year End Customer'!H6:H7)</f>
        <v>34.5</v>
      </c>
      <c r="I3" s="39">
        <f>AVERAGE('Year End Customer'!I6:I7)</f>
        <v>292</v>
      </c>
      <c r="J3" s="38">
        <f>SUM(B3:I3)</f>
        <v>57960.5</v>
      </c>
    </row>
    <row r="4" spans="1:11" x14ac:dyDescent="0.2">
      <c r="A4" s="4">
        <v>2004</v>
      </c>
      <c r="B4" s="39">
        <f>AVERAGE('Year End Customer'!B7:B8)</f>
        <v>43979.5</v>
      </c>
      <c r="C4" s="39">
        <f>AVERAGE('Year End Customer'!C7:C8)</f>
        <v>3626.5</v>
      </c>
      <c r="D4" s="39">
        <f>AVERAGE('Year End Customer'!D7:D8)</f>
        <v>530</v>
      </c>
      <c r="E4" s="38">
        <f>AVERAGE('Year End Customer'!E7:E8)</f>
        <v>2.5</v>
      </c>
      <c r="F4" s="38">
        <f>AVERAGE('Year End Customer'!F7:F8)</f>
        <v>6</v>
      </c>
      <c r="G4" s="38">
        <f>AVERAGE('Year End Customer'!G7:G8)</f>
        <v>10262</v>
      </c>
      <c r="H4" s="39">
        <f>AVERAGE('Year End Customer'!H7:H8)</f>
        <v>30</v>
      </c>
      <c r="I4" s="39">
        <f>AVERAGE('Year End Customer'!I7:I8)</f>
        <v>294</v>
      </c>
      <c r="J4" s="38">
        <f t="shared" ref="J4:J13" si="0">SUM(B4:I4)</f>
        <v>58730.5</v>
      </c>
    </row>
    <row r="5" spans="1:11" x14ac:dyDescent="0.2">
      <c r="A5" s="4">
        <v>2005</v>
      </c>
      <c r="B5" s="39">
        <f>AVERAGE('Year End Customer'!B8:B9)</f>
        <v>44598.5</v>
      </c>
      <c r="C5" s="39">
        <f>AVERAGE('Year End Customer'!C8:C9)</f>
        <v>3662</v>
      </c>
      <c r="D5" s="39">
        <f>AVERAGE('Year End Customer'!D8:D9)</f>
        <v>521.5</v>
      </c>
      <c r="E5" s="38">
        <f>AVERAGE('Year End Customer'!E8:E9)</f>
        <v>2</v>
      </c>
      <c r="F5" s="38">
        <f>AVERAGE('Year End Customer'!F8:F9)</f>
        <v>7.5</v>
      </c>
      <c r="G5" s="38">
        <f>AVERAGE('Year End Customer'!G8:G9)</f>
        <v>10498.5</v>
      </c>
      <c r="H5" s="39">
        <f>AVERAGE('Year End Customer'!H8:H9)</f>
        <v>29.5</v>
      </c>
      <c r="I5" s="39">
        <f>AVERAGE('Year End Customer'!I8:I9)</f>
        <v>295</v>
      </c>
      <c r="J5" s="38">
        <f t="shared" si="0"/>
        <v>59614.5</v>
      </c>
      <c r="K5" s="162">
        <f t="shared" ref="K5:K19" si="1">+J5/J4</f>
        <v>1.015051804428704</v>
      </c>
    </row>
    <row r="6" spans="1:11" x14ac:dyDescent="0.2">
      <c r="A6" s="4">
        <v>2006</v>
      </c>
      <c r="B6" s="39">
        <f>AVERAGE('Year End Customer'!B9:B10)</f>
        <v>45439</v>
      </c>
      <c r="C6" s="39">
        <f>AVERAGE('Year End Customer'!C9:C10)</f>
        <v>3740.5</v>
      </c>
      <c r="D6" s="39">
        <f>AVERAGE('Year End Customer'!D9:D10)</f>
        <v>525</v>
      </c>
      <c r="E6" s="38">
        <f>AVERAGE('Year End Customer'!E9:E10)</f>
        <v>2</v>
      </c>
      <c r="F6" s="38">
        <f>AVERAGE('Year End Customer'!F9:F10)</f>
        <v>8.5</v>
      </c>
      <c r="G6" s="38">
        <f>AVERAGE('Year End Customer'!G9:G10)</f>
        <v>10831</v>
      </c>
      <c r="H6" s="39">
        <f>AVERAGE('Year End Customer'!H9:H10)</f>
        <v>28.5</v>
      </c>
      <c r="I6" s="39">
        <f>AVERAGE('Year End Customer'!I9:I10)</f>
        <v>298</v>
      </c>
      <c r="J6" s="38">
        <f t="shared" si="0"/>
        <v>60872.5</v>
      </c>
      <c r="K6" s="162">
        <f t="shared" si="1"/>
        <v>1.0211022486140118</v>
      </c>
    </row>
    <row r="7" spans="1:11" x14ac:dyDescent="0.2">
      <c r="A7" s="4">
        <v>2007</v>
      </c>
      <c r="B7" s="449">
        <f>AVERAGE('Year End Customer'!B10:B11)</f>
        <v>46320</v>
      </c>
      <c r="C7" s="449">
        <f>AVERAGE('Year End Customer'!C10:C11)</f>
        <v>3749</v>
      </c>
      <c r="D7" s="449">
        <f>AVERAGE('Year End Customer'!D10:D11)</f>
        <v>523</v>
      </c>
      <c r="E7" s="27">
        <f>AVERAGE('Year End Customer'!E10:E11)</f>
        <v>2</v>
      </c>
      <c r="F7" s="27">
        <f>AVERAGE('Year End Customer'!F10:F11)</f>
        <v>9</v>
      </c>
      <c r="G7" s="27">
        <f>AVERAGE('Year End Customer'!G10:G11)</f>
        <v>11280.5</v>
      </c>
      <c r="H7" s="449">
        <f>AVERAGE('Year End Customer'!H10:H11)</f>
        <v>26.5</v>
      </c>
      <c r="I7" s="449">
        <f>AVERAGE('Year End Customer'!I10:I11)</f>
        <v>301</v>
      </c>
      <c r="J7" s="27">
        <f t="shared" si="0"/>
        <v>62211</v>
      </c>
      <c r="K7" s="162">
        <f t="shared" si="1"/>
        <v>1.0219885826933344</v>
      </c>
    </row>
    <row r="8" spans="1:11" x14ac:dyDescent="0.2">
      <c r="A8" s="4">
        <v>2008</v>
      </c>
      <c r="B8" s="449">
        <f>AVERAGE('Year End Customer'!B11:B12)</f>
        <v>47057.5</v>
      </c>
      <c r="C8" s="449">
        <f>AVERAGE('Year End Customer'!C11:C12)</f>
        <v>3793.5</v>
      </c>
      <c r="D8" s="449">
        <f>AVERAGE('Year End Customer'!D11:D12)</f>
        <v>533.5</v>
      </c>
      <c r="E8" s="27">
        <f>AVERAGE('Year End Customer'!E11:E12)</f>
        <v>2.5</v>
      </c>
      <c r="F8" s="27">
        <f>AVERAGE('Year End Customer'!F11:F12)</f>
        <v>9</v>
      </c>
      <c r="G8" s="27">
        <f>AVERAGE('Year End Customer'!G11:G12)</f>
        <v>11621.5</v>
      </c>
      <c r="H8" s="449">
        <f>AVERAGE('Year End Customer'!H11:H12)</f>
        <v>26</v>
      </c>
      <c r="I8" s="449">
        <f>AVERAGE('Year End Customer'!I11:I12)</f>
        <v>301</v>
      </c>
      <c r="J8" s="27">
        <f t="shared" si="0"/>
        <v>63344.5</v>
      </c>
      <c r="K8" s="162">
        <f t="shared" si="1"/>
        <v>1.0182202504380253</v>
      </c>
    </row>
    <row r="9" spans="1:11" x14ac:dyDescent="0.2">
      <c r="A9" s="4">
        <v>2009</v>
      </c>
      <c r="B9" s="449">
        <f>AVERAGE('Year End Customer'!B12:B13)</f>
        <v>47602.5</v>
      </c>
      <c r="C9" s="27">
        <f>AVERAGE('Year End Customer'!C12:C13)</f>
        <v>3859.5</v>
      </c>
      <c r="D9" s="449">
        <f>AVERAGE('Year End Customer'!D12:D13)</f>
        <v>525</v>
      </c>
      <c r="E9" s="27">
        <f>AVERAGE('Year End Customer'!E12:E13)</f>
        <v>2</v>
      </c>
      <c r="F9" s="27">
        <f>AVERAGE('Year End Customer'!F12:F13)</f>
        <v>9.5</v>
      </c>
      <c r="G9" s="27">
        <f>AVERAGE('Year End Customer'!G12:G13)</f>
        <v>11801</v>
      </c>
      <c r="H9" s="449">
        <f>AVERAGE('Year End Customer'!H12:H13)</f>
        <v>26</v>
      </c>
      <c r="I9" s="449">
        <f>AVERAGE('Year End Customer'!I12:I13)</f>
        <v>302.5</v>
      </c>
      <c r="J9" s="27">
        <f t="shared" si="0"/>
        <v>64128</v>
      </c>
      <c r="K9" s="162">
        <f t="shared" si="1"/>
        <v>1.0123688718041819</v>
      </c>
    </row>
    <row r="10" spans="1:11" x14ac:dyDescent="0.2">
      <c r="A10" s="4">
        <v>2010</v>
      </c>
      <c r="B10" s="449">
        <f>AVERAGE('Year End Customer'!B13:B14)</f>
        <v>48114.5</v>
      </c>
      <c r="C10" s="449">
        <f>AVERAGE('Year End Customer'!C13:C14)</f>
        <v>3929</v>
      </c>
      <c r="D10" s="449">
        <f>AVERAGE('Year End Customer'!D13:D14)</f>
        <v>512.5</v>
      </c>
      <c r="E10" s="27">
        <f>AVERAGE('Year End Customer'!E13:E14)</f>
        <v>1</v>
      </c>
      <c r="F10" s="27">
        <f>AVERAGE('Year End Customer'!F13:F14)</f>
        <v>10</v>
      </c>
      <c r="G10" s="27">
        <f>AVERAGE('Year End Customer'!G13:G14)</f>
        <v>11995.5</v>
      </c>
      <c r="H10" s="449">
        <f>AVERAGE('Year End Customer'!H13:H14)</f>
        <v>25</v>
      </c>
      <c r="I10" s="449">
        <f>AVERAGE('Year End Customer'!I13:I14)</f>
        <v>306.5</v>
      </c>
      <c r="J10" s="27">
        <f t="shared" si="0"/>
        <v>64894</v>
      </c>
      <c r="K10" s="162">
        <f t="shared" si="1"/>
        <v>1.0119448602794412</v>
      </c>
    </row>
    <row r="11" spans="1:11" x14ac:dyDescent="0.2">
      <c r="A11" s="4">
        <v>2011</v>
      </c>
      <c r="B11" s="449">
        <f>AVERAGE('Year End Customer'!B14:B15)</f>
        <v>48650.5</v>
      </c>
      <c r="C11" s="449">
        <f>AVERAGE('Year End Customer'!C14:C15)</f>
        <v>3888.5</v>
      </c>
      <c r="D11" s="449">
        <f>AVERAGE('Year End Customer'!D14:D15)</f>
        <v>520.5</v>
      </c>
      <c r="E11" s="27">
        <f>AVERAGE('Year End Customer'!E14:E15)</f>
        <v>1</v>
      </c>
      <c r="F11" s="27">
        <f>AVERAGE('Year End Customer'!F14:F15)</f>
        <v>10</v>
      </c>
      <c r="G11" s="27">
        <f>AVERAGE('Year End Customer'!G14:G15)</f>
        <v>12127.5</v>
      </c>
      <c r="H11" s="449">
        <f>AVERAGE('Year End Customer'!H14:H15)</f>
        <v>24</v>
      </c>
      <c r="I11" s="449">
        <f>AVERAGE('Year End Customer'!I14:I15)</f>
        <v>302.5</v>
      </c>
      <c r="J11" s="27">
        <f t="shared" si="0"/>
        <v>65524.5</v>
      </c>
      <c r="K11" s="162">
        <f t="shared" si="1"/>
        <v>1.0097158442999352</v>
      </c>
    </row>
    <row r="12" spans="1:11" x14ac:dyDescent="0.2">
      <c r="A12" s="4">
        <v>2012</v>
      </c>
      <c r="B12" s="449">
        <f>AVERAGE('Year End Customer'!B15:B16)</f>
        <v>49021</v>
      </c>
      <c r="C12" s="449">
        <f>AVERAGE('Year End Customer'!C15:C16)</f>
        <v>3850.5</v>
      </c>
      <c r="D12" s="449">
        <f>AVERAGE('Year End Customer'!D15:D16)</f>
        <v>511.5</v>
      </c>
      <c r="E12" s="27">
        <f>AVERAGE('Year End Customer'!E15:E16)</f>
        <v>1</v>
      </c>
      <c r="F12" s="27">
        <f>AVERAGE('Year End Customer'!F15:F16)</f>
        <v>10.5</v>
      </c>
      <c r="G12" s="27">
        <f>AVERAGE('Year End Customer'!G15:G16)</f>
        <v>12213</v>
      </c>
      <c r="H12" s="449">
        <f>AVERAGE('Year End Customer'!H15:H16)</f>
        <v>24</v>
      </c>
      <c r="I12" s="449">
        <f>AVERAGE('Year End Customer'!I15:I16)</f>
        <v>295.5</v>
      </c>
      <c r="J12" s="27">
        <f t="shared" si="0"/>
        <v>65927</v>
      </c>
      <c r="K12" s="162">
        <f t="shared" si="1"/>
        <v>1.0061427405016443</v>
      </c>
    </row>
    <row r="13" spans="1:11" x14ac:dyDescent="0.2">
      <c r="A13" s="4">
        <v>2013</v>
      </c>
      <c r="B13" s="449">
        <f>AVERAGE('Year End Customer'!B16:B17)</f>
        <v>49516</v>
      </c>
      <c r="C13" s="449">
        <f>AVERAGE('Year End Customer'!C16:C17)</f>
        <v>3904.5</v>
      </c>
      <c r="D13" s="449">
        <f>AVERAGE('Year End Customer'!D16:D17)</f>
        <v>500</v>
      </c>
      <c r="E13" s="27">
        <f>AVERAGE('Year End Customer'!E16:E17)</f>
        <v>1</v>
      </c>
      <c r="F13" s="27">
        <f>AVERAGE('Year End Customer'!F16:F17)</f>
        <v>11</v>
      </c>
      <c r="G13" s="27">
        <f>AVERAGE('Year End Customer'!G16:G17)</f>
        <v>12332.5</v>
      </c>
      <c r="H13" s="449">
        <f>AVERAGE('Year End Customer'!H16:H17)</f>
        <v>24</v>
      </c>
      <c r="I13" s="449">
        <f>AVERAGE('Year End Customer'!I16:I17)</f>
        <v>295</v>
      </c>
      <c r="J13" s="27">
        <f t="shared" si="0"/>
        <v>66584</v>
      </c>
      <c r="K13" s="162">
        <f t="shared" si="1"/>
        <v>1.0099655679767015</v>
      </c>
    </row>
    <row r="14" spans="1:11" x14ac:dyDescent="0.2">
      <c r="A14" s="4">
        <v>2014</v>
      </c>
      <c r="B14" s="449">
        <f>AVERAGE('Year End Customer'!B17:B18)</f>
        <v>50202.5</v>
      </c>
      <c r="C14" s="449">
        <f>AVERAGE('Year End Customer'!C17:C18)</f>
        <v>3952.5</v>
      </c>
      <c r="D14" s="449">
        <f>AVERAGE('Year End Customer'!D17:D18)</f>
        <v>502.5</v>
      </c>
      <c r="E14" s="27">
        <f>AVERAGE('Year End Customer'!E17:E18)</f>
        <v>1</v>
      </c>
      <c r="F14" s="27">
        <f>AVERAGE('Year End Customer'!F17:F18)</f>
        <v>11</v>
      </c>
      <c r="G14" s="27">
        <f>AVERAGE('Year End Customer'!G17:G18)</f>
        <v>12464.5</v>
      </c>
      <c r="H14" s="449">
        <f>AVERAGE('Year End Customer'!H17:H18)</f>
        <v>24</v>
      </c>
      <c r="I14" s="449">
        <f>AVERAGE('Year End Customer'!I17:I18)</f>
        <v>295.5</v>
      </c>
      <c r="J14" s="27">
        <f t="shared" ref="J14" si="2">SUM(B14:I14)</f>
        <v>67453.5</v>
      </c>
      <c r="K14" s="162">
        <f t="shared" si="1"/>
        <v>1.0130586927790459</v>
      </c>
    </row>
    <row r="15" spans="1:11" x14ac:dyDescent="0.2">
      <c r="A15" s="4">
        <v>2015</v>
      </c>
      <c r="B15" s="449">
        <f>AVERAGE('Year End Customer'!B18:B19)</f>
        <v>51152.5</v>
      </c>
      <c r="C15" s="449">
        <f>AVERAGE('Year End Customer'!C18:C19)</f>
        <v>4027.5</v>
      </c>
      <c r="D15" s="449">
        <f>AVERAGE('Year End Customer'!D18:D19)</f>
        <v>508.5</v>
      </c>
      <c r="E15" s="449">
        <f>AVERAGE('Year End Customer'!E18:E19)</f>
        <v>1</v>
      </c>
      <c r="F15" s="449">
        <f>AVERAGE('Year End Customer'!F18:F19)</f>
        <v>12</v>
      </c>
      <c r="G15" s="449">
        <f>AVERAGE('Year End Customer'!G18:G19)</f>
        <v>12714</v>
      </c>
      <c r="H15" s="449">
        <f>AVERAGE('Year End Customer'!H18:H19)</f>
        <v>24</v>
      </c>
      <c r="I15" s="449">
        <f>AVERAGE('Year End Customer'!I18:I19)</f>
        <v>284.5</v>
      </c>
      <c r="J15" s="27">
        <f t="shared" ref="J15:J16" si="3">SUM(B15:I15)</f>
        <v>68724</v>
      </c>
      <c r="K15" s="162">
        <f t="shared" si="1"/>
        <v>1.0188351975805554</v>
      </c>
    </row>
    <row r="16" spans="1:11" x14ac:dyDescent="0.2">
      <c r="A16" s="4">
        <v>2016</v>
      </c>
      <c r="B16" s="449">
        <f>AVERAGE('Year End Customer'!B19:B20)</f>
        <v>52115</v>
      </c>
      <c r="C16" s="449">
        <f>AVERAGE('Year End Customer'!C19:C20)</f>
        <v>4112</v>
      </c>
      <c r="D16" s="449">
        <f>AVERAGE('Year End Customer'!D19:D20)</f>
        <v>516.5</v>
      </c>
      <c r="E16" s="449">
        <f>AVERAGE('Year End Customer'!E19:E20)</f>
        <v>1</v>
      </c>
      <c r="F16" s="449">
        <f>AVERAGE('Year End Customer'!F19:F20)</f>
        <v>13</v>
      </c>
      <c r="G16" s="449">
        <f>AVERAGE('Year End Customer'!G19:G20)</f>
        <v>12957.5</v>
      </c>
      <c r="H16" s="449">
        <f>AVERAGE('Year End Customer'!H19:H20)</f>
        <v>24</v>
      </c>
      <c r="I16" s="449">
        <f>AVERAGE('Year End Customer'!I19:I20)</f>
        <v>273.5</v>
      </c>
      <c r="J16" s="27">
        <f t="shared" si="3"/>
        <v>70012.5</v>
      </c>
      <c r="K16" s="162">
        <f t="shared" si="1"/>
        <v>1.0187489086781911</v>
      </c>
    </row>
    <row r="17" spans="1:11" x14ac:dyDescent="0.2">
      <c r="A17" s="4">
        <v>2017</v>
      </c>
      <c r="B17" s="21">
        <f t="shared" ref="B17:B19" si="4">+B16*B$40</f>
        <v>52861.328483376739</v>
      </c>
      <c r="C17" s="21">
        <f t="shared" ref="C17:C19" si="5">+C16*C$40</f>
        <v>4146.4802600618323</v>
      </c>
      <c r="D17" s="21">
        <f t="shared" ref="D17:D19" si="6">+D16*D$40</f>
        <v>516.5</v>
      </c>
      <c r="E17" s="21">
        <f t="shared" ref="E17:E19" si="7">+E16*E$40</f>
        <v>1</v>
      </c>
      <c r="F17" s="21">
        <f t="shared" ref="F17:F19" si="8">+F16*F$40</f>
        <v>13</v>
      </c>
      <c r="G17" s="21">
        <f t="shared" ref="G17:G19" si="9">+G16*G$40</f>
        <v>13212.353111802431</v>
      </c>
      <c r="H17" s="21">
        <f t="shared" ref="H17:H19" si="10">+H16*H$40</f>
        <v>23.339285720167176</v>
      </c>
      <c r="I17" s="21">
        <f t="shared" ref="I17:I19" si="11">+I16*I$40</f>
        <v>272.12644749091885</v>
      </c>
      <c r="J17" s="21">
        <f t="shared" ref="J17:J19" si="12">SUM(B17:I17)</f>
        <v>71046.127588452102</v>
      </c>
      <c r="K17" s="162">
        <f t="shared" si="1"/>
        <v>1.0147634720721599</v>
      </c>
    </row>
    <row r="18" spans="1:11" x14ac:dyDescent="0.2">
      <c r="A18" s="4">
        <v>2018</v>
      </c>
      <c r="B18" s="21">
        <f t="shared" si="4"/>
        <v>53618.344987574732</v>
      </c>
      <c r="C18" s="21">
        <f t="shared" si="5"/>
        <v>4181.2496466640177</v>
      </c>
      <c r="D18" s="21">
        <f t="shared" si="6"/>
        <v>516.5</v>
      </c>
      <c r="E18" s="21">
        <f t="shared" si="7"/>
        <v>1</v>
      </c>
      <c r="F18" s="21">
        <f t="shared" si="8"/>
        <v>13</v>
      </c>
      <c r="G18" s="21">
        <f t="shared" si="9"/>
        <v>13472.218772985172</v>
      </c>
      <c r="H18" s="21">
        <f t="shared" si="10"/>
        <v>22.696760746983312</v>
      </c>
      <c r="I18" s="21">
        <f t="shared" si="11"/>
        <v>270.75979314086953</v>
      </c>
      <c r="J18" s="21">
        <f t="shared" si="12"/>
        <v>72095.769961111771</v>
      </c>
      <c r="K18" s="162">
        <f t="shared" si="1"/>
        <v>1.0147740968901207</v>
      </c>
    </row>
    <row r="19" spans="1:11" x14ac:dyDescent="0.2">
      <c r="A19" s="4">
        <v>2019</v>
      </c>
      <c r="B19" s="21">
        <f t="shared" si="4"/>
        <v>54386.202573600778</v>
      </c>
      <c r="C19" s="21">
        <f t="shared" si="5"/>
        <v>4216.3105842127579</v>
      </c>
      <c r="D19" s="21">
        <f t="shared" si="6"/>
        <v>516.5</v>
      </c>
      <c r="E19" s="21">
        <f t="shared" si="7"/>
        <v>1</v>
      </c>
      <c r="F19" s="21">
        <f t="shared" si="8"/>
        <v>13</v>
      </c>
      <c r="G19" s="21">
        <f t="shared" si="9"/>
        <v>13737.195572304361</v>
      </c>
      <c r="H19" s="21">
        <f t="shared" si="10"/>
        <v>22.071924333171605</v>
      </c>
      <c r="I19" s="21">
        <f t="shared" si="11"/>
        <v>269.4000023064018</v>
      </c>
      <c r="J19" s="21">
        <f t="shared" si="12"/>
        <v>73161.680656757468</v>
      </c>
      <c r="K19" s="162">
        <f t="shared" si="1"/>
        <v>1.0147846495879114</v>
      </c>
    </row>
    <row r="20" spans="1:11" x14ac:dyDescent="0.2">
      <c r="A20" s="20"/>
    </row>
    <row r="21" spans="1:11" x14ac:dyDescent="0.2">
      <c r="A21" s="19" t="s">
        <v>42</v>
      </c>
      <c r="B21" s="5"/>
      <c r="C21" s="5"/>
      <c r="D21" s="5"/>
      <c r="E21" s="5"/>
      <c r="F21" s="5"/>
      <c r="G21" s="5"/>
      <c r="H21" s="5"/>
      <c r="I21" s="5"/>
    </row>
    <row r="22" spans="1:11" x14ac:dyDescent="0.2">
      <c r="A22" s="4">
        <v>2003</v>
      </c>
      <c r="B22" s="24"/>
      <c r="C22" s="24"/>
      <c r="D22" s="24"/>
      <c r="E22" s="24"/>
      <c r="F22" s="24"/>
      <c r="G22" s="24"/>
      <c r="H22" s="24"/>
      <c r="I22" s="24"/>
    </row>
    <row r="23" spans="1:11" x14ac:dyDescent="0.2">
      <c r="A23" s="4">
        <v>2004</v>
      </c>
      <c r="B23" s="24">
        <f>B4/B3</f>
        <v>1.0152356329135839</v>
      </c>
      <c r="C23" s="24">
        <f>C4/C3</f>
        <v>0.98305773922472217</v>
      </c>
      <c r="D23" s="24">
        <f t="shared" ref="B23:H29" si="13">D4/D3</f>
        <v>0.94812164579606439</v>
      </c>
      <c r="E23" s="24">
        <f t="shared" si="13"/>
        <v>1</v>
      </c>
      <c r="F23" s="24">
        <f t="shared" si="13"/>
        <v>1.2</v>
      </c>
      <c r="G23" s="24">
        <f t="shared" si="13"/>
        <v>1.0201809324982603</v>
      </c>
      <c r="H23" s="24">
        <f t="shared" si="13"/>
        <v>0.86956521739130432</v>
      </c>
      <c r="I23" s="24">
        <f t="shared" ref="I23" si="14">I4/I3</f>
        <v>1.0068493150684932</v>
      </c>
      <c r="J23" s="24">
        <f>J4/J3</f>
        <v>1.0132849095504697</v>
      </c>
    </row>
    <row r="24" spans="1:11" x14ac:dyDescent="0.2">
      <c r="A24" s="4">
        <v>2005</v>
      </c>
      <c r="B24" s="24">
        <f>B5/B4</f>
        <v>1.0140747393672052</v>
      </c>
      <c r="C24" s="24">
        <f>C5/C4</f>
        <v>1.0097890528057356</v>
      </c>
      <c r="D24" s="24">
        <f t="shared" si="13"/>
        <v>0.98396226415094334</v>
      </c>
      <c r="E24" s="24">
        <f t="shared" si="13"/>
        <v>0.8</v>
      </c>
      <c r="F24" s="24">
        <f t="shared" si="13"/>
        <v>1.25</v>
      </c>
      <c r="G24" s="24">
        <f t="shared" si="13"/>
        <v>1.0230461898265446</v>
      </c>
      <c r="H24" s="24">
        <f t="shared" si="13"/>
        <v>0.98333333333333328</v>
      </c>
      <c r="I24" s="24">
        <f t="shared" ref="I24" si="15">I5/I4</f>
        <v>1.0034013605442176</v>
      </c>
      <c r="J24" s="24">
        <f t="shared" ref="J24:J31" si="16">J5/J4</f>
        <v>1.015051804428704</v>
      </c>
    </row>
    <row r="25" spans="1:11" x14ac:dyDescent="0.2">
      <c r="A25" s="4">
        <v>2006</v>
      </c>
      <c r="B25" s="24">
        <f t="shared" si="13"/>
        <v>1.0188459253113893</v>
      </c>
      <c r="C25" s="24">
        <f t="shared" ref="C25:C32" si="17">C6/C5</f>
        <v>1.0214363735663572</v>
      </c>
      <c r="D25" s="24">
        <f t="shared" si="13"/>
        <v>1.0067114093959733</v>
      </c>
      <c r="E25" s="24">
        <f t="shared" si="13"/>
        <v>1</v>
      </c>
      <c r="F25" s="24">
        <f t="shared" si="13"/>
        <v>1.1333333333333333</v>
      </c>
      <c r="G25" s="24">
        <f t="shared" si="13"/>
        <v>1.0316711911225414</v>
      </c>
      <c r="H25" s="24">
        <f t="shared" si="13"/>
        <v>0.96610169491525422</v>
      </c>
      <c r="I25" s="24">
        <f t="shared" ref="I25" si="18">I6/I5</f>
        <v>1.0101694915254238</v>
      </c>
      <c r="J25" s="24">
        <f t="shared" si="16"/>
        <v>1.0211022486140118</v>
      </c>
    </row>
    <row r="26" spans="1:11" x14ac:dyDescent="0.2">
      <c r="A26" s="4">
        <v>2007</v>
      </c>
      <c r="B26" s="24">
        <f t="shared" si="13"/>
        <v>1.0193886309117719</v>
      </c>
      <c r="C26" s="24">
        <f t="shared" si="17"/>
        <v>1.0022724234727978</v>
      </c>
      <c r="D26" s="24">
        <f t="shared" si="13"/>
        <v>0.99619047619047618</v>
      </c>
      <c r="E26" s="24">
        <f t="shared" si="13"/>
        <v>1</v>
      </c>
      <c r="F26" s="24">
        <f t="shared" si="13"/>
        <v>1.0588235294117647</v>
      </c>
      <c r="G26" s="24">
        <f t="shared" si="13"/>
        <v>1.0415012464223063</v>
      </c>
      <c r="H26" s="24">
        <f t="shared" si="13"/>
        <v>0.92982456140350878</v>
      </c>
      <c r="I26" s="24">
        <f t="shared" ref="I26" si="19">I7/I6</f>
        <v>1.0100671140939597</v>
      </c>
      <c r="J26" s="24">
        <f t="shared" si="16"/>
        <v>1.0219885826933344</v>
      </c>
    </row>
    <row r="27" spans="1:11" x14ac:dyDescent="0.2">
      <c r="A27" s="4">
        <v>2008</v>
      </c>
      <c r="B27" s="24">
        <f t="shared" si="13"/>
        <v>1.015921848013817</v>
      </c>
      <c r="C27" s="24">
        <f t="shared" si="17"/>
        <v>1.011869831955188</v>
      </c>
      <c r="D27" s="24">
        <f t="shared" si="13"/>
        <v>1.0200764818355641</v>
      </c>
      <c r="E27" s="24">
        <f t="shared" si="13"/>
        <v>1.25</v>
      </c>
      <c r="F27" s="24">
        <f t="shared" si="13"/>
        <v>1</v>
      </c>
      <c r="G27" s="24">
        <f t="shared" si="13"/>
        <v>1.03022915650902</v>
      </c>
      <c r="H27" s="24">
        <f t="shared" si="13"/>
        <v>0.98113207547169812</v>
      </c>
      <c r="I27" s="24">
        <f t="shared" ref="I27" si="20">I8/I7</f>
        <v>1</v>
      </c>
      <c r="J27" s="24">
        <f t="shared" si="16"/>
        <v>1.0182202504380253</v>
      </c>
    </row>
    <row r="28" spans="1:11" x14ac:dyDescent="0.2">
      <c r="A28" s="4">
        <v>2009</v>
      </c>
      <c r="B28" s="24">
        <f t="shared" si="13"/>
        <v>1.0115815757318174</v>
      </c>
      <c r="C28" s="24">
        <f t="shared" si="17"/>
        <v>1.0173981810992487</v>
      </c>
      <c r="D28" s="24">
        <f t="shared" si="13"/>
        <v>0.98406747891283974</v>
      </c>
      <c r="E28" s="24">
        <f t="shared" si="13"/>
        <v>0.8</v>
      </c>
      <c r="F28" s="24">
        <f t="shared" si="13"/>
        <v>1.0555555555555556</v>
      </c>
      <c r="G28" s="24">
        <f t="shared" si="13"/>
        <v>1.0154455104762725</v>
      </c>
      <c r="H28" s="24">
        <f t="shared" si="13"/>
        <v>1</v>
      </c>
      <c r="I28" s="24">
        <f t="shared" ref="I28" si="21">I9/I8</f>
        <v>1.0049833887043189</v>
      </c>
      <c r="J28" s="24">
        <f t="shared" si="16"/>
        <v>1.0123688718041819</v>
      </c>
    </row>
    <row r="29" spans="1:11" x14ac:dyDescent="0.2">
      <c r="A29" s="4">
        <v>2010</v>
      </c>
      <c r="B29" s="24">
        <f t="shared" si="13"/>
        <v>1.0107557376188225</v>
      </c>
      <c r="C29" s="24">
        <f t="shared" si="17"/>
        <v>1.0180075139266744</v>
      </c>
      <c r="D29" s="24">
        <f t="shared" si="13"/>
        <v>0.97619047619047616</v>
      </c>
      <c r="E29" s="24">
        <f t="shared" si="13"/>
        <v>0.5</v>
      </c>
      <c r="F29" s="24">
        <f t="shared" si="13"/>
        <v>1.0526315789473684</v>
      </c>
      <c r="G29" s="24">
        <f t="shared" si="13"/>
        <v>1.0164816540971104</v>
      </c>
      <c r="H29" s="24">
        <f t="shared" si="13"/>
        <v>0.96153846153846156</v>
      </c>
      <c r="I29" s="24">
        <f t="shared" ref="I29" si="22">I10/I9</f>
        <v>1.0132231404958678</v>
      </c>
      <c r="J29" s="24">
        <f t="shared" si="16"/>
        <v>1.0119448602794412</v>
      </c>
    </row>
    <row r="30" spans="1:11" x14ac:dyDescent="0.2">
      <c r="A30" s="4">
        <v>2011</v>
      </c>
      <c r="B30" s="24">
        <f t="shared" ref="B30:H30" si="23">B11/B10</f>
        <v>1.0111400929033867</v>
      </c>
      <c r="C30" s="24">
        <f t="shared" si="17"/>
        <v>0.98969203359633495</v>
      </c>
      <c r="D30" s="24">
        <f t="shared" si="23"/>
        <v>1.015609756097561</v>
      </c>
      <c r="E30" s="24">
        <f t="shared" si="23"/>
        <v>1</v>
      </c>
      <c r="F30" s="24">
        <f t="shared" si="23"/>
        <v>1</v>
      </c>
      <c r="G30" s="24">
        <f t="shared" si="23"/>
        <v>1.0110041265474552</v>
      </c>
      <c r="H30" s="24">
        <f t="shared" si="23"/>
        <v>0.96</v>
      </c>
      <c r="I30" s="24">
        <f t="shared" ref="I30" si="24">I11/I10</f>
        <v>0.98694942903752036</v>
      </c>
      <c r="J30" s="24">
        <f t="shared" si="16"/>
        <v>1.0097158442999352</v>
      </c>
    </row>
    <row r="31" spans="1:11" x14ac:dyDescent="0.2">
      <c r="A31" s="4">
        <v>2012</v>
      </c>
      <c r="B31" s="24">
        <f t="shared" ref="B31:H31" si="25">B12/B11</f>
        <v>1.0076155435195939</v>
      </c>
      <c r="C31" s="24">
        <f t="shared" si="17"/>
        <v>0.99022759418799022</v>
      </c>
      <c r="D31" s="24">
        <f t="shared" si="25"/>
        <v>0.98270893371757928</v>
      </c>
      <c r="E31" s="24">
        <f t="shared" si="25"/>
        <v>1</v>
      </c>
      <c r="F31" s="24">
        <f t="shared" si="25"/>
        <v>1.05</v>
      </c>
      <c r="G31" s="24">
        <f t="shared" si="25"/>
        <v>1.0070500927643784</v>
      </c>
      <c r="H31" s="24">
        <f t="shared" si="25"/>
        <v>1</v>
      </c>
      <c r="I31" s="24">
        <f t="shared" ref="I31" si="26">I12/I11</f>
        <v>0.97685950413223144</v>
      </c>
      <c r="J31" s="24">
        <f t="shared" si="16"/>
        <v>1.0061427405016443</v>
      </c>
    </row>
    <row r="32" spans="1:11" x14ac:dyDescent="0.2">
      <c r="A32" s="4">
        <v>2013</v>
      </c>
      <c r="B32" s="46">
        <f t="shared" ref="B32:B38" si="27">B13/B12</f>
        <v>1.0100977132249445</v>
      </c>
      <c r="C32" s="46">
        <f t="shared" si="17"/>
        <v>1.0140241527074405</v>
      </c>
      <c r="D32" s="46">
        <f t="shared" ref="D32:H32" si="28">D13/D12</f>
        <v>0.97751710654936463</v>
      </c>
      <c r="E32" s="46">
        <f t="shared" si="28"/>
        <v>1</v>
      </c>
      <c r="F32" s="46">
        <f t="shared" si="28"/>
        <v>1.0476190476190477</v>
      </c>
      <c r="G32" s="46">
        <f t="shared" si="28"/>
        <v>1.0097846556947514</v>
      </c>
      <c r="H32" s="46">
        <f t="shared" si="28"/>
        <v>1</v>
      </c>
      <c r="I32" s="46">
        <f t="shared" ref="I32:J32" si="29">I13/I12</f>
        <v>0.99830795262267347</v>
      </c>
      <c r="J32" s="46">
        <f t="shared" si="29"/>
        <v>1.0099655679767015</v>
      </c>
    </row>
    <row r="33" spans="1:10" x14ac:dyDescent="0.2">
      <c r="A33" s="4">
        <v>2014</v>
      </c>
      <c r="B33" s="46">
        <f t="shared" si="27"/>
        <v>1.0138642055093303</v>
      </c>
      <c r="C33" s="46">
        <f t="shared" ref="C33:J33" si="30">C14/C13</f>
        <v>1.0122935074913562</v>
      </c>
      <c r="D33" s="46">
        <f t="shared" si="30"/>
        <v>1.0049999999999999</v>
      </c>
      <c r="E33" s="46">
        <f t="shared" si="30"/>
        <v>1</v>
      </c>
      <c r="F33" s="46">
        <f t="shared" si="30"/>
        <v>1</v>
      </c>
      <c r="G33" s="46">
        <f t="shared" si="30"/>
        <v>1.0107034259071559</v>
      </c>
      <c r="H33" s="46">
        <f t="shared" si="30"/>
        <v>1</v>
      </c>
      <c r="I33" s="46">
        <f t="shared" si="30"/>
        <v>1.0016949152542374</v>
      </c>
      <c r="J33" s="46">
        <f t="shared" si="30"/>
        <v>1.0130586927790459</v>
      </c>
    </row>
    <row r="34" spans="1:10" x14ac:dyDescent="0.2">
      <c r="A34" s="4">
        <v>2015</v>
      </c>
      <c r="B34" s="46">
        <f t="shared" si="27"/>
        <v>1.0189233603904189</v>
      </c>
      <c r="C34" s="46">
        <f t="shared" ref="C34:J34" si="31">C15/C14</f>
        <v>1.0189753320683113</v>
      </c>
      <c r="D34" s="46">
        <f t="shared" si="31"/>
        <v>1.0119402985074626</v>
      </c>
      <c r="E34" s="46">
        <f t="shared" si="31"/>
        <v>1</v>
      </c>
      <c r="F34" s="46">
        <f t="shared" si="31"/>
        <v>1.0909090909090908</v>
      </c>
      <c r="G34" s="46">
        <f t="shared" si="31"/>
        <v>1.0200168478478879</v>
      </c>
      <c r="H34" s="46">
        <f t="shared" si="31"/>
        <v>1</v>
      </c>
      <c r="I34" s="46">
        <f t="shared" si="31"/>
        <v>0.9627749576988156</v>
      </c>
      <c r="J34" s="46">
        <f t="shared" si="31"/>
        <v>1.0188351975805554</v>
      </c>
    </row>
    <row r="35" spans="1:10" x14ac:dyDescent="0.2">
      <c r="A35" s="4">
        <v>2016</v>
      </c>
      <c r="B35" s="46">
        <f t="shared" si="27"/>
        <v>1.0188162846390694</v>
      </c>
      <c r="C35" s="46">
        <f t="shared" ref="C35:J35" si="32">C16/C15</f>
        <v>1.0209807572936065</v>
      </c>
      <c r="D35" s="46">
        <f t="shared" si="32"/>
        <v>1.0157325467059981</v>
      </c>
      <c r="E35" s="46">
        <f t="shared" si="32"/>
        <v>1</v>
      </c>
      <c r="F35" s="46">
        <f t="shared" si="32"/>
        <v>1.0833333333333333</v>
      </c>
      <c r="G35" s="46">
        <f t="shared" si="32"/>
        <v>1.0191521157778827</v>
      </c>
      <c r="H35" s="46">
        <f t="shared" si="32"/>
        <v>1</v>
      </c>
      <c r="I35" s="46">
        <f t="shared" si="32"/>
        <v>0.961335676625659</v>
      </c>
      <c r="J35" s="46">
        <f t="shared" si="32"/>
        <v>1.0187489086781911</v>
      </c>
    </row>
    <row r="36" spans="1:10" x14ac:dyDescent="0.2">
      <c r="A36" s="4">
        <v>2017</v>
      </c>
      <c r="B36" s="176">
        <f t="shared" si="27"/>
        <v>1.014320799834534</v>
      </c>
      <c r="C36" s="176">
        <f t="shared" ref="C36:J36" si="33">C17/C16</f>
        <v>1.0083852772523911</v>
      </c>
      <c r="D36" s="176">
        <f t="shared" si="33"/>
        <v>1</v>
      </c>
      <c r="E36" s="176">
        <f t="shared" si="33"/>
        <v>1</v>
      </c>
      <c r="F36" s="176">
        <f t="shared" si="33"/>
        <v>1</v>
      </c>
      <c r="G36" s="176">
        <f t="shared" si="33"/>
        <v>1.0196683860160085</v>
      </c>
      <c r="H36" s="176">
        <f t="shared" si="33"/>
        <v>0.972470238340299</v>
      </c>
      <c r="I36" s="176">
        <f t="shared" si="33"/>
        <v>0.99497787016789341</v>
      </c>
      <c r="J36" s="176">
        <f t="shared" si="33"/>
        <v>1.0147634720721599</v>
      </c>
    </row>
    <row r="37" spans="1:10" x14ac:dyDescent="0.2">
      <c r="A37" s="4">
        <v>2018</v>
      </c>
      <c r="B37" s="176">
        <f t="shared" si="27"/>
        <v>1.014320799834534</v>
      </c>
      <c r="C37" s="176">
        <f t="shared" ref="C37:J38" si="34">C18/C17</f>
        <v>1.0083852772523911</v>
      </c>
      <c r="D37" s="176">
        <f t="shared" si="34"/>
        <v>1</v>
      </c>
      <c r="E37" s="176">
        <f t="shared" si="34"/>
        <v>1</v>
      </c>
      <c r="F37" s="176">
        <f t="shared" si="34"/>
        <v>1</v>
      </c>
      <c r="G37" s="176">
        <f t="shared" si="34"/>
        <v>1.0196683860160085</v>
      </c>
      <c r="H37" s="176">
        <f t="shared" si="34"/>
        <v>0.97247023834029911</v>
      </c>
      <c r="I37" s="176">
        <f t="shared" si="34"/>
        <v>0.99497787016789352</v>
      </c>
      <c r="J37" s="176">
        <f t="shared" si="34"/>
        <v>1.0147740968901207</v>
      </c>
    </row>
    <row r="38" spans="1:10" x14ac:dyDescent="0.2">
      <c r="A38" s="4">
        <v>2019</v>
      </c>
      <c r="B38" s="176">
        <f t="shared" si="27"/>
        <v>1.014320799834534</v>
      </c>
      <c r="C38" s="176">
        <f t="shared" si="34"/>
        <v>1.0083852772523911</v>
      </c>
      <c r="D38" s="176">
        <f t="shared" si="34"/>
        <v>1</v>
      </c>
      <c r="E38" s="176">
        <f t="shared" si="34"/>
        <v>1</v>
      </c>
      <c r="F38" s="176">
        <f t="shared" si="34"/>
        <v>1</v>
      </c>
      <c r="G38" s="176">
        <f t="shared" si="34"/>
        <v>1.0196683860160085</v>
      </c>
      <c r="H38" s="176">
        <f t="shared" si="34"/>
        <v>0.972470238340299</v>
      </c>
      <c r="I38" s="176">
        <f t="shared" si="34"/>
        <v>0.99497787016789352</v>
      </c>
      <c r="J38" s="176">
        <f t="shared" si="34"/>
        <v>1.0147846495879114</v>
      </c>
    </row>
    <row r="40" spans="1:10" x14ac:dyDescent="0.2">
      <c r="A40" t="s">
        <v>56</v>
      </c>
      <c r="B40" s="88">
        <f>+B42</f>
        <v>1.014320799834534</v>
      </c>
      <c r="C40" s="91">
        <f>+C42</f>
        <v>1.0083852772523911</v>
      </c>
      <c r="D40" s="91">
        <v>1</v>
      </c>
      <c r="E40" s="88">
        <f>+D40</f>
        <v>1</v>
      </c>
      <c r="F40" s="88">
        <f>+D40</f>
        <v>1</v>
      </c>
      <c r="G40" s="88">
        <f>+G42</f>
        <v>1.0196683860160085</v>
      </c>
      <c r="H40" s="88">
        <f>+H42</f>
        <v>0.972470238340299</v>
      </c>
      <c r="I40" s="88">
        <f>+I42</f>
        <v>0.99497787016789352</v>
      </c>
      <c r="J40" s="88">
        <f>+J42</f>
        <v>1.0146377948290994</v>
      </c>
    </row>
    <row r="41" spans="1:10" x14ac:dyDescent="0.2">
      <c r="B41" s="25"/>
      <c r="C41" s="25"/>
      <c r="D41" s="25"/>
      <c r="E41" s="25"/>
      <c r="F41" s="25"/>
      <c r="G41" s="25"/>
      <c r="H41" s="25"/>
      <c r="I41" s="25"/>
    </row>
    <row r="42" spans="1:10" x14ac:dyDescent="0.2">
      <c r="A42" t="s">
        <v>13</v>
      </c>
      <c r="B42" s="25">
        <f>GEOMEAN(B23:B35)</f>
        <v>1.014320799834534</v>
      </c>
      <c r="C42" s="25">
        <f t="shared" ref="C42:J42" si="35">GEOMEAN(C23:C35)</f>
        <v>1.0083852772523911</v>
      </c>
      <c r="D42" s="25">
        <f t="shared" si="35"/>
        <v>0.99393583215612558</v>
      </c>
      <c r="E42" s="25">
        <f t="shared" si="35"/>
        <v>0.93194274139819844</v>
      </c>
      <c r="F42" s="25">
        <f t="shared" si="35"/>
        <v>1.0762694842048421</v>
      </c>
      <c r="G42" s="25">
        <f t="shared" si="35"/>
        <v>1.0196683860160085</v>
      </c>
      <c r="H42" s="25">
        <f t="shared" si="35"/>
        <v>0.972470238340299</v>
      </c>
      <c r="I42" s="25">
        <f t="shared" si="35"/>
        <v>0.99497787016789352</v>
      </c>
      <c r="J42" s="25">
        <f t="shared" si="35"/>
        <v>1.0146377948290994</v>
      </c>
    </row>
    <row r="43" spans="1:10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0" x14ac:dyDescent="0.2">
      <c r="A44" s="4"/>
      <c r="B44" s="25"/>
      <c r="C44" s="25"/>
      <c r="D44" s="25"/>
      <c r="E44" s="25"/>
      <c r="F44" s="25"/>
      <c r="G44" s="25"/>
      <c r="H44" s="25"/>
      <c r="I44" s="2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workbookViewId="0">
      <pane xSplit="1" ySplit="1" topLeftCell="B14" activePane="bottomRight" state="frozen"/>
      <selection pane="topRight"/>
      <selection pane="bottomLeft"/>
      <selection pane="bottomRight" activeCell="B16" sqref="B16:F18"/>
    </sheetView>
  </sheetViews>
  <sheetFormatPr defaultRowHeight="12.75" x14ac:dyDescent="0.2"/>
  <cols>
    <col min="1" max="1" width="11" customWidth="1"/>
    <col min="2" max="2" width="14.140625" style="6" bestFit="1" customWidth="1"/>
    <col min="3" max="4" width="14.140625" style="6" customWidth="1"/>
    <col min="5" max="6" width="17.7109375" style="6" customWidth="1"/>
    <col min="7" max="8" width="12.7109375" style="6" bestFit="1" customWidth="1"/>
    <col min="9" max="9" width="11.7109375" style="6" bestFit="1" customWidth="1"/>
    <col min="10" max="10" width="10.7109375" style="6" bestFit="1" customWidth="1"/>
    <col min="11" max="12" width="9.140625" style="6"/>
  </cols>
  <sheetData>
    <row r="1" spans="1:7" ht="42" customHeight="1" x14ac:dyDescent="0.2">
      <c r="B1" s="8" t="str">
        <f>'Rate Class Customer Model'!D2</f>
        <v>GS&gt;50</v>
      </c>
      <c r="C1" s="8" t="str">
        <f>'Rate Class Customer Model'!E2</f>
        <v>Large User</v>
      </c>
      <c r="D1" s="8" t="str">
        <f>'Rate Class Customer Model'!F2</f>
        <v>I2</v>
      </c>
      <c r="E1" s="8" t="str">
        <f>'Rate Class Customer Model'!G2</f>
        <v>Streetlights</v>
      </c>
      <c r="F1" s="61" t="s">
        <v>78</v>
      </c>
      <c r="G1" s="6" t="s">
        <v>9</v>
      </c>
    </row>
    <row r="2" spans="1:7" x14ac:dyDescent="0.2">
      <c r="A2" s="29">
        <v>2003</v>
      </c>
      <c r="B2" s="451">
        <v>806199.49000000011</v>
      </c>
      <c r="C2" s="452">
        <v>349045.15</v>
      </c>
      <c r="D2" s="452">
        <v>197712.36</v>
      </c>
      <c r="E2" s="451">
        <v>23226.94</v>
      </c>
      <c r="F2" s="451">
        <v>126.50277777777779</v>
      </c>
      <c r="G2" s="6">
        <f>SUM(B2:F2)</f>
        <v>1376310.4427777778</v>
      </c>
    </row>
    <row r="3" spans="1:7" x14ac:dyDescent="0.2">
      <c r="A3" s="29">
        <v>2004</v>
      </c>
      <c r="B3" s="451">
        <v>957450.82</v>
      </c>
      <c r="C3" s="452">
        <v>243130.85</v>
      </c>
      <c r="D3" s="452">
        <v>135213.89000000001</v>
      </c>
      <c r="E3" s="451">
        <v>23584.5</v>
      </c>
      <c r="F3" s="451">
        <v>123.24722222222222</v>
      </c>
      <c r="G3" s="6">
        <f t="shared" ref="G3:G11" si="0">SUM(B3:F3)</f>
        <v>1359503.3072222222</v>
      </c>
    </row>
    <row r="4" spans="1:7" x14ac:dyDescent="0.2">
      <c r="A4" s="29">
        <v>2005</v>
      </c>
      <c r="B4" s="451">
        <v>913899.12999999989</v>
      </c>
      <c r="C4" s="452">
        <v>154705.01</v>
      </c>
      <c r="D4" s="452">
        <v>142187.47</v>
      </c>
      <c r="E4" s="451">
        <v>24114.33</v>
      </c>
      <c r="F4" s="451">
        <v>119.99166666666666</v>
      </c>
      <c r="G4" s="6">
        <f t="shared" si="0"/>
        <v>1235025.9316666666</v>
      </c>
    </row>
    <row r="5" spans="1:7" x14ac:dyDescent="0.2">
      <c r="A5" s="29">
        <v>2006</v>
      </c>
      <c r="B5" s="451">
        <v>893943</v>
      </c>
      <c r="C5" s="452">
        <v>134252</v>
      </c>
      <c r="D5" s="452">
        <v>178422</v>
      </c>
      <c r="E5" s="451">
        <v>24802</v>
      </c>
      <c r="F5" s="451">
        <v>118.31944444444447</v>
      </c>
      <c r="G5" s="6">
        <f t="shared" si="0"/>
        <v>1231537.3194444445</v>
      </c>
    </row>
    <row r="6" spans="1:7" x14ac:dyDescent="0.2">
      <c r="A6" s="29">
        <v>2007</v>
      </c>
      <c r="B6" s="451">
        <v>887017</v>
      </c>
      <c r="C6" s="452">
        <v>135954</v>
      </c>
      <c r="D6" s="452">
        <v>214029</v>
      </c>
      <c r="E6" s="451">
        <v>25740</v>
      </c>
      <c r="F6" s="451">
        <v>115.0222222222222</v>
      </c>
      <c r="G6" s="6">
        <f t="shared" si="0"/>
        <v>1262855.0222222223</v>
      </c>
    </row>
    <row r="7" spans="1:7" x14ac:dyDescent="0.2">
      <c r="A7" s="29">
        <v>2008</v>
      </c>
      <c r="B7" s="451">
        <v>876464</v>
      </c>
      <c r="C7" s="452">
        <v>124131</v>
      </c>
      <c r="D7" s="452">
        <v>204487</v>
      </c>
      <c r="E7" s="451">
        <v>26489</v>
      </c>
      <c r="F7" s="451">
        <v>108.9805555555556</v>
      </c>
      <c r="G7" s="6">
        <f t="shared" si="0"/>
        <v>1231679.9805555556</v>
      </c>
    </row>
    <row r="8" spans="1:7" x14ac:dyDescent="0.2">
      <c r="A8" s="29">
        <v>2009</v>
      </c>
      <c r="B8" s="451">
        <v>861503</v>
      </c>
      <c r="C8" s="452">
        <v>89007</v>
      </c>
      <c r="D8" s="452">
        <v>190299</v>
      </c>
      <c r="E8" s="451">
        <v>27041</v>
      </c>
      <c r="F8" s="451">
        <v>102.2</v>
      </c>
      <c r="G8" s="6">
        <f t="shared" si="0"/>
        <v>1167952.2</v>
      </c>
    </row>
    <row r="9" spans="1:7" x14ac:dyDescent="0.2">
      <c r="A9" s="29">
        <v>2010</v>
      </c>
      <c r="B9" s="451">
        <v>871715</v>
      </c>
      <c r="C9" s="452">
        <v>70585</v>
      </c>
      <c r="D9" s="452">
        <v>195141</v>
      </c>
      <c r="E9" s="451">
        <v>27634</v>
      </c>
      <c r="F9" s="451">
        <v>99.477777777777803</v>
      </c>
      <c r="G9" s="6">
        <f t="shared" si="0"/>
        <v>1165174.4777777777</v>
      </c>
    </row>
    <row r="10" spans="1:7" x14ac:dyDescent="0.2">
      <c r="A10" s="29">
        <v>2011</v>
      </c>
      <c r="B10" s="451">
        <v>867070</v>
      </c>
      <c r="C10" s="451">
        <v>83704</v>
      </c>
      <c r="D10" s="451">
        <v>192700</v>
      </c>
      <c r="E10" s="451">
        <v>27830</v>
      </c>
      <c r="F10" s="451">
        <v>100</v>
      </c>
      <c r="G10" s="6">
        <f t="shared" si="0"/>
        <v>1171404</v>
      </c>
    </row>
    <row r="11" spans="1:7" x14ac:dyDescent="0.2">
      <c r="A11" s="29">
        <v>2012</v>
      </c>
      <c r="B11" s="451">
        <v>846459</v>
      </c>
      <c r="C11" s="451">
        <v>89554</v>
      </c>
      <c r="D11" s="451">
        <v>182189</v>
      </c>
      <c r="E11" s="451">
        <v>27720</v>
      </c>
      <c r="F11" s="451">
        <v>100</v>
      </c>
      <c r="G11" s="6">
        <f t="shared" si="0"/>
        <v>1146022</v>
      </c>
    </row>
    <row r="12" spans="1:7" x14ac:dyDescent="0.2">
      <c r="A12" s="29">
        <v>2013</v>
      </c>
      <c r="B12" s="451">
        <v>843160</v>
      </c>
      <c r="C12" s="451">
        <v>92753</v>
      </c>
      <c r="D12" s="451">
        <v>184241</v>
      </c>
      <c r="E12" s="451">
        <f>25376-F12</f>
        <v>25276</v>
      </c>
      <c r="F12" s="451">
        <v>100</v>
      </c>
      <c r="G12" s="6">
        <f t="shared" ref="G12:G18" si="1">SUM(B12:F12)</f>
        <v>1145530</v>
      </c>
    </row>
    <row r="13" spans="1:7" x14ac:dyDescent="0.2">
      <c r="A13" s="29">
        <v>2014</v>
      </c>
      <c r="B13" s="27">
        <v>831789</v>
      </c>
      <c r="C13" s="27">
        <v>93203</v>
      </c>
      <c r="D13" s="27">
        <v>186714</v>
      </c>
      <c r="E13" s="27">
        <f>25620-F13</f>
        <v>25520</v>
      </c>
      <c r="F13" s="27">
        <v>100</v>
      </c>
      <c r="G13" s="6">
        <f t="shared" si="1"/>
        <v>1137326</v>
      </c>
    </row>
    <row r="14" spans="1:7" x14ac:dyDescent="0.2">
      <c r="A14" s="29">
        <v>2015</v>
      </c>
      <c r="B14" s="451">
        <v>847479</v>
      </c>
      <c r="C14" s="451">
        <v>95584</v>
      </c>
      <c r="D14" s="451">
        <v>190580</v>
      </c>
      <c r="E14" s="451">
        <v>26032</v>
      </c>
      <c r="F14" s="451">
        <v>100</v>
      </c>
      <c r="G14" s="6">
        <f t="shared" si="1"/>
        <v>1159775</v>
      </c>
    </row>
    <row r="15" spans="1:7" x14ac:dyDescent="0.2">
      <c r="A15" s="29">
        <v>2016</v>
      </c>
      <c r="B15" s="451">
        <v>850825</v>
      </c>
      <c r="C15" s="451">
        <v>99526</v>
      </c>
      <c r="D15" s="451">
        <v>202815</v>
      </c>
      <c r="E15" s="451">
        <v>26568</v>
      </c>
      <c r="F15" s="451">
        <v>100</v>
      </c>
      <c r="G15" s="6">
        <f t="shared" si="1"/>
        <v>1179834</v>
      </c>
    </row>
    <row r="16" spans="1:7" x14ac:dyDescent="0.2">
      <c r="A16" s="29">
        <v>2017</v>
      </c>
      <c r="B16" s="30">
        <f>('Rate Class Energy Model'!J80-'Rate Class Energy Model'!J101+'Rate Class Energy Model'!J114)*'Rate Class Load Model'!B$43</f>
        <v>832942.28011661058</v>
      </c>
      <c r="C16" s="30">
        <f>('Rate Class Energy Model'!K80-'Rate Class Energy Model'!K101+'Rate Class Energy Model'!K114)*'Rate Class Load Model'!C$43</f>
        <v>92630.431850062916</v>
      </c>
      <c r="D16" s="30">
        <f>('Rate Class Energy Model'!L80-'Rate Class Energy Model'!L101+'Rate Class Energy Model'!L114)*'Rate Class Load Model'!D$43</f>
        <v>176491.02826956642</v>
      </c>
      <c r="E16" s="30">
        <f>('Rate Class Energy Model'!M80-'Rate Class Energy Model'!M101+'Rate Class Energy Model'!M114)*'Rate Class Load Model'!E$43</f>
        <v>19558.614180022891</v>
      </c>
      <c r="F16" s="30">
        <f>('Rate Class Energy Model'!N80-'Rate Class Energy Model'!N101+'Rate Class Energy Model'!N114)*'Rate Class Load Model'!F$43</f>
        <v>100.62017532644411</v>
      </c>
      <c r="G16" s="6">
        <f t="shared" si="1"/>
        <v>1121722.9745915893</v>
      </c>
    </row>
    <row r="17" spans="1:8" x14ac:dyDescent="0.2">
      <c r="A17" s="29">
        <v>2018</v>
      </c>
      <c r="B17" s="30">
        <f>('Rate Class Energy Model'!J81-'Rate Class Energy Model'!J102+'Rate Class Energy Model'!J115)*'Rate Class Load Model'!B$43</f>
        <v>834069.22595941229</v>
      </c>
      <c r="C17" s="30">
        <f>('Rate Class Energy Model'!K81-'Rate Class Energy Model'!K102+'Rate Class Energy Model'!K115)*'Rate Class Load Model'!C$43</f>
        <v>90488.372107827323</v>
      </c>
      <c r="D17" s="30">
        <f>('Rate Class Energy Model'!L81-'Rate Class Energy Model'!L102+'Rate Class Energy Model'!L115)*'Rate Class Load Model'!D$43</f>
        <v>167714.00346680533</v>
      </c>
      <c r="E17" s="30">
        <f>('Rate Class Energy Model'!M81-'Rate Class Energy Model'!M102+'Rate Class Energy Model'!M115)*'Rate Class Load Model'!E$43</f>
        <v>13345.422407816242</v>
      </c>
      <c r="F17" s="30">
        <f>('Rate Class Energy Model'!N81-'Rate Class Energy Model'!N102+'Rate Class Energy Model'!N115)*'Rate Class Load Model'!F$43</f>
        <v>96.768186330400098</v>
      </c>
      <c r="G17" s="6">
        <f t="shared" si="1"/>
        <v>1105713.7921281913</v>
      </c>
    </row>
    <row r="18" spans="1:8" x14ac:dyDescent="0.2">
      <c r="A18" s="29">
        <v>2019</v>
      </c>
      <c r="B18" s="30">
        <f>('Rate Class Energy Model'!J82-'Rate Class Energy Model'!J103+'Rate Class Energy Model'!J116)*'Rate Class Load Model'!B$43</f>
        <v>835118.23784245062</v>
      </c>
      <c r="C18" s="30">
        <f>('Rate Class Energy Model'!K82-'Rate Class Energy Model'!K103+'Rate Class Energy Model'!K116)*'Rate Class Load Model'!C$43</f>
        <v>88370.102609788868</v>
      </c>
      <c r="D18" s="30">
        <f>('Rate Class Energy Model'!L82-'Rate Class Energy Model'!L103+'Rate Class Energy Model'!L116)*'Rate Class Load Model'!D$43</f>
        <v>169067.84371452243</v>
      </c>
      <c r="E18" s="30">
        <f>('Rate Class Energy Model'!M82-'Rate Class Energy Model'!M103+'Rate Class Energy Model'!M116)*'Rate Class Load Model'!E$43</f>
        <v>13901.837880180767</v>
      </c>
      <c r="F18" s="30">
        <f>('Rate Class Energy Model'!N82-'Rate Class Energy Model'!N103+'Rate Class Energy Model'!N116)*'Rate Class Load Model'!F$43</f>
        <v>93.036557088953359</v>
      </c>
      <c r="G18" s="6">
        <f t="shared" si="1"/>
        <v>1106551.0586040316</v>
      </c>
    </row>
    <row r="19" spans="1:8" x14ac:dyDescent="0.2">
      <c r="A19" s="20"/>
    </row>
    <row r="20" spans="1:8" x14ac:dyDescent="0.2">
      <c r="A20" s="19" t="s">
        <v>57</v>
      </c>
      <c r="B20" s="5"/>
      <c r="C20" s="5"/>
      <c r="D20" s="5"/>
      <c r="E20" s="5"/>
      <c r="F20" s="5"/>
    </row>
    <row r="21" spans="1:8" x14ac:dyDescent="0.2">
      <c r="A21" s="4">
        <v>1999</v>
      </c>
      <c r="B21" s="179"/>
      <c r="C21" s="179"/>
      <c r="D21" s="179"/>
      <c r="E21" s="179"/>
      <c r="F21" s="179"/>
      <c r="G21" s="177"/>
      <c r="H21" s="177"/>
    </row>
    <row r="22" spans="1:8" x14ac:dyDescent="0.2">
      <c r="A22" s="4">
        <v>2000</v>
      </c>
      <c r="B22" s="179"/>
      <c r="C22" s="179"/>
      <c r="D22" s="179"/>
      <c r="E22" s="179"/>
      <c r="F22" s="179"/>
      <c r="G22" s="177"/>
      <c r="H22" s="177"/>
    </row>
    <row r="23" spans="1:8" x14ac:dyDescent="0.2">
      <c r="A23" s="4">
        <v>2001</v>
      </c>
      <c r="B23" s="179"/>
      <c r="C23" s="179"/>
      <c r="D23" s="179"/>
      <c r="E23" s="179"/>
      <c r="F23" s="179"/>
      <c r="G23" s="177"/>
      <c r="H23" s="177"/>
    </row>
    <row r="24" spans="1:8" x14ac:dyDescent="0.2">
      <c r="A24" s="4">
        <v>2002</v>
      </c>
      <c r="B24" s="179"/>
      <c r="C24" s="179"/>
      <c r="D24" s="179"/>
      <c r="E24" s="179"/>
      <c r="F24" s="179"/>
      <c r="G24" s="177"/>
      <c r="H24" s="177"/>
    </row>
    <row r="25" spans="1:8" x14ac:dyDescent="0.2">
      <c r="A25" s="4">
        <v>2003</v>
      </c>
      <c r="B25" s="28">
        <f>B2/'Rate Class Energy Model'!J7</f>
        <v>2.8665469494401942E-3</v>
      </c>
      <c r="C25" s="28">
        <f>C2/'Rate Class Energy Model'!K7</f>
        <v>2.0622172895586356E-3</v>
      </c>
      <c r="D25" s="28">
        <f>D2/'Rate Class Energy Model'!L7</f>
        <v>2.05581845984819E-3</v>
      </c>
      <c r="E25" s="28">
        <f>E2/'Rate Class Energy Model'!M7</f>
        <v>2.7784150552756736E-3</v>
      </c>
      <c r="F25" s="28">
        <f>F2/'Rate Class Energy Model'!N7</f>
        <v>2.7777777777777783E-3</v>
      </c>
      <c r="G25" s="28">
        <f t="shared" ref="G25:G32" si="2">G2/H25</f>
        <v>2.479486814326858E-3</v>
      </c>
      <c r="H25" s="6">
        <f>SUM('Rate Class Energy Model'!J7:N7)</f>
        <v>555078750.5</v>
      </c>
    </row>
    <row r="26" spans="1:8" x14ac:dyDescent="0.2">
      <c r="A26" s="4">
        <v>2004</v>
      </c>
      <c r="B26" s="28">
        <f>B3/'Rate Class Energy Model'!J8</f>
        <v>2.654924890465898E-3</v>
      </c>
      <c r="C26" s="28">
        <f>C3/'Rate Class Energy Model'!K8</f>
        <v>2.1680199125062166E-3</v>
      </c>
      <c r="D26" s="28">
        <f>D3/'Rate Class Energy Model'!L8</f>
        <v>2.0588000182958578E-3</v>
      </c>
      <c r="E26" s="28">
        <f>E3/'Rate Class Energy Model'!M8</f>
        <v>2.6974988878406374E-3</v>
      </c>
      <c r="F26" s="28">
        <f>F3/'Rate Class Energy Model'!N8</f>
        <v>4.4300069092492083E-3</v>
      </c>
      <c r="G26" s="28">
        <f t="shared" si="2"/>
        <v>2.484367249966288E-3</v>
      </c>
      <c r="H26" s="6">
        <f>SUM('Rate Class Energy Model'!J8:N8)</f>
        <v>547223164.06347334</v>
      </c>
    </row>
    <row r="27" spans="1:8" x14ac:dyDescent="0.2">
      <c r="A27" s="4">
        <v>2005</v>
      </c>
      <c r="B27" s="28">
        <f>B4/'Rate Class Energy Model'!J9</f>
        <v>2.5248436047972667E-3</v>
      </c>
      <c r="C27" s="28">
        <f>C4/'Rate Class Energy Model'!K9</f>
        <v>2.459350142460437E-3</v>
      </c>
      <c r="D27" s="28">
        <f>D4/'Rate Class Energy Model'!L9</f>
        <v>2.1216639471312343E-3</v>
      </c>
      <c r="E27" s="28">
        <f>E4/'Rate Class Energy Model'!M9</f>
        <v>2.6259814626584102E-3</v>
      </c>
      <c r="F27" s="28">
        <f>F4/'Rate Class Energy Model'!N9</f>
        <v>2.7777777777777775E-3</v>
      </c>
      <c r="G27" s="28">
        <f t="shared" si="2"/>
        <v>2.4645773568005287E-3</v>
      </c>
      <c r="H27" s="6">
        <f>SUM('Rate Class Energy Model'!J9:N9)</f>
        <v>501110638</v>
      </c>
    </row>
    <row r="28" spans="1:8" x14ac:dyDescent="0.2">
      <c r="A28" s="4">
        <v>2006</v>
      </c>
      <c r="B28" s="28">
        <f>B5/'Rate Class Energy Model'!J10</f>
        <v>2.503434790115461E-3</v>
      </c>
      <c r="C28" s="28">
        <f>C5/'Rate Class Energy Model'!K10</f>
        <v>2.2504944560209311E-3</v>
      </c>
      <c r="D28" s="28">
        <f>D5/'Rate Class Energy Model'!L10</f>
        <v>2.2159058477350694E-3</v>
      </c>
      <c r="E28" s="28">
        <f>E5/'Rate Class Energy Model'!M10</f>
        <v>2.6389247248903417E-3</v>
      </c>
      <c r="F28" s="28">
        <f>F5/'Rate Class Energy Model'!N10</f>
        <v>2.7777777777777783E-3</v>
      </c>
      <c r="G28" s="28">
        <f t="shared" si="2"/>
        <v>2.4305014329812943E-3</v>
      </c>
      <c r="H28" s="6">
        <f>SUM('Rate Class Energy Model'!J10:N10)</f>
        <v>506700923</v>
      </c>
    </row>
    <row r="29" spans="1:8" x14ac:dyDescent="0.2">
      <c r="A29" s="4">
        <v>2007</v>
      </c>
      <c r="B29" s="28">
        <f>B6/'Rate Class Energy Model'!J11</f>
        <v>2.4698038161329507E-3</v>
      </c>
      <c r="C29" s="28">
        <f>C6/'Rate Class Energy Model'!K11</f>
        <v>2.1994813097800056E-3</v>
      </c>
      <c r="D29" s="28">
        <f>D6/'Rate Class Energy Model'!L11</f>
        <v>2.0605468969061391E-3</v>
      </c>
      <c r="E29" s="28">
        <f>E6/'Rate Class Energy Model'!M11</f>
        <v>2.6523720233074875E-3</v>
      </c>
      <c r="F29" s="28">
        <f>F6/'Rate Class Energy Model'!N11</f>
        <v>2.777777777777777E-3</v>
      </c>
      <c r="G29" s="28">
        <f t="shared" si="2"/>
        <v>2.3623643960756259E-3</v>
      </c>
      <c r="H29" s="6">
        <f>SUM('Rate Class Energy Model'!J11:N11)</f>
        <v>534572492</v>
      </c>
    </row>
    <row r="30" spans="1:8" x14ac:dyDescent="0.2">
      <c r="A30" s="4">
        <v>2008</v>
      </c>
      <c r="B30" s="28">
        <f>B7/'Rate Class Energy Model'!J12</f>
        <v>2.4854909003617508E-3</v>
      </c>
      <c r="C30" s="28">
        <f>C7/'Rate Class Energy Model'!K12</f>
        <v>2.6717234647081907E-3</v>
      </c>
      <c r="D30" s="28">
        <f>D7/'Rate Class Energy Model'!L12</f>
        <v>1.9962947195516709E-3</v>
      </c>
      <c r="E30" s="28">
        <f>E7/'Rate Class Energy Model'!M12</f>
        <v>2.7235693780691436E-3</v>
      </c>
      <c r="F30" s="28">
        <f>F7/'Rate Class Energy Model'!N12</f>
        <v>2.7777777777777788E-3</v>
      </c>
      <c r="G30" s="28">
        <f t="shared" si="2"/>
        <v>2.408958376996726E-3</v>
      </c>
      <c r="H30" s="6">
        <f>SUM('Rate Class Energy Model'!J12:N12)</f>
        <v>511291516</v>
      </c>
    </row>
    <row r="31" spans="1:8" x14ac:dyDescent="0.2">
      <c r="A31" s="4">
        <v>2009</v>
      </c>
      <c r="B31" s="28">
        <f>B8/'Rate Class Energy Model'!J13</f>
        <v>2.462955019813768E-3</v>
      </c>
      <c r="C31" s="28">
        <f>C8/'Rate Class Energy Model'!K13</f>
        <v>2.4331956480715612E-3</v>
      </c>
      <c r="D31" s="28">
        <f>D8/'Rate Class Energy Model'!L13</f>
        <v>2.1813876584782736E-3</v>
      </c>
      <c r="E31" s="28">
        <f>E8/'Rate Class Energy Model'!M13</f>
        <v>2.6503617943305132E-3</v>
      </c>
      <c r="F31" s="28">
        <f>F8/'Rate Class Energy Model'!N13</f>
        <v>2.7777777777777779E-3</v>
      </c>
      <c r="G31" s="28">
        <f t="shared" si="2"/>
        <v>2.4139137449221541E-3</v>
      </c>
      <c r="H31" s="6">
        <f>SUM('Rate Class Energy Model'!J13:N13)</f>
        <v>483841729</v>
      </c>
    </row>
    <row r="32" spans="1:8" x14ac:dyDescent="0.2">
      <c r="A32" s="4">
        <v>2010</v>
      </c>
      <c r="B32" s="28">
        <f>B9/'Rate Class Energy Model'!J14</f>
        <v>2.4539161519527464E-3</v>
      </c>
      <c r="C32" s="28">
        <f>C9/'Rate Class Energy Model'!K14</f>
        <v>2.1131485440291273E-3</v>
      </c>
      <c r="D32" s="28">
        <f>D9/'Rate Class Energy Model'!L14</f>
        <v>2.4156154066849169E-3</v>
      </c>
      <c r="E32" s="28">
        <f>E9/'Rate Class Energy Model'!M14</f>
        <v>2.6500052167722295E-3</v>
      </c>
      <c r="F32" s="28">
        <f>F9/'Rate Class Energy Model'!N14</f>
        <v>2.7777777777777783E-3</v>
      </c>
      <c r="G32" s="28">
        <f t="shared" si="2"/>
        <v>2.4280343927931395E-3</v>
      </c>
      <c r="H32" s="6">
        <f>SUM('Rate Class Energy Model'!J14:N14)</f>
        <v>479883844</v>
      </c>
    </row>
    <row r="33" spans="1:8" x14ac:dyDescent="0.2">
      <c r="A33" s="4">
        <v>2011</v>
      </c>
      <c r="B33" s="28">
        <f>B10/'Rate Class Energy Model'!J15</f>
        <v>2.411647008717873E-3</v>
      </c>
      <c r="C33" s="28">
        <f>C10/'Rate Class Energy Model'!K15</f>
        <v>2.2178709514627695E-3</v>
      </c>
      <c r="D33" s="28">
        <f>D10/'Rate Class Energy Model'!L15</f>
        <v>2.411522768879658E-3</v>
      </c>
      <c r="E33" s="28">
        <f>E10/'Rate Class Energy Model'!M15</f>
        <v>2.7143230134115647E-3</v>
      </c>
      <c r="F33" s="28">
        <f>F10/'Rate Class Energy Model'!N15</f>
        <v>2.7923601027588516E-3</v>
      </c>
      <c r="G33" s="28">
        <f t="shared" ref="G33:G35" si="3">G10/H33</f>
        <v>2.4030184187901907E-3</v>
      </c>
      <c r="H33" s="6">
        <f>SUM('Rate Class Energy Model'!J15:N15)</f>
        <v>487471919</v>
      </c>
    </row>
    <row r="34" spans="1:8" x14ac:dyDescent="0.2">
      <c r="A34" s="4">
        <v>2012</v>
      </c>
      <c r="B34" s="28">
        <f>B11/'Rate Class Energy Model'!J16</f>
        <v>2.5017814270673357E-3</v>
      </c>
      <c r="C34" s="28">
        <f>C11/'Rate Class Energy Model'!K16</f>
        <v>2.1942659714294585E-3</v>
      </c>
      <c r="D34" s="28">
        <f>D11/'Rate Class Energy Model'!L16</f>
        <v>2.3713838069508312E-3</v>
      </c>
      <c r="E34" s="28">
        <f>E11/'Rate Class Energy Model'!M16</f>
        <v>2.7338065356517171E-3</v>
      </c>
      <c r="F34" s="28">
        <f>F11/'Rate Class Energy Model'!N16</f>
        <v>2.7923601027588516E-3</v>
      </c>
      <c r="G34" s="28">
        <f t="shared" si="3"/>
        <v>2.45843637768487E-3</v>
      </c>
      <c r="H34" s="6">
        <f>SUM('Rate Class Energy Model'!J16:N16)</f>
        <v>466158901</v>
      </c>
    </row>
    <row r="35" spans="1:8" x14ac:dyDescent="0.2">
      <c r="A35" s="4">
        <v>2013</v>
      </c>
      <c r="B35" s="28">
        <f>B12/'Rate Class Energy Model'!J17</f>
        <v>2.5010406566886309E-3</v>
      </c>
      <c r="C35" s="28">
        <f>C12/'Rate Class Energy Model'!K17</f>
        <v>2.1913840213320258E-3</v>
      </c>
      <c r="D35" s="28">
        <f>D12/'Rate Class Energy Model'!L17</f>
        <v>2.326973550257184E-3</v>
      </c>
      <c r="E35" s="28">
        <f>E12/'Rate Class Energy Model'!M17</f>
        <v>2.7830003994589905E-3</v>
      </c>
      <c r="F35" s="28">
        <f>F12/'Rate Class Energy Model'!N17</f>
        <v>2.7923601027588516E-3</v>
      </c>
      <c r="G35" s="28">
        <f t="shared" si="3"/>
        <v>2.4490521973659211E-3</v>
      </c>
      <c r="H35" s="6">
        <f>SUM('Rate Class Energy Model'!J17:N17)</f>
        <v>467744216</v>
      </c>
    </row>
    <row r="36" spans="1:8" x14ac:dyDescent="0.2">
      <c r="A36" s="4">
        <v>2014</v>
      </c>
      <c r="B36" s="28">
        <f>B13/'Rate Class Energy Model'!J18</f>
        <v>2.472573967546856E-3</v>
      </c>
      <c r="C36" s="28">
        <f>C13/'Rate Class Energy Model'!K18</f>
        <v>2.1827178107201952E-3</v>
      </c>
      <c r="D36" s="28">
        <f>D13/'Rate Class Energy Model'!L18</f>
        <v>2.2937740338351878E-3</v>
      </c>
      <c r="E36" s="28">
        <f>E13/'Rate Class Energy Model'!M18</f>
        <v>2.7872813903641104E-3</v>
      </c>
      <c r="F36" s="28">
        <f>F13/'Rate Class Energy Model'!N18</f>
        <v>2.7923601027588516E-3</v>
      </c>
      <c r="G36" s="28">
        <f t="shared" ref="G36" si="4">G13/H36</f>
        <v>2.421395430144177E-3</v>
      </c>
      <c r="H36" s="6">
        <f>SUM('Rate Class Energy Model'!J18:N18)</f>
        <v>469698582</v>
      </c>
    </row>
    <row r="37" spans="1:8" x14ac:dyDescent="0.2">
      <c r="A37" s="4">
        <v>2015</v>
      </c>
      <c r="B37" s="28">
        <f>B14/'Rate Class Energy Model'!J19</f>
        <v>2.5423036460045525E-3</v>
      </c>
      <c r="C37" s="28">
        <f>C14/'Rate Class Energy Model'!K19</f>
        <v>2.2785776701676817E-3</v>
      </c>
      <c r="D37" s="28">
        <f>D14/'Rate Class Energy Model'!L19</f>
        <v>2.3460560155403498E-3</v>
      </c>
      <c r="E37" s="28">
        <f>E14/'Rate Class Energy Model'!M19</f>
        <v>2.798308416542483E-3</v>
      </c>
      <c r="F37" s="28">
        <f>F14/'Rate Class Energy Model'!N19</f>
        <v>2.7922821321866363E-3</v>
      </c>
      <c r="G37" s="28">
        <f t="shared" ref="G37:G41" si="5">G14/H37</f>
        <v>2.4894682736391243E-3</v>
      </c>
      <c r="H37" s="6">
        <f>SUM('Rate Class Energy Model'!J19:N19)</f>
        <v>465872577</v>
      </c>
    </row>
    <row r="38" spans="1:8" x14ac:dyDescent="0.2">
      <c r="A38" s="4">
        <v>2016</v>
      </c>
      <c r="B38" s="28">
        <f>B15/'Rate Class Energy Model'!J20</f>
        <v>2.5769441229559482E-3</v>
      </c>
      <c r="C38" s="28">
        <f>C15/'Rate Class Energy Model'!K20</f>
        <v>2.401790848000661E-3</v>
      </c>
      <c r="D38" s="28">
        <f>D15/'Rate Class Energy Model'!L20</f>
        <v>2.4348782761952608E-3</v>
      </c>
      <c r="E38" s="28">
        <f>E15/'Rate Class Energy Model'!M20</f>
        <v>2.7993864699060161E-3</v>
      </c>
      <c r="F38" s="28">
        <f>F15/'Rate Class Energy Model'!N20</f>
        <v>2.7922041659686155E-3</v>
      </c>
      <c r="G38" s="28">
        <f t="shared" si="5"/>
        <v>2.5403988046344816E-3</v>
      </c>
      <c r="H38" s="6">
        <f>SUM('Rate Class Energy Model'!J20:N20)</f>
        <v>464428655</v>
      </c>
    </row>
    <row r="39" spans="1:8" x14ac:dyDescent="0.2">
      <c r="A39" s="4">
        <v>2017</v>
      </c>
      <c r="B39" s="28">
        <f>B16/'Rate Class Energy Model'!J21</f>
        <v>2.5192796420355065E-3</v>
      </c>
      <c r="C39" s="28">
        <f>C16/'Rate Class Energy Model'!K21</f>
        <v>2.2629362741451338E-3</v>
      </c>
      <c r="D39" s="28">
        <f>D16/'Rate Class Energy Model'!L21</f>
        <v>2.2250530919032093E-3</v>
      </c>
      <c r="E39" s="28">
        <f>E16/'Rate Class Energy Model'!M21</f>
        <v>2.0190082136636324E-3</v>
      </c>
      <c r="F39" s="28">
        <f>F16/'Rate Class Energy Model'!N21</f>
        <v>2.8889750749698435E-3</v>
      </c>
      <c r="G39" s="28">
        <f t="shared" si="5"/>
        <v>2.4353364209662325E-3</v>
      </c>
      <c r="H39" s="6">
        <f>SUM('Rate Class Energy Model'!J21:N21)</f>
        <v>460602882.18682319</v>
      </c>
    </row>
    <row r="40" spans="1:8" x14ac:dyDescent="0.2">
      <c r="A40" s="4">
        <v>2018</v>
      </c>
      <c r="B40" s="28">
        <f>B17/'Rate Class Energy Model'!J22</f>
        <v>2.5370847380446894E-3</v>
      </c>
      <c r="C40" s="28">
        <f>C17/'Rate Class Energy Model'!K22</f>
        <v>2.2378522529446195E-3</v>
      </c>
      <c r="D40" s="28">
        <f>D17/'Rate Class Energy Model'!L22</f>
        <v>2.2349088491581204E-3</v>
      </c>
      <c r="E40" s="28">
        <f>E17/'Rate Class Energy Model'!M22</f>
        <v>1.3496723161957169E-3</v>
      </c>
      <c r="F40" s="28">
        <f>F17/'Rate Class Energy Model'!N22</f>
        <v>2.856951587231251E-3</v>
      </c>
      <c r="G40" s="28">
        <f t="shared" si="5"/>
        <v>2.4346828972626809E-3</v>
      </c>
      <c r="H40" s="6">
        <f>SUM('Rate Class Energy Model'!J22:N22)</f>
        <v>454151049.14539289</v>
      </c>
    </row>
    <row r="41" spans="1:8" x14ac:dyDescent="0.2">
      <c r="A41" s="4">
        <v>2019</v>
      </c>
      <c r="B41" s="28">
        <f>B18/'Rate Class Energy Model'!J23</f>
        <v>2.5554199998688537E-3</v>
      </c>
      <c r="C41" s="28">
        <f>C18/'Rate Class Energy Model'!K23</f>
        <v>2.2124017525240246E-3</v>
      </c>
      <c r="D41" s="28">
        <f>D18/'Rate Class Energy Model'!L23</f>
        <v>2.3819114772619231E-3</v>
      </c>
      <c r="E41" s="28">
        <f>E18/'Rate Class Energy Model'!M23</f>
        <v>1.3774132117489837E-3</v>
      </c>
      <c r="F41" s="28">
        <f>F18/'Rate Class Energy Model'!N23</f>
        <v>2.8244602342043595E-3</v>
      </c>
      <c r="G41" s="28">
        <f t="shared" si="5"/>
        <v>2.470799866210586E-3</v>
      </c>
      <c r="H41" s="6">
        <f>SUM('Rate Class Energy Model'!J23:N23)</f>
        <v>447851351.1906271</v>
      </c>
    </row>
    <row r="43" spans="1:8" x14ac:dyDescent="0.2">
      <c r="A43" s="58" t="s">
        <v>56</v>
      </c>
      <c r="B43" s="89">
        <f t="shared" ref="B43:G43" si="6">+B45</f>
        <v>2.5305862108615166E-3</v>
      </c>
      <c r="C43" s="89">
        <f t="shared" si="6"/>
        <v>2.2731598600177071E-3</v>
      </c>
      <c r="D43" s="89">
        <f t="shared" si="6"/>
        <v>2.2350443861635584E-3</v>
      </c>
      <c r="E43" s="89">
        <f>+E45</f>
        <v>2.7166596263199509E-3</v>
      </c>
      <c r="F43" s="89">
        <f t="shared" si="6"/>
        <v>2.9020270044917361E-3</v>
      </c>
      <c r="G43" s="89">
        <f t="shared" si="6"/>
        <v>2.4452838047943847E-3</v>
      </c>
    </row>
    <row r="45" spans="1:8" x14ac:dyDescent="0.2">
      <c r="A45" t="s">
        <v>12</v>
      </c>
      <c r="B45" s="350">
        <f>AVERAGE(B25:B38)</f>
        <v>2.5305862108615166E-3</v>
      </c>
      <c r="C45" s="350">
        <f t="shared" ref="C45:G45" si="7">AVERAGE(C25:C38)</f>
        <v>2.2731598600177071E-3</v>
      </c>
      <c r="D45" s="350">
        <f t="shared" si="7"/>
        <v>2.2350443861635584E-3</v>
      </c>
      <c r="E45" s="350">
        <f t="shared" si="7"/>
        <v>2.7166596263199509E-3</v>
      </c>
      <c r="F45" s="350">
        <f t="shared" si="7"/>
        <v>2.9020270044917361E-3</v>
      </c>
      <c r="G45" s="350">
        <f t="shared" si="7"/>
        <v>2.4452838047943847E-3</v>
      </c>
    </row>
    <row r="48" spans="1:8" x14ac:dyDescent="0.2">
      <c r="A48" s="4">
        <v>2015</v>
      </c>
      <c r="B48" s="28">
        <f>B14/'Rate Class Energy Model'!J78</f>
        <v>2.5423036460045525E-3</v>
      </c>
      <c r="C48" s="28">
        <f>C14/'Rate Class Energy Model'!K78</f>
        <v>2.2785776701676817E-3</v>
      </c>
      <c r="D48" s="28">
        <f>D14/'Rate Class Energy Model'!L78</f>
        <v>2.3460560155403498E-3</v>
      </c>
      <c r="E48" s="28">
        <f>E14/'Rate Class Energy Model'!M78</f>
        <v>2.798308416542483E-3</v>
      </c>
      <c r="F48" s="28">
        <f>F14/'Rate Class Energy Model'!N78</f>
        <v>2.7922821321866363E-3</v>
      </c>
      <c r="G48" s="28">
        <f>G14/H48</f>
        <v>2.4894682736391243E-3</v>
      </c>
      <c r="H48" s="6">
        <f>SUM('Rate Class Energy Model'!J78:N78)</f>
        <v>465872577</v>
      </c>
    </row>
    <row r="49" spans="1:8" x14ac:dyDescent="0.2">
      <c r="A49" s="4">
        <v>2016</v>
      </c>
      <c r="B49" s="28">
        <f>B15/'Rate Class Energy Model'!J79</f>
        <v>2.5769441229559482E-3</v>
      </c>
      <c r="C49" s="28">
        <f>C15/'Rate Class Energy Model'!K79</f>
        <v>2.401790848000661E-3</v>
      </c>
      <c r="D49" s="28">
        <f>D15/'Rate Class Energy Model'!L79</f>
        <v>2.4348782761952608E-3</v>
      </c>
      <c r="E49" s="28">
        <f>E15/'Rate Class Energy Model'!M79</f>
        <v>2.7993864699060161E-3</v>
      </c>
      <c r="F49" s="28">
        <f>F15/'Rate Class Energy Model'!N79</f>
        <v>2.7922041659686155E-3</v>
      </c>
      <c r="G49" s="28">
        <f>G15/H49</f>
        <v>2.5403988046344816E-3</v>
      </c>
      <c r="H49" s="6">
        <f>SUM('Rate Class Energy Model'!J79:N79)</f>
        <v>464428655</v>
      </c>
    </row>
    <row r="50" spans="1:8" x14ac:dyDescent="0.2">
      <c r="A50" s="4">
        <v>2017</v>
      </c>
      <c r="B50" s="28">
        <f>B16/'Rate Class Energy Model'!J80</f>
        <v>2.5192796420355065E-3</v>
      </c>
      <c r="C50" s="28">
        <f>C16/'Rate Class Energy Model'!K80</f>
        <v>2.2629362741451338E-3</v>
      </c>
      <c r="D50" s="28">
        <f>D16/'Rate Class Energy Model'!L80</f>
        <v>2.2250530919032093E-3</v>
      </c>
      <c r="E50" s="28">
        <f>E16/'Rate Class Energy Model'!M80</f>
        <v>2.0190082136636324E-3</v>
      </c>
      <c r="F50" s="28">
        <f>F16/'Rate Class Energy Model'!N80</f>
        <v>2.8889750749698435E-3</v>
      </c>
      <c r="G50" s="28">
        <f>G16/H50</f>
        <v>2.4353364209662325E-3</v>
      </c>
      <c r="H50" s="6">
        <f>SUM('Rate Class Energy Model'!J80:N80)</f>
        <v>460602882.18682319</v>
      </c>
    </row>
    <row r="51" spans="1:8" x14ac:dyDescent="0.2">
      <c r="A51" s="4">
        <v>2018</v>
      </c>
      <c r="B51" s="28">
        <f>B17/'Rate Class Energy Model'!J81</f>
        <v>2.5370847380446894E-3</v>
      </c>
      <c r="C51" s="28">
        <f>C17/'Rate Class Energy Model'!K81</f>
        <v>2.2378522529446195E-3</v>
      </c>
      <c r="D51" s="28">
        <f>D17/'Rate Class Energy Model'!L81</f>
        <v>2.2349088491581204E-3</v>
      </c>
      <c r="E51" s="28">
        <f>E17/'Rate Class Energy Model'!M81</f>
        <v>1.3496723161957169E-3</v>
      </c>
      <c r="F51" s="28">
        <f>F17/'Rate Class Energy Model'!N81</f>
        <v>2.856951587231251E-3</v>
      </c>
      <c r="G51" s="28">
        <f>G17/H51</f>
        <v>2.4346828972626809E-3</v>
      </c>
      <c r="H51" s="6">
        <f>SUM('Rate Class Energy Model'!J81:N81)</f>
        <v>454151049.14539289</v>
      </c>
    </row>
    <row r="52" spans="1:8" x14ac:dyDescent="0.2">
      <c r="A52" s="4">
        <v>2019</v>
      </c>
      <c r="B52" s="28">
        <f>B18/'Rate Class Energy Model'!J82</f>
        <v>2.5554199998688537E-3</v>
      </c>
      <c r="C52" s="28">
        <f>C18/'Rate Class Energy Model'!K82</f>
        <v>2.2124017525240246E-3</v>
      </c>
      <c r="D52" s="28">
        <f>D18/'Rate Class Energy Model'!L82</f>
        <v>2.3819114772619231E-3</v>
      </c>
      <c r="E52" s="28">
        <f>E18/'Rate Class Energy Model'!M82</f>
        <v>1.3774132117489837E-3</v>
      </c>
      <c r="F52" s="28">
        <f>F18/'Rate Class Energy Model'!N82</f>
        <v>2.8244602342043595E-3</v>
      </c>
      <c r="G52" s="28">
        <f>G18/H52</f>
        <v>2.470799866210586E-3</v>
      </c>
      <c r="H52" s="6">
        <f>SUM('Rate Class Energy Model'!J82:N82)</f>
        <v>447851351.1906271</v>
      </c>
    </row>
    <row r="53" spans="1:8" x14ac:dyDescent="0.2">
      <c r="B53" s="26"/>
      <c r="C53" s="26"/>
      <c r="D53" s="26"/>
      <c r="E53" s="26"/>
      <c r="F53" s="26"/>
    </row>
    <row r="54" spans="1:8" x14ac:dyDescent="0.2">
      <c r="B54" s="26"/>
      <c r="C54" s="26"/>
      <c r="D54" s="26"/>
      <c r="E54" s="26"/>
      <c r="F54" s="26"/>
    </row>
    <row r="73" spans="2:6" x14ac:dyDescent="0.2">
      <c r="B73" s="15"/>
      <c r="C73" s="15"/>
      <c r="D73" s="15"/>
      <c r="E73" s="15"/>
      <c r="F73" s="15"/>
    </row>
    <row r="74" spans="2:6" x14ac:dyDescent="0.2">
      <c r="B74" s="15"/>
      <c r="C74" s="15"/>
      <c r="D74" s="15"/>
      <c r="E74" s="15"/>
      <c r="F74" s="1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T115"/>
  <sheetViews>
    <sheetView workbookViewId="0"/>
  </sheetViews>
  <sheetFormatPr defaultRowHeight="12.75" x14ac:dyDescent="0.2"/>
  <cols>
    <col min="1" max="1" width="32.7109375" customWidth="1"/>
    <col min="2" max="2" width="13.42578125" bestFit="1" customWidth="1"/>
    <col min="3" max="3" width="12.7109375" bestFit="1" customWidth="1"/>
    <col min="4" max="4" width="13.5703125" customWidth="1"/>
    <col min="5" max="5" width="12.7109375" customWidth="1"/>
    <col min="6" max="6" width="13" customWidth="1"/>
    <col min="7" max="7" width="12.7109375" bestFit="1" customWidth="1"/>
    <col min="8" max="16" width="12.85546875" customWidth="1"/>
    <col min="17" max="17" width="13.42578125" bestFit="1" customWidth="1"/>
    <col min="18" max="18" width="14.140625" bestFit="1" customWidth="1"/>
    <col min="20" max="21" width="12.7109375" bestFit="1" customWidth="1"/>
  </cols>
  <sheetData>
    <row r="2" spans="1:20" ht="13.5" thickBot="1" x14ac:dyDescent="0.25"/>
    <row r="3" spans="1:20" x14ac:dyDescent="0.2">
      <c r="A3" s="258"/>
      <c r="B3" s="534" t="s">
        <v>205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08"/>
      <c r="N3" s="508"/>
      <c r="O3" s="509"/>
      <c r="P3" s="539" t="s">
        <v>206</v>
      </c>
      <c r="Q3" s="534"/>
      <c r="R3" s="540"/>
    </row>
    <row r="4" spans="1:20" ht="13.5" thickBot="1" x14ac:dyDescent="0.25">
      <c r="A4" s="265" t="s">
        <v>112</v>
      </c>
      <c r="B4" s="266">
        <v>2003</v>
      </c>
      <c r="C4" s="266">
        <v>2004</v>
      </c>
      <c r="D4" s="266">
        <v>2005</v>
      </c>
      <c r="E4" s="266">
        <v>2006</v>
      </c>
      <c r="F4" s="266">
        <v>2007</v>
      </c>
      <c r="G4" s="266">
        <v>2008</v>
      </c>
      <c r="H4" s="266">
        <v>2009</v>
      </c>
      <c r="I4" s="266">
        <v>2010</v>
      </c>
      <c r="J4" s="266">
        <v>2011</v>
      </c>
      <c r="K4" s="266">
        <v>2012</v>
      </c>
      <c r="L4" s="266">
        <v>2013</v>
      </c>
      <c r="M4" s="266">
        <v>2014</v>
      </c>
      <c r="N4" s="266">
        <v>2015</v>
      </c>
      <c r="O4" s="267">
        <v>2016</v>
      </c>
      <c r="P4" s="266">
        <v>2017</v>
      </c>
      <c r="Q4" s="266">
        <v>2018</v>
      </c>
      <c r="R4" s="268">
        <v>2019</v>
      </c>
    </row>
    <row r="5" spans="1:20" x14ac:dyDescent="0.2">
      <c r="A5" s="259" t="s">
        <v>52</v>
      </c>
      <c r="B5" s="188">
        <f>+Chart!$C7</f>
        <v>1232724170</v>
      </c>
      <c r="C5" s="188">
        <f>+Chart!$C8</f>
        <v>1178441190</v>
      </c>
      <c r="D5" s="188">
        <f>+Chart!$C9</f>
        <v>1174501350</v>
      </c>
      <c r="E5" s="188">
        <f>+Chart!$C10</f>
        <v>1151360440</v>
      </c>
      <c r="F5" s="188">
        <f>+Chart!$C11</f>
        <v>1191153590</v>
      </c>
      <c r="G5" s="188">
        <f>+Chart!$C12</f>
        <v>1158881926</v>
      </c>
      <c r="H5" s="188">
        <f>+Chart!$C13</f>
        <v>1128390784.5107694</v>
      </c>
      <c r="I5" s="188">
        <f>+Chart!$C14</f>
        <v>1148489331.8146157</v>
      </c>
      <c r="J5" s="188">
        <f>+Chart!$C15</f>
        <v>1148632387.3953846</v>
      </c>
      <c r="K5" s="188">
        <f>+Chart!$C16</f>
        <v>1136211952.670979</v>
      </c>
      <c r="L5" s="188">
        <f>+Chart!$C17</f>
        <v>1130407041.6666667</v>
      </c>
      <c r="M5" s="270">
        <f>+Chart!$C18</f>
        <v>1134970142.7733078</v>
      </c>
      <c r="N5" s="270">
        <f>+Chart!$C19</f>
        <v>1123341031.2123077</v>
      </c>
      <c r="O5" s="270">
        <f>+Chart!$C20</f>
        <v>1122027434.2815385</v>
      </c>
      <c r="P5" s="269">
        <f>+Chart!$C21</f>
        <v>1115920797.7611427</v>
      </c>
      <c r="Q5" s="270">
        <f>+Chart!$C22</f>
        <v>1111394475.2315521</v>
      </c>
      <c r="R5" s="271">
        <f>+Chart!$C23</f>
        <v>1106868152.7019615</v>
      </c>
    </row>
    <row r="6" spans="1:20" x14ac:dyDescent="0.2">
      <c r="A6" s="259" t="s">
        <v>53</v>
      </c>
      <c r="B6" s="188">
        <f>+Chart!$D7</f>
        <v>1232724170</v>
      </c>
      <c r="C6" s="188">
        <f>+Chart!$D8</f>
        <v>1178441190</v>
      </c>
      <c r="D6" s="188">
        <f>+Chart!$D9</f>
        <v>1174501350</v>
      </c>
      <c r="E6" s="188">
        <f>+Chart!$D10</f>
        <v>1151360440</v>
      </c>
      <c r="F6" s="188">
        <f>+Chart!$D11</f>
        <v>1191153590</v>
      </c>
      <c r="G6" s="188">
        <f>+Chart!$D12</f>
        <v>1158881926</v>
      </c>
      <c r="H6" s="188">
        <f>+Chart!$D13</f>
        <v>1128390784.5107694</v>
      </c>
      <c r="I6" s="188">
        <f>+Chart!$D14</f>
        <v>1148489331.8146157</v>
      </c>
      <c r="J6" s="188">
        <f>+Chart!$D15</f>
        <v>1148632387.3953846</v>
      </c>
      <c r="K6" s="188">
        <f>+Chart!$D16</f>
        <v>1136211952.670979</v>
      </c>
      <c r="L6" s="188">
        <f>+Chart!$D17</f>
        <v>1130407041.6666667</v>
      </c>
      <c r="M6" s="188">
        <f>+Chart!$D18</f>
        <v>1134970142.7733078</v>
      </c>
      <c r="N6" s="188">
        <f>+Chart!$D19</f>
        <v>1123341031.2123077</v>
      </c>
      <c r="O6" s="188">
        <f>+Chart!$D20</f>
        <v>1122027434.2815385</v>
      </c>
      <c r="P6" s="187">
        <f>+Chart!$D21</f>
        <v>1108402450.9587033</v>
      </c>
      <c r="Q6" s="188">
        <f>+Chart!$D22</f>
        <v>1099681736.5142858</v>
      </c>
      <c r="R6" s="201">
        <f>+Chart!$D23</f>
        <v>1097927653.0000739</v>
      </c>
    </row>
    <row r="7" spans="1:20" x14ac:dyDescent="0.2">
      <c r="A7" s="259" t="s">
        <v>8</v>
      </c>
      <c r="B7" s="190">
        <f t="shared" ref="B7:M7" si="0">(B6-B5)/B5</f>
        <v>0</v>
      </c>
      <c r="C7" s="190">
        <f t="shared" si="0"/>
        <v>0</v>
      </c>
      <c r="D7" s="190">
        <f t="shared" si="0"/>
        <v>0</v>
      </c>
      <c r="E7" s="190">
        <f t="shared" si="0"/>
        <v>0</v>
      </c>
      <c r="F7" s="190">
        <f t="shared" si="0"/>
        <v>0</v>
      </c>
      <c r="G7" s="190">
        <f t="shared" si="0"/>
        <v>0</v>
      </c>
      <c r="H7" s="190">
        <f t="shared" si="0"/>
        <v>0</v>
      </c>
      <c r="I7" s="190">
        <f t="shared" si="0"/>
        <v>0</v>
      </c>
      <c r="J7" s="190">
        <f t="shared" si="0"/>
        <v>0</v>
      </c>
      <c r="K7" s="190">
        <f t="shared" si="0"/>
        <v>0</v>
      </c>
      <c r="L7" s="190">
        <f t="shared" si="0"/>
        <v>0</v>
      </c>
      <c r="M7" s="190">
        <f t="shared" si="0"/>
        <v>0</v>
      </c>
      <c r="N7" s="190">
        <f t="shared" ref="N7:R7" si="1">(N6-N5)/N5</f>
        <v>0</v>
      </c>
      <c r="O7" s="190">
        <f t="shared" si="1"/>
        <v>0</v>
      </c>
      <c r="P7" s="189">
        <f t="shared" si="1"/>
        <v>-6.7373480425523139E-3</v>
      </c>
      <c r="Q7" s="190">
        <f t="shared" si="1"/>
        <v>-1.0538777165349905E-2</v>
      </c>
      <c r="R7" s="202">
        <f t="shared" si="1"/>
        <v>-8.0772941926850715E-3</v>
      </c>
    </row>
    <row r="8" spans="1:20" x14ac:dyDescent="0.2">
      <c r="A8" s="259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511"/>
      <c r="P8" s="191"/>
      <c r="Q8" s="191"/>
      <c r="R8" s="203"/>
    </row>
    <row r="9" spans="1:20" x14ac:dyDescent="0.2">
      <c r="A9" s="259" t="s">
        <v>55</v>
      </c>
      <c r="B9" s="188">
        <f>+'Chart II'!$J67</f>
        <v>1136840307.5</v>
      </c>
      <c r="C9" s="188">
        <f>+'Chart II'!$J68</f>
        <v>1128300513.0634735</v>
      </c>
      <c r="D9" s="188">
        <f>+'Chart II'!$J69</f>
        <v>1125931170</v>
      </c>
      <c r="E9" s="188">
        <f>+'Chart II'!$J70</f>
        <v>1110963247</v>
      </c>
      <c r="F9" s="188">
        <f>+'Chart II'!$J71</f>
        <v>1143760516</v>
      </c>
      <c r="G9" s="188">
        <f>+'Chart II'!$J72</f>
        <v>1117251257</v>
      </c>
      <c r="H9" s="188">
        <f>+'Chart II'!$J73</f>
        <v>1082664508</v>
      </c>
      <c r="I9" s="188">
        <f>+'Chart II'!$J74</f>
        <v>1090938483</v>
      </c>
      <c r="J9" s="188">
        <f>+'Chart II'!$J75</f>
        <v>1110518847</v>
      </c>
      <c r="K9" s="188">
        <f>+'Chart II'!$J76</f>
        <v>1073783871</v>
      </c>
      <c r="L9" s="188">
        <f>+'Chart II'!$J77</f>
        <v>1078161209</v>
      </c>
      <c r="M9" s="188">
        <f>+'Chart II'!$J78</f>
        <v>1091642390</v>
      </c>
      <c r="N9" s="188">
        <f>+'Chart II'!$J79</f>
        <v>1079760469</v>
      </c>
      <c r="O9" s="510">
        <f>+'Chart II'!$J80</f>
        <v>1074433920</v>
      </c>
      <c r="P9" s="188">
        <f>+'Chart II'!$J81</f>
        <v>1070015150.858888</v>
      </c>
      <c r="Q9" s="188">
        <f>+'Chart II'!$J82</f>
        <v>1061596460.9022121</v>
      </c>
      <c r="R9" s="201">
        <f>+'Chart II'!$J83</f>
        <v>1059903126.5592082</v>
      </c>
    </row>
    <row r="10" spans="1:20" x14ac:dyDescent="0.2">
      <c r="A10" s="259" t="s">
        <v>261</v>
      </c>
      <c r="B10" s="188">
        <f>+'Chart II'!$G140</f>
        <v>1376310.4427777778</v>
      </c>
      <c r="C10" s="188">
        <f>+'Chart II'!$G141</f>
        <v>1359503.3072222222</v>
      </c>
      <c r="D10" s="188">
        <f>+'Chart II'!$G142</f>
        <v>1235025.9316666666</v>
      </c>
      <c r="E10" s="188">
        <f>+'Chart II'!$G143</f>
        <v>1231537.3194444445</v>
      </c>
      <c r="F10" s="188">
        <f>+'Chart II'!$G144</f>
        <v>1262855.0222222223</v>
      </c>
      <c r="G10" s="188">
        <f>+'Chart II'!$G145</f>
        <v>1231679.9805555556</v>
      </c>
      <c r="H10" s="188">
        <f>+'Chart II'!$G146</f>
        <v>1167952.2</v>
      </c>
      <c r="I10" s="188">
        <f>+'Chart II'!$G147</f>
        <v>1165174.4777777777</v>
      </c>
      <c r="J10" s="188">
        <f>+'Chart II'!$G148</f>
        <v>1171404</v>
      </c>
      <c r="K10" s="188">
        <f>+'Chart II'!$G149</f>
        <v>1146022</v>
      </c>
      <c r="L10" s="188">
        <f>+'Chart II'!$G150</f>
        <v>1145530</v>
      </c>
      <c r="M10" s="188">
        <f>+'Chart II'!$G151</f>
        <v>1137326</v>
      </c>
      <c r="N10" s="188">
        <f>+'Chart II'!$G152</f>
        <v>1159775</v>
      </c>
      <c r="O10" s="510">
        <f>+'Chart II'!$G153</f>
        <v>1179834</v>
      </c>
      <c r="P10" s="188">
        <f>+'Chart II'!$G154</f>
        <v>1121722.9745915893</v>
      </c>
      <c r="Q10" s="188">
        <f>+'Chart II'!$G155</f>
        <v>1105713.7921281913</v>
      </c>
      <c r="R10" s="201">
        <f>+'Chart II'!$G156</f>
        <v>1106551.0586040316</v>
      </c>
      <c r="T10" s="505"/>
    </row>
    <row r="11" spans="1:20" x14ac:dyDescent="0.2">
      <c r="A11" s="259"/>
      <c r="B11" s="191"/>
      <c r="C11" s="191"/>
      <c r="D11" s="191"/>
      <c r="E11" s="191"/>
      <c r="F11" s="191"/>
      <c r="G11" s="193"/>
      <c r="H11" s="192"/>
      <c r="I11" s="192"/>
      <c r="J11" s="192"/>
      <c r="K11" s="192"/>
      <c r="L11" s="192"/>
      <c r="M11" s="192"/>
      <c r="N11" s="192"/>
      <c r="O11" s="512"/>
      <c r="P11" s="192"/>
      <c r="Q11" s="192"/>
      <c r="R11" s="204"/>
    </row>
    <row r="12" spans="1:20" ht="15.75" x14ac:dyDescent="0.25">
      <c r="A12" s="260" t="s">
        <v>54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513"/>
      <c r="P12" s="193"/>
      <c r="Q12" s="193"/>
      <c r="R12" s="206"/>
    </row>
    <row r="13" spans="1:20" x14ac:dyDescent="0.2">
      <c r="A13" s="261" t="str">
        <f>'Rate Class Energy Model'!H2</f>
        <v>Residential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513"/>
      <c r="P13" s="193"/>
      <c r="Q13" s="193"/>
      <c r="R13" s="206"/>
    </row>
    <row r="14" spans="1:20" x14ac:dyDescent="0.2">
      <c r="A14" s="262" t="s">
        <v>47</v>
      </c>
      <c r="B14" s="194">
        <f>+'Chart II'!$B$39</f>
        <v>43319.5</v>
      </c>
      <c r="C14" s="194">
        <f>+'Chart II'!$B$40</f>
        <v>43979.5</v>
      </c>
      <c r="D14" s="194">
        <f>+'Chart II'!$B$41</f>
        <v>44598.5</v>
      </c>
      <c r="E14" s="194">
        <f>+'Chart II'!$B$42</f>
        <v>45439</v>
      </c>
      <c r="F14" s="194">
        <f>+'Chart II'!$B$43</f>
        <v>46320</v>
      </c>
      <c r="G14" s="194">
        <f>+'Chart II'!$B$44</f>
        <v>47057.5</v>
      </c>
      <c r="H14" s="194">
        <f>+'Chart II'!$B$45</f>
        <v>47602.5</v>
      </c>
      <c r="I14" s="194">
        <f>+'Chart II'!$B$46</f>
        <v>48114.5</v>
      </c>
      <c r="J14" s="194">
        <f>+'Chart II'!$B$47</f>
        <v>48650.5</v>
      </c>
      <c r="K14" s="194">
        <f>+'Chart II'!$B$48</f>
        <v>49021</v>
      </c>
      <c r="L14" s="194">
        <f>+'Chart II'!$B$49</f>
        <v>49516</v>
      </c>
      <c r="M14" s="194">
        <f>+'Chart II'!$B$50</f>
        <v>50202.5</v>
      </c>
      <c r="N14" s="194">
        <f>+'Chart II'!$B$51</f>
        <v>51152.5</v>
      </c>
      <c r="O14" s="514">
        <f>+'Chart II'!$B$52</f>
        <v>52115</v>
      </c>
      <c r="P14" s="194">
        <f>+'Chart II'!$B$53</f>
        <v>52861.328483376739</v>
      </c>
      <c r="Q14" s="194">
        <f>+'Chart II'!$B$54</f>
        <v>53812.844987574732</v>
      </c>
      <c r="R14" s="209">
        <f>+'Chart II'!$B$55</f>
        <v>54781.502573600781</v>
      </c>
    </row>
    <row r="15" spans="1:20" x14ac:dyDescent="0.2">
      <c r="A15" s="262" t="s">
        <v>48</v>
      </c>
      <c r="B15" s="194">
        <f>+'Chart II'!$B67</f>
        <v>457616904</v>
      </c>
      <c r="C15" s="194">
        <f>+'Chart II'!$B68</f>
        <v>448138859</v>
      </c>
      <c r="D15" s="194">
        <f>+'Chart II'!$B69</f>
        <v>485961504</v>
      </c>
      <c r="E15" s="194">
        <f>+'Chart II'!$B70</f>
        <v>466401366</v>
      </c>
      <c r="F15" s="194">
        <f>+'Chart II'!$B71</f>
        <v>473023155</v>
      </c>
      <c r="G15" s="194">
        <f>+'Chart II'!$B72</f>
        <v>470718851</v>
      </c>
      <c r="H15" s="194">
        <f>+'Chart II'!$B73</f>
        <v>467977819</v>
      </c>
      <c r="I15" s="194">
        <f>+'Chart II'!$B74</f>
        <v>476941035</v>
      </c>
      <c r="J15" s="194">
        <f>+'Chart II'!$B75</f>
        <v>484582022</v>
      </c>
      <c r="K15" s="194">
        <f>+'Chart II'!$B76</f>
        <v>473288468</v>
      </c>
      <c r="L15" s="194">
        <f>+'Chart II'!$B77</f>
        <v>475282449</v>
      </c>
      <c r="M15" s="194">
        <f>+'Chart II'!$B78</f>
        <v>485503507</v>
      </c>
      <c r="N15" s="194">
        <f>+'Chart II'!$B79</f>
        <v>479177852</v>
      </c>
      <c r="O15" s="514">
        <f>+'Chart II'!$B80</f>
        <v>477455153</v>
      </c>
      <c r="P15" s="194">
        <f>+'Chart II'!$B81</f>
        <v>481242441.3526327</v>
      </c>
      <c r="Q15" s="194">
        <f>+'Chart II'!$B82</f>
        <v>480011939.38473219</v>
      </c>
      <c r="R15" s="209">
        <f>+'Chart II'!$B83</f>
        <v>478548339.49470502</v>
      </c>
    </row>
    <row r="16" spans="1:20" x14ac:dyDescent="0.2">
      <c r="A16" s="262"/>
      <c r="B16" s="193"/>
      <c r="C16" s="193"/>
      <c r="D16" s="193"/>
      <c r="E16" s="193"/>
      <c r="F16" s="193"/>
      <c r="G16" s="210"/>
      <c r="H16" s="192"/>
      <c r="I16" s="192"/>
      <c r="J16" s="192"/>
      <c r="K16" s="192"/>
      <c r="L16" s="192"/>
      <c r="M16" s="192"/>
      <c r="N16" s="192"/>
      <c r="O16" s="512"/>
      <c r="P16" s="192"/>
      <c r="Q16" s="192"/>
      <c r="R16" s="204"/>
    </row>
    <row r="17" spans="1:18" x14ac:dyDescent="0.2">
      <c r="A17" s="261" t="str">
        <f>'Rate Class Energy Model'!I2</f>
        <v>GS&lt;50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513"/>
      <c r="P17" s="193"/>
      <c r="Q17" s="193"/>
      <c r="R17" s="206"/>
    </row>
    <row r="18" spans="1:18" x14ac:dyDescent="0.2">
      <c r="A18" s="262" t="s">
        <v>47</v>
      </c>
      <c r="B18" s="194">
        <f>+'Chart II'!$C$39</f>
        <v>3689</v>
      </c>
      <c r="C18" s="194">
        <f>+'Chart II'!$C$40</f>
        <v>3626.5</v>
      </c>
      <c r="D18" s="194">
        <f>+'Chart II'!$C$41</f>
        <v>3662</v>
      </c>
      <c r="E18" s="194">
        <f>+'Chart II'!$C$42</f>
        <v>3740.5</v>
      </c>
      <c r="F18" s="194">
        <f>+'Chart II'!$C$43</f>
        <v>3749</v>
      </c>
      <c r="G18" s="194">
        <f>+'Chart II'!$C$44</f>
        <v>3793.5</v>
      </c>
      <c r="H18" s="194">
        <f>+'Chart II'!$C$45</f>
        <v>3859.5</v>
      </c>
      <c r="I18" s="194">
        <f>+'Chart II'!$C$46</f>
        <v>3929</v>
      </c>
      <c r="J18" s="194">
        <f>+'Chart II'!$C$47</f>
        <v>3888.5</v>
      </c>
      <c r="K18" s="194">
        <f>+'Chart II'!$C$48</f>
        <v>3850.5</v>
      </c>
      <c r="L18" s="194">
        <f>+'Chart II'!$C$49</f>
        <v>3904.5</v>
      </c>
      <c r="M18" s="194">
        <f>+'Chart II'!$C$50</f>
        <v>3952.5</v>
      </c>
      <c r="N18" s="194">
        <f>+'Chart II'!$C$51</f>
        <v>4027.5</v>
      </c>
      <c r="O18" s="514">
        <f>+'Chart II'!$C$52</f>
        <v>4112</v>
      </c>
      <c r="P18" s="194">
        <f>+'Chart II'!$C$53</f>
        <v>4146.4802600618323</v>
      </c>
      <c r="Q18" s="194">
        <f>+'Chart II'!$C$54</f>
        <v>4221.1496466640174</v>
      </c>
      <c r="R18" s="209">
        <f>+'Chart II'!$C$55</f>
        <v>4297.1105842127581</v>
      </c>
    </row>
    <row r="19" spans="1:18" x14ac:dyDescent="0.2">
      <c r="A19" s="262" t="s">
        <v>48</v>
      </c>
      <c r="B19" s="194">
        <f>+'Chart II'!$C67</f>
        <v>121224653</v>
      </c>
      <c r="C19" s="194">
        <f>+'Chart II'!$C68</f>
        <v>129998490</v>
      </c>
      <c r="D19" s="194">
        <f>+'Chart II'!$C69</f>
        <v>135909028</v>
      </c>
      <c r="E19" s="194">
        <f>+'Chart II'!$C70</f>
        <v>134155770</v>
      </c>
      <c r="F19" s="194">
        <f>+'Chart II'!$C71</f>
        <v>132346004</v>
      </c>
      <c r="G19" s="194">
        <f>+'Chart II'!$C72</f>
        <v>131868017</v>
      </c>
      <c r="H19" s="194">
        <f>+'Chart II'!$C73</f>
        <v>128019505</v>
      </c>
      <c r="I19" s="194">
        <f>+'Chart II'!$C74</f>
        <v>131282103</v>
      </c>
      <c r="J19" s="194">
        <f>+'Chart II'!$C75</f>
        <v>135695878</v>
      </c>
      <c r="K19" s="194">
        <f>+'Chart II'!$C76</f>
        <v>131590801</v>
      </c>
      <c r="L19" s="194">
        <f>+'Chart II'!$C77</f>
        <v>132382128</v>
      </c>
      <c r="M19" s="194">
        <f>+'Chart II'!$C78</f>
        <v>133729082</v>
      </c>
      <c r="N19" s="194">
        <f>+'Chart II'!$C79</f>
        <v>132197810</v>
      </c>
      <c r="O19" s="514">
        <f>+'Chart II'!$C80</f>
        <v>130049530</v>
      </c>
      <c r="P19" s="194">
        <f>+'Chart II'!$C81</f>
        <v>130109122.86424071</v>
      </c>
      <c r="Q19" s="194">
        <f>+'Chart II'!$C82</f>
        <v>129585178.21250525</v>
      </c>
      <c r="R19" s="209">
        <f>+'Chart II'!$C83</f>
        <v>129015225.78797366</v>
      </c>
    </row>
    <row r="20" spans="1:18" x14ac:dyDescent="0.2">
      <c r="A20" s="262"/>
      <c r="B20" s="193"/>
      <c r="C20" s="193"/>
      <c r="D20" s="193"/>
      <c r="E20" s="193"/>
      <c r="F20" s="193"/>
      <c r="G20" s="210"/>
      <c r="H20" s="192"/>
      <c r="I20" s="192"/>
      <c r="J20" s="192"/>
      <c r="K20" s="192"/>
      <c r="L20" s="192"/>
      <c r="M20" s="192"/>
      <c r="N20" s="192"/>
      <c r="O20" s="512"/>
      <c r="P20" s="192"/>
      <c r="Q20" s="192"/>
      <c r="R20" s="204"/>
    </row>
    <row r="21" spans="1:18" x14ac:dyDescent="0.2">
      <c r="A21" s="261" t="str">
        <f>'Rate Class Energy Model'!J2</f>
        <v>GS&gt;50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513"/>
      <c r="P21" s="193"/>
      <c r="Q21" s="193"/>
      <c r="R21" s="206"/>
    </row>
    <row r="22" spans="1:18" x14ac:dyDescent="0.2">
      <c r="A22" s="262" t="s">
        <v>47</v>
      </c>
      <c r="B22" s="194">
        <f>+'Chart II'!$D$39</f>
        <v>559</v>
      </c>
      <c r="C22" s="194">
        <f>+'Chart II'!$D$40</f>
        <v>530</v>
      </c>
      <c r="D22" s="194">
        <f>+'Chart II'!$D$41</f>
        <v>521.5</v>
      </c>
      <c r="E22" s="194">
        <f>+'Chart II'!$D$42</f>
        <v>525</v>
      </c>
      <c r="F22" s="194">
        <f>+'Chart II'!$D$43</f>
        <v>523</v>
      </c>
      <c r="G22" s="194">
        <f>+'Chart II'!$D$44</f>
        <v>533.5</v>
      </c>
      <c r="H22" s="194">
        <f>+'Chart II'!$D$45</f>
        <v>525</v>
      </c>
      <c r="I22" s="194">
        <f>+'Chart II'!$D$46</f>
        <v>512.5</v>
      </c>
      <c r="J22" s="194">
        <f>+'Chart II'!$D$47</f>
        <v>520.5</v>
      </c>
      <c r="K22" s="194">
        <f>+'Chart II'!$D$48</f>
        <v>511.5</v>
      </c>
      <c r="L22" s="194">
        <f>+'Chart II'!$D$49</f>
        <v>500</v>
      </c>
      <c r="M22" s="194">
        <f>+'Chart II'!$D$50</f>
        <v>502.5</v>
      </c>
      <c r="N22" s="194">
        <f>+'Chart II'!$D$51</f>
        <v>508.5</v>
      </c>
      <c r="O22" s="514">
        <f>+'Chart II'!$D$52</f>
        <v>516.5</v>
      </c>
      <c r="P22" s="194">
        <f>+'Chart II'!$D$53</f>
        <v>516.5</v>
      </c>
      <c r="Q22" s="194">
        <f>+'Chart II'!$D$54</f>
        <v>525.79999999999995</v>
      </c>
      <c r="R22" s="209">
        <f>+'Chart II'!$D$55</f>
        <v>535.29999999999995</v>
      </c>
    </row>
    <row r="23" spans="1:18" x14ac:dyDescent="0.2">
      <c r="A23" s="262" t="s">
        <v>48</v>
      </c>
      <c r="B23" s="194">
        <f>+'Chart II'!$D67</f>
        <v>281244125.5</v>
      </c>
      <c r="C23" s="194">
        <f>+'Chart II'!$D68</f>
        <v>360631980</v>
      </c>
      <c r="D23" s="194">
        <f>+'Chart II'!$D69</f>
        <v>361962669</v>
      </c>
      <c r="E23" s="194">
        <f>+'Chart II'!$D70</f>
        <v>357086593</v>
      </c>
      <c r="F23" s="194">
        <f>+'Chart II'!$D71</f>
        <v>359144720</v>
      </c>
      <c r="G23" s="194">
        <f>+'Chart II'!$D72</f>
        <v>352632150</v>
      </c>
      <c r="H23" s="194">
        <f>+'Chart II'!$D73</f>
        <v>349784301</v>
      </c>
      <c r="I23" s="194">
        <f>+'Chart II'!$D74</f>
        <v>355234224</v>
      </c>
      <c r="J23" s="194">
        <f>+'Chart II'!$D75</f>
        <v>359534375</v>
      </c>
      <c r="K23" s="194">
        <f>+'Chart II'!$D76</f>
        <v>338342507</v>
      </c>
      <c r="L23" s="194">
        <f>+'Chart II'!$D77</f>
        <v>337123668</v>
      </c>
      <c r="M23" s="194">
        <f>+'Chart II'!$D78</f>
        <v>336406114</v>
      </c>
      <c r="N23" s="194">
        <f>+'Chart II'!$D79</f>
        <v>333350818</v>
      </c>
      <c r="O23" s="514">
        <f>+'Chart II'!$D80</f>
        <v>330168199</v>
      </c>
      <c r="P23" s="194">
        <f>+'Chart II'!$D81</f>
        <v>329149932.35225224</v>
      </c>
      <c r="Q23" s="194">
        <f>+'Chart II'!$D82</f>
        <v>329595262.30701321</v>
      </c>
      <c r="R23" s="209">
        <f>+'Chart II'!$D83</f>
        <v>330009795.46084768</v>
      </c>
    </row>
    <row r="24" spans="1:18" x14ac:dyDescent="0.2">
      <c r="A24" s="262" t="s">
        <v>49</v>
      </c>
      <c r="B24" s="194">
        <f>+'Chart II'!$B140</f>
        <v>806199.49000000011</v>
      </c>
      <c r="C24" s="194">
        <f>+'Chart II'!$B141</f>
        <v>957450.82</v>
      </c>
      <c r="D24" s="194">
        <f>+'Chart II'!$B142</f>
        <v>913899.12999999989</v>
      </c>
      <c r="E24" s="194">
        <f>+'Chart II'!$B143</f>
        <v>893943</v>
      </c>
      <c r="F24" s="194">
        <f>+'Chart II'!$B144</f>
        <v>887017</v>
      </c>
      <c r="G24" s="194">
        <f>+'Chart II'!$B145</f>
        <v>876464</v>
      </c>
      <c r="H24" s="194">
        <f>+'Chart II'!$B146</f>
        <v>861503</v>
      </c>
      <c r="I24" s="195">
        <f>+'Chart II'!$B147</f>
        <v>871715</v>
      </c>
      <c r="J24" s="195">
        <f>+'Chart II'!$B148</f>
        <v>867070</v>
      </c>
      <c r="K24" s="195">
        <f>+'Chart II'!$B149</f>
        <v>846459</v>
      </c>
      <c r="L24" s="195">
        <f>+'Chart II'!$B150</f>
        <v>843160</v>
      </c>
      <c r="M24" s="195">
        <f>+'Chart II'!$B151</f>
        <v>831789</v>
      </c>
      <c r="N24" s="195">
        <f>+'Chart II'!$B152</f>
        <v>847479</v>
      </c>
      <c r="O24" s="515">
        <f>+'Chart II'!$B153</f>
        <v>850825</v>
      </c>
      <c r="P24" s="195">
        <f>+'Chart II'!$B154</f>
        <v>832942.28011661058</v>
      </c>
      <c r="Q24" s="195">
        <f>+'Chart II'!$B155</f>
        <v>834069.22595941229</v>
      </c>
      <c r="R24" s="211">
        <f>+'Chart II'!$B156</f>
        <v>835118.23784245062</v>
      </c>
    </row>
    <row r="25" spans="1:18" x14ac:dyDescent="0.2">
      <c r="A25" s="262"/>
      <c r="B25" s="193"/>
      <c r="C25" s="193"/>
      <c r="D25" s="193"/>
      <c r="E25" s="193"/>
      <c r="F25" s="193"/>
      <c r="G25" s="210"/>
      <c r="H25" s="192"/>
      <c r="I25" s="192"/>
      <c r="J25" s="192"/>
      <c r="K25" s="192"/>
      <c r="L25" s="192"/>
      <c r="M25" s="192"/>
      <c r="N25" s="192"/>
      <c r="O25" s="512"/>
      <c r="P25" s="192"/>
      <c r="Q25" s="192"/>
      <c r="R25" s="204"/>
    </row>
    <row r="26" spans="1:18" x14ac:dyDescent="0.2">
      <c r="A26" s="261" t="str">
        <f>'Rate Class Energy Model'!K2</f>
        <v>Large User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513"/>
      <c r="P26" s="193"/>
      <c r="Q26" s="193"/>
      <c r="R26" s="206"/>
    </row>
    <row r="27" spans="1:18" x14ac:dyDescent="0.2">
      <c r="A27" s="262" t="s">
        <v>47</v>
      </c>
      <c r="B27" s="194">
        <f>+'Chart II'!$E$39</f>
        <v>2.5</v>
      </c>
      <c r="C27" s="194">
        <f>+'Chart II'!$E$40</f>
        <v>2.5</v>
      </c>
      <c r="D27" s="194">
        <f>+'Chart II'!$E$41</f>
        <v>2</v>
      </c>
      <c r="E27" s="194">
        <f>+'Chart II'!$E$42</f>
        <v>2</v>
      </c>
      <c r="F27" s="194">
        <f>+'Chart II'!$E$43</f>
        <v>2</v>
      </c>
      <c r="G27" s="194">
        <f>+'Chart II'!$E$44</f>
        <v>2.5</v>
      </c>
      <c r="H27" s="194">
        <f>+'Chart II'!$E$45</f>
        <v>2</v>
      </c>
      <c r="I27" s="194">
        <f>+'Chart II'!$E$46</f>
        <v>1</v>
      </c>
      <c r="J27" s="194">
        <f>+'Chart II'!$E$47</f>
        <v>1</v>
      </c>
      <c r="K27" s="194">
        <f>+'Chart II'!$E$48</f>
        <v>1</v>
      </c>
      <c r="L27" s="194">
        <f>+'Chart II'!$E$49</f>
        <v>1</v>
      </c>
      <c r="M27" s="194">
        <f>+'Chart II'!$E$50</f>
        <v>1</v>
      </c>
      <c r="N27" s="194">
        <f>+'Chart II'!$E$51</f>
        <v>1</v>
      </c>
      <c r="O27" s="514">
        <f>+'Chart II'!$E$52</f>
        <v>1</v>
      </c>
      <c r="P27" s="194">
        <f>+'Chart II'!$E$53</f>
        <v>1</v>
      </c>
      <c r="Q27" s="194">
        <f>+'Chart II'!$E$54</f>
        <v>1</v>
      </c>
      <c r="R27" s="209">
        <f>+'Chart II'!$E$55</f>
        <v>1</v>
      </c>
    </row>
    <row r="28" spans="1:18" x14ac:dyDescent="0.2">
      <c r="A28" s="262" t="s">
        <v>48</v>
      </c>
      <c r="B28" s="194">
        <f>+'Chart II'!$E67</f>
        <v>169257212.5</v>
      </c>
      <c r="C28" s="194">
        <f>+'Chart II'!$E68</f>
        <v>112144196</v>
      </c>
      <c r="D28" s="194">
        <f>+'Chart II'!$E69</f>
        <v>62904833</v>
      </c>
      <c r="E28" s="194">
        <f>+'Chart II'!$E70</f>
        <v>59654446</v>
      </c>
      <c r="F28" s="194">
        <f>+'Chart II'!$E71</f>
        <v>61811846</v>
      </c>
      <c r="G28" s="194">
        <f>+'Chart II'!$E72</f>
        <v>46461021</v>
      </c>
      <c r="H28" s="194">
        <f>+'Chart II'!$E73</f>
        <v>36580289</v>
      </c>
      <c r="I28" s="194">
        <f>+'Chart II'!$E74</f>
        <v>33402763</v>
      </c>
      <c r="J28" s="194">
        <f>+'Chart II'!$E75</f>
        <v>37740699</v>
      </c>
      <c r="K28" s="194">
        <f>+'Chart II'!$E76</f>
        <v>40812737</v>
      </c>
      <c r="L28" s="194">
        <f>+'Chart II'!$E77</f>
        <v>42326219</v>
      </c>
      <c r="M28" s="194">
        <f>+'Chart II'!$E78</f>
        <v>42700435</v>
      </c>
      <c r="N28" s="194">
        <f>+'Chart II'!$E79</f>
        <v>41948976</v>
      </c>
      <c r="O28" s="514">
        <f>+'Chart II'!$E80</f>
        <v>41438246</v>
      </c>
      <c r="P28" s="194">
        <f>+'Chart II'!$E81</f>
        <v>40749633.793613337</v>
      </c>
      <c r="Q28" s="194">
        <f>+'Chart II'!$E82</f>
        <v>39807306.868036307</v>
      </c>
      <c r="R28" s="209">
        <f>+'Chart II'!$E83</f>
        <v>38875445.657878414</v>
      </c>
    </row>
    <row r="29" spans="1:18" x14ac:dyDescent="0.2">
      <c r="A29" s="262" t="s">
        <v>49</v>
      </c>
      <c r="B29" s="194">
        <f>+'Chart II'!$C140</f>
        <v>349045.15</v>
      </c>
      <c r="C29" s="194">
        <f>+'Chart II'!$C141</f>
        <v>243130.85</v>
      </c>
      <c r="D29" s="194">
        <f>+'Chart II'!$C142</f>
        <v>154705.01</v>
      </c>
      <c r="E29" s="194">
        <f>+'Chart II'!$C143</f>
        <v>134252</v>
      </c>
      <c r="F29" s="194">
        <f>+'Chart II'!$C144</f>
        <v>135954</v>
      </c>
      <c r="G29" s="194">
        <f>+'Chart II'!$C145</f>
        <v>124131</v>
      </c>
      <c r="H29" s="194">
        <f>+'Chart II'!$C146</f>
        <v>89007</v>
      </c>
      <c r="I29" s="195">
        <f>+'Chart II'!$C147</f>
        <v>70585</v>
      </c>
      <c r="J29" s="195">
        <f>+'Chart II'!$C148</f>
        <v>83704</v>
      </c>
      <c r="K29" s="195">
        <f>+'Chart II'!$C149</f>
        <v>89554</v>
      </c>
      <c r="L29" s="195">
        <f>+'Chart II'!$C150</f>
        <v>92753</v>
      </c>
      <c r="M29" s="195">
        <f>+'Chart II'!$C151</f>
        <v>93203</v>
      </c>
      <c r="N29" s="195">
        <f>+'Chart II'!$C152</f>
        <v>95584</v>
      </c>
      <c r="O29" s="515">
        <f>+'Chart II'!$C153</f>
        <v>99526</v>
      </c>
      <c r="P29" s="195">
        <f>+'Chart II'!$C154</f>
        <v>92630.431850062916</v>
      </c>
      <c r="Q29" s="195">
        <f>+'Chart II'!$C155</f>
        <v>90488.372107827323</v>
      </c>
      <c r="R29" s="211">
        <f>+'Chart II'!$C156</f>
        <v>88370.102609788868</v>
      </c>
    </row>
    <row r="30" spans="1:18" x14ac:dyDescent="0.2">
      <c r="A30" s="262"/>
      <c r="B30" s="193"/>
      <c r="C30" s="193"/>
      <c r="D30" s="193"/>
      <c r="E30" s="193"/>
      <c r="F30" s="193"/>
      <c r="G30" s="210"/>
      <c r="H30" s="192"/>
      <c r="I30" s="192"/>
      <c r="J30" s="192"/>
      <c r="K30" s="192"/>
      <c r="L30" s="192"/>
      <c r="M30" s="192"/>
      <c r="N30" s="192"/>
      <c r="O30" s="512"/>
      <c r="P30" s="192"/>
      <c r="Q30" s="192"/>
      <c r="R30" s="204"/>
    </row>
    <row r="31" spans="1:18" x14ac:dyDescent="0.2">
      <c r="A31" s="261" t="str">
        <f>'Rate Class Energy Model'!L2</f>
        <v>I2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513"/>
      <c r="P31" s="193"/>
      <c r="Q31" s="193"/>
      <c r="R31" s="206"/>
    </row>
    <row r="32" spans="1:18" x14ac:dyDescent="0.2">
      <c r="A32" s="263" t="s">
        <v>47</v>
      </c>
      <c r="B32" s="194">
        <f>+'Chart II'!$F$39</f>
        <v>5</v>
      </c>
      <c r="C32" s="194">
        <f>+'Chart II'!$F$40</f>
        <v>6</v>
      </c>
      <c r="D32" s="194">
        <f>+'Chart II'!$F$41</f>
        <v>7.5</v>
      </c>
      <c r="E32" s="194">
        <f>+'Chart II'!$F$42</f>
        <v>8.5</v>
      </c>
      <c r="F32" s="194">
        <f>+'Chart II'!$F$43</f>
        <v>9</v>
      </c>
      <c r="G32" s="194">
        <f>+'Chart II'!$F$44</f>
        <v>9</v>
      </c>
      <c r="H32" s="194">
        <f>+'Chart II'!$F$45</f>
        <v>9.5</v>
      </c>
      <c r="I32" s="194">
        <f>+'Chart II'!$F$46</f>
        <v>10</v>
      </c>
      <c r="J32" s="194">
        <f>+'Chart II'!$F$47</f>
        <v>10</v>
      </c>
      <c r="K32" s="194">
        <f>+'Chart II'!$F$48</f>
        <v>10.5</v>
      </c>
      <c r="L32" s="194">
        <f>+'Chart II'!$F$49</f>
        <v>11</v>
      </c>
      <c r="M32" s="194">
        <f>+'Chart II'!$F$50</f>
        <v>11</v>
      </c>
      <c r="N32" s="194">
        <f>+'Chart II'!$F$51</f>
        <v>12</v>
      </c>
      <c r="O32" s="514">
        <f>+'Chart II'!$F$52</f>
        <v>13</v>
      </c>
      <c r="P32" s="194">
        <f>+'Chart II'!$F$53</f>
        <v>13</v>
      </c>
      <c r="Q32" s="194">
        <f>+'Chart II'!$F$54</f>
        <v>13.2</v>
      </c>
      <c r="R32" s="209">
        <f>+'Chart II'!$F$55</f>
        <v>14.2</v>
      </c>
    </row>
    <row r="33" spans="1:18" x14ac:dyDescent="0.2">
      <c r="A33" s="262" t="s">
        <v>48</v>
      </c>
      <c r="B33" s="194">
        <f>+'Chart II'!$F67</f>
        <v>96172091</v>
      </c>
      <c r="C33" s="194">
        <f>+'Chart II'!$F68</f>
        <v>65676068</v>
      </c>
      <c r="D33" s="194">
        <f>+'Chart II'!$F69</f>
        <v>67016961</v>
      </c>
      <c r="E33" s="194">
        <f>+'Chart II'!$F70</f>
        <v>80518764</v>
      </c>
      <c r="F33" s="194">
        <f>+'Chart II'!$F71</f>
        <v>103869997</v>
      </c>
      <c r="G33" s="194">
        <f>+'Chart II'!$F72</f>
        <v>102433272</v>
      </c>
      <c r="H33" s="194">
        <f>+'Chart II'!$F73</f>
        <v>87237589</v>
      </c>
      <c r="I33" s="194">
        <f>+'Chart II'!$F74</f>
        <v>80783141</v>
      </c>
      <c r="J33" s="194">
        <f>+'Chart II'!$F75</f>
        <v>79908016</v>
      </c>
      <c r="K33" s="194">
        <f>+'Chart II'!$F76</f>
        <v>76828137</v>
      </c>
      <c r="L33" s="194">
        <f>+'Chart II'!$F77</f>
        <v>79176233</v>
      </c>
      <c r="M33" s="194">
        <f>+'Chart II'!$F78</f>
        <v>81400346</v>
      </c>
      <c r="N33" s="194">
        <f>+'Chart II'!$F79</f>
        <v>81234207</v>
      </c>
      <c r="O33" s="514">
        <f>+'Chart II'!$F80</f>
        <v>83295745</v>
      </c>
      <c r="P33" s="194">
        <f>+'Chart II'!$F81</f>
        <v>78965334.810425088</v>
      </c>
      <c r="Q33" s="194">
        <f>+'Chart II'!$F82</f>
        <v>75038332.350385889</v>
      </c>
      <c r="R33" s="209">
        <f>+'Chart II'!$F83</f>
        <v>75644065.398059711</v>
      </c>
    </row>
    <row r="34" spans="1:18" x14ac:dyDescent="0.2">
      <c r="A34" s="262" t="s">
        <v>49</v>
      </c>
      <c r="B34" s="194">
        <f>+'Chart II'!$D140</f>
        <v>197712.36</v>
      </c>
      <c r="C34" s="194">
        <f>+'Chart II'!$D141</f>
        <v>135213.89000000001</v>
      </c>
      <c r="D34" s="194">
        <f>+'Chart II'!$D142</f>
        <v>142187.47</v>
      </c>
      <c r="E34" s="194">
        <f>+'Chart II'!$D143</f>
        <v>178422</v>
      </c>
      <c r="F34" s="194">
        <f>+'Chart II'!$D144</f>
        <v>214029</v>
      </c>
      <c r="G34" s="194">
        <f>+'Chart II'!$D145</f>
        <v>204487</v>
      </c>
      <c r="H34" s="194">
        <f>+'Chart II'!$D146</f>
        <v>190299</v>
      </c>
      <c r="I34" s="195">
        <f>+'Chart II'!$D147</f>
        <v>195141</v>
      </c>
      <c r="J34" s="195">
        <f>+'Chart II'!$D148</f>
        <v>192700</v>
      </c>
      <c r="K34" s="195">
        <f>+'Chart II'!$D149</f>
        <v>182189</v>
      </c>
      <c r="L34" s="195">
        <f>+'Chart II'!$D150</f>
        <v>184241</v>
      </c>
      <c r="M34" s="195">
        <f>+'Chart II'!$D151</f>
        <v>186714</v>
      </c>
      <c r="N34" s="195">
        <f>+'Chart II'!$D152</f>
        <v>190580</v>
      </c>
      <c r="O34" s="515">
        <f>+'Chart II'!$D153</f>
        <v>202815</v>
      </c>
      <c r="P34" s="195">
        <f>+'Chart II'!$D154</f>
        <v>176491.02826956642</v>
      </c>
      <c r="Q34" s="195">
        <f>+'Chart II'!$D155</f>
        <v>167714.00346680533</v>
      </c>
      <c r="R34" s="211">
        <f>+'Chart II'!$D156</f>
        <v>169067.84371452243</v>
      </c>
    </row>
    <row r="35" spans="1:18" x14ac:dyDescent="0.2">
      <c r="A35" s="262"/>
      <c r="B35" s="194"/>
      <c r="C35" s="194"/>
      <c r="D35" s="194"/>
      <c r="E35" s="194"/>
      <c r="F35" s="194"/>
      <c r="G35" s="194"/>
      <c r="H35" s="194"/>
      <c r="I35" s="192"/>
      <c r="J35" s="192"/>
      <c r="K35" s="192"/>
      <c r="L35" s="192"/>
      <c r="M35" s="192"/>
      <c r="N35" s="192"/>
      <c r="O35" s="512"/>
      <c r="P35" s="192"/>
      <c r="Q35" s="192"/>
      <c r="R35" s="204"/>
    </row>
    <row r="36" spans="1:18" x14ac:dyDescent="0.2">
      <c r="A36" s="261" t="str">
        <f>'Rate Class Energy Model'!M2</f>
        <v>Streetlights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513"/>
      <c r="P36" s="193"/>
      <c r="Q36" s="193"/>
      <c r="R36" s="206"/>
    </row>
    <row r="37" spans="1:18" x14ac:dyDescent="0.2">
      <c r="A37" s="262" t="s">
        <v>63</v>
      </c>
      <c r="B37" s="194">
        <f>+'Chart II'!$G$39</f>
        <v>10059</v>
      </c>
      <c r="C37" s="194">
        <f>+'Chart II'!$G$40</f>
        <v>10262</v>
      </c>
      <c r="D37" s="194">
        <f>+'Chart II'!$G$41</f>
        <v>10498.5</v>
      </c>
      <c r="E37" s="194">
        <f>+'Chart II'!$G$42</f>
        <v>10831</v>
      </c>
      <c r="F37" s="194">
        <f>+'Chart II'!$G$43</f>
        <v>11280.5</v>
      </c>
      <c r="G37" s="194">
        <f>+'Chart II'!$G$44</f>
        <v>11621.5</v>
      </c>
      <c r="H37" s="194">
        <f>+'Chart II'!$G$45</f>
        <v>11801</v>
      </c>
      <c r="I37" s="194">
        <f>+'Chart II'!$G$46</f>
        <v>11995.5</v>
      </c>
      <c r="J37" s="194">
        <f>+'Chart II'!$G$47</f>
        <v>12127.5</v>
      </c>
      <c r="K37" s="194">
        <f>+'Chart II'!$G$48</f>
        <v>12213</v>
      </c>
      <c r="L37" s="194">
        <f>+'Chart II'!$G$49</f>
        <v>12332.5</v>
      </c>
      <c r="M37" s="194">
        <f>+'Chart II'!$G$50</f>
        <v>12464.5</v>
      </c>
      <c r="N37" s="194">
        <f>+'Chart II'!$G$51</f>
        <v>12714</v>
      </c>
      <c r="O37" s="514">
        <f>+'Chart II'!$G$52</f>
        <v>12957.5</v>
      </c>
      <c r="P37" s="194">
        <f>+'Chart II'!$G$53</f>
        <v>13212.353111802431</v>
      </c>
      <c r="Q37" s="194">
        <f>+'Chart II'!$G$54</f>
        <v>13472.218772985172</v>
      </c>
      <c r="R37" s="209">
        <f>+'Chart II'!$G$55</f>
        <v>13737.195572304361</v>
      </c>
    </row>
    <row r="38" spans="1:18" x14ac:dyDescent="0.2">
      <c r="A38" s="262" t="s">
        <v>48</v>
      </c>
      <c r="B38" s="194">
        <f>+'Chart II'!$G67</f>
        <v>8359780.5</v>
      </c>
      <c r="C38" s="194">
        <f>+'Chart II'!$G68</f>
        <v>8743099.0634733941</v>
      </c>
      <c r="D38" s="194">
        <f>+'Chart II'!$G69</f>
        <v>9182978</v>
      </c>
      <c r="E38" s="194">
        <f>+'Chart II'!$G70</f>
        <v>9398525</v>
      </c>
      <c r="F38" s="194">
        <f>+'Chart II'!$G71</f>
        <v>9704521</v>
      </c>
      <c r="G38" s="194">
        <f>+'Chart II'!$G72</f>
        <v>9725840</v>
      </c>
      <c r="H38" s="194">
        <f>+'Chart II'!$G73</f>
        <v>10202758</v>
      </c>
      <c r="I38" s="194">
        <f>+'Chart II'!$G74</f>
        <v>10427904</v>
      </c>
      <c r="J38" s="194">
        <f>+'Chart II'!$G75</f>
        <v>10253017</v>
      </c>
      <c r="K38" s="194">
        <f>+'Chart II'!$G76</f>
        <v>10139708</v>
      </c>
      <c r="L38" s="194">
        <f>+'Chart II'!$G77</f>
        <v>9082284</v>
      </c>
      <c r="M38" s="194">
        <f>+'Chart II'!$G78</f>
        <v>9155875</v>
      </c>
      <c r="N38" s="194">
        <f>+'Chart II'!$G79</f>
        <v>9302763</v>
      </c>
      <c r="O38" s="514">
        <f>+'Chart II'!$G80</f>
        <v>9490651</v>
      </c>
      <c r="P38" s="194">
        <f>+'Chart II'!$G81</f>
        <v>7199508.5400217902</v>
      </c>
      <c r="Q38" s="194">
        <f>+'Chart II'!$G82</f>
        <v>4912438.1569634676</v>
      </c>
      <c r="R38" s="209">
        <f>+'Chart II'!$G83</f>
        <v>5117254.1990519855</v>
      </c>
    </row>
    <row r="39" spans="1:18" x14ac:dyDescent="0.2">
      <c r="A39" s="262" t="s">
        <v>49</v>
      </c>
      <c r="B39" s="194">
        <f>+'Chart II'!$E140</f>
        <v>23226.94</v>
      </c>
      <c r="C39" s="194">
        <f>+'Chart II'!$E141</f>
        <v>23584.5</v>
      </c>
      <c r="D39" s="194">
        <f>+'Chart II'!$E142</f>
        <v>24114.33</v>
      </c>
      <c r="E39" s="194">
        <f>+'Chart II'!$E143</f>
        <v>24802</v>
      </c>
      <c r="F39" s="194">
        <f>+'Chart II'!$E144</f>
        <v>25740</v>
      </c>
      <c r="G39" s="194">
        <f>+'Chart II'!$E145</f>
        <v>26489</v>
      </c>
      <c r="H39" s="194">
        <f>+'Chart II'!$E146</f>
        <v>27041</v>
      </c>
      <c r="I39" s="195">
        <f>+'Chart II'!$E147</f>
        <v>27634</v>
      </c>
      <c r="J39" s="195">
        <f>+'Chart II'!$E148</f>
        <v>27830</v>
      </c>
      <c r="K39" s="195">
        <f>+'Chart II'!$E149</f>
        <v>27720</v>
      </c>
      <c r="L39" s="195">
        <f>+'Chart II'!$E150</f>
        <v>25276</v>
      </c>
      <c r="M39" s="195">
        <f>+'Chart II'!$E151</f>
        <v>25520</v>
      </c>
      <c r="N39" s="195">
        <f>+'Chart II'!$E152</f>
        <v>26032</v>
      </c>
      <c r="O39" s="515">
        <f>+'Chart II'!$E153</f>
        <v>26568</v>
      </c>
      <c r="P39" s="195">
        <f>+'Chart II'!$E154</f>
        <v>19558.614180022891</v>
      </c>
      <c r="Q39" s="195">
        <f>+'Chart II'!$E155</f>
        <v>13345.422407816242</v>
      </c>
      <c r="R39" s="211">
        <f>+'Chart II'!$E156</f>
        <v>13901.837880180767</v>
      </c>
    </row>
    <row r="40" spans="1:18" x14ac:dyDescent="0.2">
      <c r="A40" s="262"/>
      <c r="B40" s="194"/>
      <c r="C40" s="194"/>
      <c r="D40" s="194"/>
      <c r="E40" s="194"/>
      <c r="F40" s="194"/>
      <c r="G40" s="194"/>
      <c r="H40" s="194"/>
      <c r="I40" s="195"/>
      <c r="J40" s="195"/>
      <c r="K40" s="195"/>
      <c r="L40" s="195"/>
      <c r="M40" s="195"/>
      <c r="N40" s="195"/>
      <c r="O40" s="515"/>
      <c r="P40" s="195"/>
      <c r="Q40" s="195"/>
      <c r="R40" s="211"/>
    </row>
    <row r="41" spans="1:18" x14ac:dyDescent="0.2">
      <c r="A41" s="261" t="str">
        <f>'Rate Class Energy Model'!N2</f>
        <v>Sentinels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513"/>
      <c r="P41" s="193"/>
      <c r="Q41" s="193"/>
      <c r="R41" s="206"/>
    </row>
    <row r="42" spans="1:18" x14ac:dyDescent="0.2">
      <c r="A42" s="262" t="s">
        <v>63</v>
      </c>
      <c r="B42" s="194">
        <f>+'Chart II'!$H$39</f>
        <v>34.5</v>
      </c>
      <c r="C42" s="194">
        <f>+'Chart II'!$H$40</f>
        <v>30</v>
      </c>
      <c r="D42" s="194">
        <f>+'Chart II'!$H$41</f>
        <v>29.5</v>
      </c>
      <c r="E42" s="194">
        <f>+'Chart II'!$H$42</f>
        <v>28.5</v>
      </c>
      <c r="F42" s="194">
        <f>+'Chart II'!$H$43</f>
        <v>26.5</v>
      </c>
      <c r="G42" s="194">
        <f>+'Chart II'!$H$44</f>
        <v>26</v>
      </c>
      <c r="H42" s="194">
        <f>+'Chart II'!$H$45</f>
        <v>26</v>
      </c>
      <c r="I42" s="194">
        <f>+'Chart II'!$H$46</f>
        <v>25</v>
      </c>
      <c r="J42" s="194">
        <f>+'Chart II'!$H$47</f>
        <v>24</v>
      </c>
      <c r="K42" s="194">
        <f>+'Chart II'!$H$48</f>
        <v>24</v>
      </c>
      <c r="L42" s="194">
        <f>+'Chart II'!$H$49</f>
        <v>24</v>
      </c>
      <c r="M42" s="194">
        <f>+'Chart II'!$H$50</f>
        <v>24</v>
      </c>
      <c r="N42" s="194">
        <f>+'Chart II'!$H$51</f>
        <v>24</v>
      </c>
      <c r="O42" s="514">
        <f>+'Chart II'!$H$52</f>
        <v>24</v>
      </c>
      <c r="P42" s="194">
        <f>+'Chart II'!$H$53</f>
        <v>23.339285720167176</v>
      </c>
      <c r="Q42" s="194">
        <f>+'Chart II'!$H$54</f>
        <v>22.696760746983312</v>
      </c>
      <c r="R42" s="209">
        <f>+'Chart II'!$H$55</f>
        <v>22.071924333171605</v>
      </c>
    </row>
    <row r="43" spans="1:18" x14ac:dyDescent="0.2">
      <c r="A43" s="262" t="s">
        <v>48</v>
      </c>
      <c r="B43" s="194">
        <f>+'Chart II'!$H67</f>
        <v>45541</v>
      </c>
      <c r="C43" s="194">
        <f>+'Chart II'!$H68</f>
        <v>27821</v>
      </c>
      <c r="D43" s="194">
        <f>+'Chart II'!$H69</f>
        <v>43197</v>
      </c>
      <c r="E43" s="194">
        <f>+'Chart II'!$H70</f>
        <v>42595</v>
      </c>
      <c r="F43" s="194">
        <f>+'Chart II'!$H71</f>
        <v>41408</v>
      </c>
      <c r="G43" s="194">
        <f>+'Chart II'!$H72</f>
        <v>39233</v>
      </c>
      <c r="H43" s="194">
        <f>+'Chart II'!$H73</f>
        <v>36792</v>
      </c>
      <c r="I43" s="194">
        <f>+'Chart II'!$H74</f>
        <v>35812</v>
      </c>
      <c r="J43" s="194">
        <f>+'Chart II'!$H75</f>
        <v>35812</v>
      </c>
      <c r="K43" s="194">
        <f>+'Chart II'!$H76</f>
        <v>35812</v>
      </c>
      <c r="L43" s="194">
        <f>+'Chart II'!$H77</f>
        <v>35812</v>
      </c>
      <c r="M43" s="194">
        <f>+'Chart II'!$H78</f>
        <v>35812</v>
      </c>
      <c r="N43" s="194">
        <f>+'Chart II'!$H79</f>
        <v>35813</v>
      </c>
      <c r="O43" s="514">
        <f>+'Chart II'!$H80</f>
        <v>35814</v>
      </c>
      <c r="P43" s="194">
        <f>+'Chart II'!$H81</f>
        <v>34672.37733167367</v>
      </c>
      <c r="Q43" s="194">
        <f>+'Chart II'!$H82</f>
        <v>33345.033034021741</v>
      </c>
      <c r="R43" s="209">
        <f>+'Chart II'!$H83</f>
        <v>32059.16311080223</v>
      </c>
    </row>
    <row r="44" spans="1:18" x14ac:dyDescent="0.2">
      <c r="A44" s="262" t="s">
        <v>49</v>
      </c>
      <c r="B44" s="194">
        <f>+'Chart II'!$F140</f>
        <v>126.50277777777779</v>
      </c>
      <c r="C44" s="194">
        <f>+'Chart II'!$F141</f>
        <v>123.24722222222222</v>
      </c>
      <c r="D44" s="194">
        <f>+'Chart II'!$F142</f>
        <v>119.99166666666666</v>
      </c>
      <c r="E44" s="194">
        <f>+'Chart II'!$F143</f>
        <v>118.31944444444447</v>
      </c>
      <c r="F44" s="194">
        <f>+'Chart II'!$F144</f>
        <v>115.0222222222222</v>
      </c>
      <c r="G44" s="194">
        <f>+'Chart II'!$F145</f>
        <v>108.9805555555556</v>
      </c>
      <c r="H44" s="194">
        <f>+'Chart II'!$F146</f>
        <v>102.2</v>
      </c>
      <c r="I44" s="195">
        <f>+'Chart II'!$F147</f>
        <v>99.477777777777803</v>
      </c>
      <c r="J44" s="195">
        <f>+'Chart II'!$F148</f>
        <v>100</v>
      </c>
      <c r="K44" s="195">
        <f>+'Chart II'!$F149</f>
        <v>100</v>
      </c>
      <c r="L44" s="195">
        <f>+'Chart II'!$F150</f>
        <v>100</v>
      </c>
      <c r="M44" s="195">
        <f>+'Chart II'!$F151</f>
        <v>100</v>
      </c>
      <c r="N44" s="195">
        <f>+'Chart II'!$F152</f>
        <v>100</v>
      </c>
      <c r="O44" s="515">
        <f>+'Chart II'!$F153</f>
        <v>100</v>
      </c>
      <c r="P44" s="195">
        <f>+'Chart II'!$F154</f>
        <v>100.62017532644411</v>
      </c>
      <c r="Q44" s="195">
        <f>+'Chart II'!$F155</f>
        <v>96.768186330400098</v>
      </c>
      <c r="R44" s="211">
        <f>+'Chart II'!$F156</f>
        <v>93.036557088953359</v>
      </c>
    </row>
    <row r="45" spans="1:18" x14ac:dyDescent="0.2">
      <c r="A45" s="262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513"/>
      <c r="P45" s="193"/>
      <c r="Q45" s="193"/>
      <c r="R45" s="206"/>
    </row>
    <row r="46" spans="1:18" x14ac:dyDescent="0.2">
      <c r="A46" s="261" t="str">
        <f>'Rate Class Energy Model'!O2</f>
        <v>USL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513"/>
      <c r="P46" s="193"/>
      <c r="Q46" s="193"/>
      <c r="R46" s="206"/>
    </row>
    <row r="47" spans="1:18" x14ac:dyDescent="0.2">
      <c r="A47" s="262" t="s">
        <v>63</v>
      </c>
      <c r="B47" s="194">
        <f>+'Chart II'!$I$39</f>
        <v>292</v>
      </c>
      <c r="C47" s="194">
        <f>+'Chart II'!$I$40</f>
        <v>294</v>
      </c>
      <c r="D47" s="194">
        <f>+'Chart II'!$I$41</f>
        <v>295</v>
      </c>
      <c r="E47" s="194">
        <f>+'Chart II'!$I$42</f>
        <v>298</v>
      </c>
      <c r="F47" s="194">
        <f>+'Chart II'!$I$43</f>
        <v>301</v>
      </c>
      <c r="G47" s="194">
        <f>+'Chart II'!$I$44</f>
        <v>301</v>
      </c>
      <c r="H47" s="194">
        <f>+'Chart II'!$I$45</f>
        <v>302.5</v>
      </c>
      <c r="I47" s="194">
        <f>+'Chart II'!$I$46</f>
        <v>306.5</v>
      </c>
      <c r="J47" s="194">
        <f>+'Chart II'!$I$47</f>
        <v>302.5</v>
      </c>
      <c r="K47" s="194">
        <f>+'Chart II'!$I$48</f>
        <v>295.5</v>
      </c>
      <c r="L47" s="194">
        <f>+'Chart II'!$I$49</f>
        <v>295</v>
      </c>
      <c r="M47" s="194">
        <f>+'Chart II'!$I$50</f>
        <v>295.5</v>
      </c>
      <c r="N47" s="194">
        <f>+'Chart II'!$I$51</f>
        <v>284.5</v>
      </c>
      <c r="O47" s="514">
        <f>+'Chart II'!$I$52</f>
        <v>273.5</v>
      </c>
      <c r="P47" s="194">
        <f>+'Chart II'!$I$53</f>
        <v>272.12644749091885</v>
      </c>
      <c r="Q47" s="194">
        <f>+'Chart II'!$I$54</f>
        <v>270.75979314086953</v>
      </c>
      <c r="R47" s="209">
        <f>+'Chart II'!$I$55</f>
        <v>269.4000023064018</v>
      </c>
    </row>
    <row r="48" spans="1:18" x14ac:dyDescent="0.2">
      <c r="A48" s="262" t="s">
        <v>48</v>
      </c>
      <c r="B48" s="194">
        <f>+'Chart II'!$I67</f>
        <v>2920000</v>
      </c>
      <c r="C48" s="194">
        <f>+'Chart II'!$I68</f>
        <v>2940000</v>
      </c>
      <c r="D48" s="194">
        <f>+'Chart II'!$I69</f>
        <v>2950000</v>
      </c>
      <c r="E48" s="194">
        <f>+'Chart II'!$I70</f>
        <v>3705188</v>
      </c>
      <c r="F48" s="194">
        <f>+'Chart II'!$I71</f>
        <v>3818865</v>
      </c>
      <c r="G48" s="194">
        <f>+'Chart II'!$I72</f>
        <v>3372873</v>
      </c>
      <c r="H48" s="194">
        <f>+'Chart II'!$I73</f>
        <v>2825455</v>
      </c>
      <c r="I48" s="194">
        <f>+'Chart II'!$I74</f>
        <v>2831501</v>
      </c>
      <c r="J48" s="194">
        <f>+'Chart II'!$I75</f>
        <v>2769028</v>
      </c>
      <c r="K48" s="194">
        <f>+'Chart II'!$I76</f>
        <v>2745701</v>
      </c>
      <c r="L48" s="194">
        <f>+'Chart II'!$I77</f>
        <v>2752416</v>
      </c>
      <c r="M48" s="194">
        <f>+'Chart II'!$I78</f>
        <v>2711219</v>
      </c>
      <c r="N48" s="194">
        <f>+'Chart II'!$I79</f>
        <v>2512230</v>
      </c>
      <c r="O48" s="514">
        <f>+'Chart II'!$I80</f>
        <v>2500582</v>
      </c>
      <c r="P48" s="194">
        <f>+'Chart II'!$I81</f>
        <v>2564504.7683705813</v>
      </c>
      <c r="Q48" s="194">
        <f>+'Chart II'!$I82</f>
        <v>2612658.5895418967</v>
      </c>
      <c r="R48" s="209">
        <f>+'Chart II'!$I83</f>
        <v>2660941.3975806902</v>
      </c>
    </row>
    <row r="49" spans="1:18" x14ac:dyDescent="0.2">
      <c r="A49" s="262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513"/>
      <c r="P49" s="193"/>
      <c r="Q49" s="193"/>
      <c r="R49" s="206"/>
    </row>
    <row r="50" spans="1:18" x14ac:dyDescent="0.2">
      <c r="A50" s="261" t="s">
        <v>64</v>
      </c>
      <c r="B50" s="194"/>
      <c r="C50" s="194"/>
      <c r="D50" s="194"/>
      <c r="E50" s="194"/>
      <c r="F50" s="193"/>
      <c r="G50" s="194"/>
      <c r="H50" s="194"/>
      <c r="I50" s="194"/>
      <c r="J50" s="194"/>
      <c r="K50" s="194"/>
      <c r="L50" s="194"/>
      <c r="M50" s="194"/>
      <c r="N50" s="194"/>
      <c r="O50" s="514"/>
      <c r="P50" s="194"/>
      <c r="Q50" s="194"/>
      <c r="R50" s="209"/>
    </row>
    <row r="51" spans="1:18" x14ac:dyDescent="0.2">
      <c r="A51" s="262" t="s">
        <v>51</v>
      </c>
      <c r="B51" s="194">
        <f>B14+B18+B22+B27+B32+B37+B47+B42</f>
        <v>57960.5</v>
      </c>
      <c r="C51" s="194">
        <f t="shared" ref="C51:Q51" si="2">C14+C18+C22+C27+C32+C37+C47+C42</f>
        <v>58730.5</v>
      </c>
      <c r="D51" s="194">
        <f t="shared" si="2"/>
        <v>59614.5</v>
      </c>
      <c r="E51" s="194">
        <f t="shared" si="2"/>
        <v>60872.5</v>
      </c>
      <c r="F51" s="194">
        <f t="shared" si="2"/>
        <v>62211</v>
      </c>
      <c r="G51" s="194">
        <f t="shared" si="2"/>
        <v>63344.5</v>
      </c>
      <c r="H51" s="194">
        <f t="shared" si="2"/>
        <v>64128</v>
      </c>
      <c r="I51" s="194">
        <f t="shared" si="2"/>
        <v>64894</v>
      </c>
      <c r="J51" s="194">
        <f t="shared" si="2"/>
        <v>65524.5</v>
      </c>
      <c r="K51" s="194">
        <f t="shared" si="2"/>
        <v>65927</v>
      </c>
      <c r="L51" s="194">
        <f t="shared" si="2"/>
        <v>66584</v>
      </c>
      <c r="M51" s="194">
        <f t="shared" si="2"/>
        <v>67453.5</v>
      </c>
      <c r="N51" s="194">
        <f t="shared" si="2"/>
        <v>68724</v>
      </c>
      <c r="O51" s="514">
        <f t="shared" si="2"/>
        <v>70012.5</v>
      </c>
      <c r="P51" s="194">
        <f t="shared" si="2"/>
        <v>71046.127588452102</v>
      </c>
      <c r="Q51" s="194">
        <f t="shared" si="2"/>
        <v>72339.66996111178</v>
      </c>
      <c r="R51" s="209">
        <f>R14+R18+R22+R27+R32+R37+R47+R42</f>
        <v>73657.780656757473</v>
      </c>
    </row>
    <row r="52" spans="1:18" x14ac:dyDescent="0.2">
      <c r="A52" s="262" t="s">
        <v>48</v>
      </c>
      <c r="B52" s="194">
        <f>B15+B19+B23+B28+B33+B38+B48+B43</f>
        <v>1136840307.5</v>
      </c>
      <c r="C52" s="194">
        <f t="shared" ref="C52:R52" si="3">C15+C19+C23+C28+C33+C38+C48+C43</f>
        <v>1128300513.0634735</v>
      </c>
      <c r="D52" s="194">
        <f t="shared" si="3"/>
        <v>1125931170</v>
      </c>
      <c r="E52" s="194">
        <f t="shared" si="3"/>
        <v>1110963247</v>
      </c>
      <c r="F52" s="194">
        <f t="shared" si="3"/>
        <v>1143760516</v>
      </c>
      <c r="G52" s="194">
        <f t="shared" si="3"/>
        <v>1117251257</v>
      </c>
      <c r="H52" s="194">
        <f t="shared" si="3"/>
        <v>1082664508</v>
      </c>
      <c r="I52" s="194">
        <f t="shared" si="3"/>
        <v>1090938483</v>
      </c>
      <c r="J52" s="194">
        <f t="shared" si="3"/>
        <v>1110518847</v>
      </c>
      <c r="K52" s="194">
        <f t="shared" si="3"/>
        <v>1073783871</v>
      </c>
      <c r="L52" s="194">
        <f t="shared" si="3"/>
        <v>1078161209</v>
      </c>
      <c r="M52" s="194">
        <f t="shared" si="3"/>
        <v>1091642390</v>
      </c>
      <c r="N52" s="194">
        <f t="shared" si="3"/>
        <v>1079760469</v>
      </c>
      <c r="O52" s="514">
        <f t="shared" si="3"/>
        <v>1074433920</v>
      </c>
      <c r="P52" s="194">
        <f t="shared" si="3"/>
        <v>1070015150.858888</v>
      </c>
      <c r="Q52" s="194">
        <f t="shared" si="3"/>
        <v>1061596460.9022121</v>
      </c>
      <c r="R52" s="209">
        <f t="shared" si="3"/>
        <v>1059903126.5592082</v>
      </c>
    </row>
    <row r="53" spans="1:18" x14ac:dyDescent="0.2">
      <c r="A53" s="262" t="s">
        <v>50</v>
      </c>
      <c r="B53" s="194">
        <f t="shared" ref="B53:R53" si="4">B24+B29+B34+B39+B44</f>
        <v>1376310.4427777778</v>
      </c>
      <c r="C53" s="194">
        <f t="shared" si="4"/>
        <v>1359503.3072222222</v>
      </c>
      <c r="D53" s="194">
        <f t="shared" si="4"/>
        <v>1235025.9316666666</v>
      </c>
      <c r="E53" s="194">
        <f t="shared" si="4"/>
        <v>1231537.3194444445</v>
      </c>
      <c r="F53" s="194">
        <f t="shared" si="4"/>
        <v>1262855.0222222223</v>
      </c>
      <c r="G53" s="194">
        <f t="shared" si="4"/>
        <v>1231679.9805555556</v>
      </c>
      <c r="H53" s="194">
        <f t="shared" si="4"/>
        <v>1167952.2</v>
      </c>
      <c r="I53" s="194">
        <f t="shared" si="4"/>
        <v>1165174.4777777777</v>
      </c>
      <c r="J53" s="194">
        <f t="shared" si="4"/>
        <v>1171404</v>
      </c>
      <c r="K53" s="194">
        <f t="shared" si="4"/>
        <v>1146022</v>
      </c>
      <c r="L53" s="194">
        <f t="shared" si="4"/>
        <v>1145530</v>
      </c>
      <c r="M53" s="194">
        <f t="shared" si="4"/>
        <v>1137326</v>
      </c>
      <c r="N53" s="194">
        <f t="shared" si="4"/>
        <v>1159775</v>
      </c>
      <c r="O53" s="514">
        <f t="shared" si="4"/>
        <v>1179834</v>
      </c>
      <c r="P53" s="194">
        <f t="shared" si="4"/>
        <v>1121722.9745915893</v>
      </c>
      <c r="Q53" s="194">
        <f t="shared" si="4"/>
        <v>1105713.7921281913</v>
      </c>
      <c r="R53" s="209">
        <f t="shared" si="4"/>
        <v>1106551.0586040316</v>
      </c>
    </row>
    <row r="54" spans="1:18" x14ac:dyDescent="0.2">
      <c r="A54" s="262"/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513"/>
      <c r="P54" s="193"/>
      <c r="Q54" s="193"/>
      <c r="R54" s="206"/>
    </row>
    <row r="55" spans="1:18" x14ac:dyDescent="0.2">
      <c r="A55" s="261" t="s">
        <v>65</v>
      </c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513"/>
      <c r="P55" s="193"/>
      <c r="Q55" s="193"/>
      <c r="R55" s="206"/>
    </row>
    <row r="56" spans="1:18" x14ac:dyDescent="0.2">
      <c r="A56" s="262" t="s">
        <v>51</v>
      </c>
      <c r="B56" s="194">
        <f>+'Chart II'!$J$39</f>
        <v>57960.5</v>
      </c>
      <c r="C56" s="194">
        <f>+'Chart II'!$J$40</f>
        <v>58730.5</v>
      </c>
      <c r="D56" s="194">
        <f>+'Chart II'!$J$41</f>
        <v>59614.5</v>
      </c>
      <c r="E56" s="194">
        <f>+'Chart II'!$J$42</f>
        <v>60872.5</v>
      </c>
      <c r="F56" s="194">
        <f>+'Chart II'!$J$43</f>
        <v>62211</v>
      </c>
      <c r="G56" s="194">
        <f>+'Chart II'!$J$44</f>
        <v>63344.5</v>
      </c>
      <c r="H56" s="194">
        <f>+'Chart II'!$J$45</f>
        <v>64128</v>
      </c>
      <c r="I56" s="194">
        <f>+'Chart II'!$J$46</f>
        <v>64894</v>
      </c>
      <c r="J56" s="194">
        <f>+'Chart II'!$J$47</f>
        <v>65524.5</v>
      </c>
      <c r="K56" s="194">
        <f>+'Chart II'!$J$48</f>
        <v>65927</v>
      </c>
      <c r="L56" s="194">
        <f>+'Chart II'!$J$49</f>
        <v>66584</v>
      </c>
      <c r="M56" s="194">
        <f>+'Chart II'!$J$50</f>
        <v>67453.5</v>
      </c>
      <c r="N56" s="194">
        <f>+'Chart II'!$J$51</f>
        <v>68724</v>
      </c>
      <c r="O56" s="514">
        <f>+'Chart II'!$J$52</f>
        <v>70012.5</v>
      </c>
      <c r="P56" s="194">
        <f>+'Chart II'!$J$53</f>
        <v>71046.127588452102</v>
      </c>
      <c r="Q56" s="194">
        <f>+'Chart II'!$J$54</f>
        <v>72339.66996111178</v>
      </c>
      <c r="R56" s="209">
        <f>+'Chart II'!$J$55</f>
        <v>73657.780656757473</v>
      </c>
    </row>
    <row r="57" spans="1:18" x14ac:dyDescent="0.2">
      <c r="A57" s="262" t="s">
        <v>48</v>
      </c>
      <c r="B57" s="194">
        <f>+B9</f>
        <v>1136840307.5</v>
      </c>
      <c r="C57" s="194">
        <f t="shared" ref="C57:R57" si="5">+C9</f>
        <v>1128300513.0634735</v>
      </c>
      <c r="D57" s="194">
        <f t="shared" si="5"/>
        <v>1125931170</v>
      </c>
      <c r="E57" s="194">
        <f t="shared" si="5"/>
        <v>1110963247</v>
      </c>
      <c r="F57" s="194">
        <f t="shared" si="5"/>
        <v>1143760516</v>
      </c>
      <c r="G57" s="194">
        <f t="shared" si="5"/>
        <v>1117251257</v>
      </c>
      <c r="H57" s="194">
        <f t="shared" si="5"/>
        <v>1082664508</v>
      </c>
      <c r="I57" s="194">
        <f t="shared" si="5"/>
        <v>1090938483</v>
      </c>
      <c r="J57" s="194">
        <f t="shared" si="5"/>
        <v>1110518847</v>
      </c>
      <c r="K57" s="194">
        <f t="shared" si="5"/>
        <v>1073783871</v>
      </c>
      <c r="L57" s="194">
        <f t="shared" si="5"/>
        <v>1078161209</v>
      </c>
      <c r="M57" s="194">
        <f t="shared" si="5"/>
        <v>1091642390</v>
      </c>
      <c r="N57" s="194">
        <f t="shared" si="5"/>
        <v>1079760469</v>
      </c>
      <c r="O57" s="514">
        <f t="shared" si="5"/>
        <v>1074433920</v>
      </c>
      <c r="P57" s="194">
        <f t="shared" si="5"/>
        <v>1070015150.858888</v>
      </c>
      <c r="Q57" s="194">
        <f t="shared" si="5"/>
        <v>1061596460.9022121</v>
      </c>
      <c r="R57" s="209">
        <f t="shared" si="5"/>
        <v>1059903126.5592082</v>
      </c>
    </row>
    <row r="58" spans="1:18" x14ac:dyDescent="0.2">
      <c r="A58" s="262" t="s">
        <v>50</v>
      </c>
      <c r="B58" s="194">
        <f>+B10</f>
        <v>1376310.4427777778</v>
      </c>
      <c r="C58" s="194">
        <f t="shared" ref="C58:R58" si="6">+C10</f>
        <v>1359503.3072222222</v>
      </c>
      <c r="D58" s="194">
        <f t="shared" si="6"/>
        <v>1235025.9316666666</v>
      </c>
      <c r="E58" s="194">
        <f t="shared" si="6"/>
        <v>1231537.3194444445</v>
      </c>
      <c r="F58" s="194">
        <f t="shared" si="6"/>
        <v>1262855.0222222223</v>
      </c>
      <c r="G58" s="194">
        <f t="shared" si="6"/>
        <v>1231679.9805555556</v>
      </c>
      <c r="H58" s="194">
        <f t="shared" si="6"/>
        <v>1167952.2</v>
      </c>
      <c r="I58" s="195">
        <f t="shared" si="6"/>
        <v>1165174.4777777777</v>
      </c>
      <c r="J58" s="195">
        <f t="shared" si="6"/>
        <v>1171404</v>
      </c>
      <c r="K58" s="195">
        <f t="shared" si="6"/>
        <v>1146022</v>
      </c>
      <c r="L58" s="195">
        <f t="shared" si="6"/>
        <v>1145530</v>
      </c>
      <c r="M58" s="195">
        <f t="shared" si="6"/>
        <v>1137326</v>
      </c>
      <c r="N58" s="195">
        <f t="shared" si="6"/>
        <v>1159775</v>
      </c>
      <c r="O58" s="515">
        <f t="shared" si="6"/>
        <v>1179834</v>
      </c>
      <c r="P58" s="195">
        <f t="shared" si="6"/>
        <v>1121722.9745915893</v>
      </c>
      <c r="Q58" s="195">
        <f t="shared" si="6"/>
        <v>1105713.7921281913</v>
      </c>
      <c r="R58" s="211">
        <f t="shared" si="6"/>
        <v>1106551.0586040316</v>
      </c>
    </row>
    <row r="59" spans="1:18" x14ac:dyDescent="0.2">
      <c r="A59" s="262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513"/>
      <c r="P59" s="193"/>
      <c r="Q59" s="193"/>
      <c r="R59" s="206"/>
    </row>
    <row r="60" spans="1:18" x14ac:dyDescent="0.2">
      <c r="A60" s="261" t="s">
        <v>66</v>
      </c>
      <c r="B60" s="194"/>
      <c r="C60" s="194"/>
      <c r="D60" s="194"/>
      <c r="E60" s="194"/>
      <c r="F60" s="194"/>
      <c r="G60" s="194"/>
      <c r="H60" s="194"/>
      <c r="I60" s="193"/>
      <c r="J60" s="193"/>
      <c r="K60" s="193"/>
      <c r="L60" s="193"/>
      <c r="M60" s="193"/>
      <c r="N60" s="193"/>
      <c r="O60" s="513"/>
      <c r="P60" s="193"/>
      <c r="Q60" s="193"/>
      <c r="R60" s="206"/>
    </row>
    <row r="61" spans="1:18" x14ac:dyDescent="0.2">
      <c r="A61" s="262" t="s">
        <v>51</v>
      </c>
      <c r="B61" s="194">
        <f>B51-B56</f>
        <v>0</v>
      </c>
      <c r="C61" s="194">
        <f t="shared" ref="C61:R63" si="7">C51-C56</f>
        <v>0</v>
      </c>
      <c r="D61" s="194">
        <f t="shared" si="7"/>
        <v>0</v>
      </c>
      <c r="E61" s="194">
        <f t="shared" si="7"/>
        <v>0</v>
      </c>
      <c r="F61" s="194">
        <f t="shared" si="7"/>
        <v>0</v>
      </c>
      <c r="G61" s="194">
        <f t="shared" si="7"/>
        <v>0</v>
      </c>
      <c r="H61" s="194">
        <f t="shared" si="7"/>
        <v>0</v>
      </c>
      <c r="I61" s="194">
        <f t="shared" si="7"/>
        <v>0</v>
      </c>
      <c r="J61" s="194">
        <f t="shared" si="7"/>
        <v>0</v>
      </c>
      <c r="K61" s="194">
        <f t="shared" si="7"/>
        <v>0</v>
      </c>
      <c r="L61" s="194">
        <f t="shared" si="7"/>
        <v>0</v>
      </c>
      <c r="M61" s="194">
        <f t="shared" si="7"/>
        <v>0</v>
      </c>
      <c r="N61" s="194">
        <f t="shared" si="7"/>
        <v>0</v>
      </c>
      <c r="O61" s="514">
        <f t="shared" si="7"/>
        <v>0</v>
      </c>
      <c r="P61" s="194">
        <f t="shared" si="7"/>
        <v>0</v>
      </c>
      <c r="Q61" s="194">
        <f t="shared" si="7"/>
        <v>0</v>
      </c>
      <c r="R61" s="209">
        <f t="shared" si="7"/>
        <v>0</v>
      </c>
    </row>
    <row r="62" spans="1:18" x14ac:dyDescent="0.2">
      <c r="A62" s="262" t="s">
        <v>48</v>
      </c>
      <c r="B62" s="194">
        <f t="shared" ref="B62:I63" si="8">B52-B57</f>
        <v>0</v>
      </c>
      <c r="C62" s="194">
        <f t="shared" si="8"/>
        <v>0</v>
      </c>
      <c r="D62" s="194">
        <f t="shared" si="8"/>
        <v>0</v>
      </c>
      <c r="E62" s="194">
        <f t="shared" si="8"/>
        <v>0</v>
      </c>
      <c r="F62" s="194">
        <f t="shared" si="8"/>
        <v>0</v>
      </c>
      <c r="G62" s="194">
        <f t="shared" si="8"/>
        <v>0</v>
      </c>
      <c r="H62" s="194">
        <f t="shared" si="8"/>
        <v>0</v>
      </c>
      <c r="I62" s="194">
        <f t="shared" si="8"/>
        <v>0</v>
      </c>
      <c r="J62" s="194">
        <f t="shared" si="7"/>
        <v>0</v>
      </c>
      <c r="K62" s="194">
        <f t="shared" si="7"/>
        <v>0</v>
      </c>
      <c r="L62" s="194">
        <f t="shared" si="7"/>
        <v>0</v>
      </c>
      <c r="M62" s="194">
        <f t="shared" si="7"/>
        <v>0</v>
      </c>
      <c r="N62" s="194">
        <f t="shared" si="7"/>
        <v>0</v>
      </c>
      <c r="O62" s="514">
        <f t="shared" si="7"/>
        <v>0</v>
      </c>
      <c r="P62" s="194">
        <f t="shared" si="7"/>
        <v>0</v>
      </c>
      <c r="Q62" s="194">
        <f t="shared" si="7"/>
        <v>0</v>
      </c>
      <c r="R62" s="209">
        <f t="shared" si="7"/>
        <v>0</v>
      </c>
    </row>
    <row r="63" spans="1:18" ht="13.5" thickBot="1" x14ac:dyDescent="0.25">
      <c r="A63" s="264" t="s">
        <v>50</v>
      </c>
      <c r="B63" s="214">
        <f t="shared" si="8"/>
        <v>0</v>
      </c>
      <c r="C63" s="214">
        <f t="shared" si="8"/>
        <v>0</v>
      </c>
      <c r="D63" s="214">
        <f t="shared" si="8"/>
        <v>0</v>
      </c>
      <c r="E63" s="214">
        <f t="shared" si="8"/>
        <v>0</v>
      </c>
      <c r="F63" s="214">
        <f t="shared" si="8"/>
        <v>0</v>
      </c>
      <c r="G63" s="214">
        <f t="shared" si="8"/>
        <v>0</v>
      </c>
      <c r="H63" s="214">
        <f t="shared" si="8"/>
        <v>0</v>
      </c>
      <c r="I63" s="214">
        <f t="shared" si="8"/>
        <v>0</v>
      </c>
      <c r="J63" s="214">
        <f t="shared" si="7"/>
        <v>0</v>
      </c>
      <c r="K63" s="214">
        <f t="shared" si="7"/>
        <v>0</v>
      </c>
      <c r="L63" s="214">
        <f t="shared" si="7"/>
        <v>0</v>
      </c>
      <c r="M63" s="214">
        <f t="shared" si="7"/>
        <v>0</v>
      </c>
      <c r="N63" s="214">
        <f t="shared" si="7"/>
        <v>0</v>
      </c>
      <c r="O63" s="516">
        <f t="shared" si="7"/>
        <v>0</v>
      </c>
      <c r="P63" s="214">
        <f t="shared" si="7"/>
        <v>0</v>
      </c>
      <c r="Q63" s="214">
        <f t="shared" si="7"/>
        <v>0</v>
      </c>
      <c r="R63" s="215">
        <f t="shared" si="7"/>
        <v>0</v>
      </c>
    </row>
    <row r="65" spans="1:17" ht="13.5" thickBot="1" x14ac:dyDescent="0.25"/>
    <row r="66" spans="1:17" x14ac:dyDescent="0.2">
      <c r="A66" s="272"/>
      <c r="B66" s="275" t="s">
        <v>252</v>
      </c>
      <c r="C66" s="275" t="s">
        <v>252</v>
      </c>
      <c r="D66" s="535" t="s">
        <v>205</v>
      </c>
      <c r="E66" s="536"/>
      <c r="F66" s="536"/>
      <c r="G66" s="536"/>
      <c r="H66" s="536"/>
      <c r="I66" s="537"/>
      <c r="J66" s="273" t="s">
        <v>253</v>
      </c>
      <c r="K66" s="535" t="s">
        <v>254</v>
      </c>
      <c r="L66" s="536"/>
      <c r="M66" s="536"/>
      <c r="N66" s="536"/>
      <c r="O66" s="538"/>
    </row>
    <row r="67" spans="1:17" ht="13.5" thickBot="1" x14ac:dyDescent="0.25">
      <c r="A67" s="274" t="s">
        <v>112</v>
      </c>
      <c r="B67" s="284">
        <v>2008</v>
      </c>
      <c r="C67" s="284">
        <v>2012</v>
      </c>
      <c r="D67" s="285">
        <v>2008</v>
      </c>
      <c r="E67" s="285">
        <v>2009</v>
      </c>
      <c r="F67" s="285">
        <v>2010</v>
      </c>
      <c r="G67" s="285">
        <v>2011</v>
      </c>
      <c r="H67" s="285">
        <v>2012</v>
      </c>
      <c r="I67" s="285">
        <v>2013</v>
      </c>
      <c r="J67" s="285">
        <v>2014</v>
      </c>
      <c r="K67" s="285">
        <v>2015</v>
      </c>
      <c r="L67" s="285">
        <v>2016</v>
      </c>
      <c r="M67" s="285">
        <v>2017</v>
      </c>
      <c r="N67" s="285">
        <v>2018</v>
      </c>
      <c r="O67" s="286">
        <v>2019</v>
      </c>
    </row>
    <row r="68" spans="1:17" x14ac:dyDescent="0.2">
      <c r="A68" s="259" t="s">
        <v>52</v>
      </c>
      <c r="B68" s="276">
        <f>+'Chart II'!B5</f>
        <v>1192455603</v>
      </c>
      <c r="C68" s="276">
        <f>+'Chart II'!B6</f>
        <v>1161936612</v>
      </c>
      <c r="D68" s="276">
        <f t="shared" ref="D68:O70" si="9">+G5</f>
        <v>1158881926</v>
      </c>
      <c r="E68" s="276">
        <f t="shared" si="9"/>
        <v>1128390784.5107694</v>
      </c>
      <c r="F68" s="276">
        <f t="shared" si="9"/>
        <v>1148489331.8146157</v>
      </c>
      <c r="G68" s="276">
        <f t="shared" si="9"/>
        <v>1148632387.3953846</v>
      </c>
      <c r="H68" s="276">
        <f t="shared" si="9"/>
        <v>1136211952.670979</v>
      </c>
      <c r="I68" s="276">
        <f t="shared" si="9"/>
        <v>1130407041.6666667</v>
      </c>
      <c r="J68" s="276">
        <f t="shared" si="9"/>
        <v>1134970142.7733078</v>
      </c>
      <c r="K68" s="276">
        <f t="shared" si="9"/>
        <v>1123341031.2123077</v>
      </c>
      <c r="L68" s="276">
        <f t="shared" si="9"/>
        <v>1122027434.2815385</v>
      </c>
      <c r="M68" s="276">
        <f t="shared" si="9"/>
        <v>1115920797.7611427</v>
      </c>
      <c r="N68" s="276">
        <f t="shared" si="9"/>
        <v>1111394475.2315521</v>
      </c>
      <c r="O68" s="277">
        <f t="shared" si="9"/>
        <v>1106868152.7019615</v>
      </c>
    </row>
    <row r="69" spans="1:17" x14ac:dyDescent="0.2">
      <c r="A69" s="259" t="s">
        <v>53</v>
      </c>
      <c r="B69" s="276"/>
      <c r="C69" s="140"/>
      <c r="D69" s="276">
        <f t="shared" si="9"/>
        <v>1158881926</v>
      </c>
      <c r="E69" s="276">
        <f t="shared" si="9"/>
        <v>1128390784.5107694</v>
      </c>
      <c r="F69" s="276">
        <f t="shared" si="9"/>
        <v>1148489331.8146157</v>
      </c>
      <c r="G69" s="276">
        <f t="shared" si="9"/>
        <v>1148632387.3953846</v>
      </c>
      <c r="H69" s="276">
        <f t="shared" si="9"/>
        <v>1136211952.670979</v>
      </c>
      <c r="I69" s="276">
        <f t="shared" si="9"/>
        <v>1130407041.6666667</v>
      </c>
      <c r="J69" s="276">
        <f t="shared" si="9"/>
        <v>1134970142.7733078</v>
      </c>
      <c r="K69" s="276">
        <f t="shared" si="9"/>
        <v>1123341031.2123077</v>
      </c>
      <c r="L69" s="276">
        <f t="shared" si="9"/>
        <v>1122027434.2815385</v>
      </c>
      <c r="M69" s="276">
        <f t="shared" si="9"/>
        <v>1108402450.9587033</v>
      </c>
      <c r="N69" s="276">
        <f t="shared" si="9"/>
        <v>1099681736.5142858</v>
      </c>
      <c r="O69" s="277">
        <f t="shared" si="9"/>
        <v>1097927653.0000739</v>
      </c>
    </row>
    <row r="70" spans="1:17" x14ac:dyDescent="0.2">
      <c r="A70" s="259" t="s">
        <v>8</v>
      </c>
      <c r="B70" s="278"/>
      <c r="C70" s="140"/>
      <c r="D70" s="279">
        <f t="shared" si="9"/>
        <v>0</v>
      </c>
      <c r="E70" s="279">
        <f t="shared" si="9"/>
        <v>0</v>
      </c>
      <c r="F70" s="279">
        <f t="shared" si="9"/>
        <v>0</v>
      </c>
      <c r="G70" s="279">
        <f t="shared" si="9"/>
        <v>0</v>
      </c>
      <c r="H70" s="279">
        <f t="shared" si="9"/>
        <v>0</v>
      </c>
      <c r="I70" s="279">
        <f t="shared" si="9"/>
        <v>0</v>
      </c>
      <c r="J70" s="279">
        <f t="shared" si="9"/>
        <v>0</v>
      </c>
      <c r="K70" s="279">
        <f t="shared" si="9"/>
        <v>0</v>
      </c>
      <c r="L70" s="279">
        <f t="shared" si="9"/>
        <v>0</v>
      </c>
      <c r="M70" s="279">
        <f t="shared" si="9"/>
        <v>-6.7373480425523139E-3</v>
      </c>
      <c r="N70" s="279">
        <f t="shared" si="9"/>
        <v>-1.0538777165349905E-2</v>
      </c>
      <c r="O70" s="280">
        <f t="shared" si="9"/>
        <v>-8.0772941926850715E-3</v>
      </c>
    </row>
    <row r="71" spans="1:17" x14ac:dyDescent="0.2">
      <c r="A71" s="259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281"/>
    </row>
    <row r="72" spans="1:17" x14ac:dyDescent="0.2">
      <c r="A72" s="259" t="s">
        <v>55</v>
      </c>
      <c r="B72" s="276">
        <f>+'Chart II'!J61</f>
        <v>1141200155</v>
      </c>
      <c r="C72" s="276">
        <f>+'Chart II'!J62</f>
        <v>1114000000</v>
      </c>
      <c r="D72" s="276">
        <f t="shared" ref="D72:O72" si="10">+G9</f>
        <v>1117251257</v>
      </c>
      <c r="E72" s="276">
        <f t="shared" si="10"/>
        <v>1082664508</v>
      </c>
      <c r="F72" s="276">
        <f t="shared" si="10"/>
        <v>1090938483</v>
      </c>
      <c r="G72" s="276">
        <f t="shared" si="10"/>
        <v>1110518847</v>
      </c>
      <c r="H72" s="276">
        <f t="shared" si="10"/>
        <v>1073783871</v>
      </c>
      <c r="I72" s="276">
        <f t="shared" si="10"/>
        <v>1078161209</v>
      </c>
      <c r="J72" s="276">
        <f t="shared" si="10"/>
        <v>1091642390</v>
      </c>
      <c r="K72" s="276">
        <f t="shared" si="10"/>
        <v>1079760469</v>
      </c>
      <c r="L72" s="276">
        <f t="shared" si="10"/>
        <v>1074433920</v>
      </c>
      <c r="M72" s="276">
        <f t="shared" si="10"/>
        <v>1070015150.858888</v>
      </c>
      <c r="N72" s="276">
        <f t="shared" si="10"/>
        <v>1061596460.9022121</v>
      </c>
      <c r="O72" s="277">
        <f t="shared" si="10"/>
        <v>1059903126.5592082</v>
      </c>
      <c r="Q72" s="358"/>
    </row>
    <row r="73" spans="1:17" x14ac:dyDescent="0.2">
      <c r="A73" s="259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281"/>
    </row>
    <row r="74" spans="1:17" ht="15.75" x14ac:dyDescent="0.25">
      <c r="A74" s="260" t="s">
        <v>54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281"/>
    </row>
    <row r="75" spans="1:17" x14ac:dyDescent="0.2">
      <c r="A75" s="261" t="str">
        <f>+A13</f>
        <v>Residential</v>
      </c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281"/>
    </row>
    <row r="76" spans="1:17" x14ac:dyDescent="0.2">
      <c r="A76" s="262" t="s">
        <v>47</v>
      </c>
      <c r="B76" s="276">
        <f t="shared" ref="B76" si="11">+E14</f>
        <v>45439</v>
      </c>
      <c r="C76" s="276">
        <f t="shared" ref="C76" si="12">+F14</f>
        <v>46320</v>
      </c>
      <c r="D76" s="276">
        <f t="shared" ref="D76:O77" si="13">+G14</f>
        <v>47057.5</v>
      </c>
      <c r="E76" s="276">
        <f t="shared" si="13"/>
        <v>47602.5</v>
      </c>
      <c r="F76" s="276">
        <f t="shared" si="13"/>
        <v>48114.5</v>
      </c>
      <c r="G76" s="276">
        <f t="shared" si="13"/>
        <v>48650.5</v>
      </c>
      <c r="H76" s="276">
        <f t="shared" si="13"/>
        <v>49021</v>
      </c>
      <c r="I76" s="276">
        <f t="shared" si="13"/>
        <v>49516</v>
      </c>
      <c r="J76" s="276">
        <f t="shared" si="13"/>
        <v>50202.5</v>
      </c>
      <c r="K76" s="276">
        <f t="shared" si="13"/>
        <v>51152.5</v>
      </c>
      <c r="L76" s="276">
        <f t="shared" si="13"/>
        <v>52115</v>
      </c>
      <c r="M76" s="276">
        <f t="shared" si="13"/>
        <v>52861.328483376739</v>
      </c>
      <c r="N76" s="276">
        <f t="shared" si="13"/>
        <v>53812.844987574732</v>
      </c>
      <c r="O76" s="277">
        <f t="shared" si="13"/>
        <v>54781.502573600781</v>
      </c>
    </row>
    <row r="77" spans="1:17" x14ac:dyDescent="0.2">
      <c r="A77" s="262" t="s">
        <v>48</v>
      </c>
      <c r="B77" s="276">
        <f>+'Chart II'!B61</f>
        <v>487192399</v>
      </c>
      <c r="C77" s="276">
        <f>+'Chart II'!B62</f>
        <v>496447375</v>
      </c>
      <c r="D77" s="276">
        <f t="shared" si="13"/>
        <v>470718851</v>
      </c>
      <c r="E77" s="276">
        <f t="shared" si="13"/>
        <v>467977819</v>
      </c>
      <c r="F77" s="276">
        <f t="shared" si="13"/>
        <v>476941035</v>
      </c>
      <c r="G77" s="276">
        <f t="shared" si="13"/>
        <v>484582022</v>
      </c>
      <c r="H77" s="276">
        <f t="shared" si="13"/>
        <v>473288468</v>
      </c>
      <c r="I77" s="276">
        <f t="shared" si="13"/>
        <v>475282449</v>
      </c>
      <c r="J77" s="276">
        <f t="shared" si="13"/>
        <v>485503507</v>
      </c>
      <c r="K77" s="276">
        <f t="shared" si="13"/>
        <v>479177852</v>
      </c>
      <c r="L77" s="276">
        <f t="shared" si="13"/>
        <v>477455153</v>
      </c>
      <c r="M77" s="276">
        <f t="shared" si="13"/>
        <v>481242441.3526327</v>
      </c>
      <c r="N77" s="276">
        <f t="shared" si="13"/>
        <v>480011939.38473219</v>
      </c>
      <c r="O77" s="277">
        <f t="shared" si="13"/>
        <v>478548339.49470502</v>
      </c>
    </row>
    <row r="78" spans="1:17" x14ac:dyDescent="0.2">
      <c r="A78" s="262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281"/>
    </row>
    <row r="79" spans="1:17" x14ac:dyDescent="0.2">
      <c r="A79" s="261" t="str">
        <f>+A17</f>
        <v>GS&lt;50</v>
      </c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281"/>
    </row>
    <row r="80" spans="1:17" x14ac:dyDescent="0.2">
      <c r="A80" s="262" t="s">
        <v>47</v>
      </c>
      <c r="B80" s="276">
        <f t="shared" ref="B80" si="14">+E18</f>
        <v>3740.5</v>
      </c>
      <c r="C80" s="276">
        <f t="shared" ref="C80" si="15">+F18</f>
        <v>3749</v>
      </c>
      <c r="D80" s="276">
        <f t="shared" ref="D80:O81" si="16">+G18</f>
        <v>3793.5</v>
      </c>
      <c r="E80" s="276">
        <f t="shared" si="16"/>
        <v>3859.5</v>
      </c>
      <c r="F80" s="276">
        <f t="shared" si="16"/>
        <v>3929</v>
      </c>
      <c r="G80" s="276">
        <f t="shared" si="16"/>
        <v>3888.5</v>
      </c>
      <c r="H80" s="276">
        <f t="shared" si="16"/>
        <v>3850.5</v>
      </c>
      <c r="I80" s="276">
        <f t="shared" si="16"/>
        <v>3904.5</v>
      </c>
      <c r="J80" s="276">
        <f t="shared" si="16"/>
        <v>3952.5</v>
      </c>
      <c r="K80" s="276">
        <f t="shared" si="16"/>
        <v>4027.5</v>
      </c>
      <c r="L80" s="276">
        <f t="shared" si="16"/>
        <v>4112</v>
      </c>
      <c r="M80" s="276">
        <f t="shared" si="16"/>
        <v>4146.4802600618323</v>
      </c>
      <c r="N80" s="276">
        <f t="shared" si="16"/>
        <v>4221.1496466640174</v>
      </c>
      <c r="O80" s="277">
        <f t="shared" si="16"/>
        <v>4297.1105842127581</v>
      </c>
    </row>
    <row r="81" spans="1:15" x14ac:dyDescent="0.2">
      <c r="A81" s="262" t="s">
        <v>48</v>
      </c>
      <c r="B81" s="276">
        <f>+'Chart II'!C61</f>
        <v>140097188</v>
      </c>
      <c r="C81" s="276">
        <f>+'Chart II'!C62</f>
        <v>132319612</v>
      </c>
      <c r="D81" s="276">
        <f t="shared" si="16"/>
        <v>131868017</v>
      </c>
      <c r="E81" s="276">
        <f t="shared" si="16"/>
        <v>128019505</v>
      </c>
      <c r="F81" s="276">
        <f t="shared" si="16"/>
        <v>131282103</v>
      </c>
      <c r="G81" s="276">
        <f t="shared" si="16"/>
        <v>135695878</v>
      </c>
      <c r="H81" s="276">
        <f t="shared" si="16"/>
        <v>131590801</v>
      </c>
      <c r="I81" s="276">
        <f t="shared" si="16"/>
        <v>132382128</v>
      </c>
      <c r="J81" s="276">
        <f t="shared" si="16"/>
        <v>133729082</v>
      </c>
      <c r="K81" s="276">
        <f t="shared" si="16"/>
        <v>132197810</v>
      </c>
      <c r="L81" s="276">
        <f t="shared" si="16"/>
        <v>130049530</v>
      </c>
      <c r="M81" s="276">
        <f t="shared" si="16"/>
        <v>130109122.86424071</v>
      </c>
      <c r="N81" s="276">
        <f t="shared" si="16"/>
        <v>129585178.21250525</v>
      </c>
      <c r="O81" s="277">
        <f t="shared" si="16"/>
        <v>129015225.78797366</v>
      </c>
    </row>
    <row r="82" spans="1:15" x14ac:dyDescent="0.2">
      <c r="A82" s="262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281"/>
    </row>
    <row r="83" spans="1:15" x14ac:dyDescent="0.2">
      <c r="A83" s="261" t="str">
        <f>+A21</f>
        <v>GS&gt;50</v>
      </c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281"/>
    </row>
    <row r="84" spans="1:15" x14ac:dyDescent="0.2">
      <c r="A84" s="262" t="s">
        <v>47</v>
      </c>
      <c r="B84" s="276">
        <f t="shared" ref="B84" si="17">+E22</f>
        <v>525</v>
      </c>
      <c r="C84" s="276">
        <f t="shared" ref="C84" si="18">+F22</f>
        <v>523</v>
      </c>
      <c r="D84" s="276">
        <f t="shared" ref="D84:O86" si="19">+G22</f>
        <v>533.5</v>
      </c>
      <c r="E84" s="276">
        <f t="shared" si="19"/>
        <v>525</v>
      </c>
      <c r="F84" s="276">
        <f t="shared" si="19"/>
        <v>512.5</v>
      </c>
      <c r="G84" s="276">
        <f t="shared" si="19"/>
        <v>520.5</v>
      </c>
      <c r="H84" s="276">
        <f t="shared" si="19"/>
        <v>511.5</v>
      </c>
      <c r="I84" s="276">
        <f t="shared" si="19"/>
        <v>500</v>
      </c>
      <c r="J84" s="276">
        <f t="shared" si="19"/>
        <v>502.5</v>
      </c>
      <c r="K84" s="276">
        <f t="shared" si="19"/>
        <v>508.5</v>
      </c>
      <c r="L84" s="276">
        <f t="shared" si="19"/>
        <v>516.5</v>
      </c>
      <c r="M84" s="276">
        <f t="shared" si="19"/>
        <v>516.5</v>
      </c>
      <c r="N84" s="276">
        <f t="shared" si="19"/>
        <v>525.79999999999995</v>
      </c>
      <c r="O84" s="277">
        <f t="shared" si="19"/>
        <v>535.29999999999995</v>
      </c>
    </row>
    <row r="85" spans="1:15" x14ac:dyDescent="0.2">
      <c r="A85" s="262" t="s">
        <v>48</v>
      </c>
      <c r="B85" s="276">
        <f>+'Chart II'!D61</f>
        <v>358858375</v>
      </c>
      <c r="C85" s="276">
        <f>+'Chart II'!D62</f>
        <v>359363080</v>
      </c>
      <c r="D85" s="276">
        <f t="shared" si="19"/>
        <v>352632150</v>
      </c>
      <c r="E85" s="276">
        <f t="shared" si="19"/>
        <v>349784301</v>
      </c>
      <c r="F85" s="276">
        <f t="shared" si="19"/>
        <v>355234224</v>
      </c>
      <c r="G85" s="276">
        <f t="shared" si="19"/>
        <v>359534375</v>
      </c>
      <c r="H85" s="276">
        <f t="shared" si="19"/>
        <v>338342507</v>
      </c>
      <c r="I85" s="276">
        <f t="shared" si="19"/>
        <v>337123668</v>
      </c>
      <c r="J85" s="276">
        <f t="shared" si="19"/>
        <v>336406114</v>
      </c>
      <c r="K85" s="276">
        <f t="shared" si="19"/>
        <v>333350818</v>
      </c>
      <c r="L85" s="276">
        <f t="shared" si="19"/>
        <v>330168199</v>
      </c>
      <c r="M85" s="276">
        <f t="shared" si="19"/>
        <v>329149932.35225224</v>
      </c>
      <c r="N85" s="276">
        <f t="shared" si="19"/>
        <v>329595262.30701321</v>
      </c>
      <c r="O85" s="277">
        <f t="shared" si="19"/>
        <v>330009795.46084768</v>
      </c>
    </row>
    <row r="86" spans="1:15" x14ac:dyDescent="0.2">
      <c r="A86" s="262" t="s">
        <v>49</v>
      </c>
      <c r="B86" s="276">
        <f>+B85*0.2454</f>
        <v>88063845.225000009</v>
      </c>
      <c r="C86" s="276">
        <f>+C85*0.2454</f>
        <v>88187699.832000002</v>
      </c>
      <c r="D86" s="276">
        <f t="shared" si="19"/>
        <v>876464</v>
      </c>
      <c r="E86" s="276">
        <f t="shared" si="19"/>
        <v>861503</v>
      </c>
      <c r="F86" s="276">
        <f t="shared" si="19"/>
        <v>871715</v>
      </c>
      <c r="G86" s="276">
        <f t="shared" si="19"/>
        <v>867070</v>
      </c>
      <c r="H86" s="276">
        <f t="shared" si="19"/>
        <v>846459</v>
      </c>
      <c r="I86" s="276">
        <f t="shared" si="19"/>
        <v>843160</v>
      </c>
      <c r="J86" s="276">
        <f t="shared" si="19"/>
        <v>831789</v>
      </c>
      <c r="K86" s="276">
        <f t="shared" si="19"/>
        <v>847479</v>
      </c>
      <c r="L86" s="276">
        <f t="shared" si="19"/>
        <v>850825</v>
      </c>
      <c r="M86" s="276">
        <f t="shared" si="19"/>
        <v>832942.28011661058</v>
      </c>
      <c r="N86" s="276">
        <f t="shared" si="19"/>
        <v>834069.22595941229</v>
      </c>
      <c r="O86" s="277">
        <f t="shared" si="19"/>
        <v>835118.23784245062</v>
      </c>
    </row>
    <row r="87" spans="1:15" x14ac:dyDescent="0.2">
      <c r="A87" s="262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281"/>
    </row>
    <row r="88" spans="1:15" x14ac:dyDescent="0.2">
      <c r="A88" s="261" t="str">
        <f>+A26</f>
        <v>Large User</v>
      </c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281"/>
    </row>
    <row r="89" spans="1:15" x14ac:dyDescent="0.2">
      <c r="A89" s="262" t="s">
        <v>47</v>
      </c>
      <c r="B89" s="276">
        <f t="shared" ref="B89" si="20">+E27</f>
        <v>2</v>
      </c>
      <c r="C89" s="276">
        <f t="shared" ref="C89" si="21">+F27</f>
        <v>2</v>
      </c>
      <c r="D89" s="276">
        <f t="shared" ref="D89:O91" si="22">+G27</f>
        <v>2.5</v>
      </c>
      <c r="E89" s="276">
        <f t="shared" si="22"/>
        <v>2</v>
      </c>
      <c r="F89" s="276">
        <f t="shared" si="22"/>
        <v>1</v>
      </c>
      <c r="G89" s="276">
        <f t="shared" si="22"/>
        <v>1</v>
      </c>
      <c r="H89" s="276">
        <f t="shared" si="22"/>
        <v>1</v>
      </c>
      <c r="I89" s="276">
        <f t="shared" si="22"/>
        <v>1</v>
      </c>
      <c r="J89" s="276">
        <f t="shared" si="22"/>
        <v>1</v>
      </c>
      <c r="K89" s="276">
        <f t="shared" si="22"/>
        <v>1</v>
      </c>
      <c r="L89" s="276">
        <f t="shared" si="22"/>
        <v>1</v>
      </c>
      <c r="M89" s="276">
        <f t="shared" si="22"/>
        <v>1</v>
      </c>
      <c r="N89" s="276">
        <f t="shared" si="22"/>
        <v>1</v>
      </c>
      <c r="O89" s="277">
        <f t="shared" si="22"/>
        <v>1</v>
      </c>
    </row>
    <row r="90" spans="1:15" x14ac:dyDescent="0.2">
      <c r="A90" s="262" t="s">
        <v>48</v>
      </c>
      <c r="B90" s="276">
        <f>+'Chart II'!E61</f>
        <v>60139982</v>
      </c>
      <c r="C90" s="276">
        <f>+'Chart II'!E62</f>
        <v>33402763</v>
      </c>
      <c r="D90" s="276">
        <f t="shared" si="22"/>
        <v>46461021</v>
      </c>
      <c r="E90" s="276">
        <f t="shared" si="22"/>
        <v>36580289</v>
      </c>
      <c r="F90" s="276">
        <f t="shared" si="22"/>
        <v>33402763</v>
      </c>
      <c r="G90" s="276">
        <f t="shared" si="22"/>
        <v>37740699</v>
      </c>
      <c r="H90" s="276">
        <f t="shared" si="22"/>
        <v>40812737</v>
      </c>
      <c r="I90" s="276">
        <f t="shared" si="22"/>
        <v>42326219</v>
      </c>
      <c r="J90" s="276">
        <f t="shared" si="22"/>
        <v>42700435</v>
      </c>
      <c r="K90" s="276">
        <f t="shared" si="22"/>
        <v>41948976</v>
      </c>
      <c r="L90" s="276">
        <f t="shared" si="22"/>
        <v>41438246</v>
      </c>
      <c r="M90" s="276">
        <f t="shared" si="22"/>
        <v>40749633.793613337</v>
      </c>
      <c r="N90" s="276">
        <f t="shared" si="22"/>
        <v>39807306.868036307</v>
      </c>
      <c r="O90" s="277">
        <f t="shared" si="22"/>
        <v>38875445.657878414</v>
      </c>
    </row>
    <row r="91" spans="1:15" x14ac:dyDescent="0.2">
      <c r="A91" s="262" t="s">
        <v>49</v>
      </c>
      <c r="B91" s="276">
        <f>+B90*0.2454</f>
        <v>14758351.582800001</v>
      </c>
      <c r="C91" s="276">
        <f>+C90*0.2113</f>
        <v>7058003.8218999999</v>
      </c>
      <c r="D91" s="276">
        <f t="shared" si="22"/>
        <v>124131</v>
      </c>
      <c r="E91" s="276">
        <f t="shared" si="22"/>
        <v>89007</v>
      </c>
      <c r="F91" s="276">
        <f t="shared" si="22"/>
        <v>70585</v>
      </c>
      <c r="G91" s="276">
        <f t="shared" si="22"/>
        <v>83704</v>
      </c>
      <c r="H91" s="276">
        <f t="shared" si="22"/>
        <v>89554</v>
      </c>
      <c r="I91" s="276">
        <f t="shared" si="22"/>
        <v>92753</v>
      </c>
      <c r="J91" s="276">
        <f t="shared" si="22"/>
        <v>93203</v>
      </c>
      <c r="K91" s="276">
        <f t="shared" si="22"/>
        <v>95584</v>
      </c>
      <c r="L91" s="276">
        <f t="shared" si="22"/>
        <v>99526</v>
      </c>
      <c r="M91" s="276">
        <f t="shared" si="22"/>
        <v>92630.431850062916</v>
      </c>
      <c r="N91" s="276">
        <f t="shared" si="22"/>
        <v>90488.372107827323</v>
      </c>
      <c r="O91" s="277">
        <f t="shared" si="22"/>
        <v>88370.102609788868</v>
      </c>
    </row>
    <row r="92" spans="1:15" x14ac:dyDescent="0.2">
      <c r="A92" s="262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281"/>
    </row>
    <row r="93" spans="1:15" x14ac:dyDescent="0.2">
      <c r="A93" s="261" t="str">
        <f>+A31</f>
        <v>I2</v>
      </c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281"/>
    </row>
    <row r="94" spans="1:15" x14ac:dyDescent="0.2">
      <c r="A94" s="263" t="s">
        <v>47</v>
      </c>
      <c r="B94" s="276">
        <f t="shared" ref="B94" si="23">+E32</f>
        <v>8.5</v>
      </c>
      <c r="C94" s="276">
        <f t="shared" ref="C94" si="24">+F32</f>
        <v>9</v>
      </c>
      <c r="D94" s="276">
        <f t="shared" ref="D94:O96" si="25">+G32</f>
        <v>9</v>
      </c>
      <c r="E94" s="276">
        <f t="shared" si="25"/>
        <v>9.5</v>
      </c>
      <c r="F94" s="276">
        <f t="shared" si="25"/>
        <v>10</v>
      </c>
      <c r="G94" s="276">
        <f t="shared" si="25"/>
        <v>10</v>
      </c>
      <c r="H94" s="276">
        <f t="shared" si="25"/>
        <v>10.5</v>
      </c>
      <c r="I94" s="276">
        <f t="shared" si="25"/>
        <v>11</v>
      </c>
      <c r="J94" s="276">
        <f t="shared" si="25"/>
        <v>11</v>
      </c>
      <c r="K94" s="276">
        <f t="shared" si="25"/>
        <v>12</v>
      </c>
      <c r="L94" s="276">
        <f t="shared" si="25"/>
        <v>13</v>
      </c>
      <c r="M94" s="276">
        <f t="shared" si="25"/>
        <v>13</v>
      </c>
      <c r="N94" s="276">
        <f t="shared" si="25"/>
        <v>13.2</v>
      </c>
      <c r="O94" s="277">
        <f t="shared" si="25"/>
        <v>14.2</v>
      </c>
    </row>
    <row r="95" spans="1:15" x14ac:dyDescent="0.2">
      <c r="A95" s="262" t="s">
        <v>48</v>
      </c>
      <c r="B95" s="276">
        <f>+'Chart II'!F61</f>
        <v>80956601</v>
      </c>
      <c r="C95" s="276">
        <f>+'Chart II'!F62</f>
        <v>78175306</v>
      </c>
      <c r="D95" s="276">
        <f t="shared" si="25"/>
        <v>102433272</v>
      </c>
      <c r="E95" s="276">
        <f t="shared" si="25"/>
        <v>87237589</v>
      </c>
      <c r="F95" s="276">
        <f t="shared" si="25"/>
        <v>80783141</v>
      </c>
      <c r="G95" s="276">
        <f t="shared" si="25"/>
        <v>79908016</v>
      </c>
      <c r="H95" s="276">
        <f t="shared" si="25"/>
        <v>76828137</v>
      </c>
      <c r="I95" s="276">
        <f t="shared" si="25"/>
        <v>79176233</v>
      </c>
      <c r="J95" s="276">
        <f t="shared" si="25"/>
        <v>81400346</v>
      </c>
      <c r="K95" s="276">
        <f t="shared" si="25"/>
        <v>81234207</v>
      </c>
      <c r="L95" s="276">
        <f t="shared" si="25"/>
        <v>83295745</v>
      </c>
      <c r="M95" s="276">
        <f t="shared" si="25"/>
        <v>78965334.810425088</v>
      </c>
      <c r="N95" s="276">
        <f t="shared" si="25"/>
        <v>75038332.350385889</v>
      </c>
      <c r="O95" s="277">
        <f t="shared" si="25"/>
        <v>75644065.398059711</v>
      </c>
    </row>
    <row r="96" spans="1:15" x14ac:dyDescent="0.2">
      <c r="A96" s="262" t="s">
        <v>49</v>
      </c>
      <c r="B96" s="276">
        <f>+B95*0.2454</f>
        <v>19866749.885400001</v>
      </c>
      <c r="C96" s="276">
        <f>+C95*0.2416</f>
        <v>18887153.9296</v>
      </c>
      <c r="D96" s="276">
        <f t="shared" si="25"/>
        <v>204487</v>
      </c>
      <c r="E96" s="276">
        <f t="shared" si="25"/>
        <v>190299</v>
      </c>
      <c r="F96" s="276">
        <f t="shared" si="25"/>
        <v>195141</v>
      </c>
      <c r="G96" s="276">
        <f t="shared" si="25"/>
        <v>192700</v>
      </c>
      <c r="H96" s="276">
        <f t="shared" si="25"/>
        <v>182189</v>
      </c>
      <c r="I96" s="276">
        <f t="shared" si="25"/>
        <v>184241</v>
      </c>
      <c r="J96" s="276">
        <f t="shared" si="25"/>
        <v>186714</v>
      </c>
      <c r="K96" s="276">
        <f t="shared" si="25"/>
        <v>190580</v>
      </c>
      <c r="L96" s="276">
        <f t="shared" si="25"/>
        <v>202815</v>
      </c>
      <c r="M96" s="276">
        <f t="shared" si="25"/>
        <v>176491.02826956642</v>
      </c>
      <c r="N96" s="276">
        <f t="shared" si="25"/>
        <v>167714.00346680533</v>
      </c>
      <c r="O96" s="277">
        <f t="shared" si="25"/>
        <v>169067.84371452243</v>
      </c>
    </row>
    <row r="97" spans="1:17" x14ac:dyDescent="0.2">
      <c r="A97" s="262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281"/>
    </row>
    <row r="98" spans="1:17" x14ac:dyDescent="0.2">
      <c r="A98" s="261" t="str">
        <f>+A36</f>
        <v>Streetlights</v>
      </c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281"/>
    </row>
    <row r="99" spans="1:17" x14ac:dyDescent="0.2">
      <c r="A99" s="262" t="s">
        <v>63</v>
      </c>
      <c r="B99" s="276">
        <f t="shared" ref="B99" si="26">+E37</f>
        <v>10831</v>
      </c>
      <c r="C99" s="276">
        <f t="shared" ref="C99" si="27">+F37</f>
        <v>11280.5</v>
      </c>
      <c r="D99" s="276">
        <f t="shared" ref="D99:O101" si="28">+G37</f>
        <v>11621.5</v>
      </c>
      <c r="E99" s="276">
        <f t="shared" si="28"/>
        <v>11801</v>
      </c>
      <c r="F99" s="276">
        <f t="shared" si="28"/>
        <v>11995.5</v>
      </c>
      <c r="G99" s="276">
        <f t="shared" si="28"/>
        <v>12127.5</v>
      </c>
      <c r="H99" s="276">
        <f t="shared" si="28"/>
        <v>12213</v>
      </c>
      <c r="I99" s="276">
        <f t="shared" si="28"/>
        <v>12332.5</v>
      </c>
      <c r="J99" s="276">
        <f t="shared" si="28"/>
        <v>12464.5</v>
      </c>
      <c r="K99" s="276">
        <f t="shared" si="28"/>
        <v>12714</v>
      </c>
      <c r="L99" s="276">
        <f t="shared" si="28"/>
        <v>12957.5</v>
      </c>
      <c r="M99" s="276">
        <f t="shared" si="28"/>
        <v>13212.353111802431</v>
      </c>
      <c r="N99" s="276">
        <f t="shared" si="28"/>
        <v>13472.218772985172</v>
      </c>
      <c r="O99" s="277">
        <f t="shared" si="28"/>
        <v>13737.195572304361</v>
      </c>
    </row>
    <row r="100" spans="1:17" x14ac:dyDescent="0.2">
      <c r="A100" s="262" t="s">
        <v>48</v>
      </c>
      <c r="B100" s="276">
        <f>+'Chart II'!G61</f>
        <v>10072853</v>
      </c>
      <c r="C100" s="276">
        <f>+'Chart II'!G62</f>
        <v>11044796</v>
      </c>
      <c r="D100" s="276">
        <f t="shared" si="28"/>
        <v>9725840</v>
      </c>
      <c r="E100" s="276">
        <f t="shared" si="28"/>
        <v>10202758</v>
      </c>
      <c r="F100" s="276">
        <f t="shared" si="28"/>
        <v>10427904</v>
      </c>
      <c r="G100" s="276">
        <f t="shared" si="28"/>
        <v>10253017</v>
      </c>
      <c r="H100" s="276">
        <f t="shared" si="28"/>
        <v>10139708</v>
      </c>
      <c r="I100" s="276">
        <f t="shared" si="28"/>
        <v>9082284</v>
      </c>
      <c r="J100" s="276">
        <f t="shared" si="28"/>
        <v>9155875</v>
      </c>
      <c r="K100" s="276">
        <f t="shared" si="28"/>
        <v>9302763</v>
      </c>
      <c r="L100" s="276">
        <f t="shared" si="28"/>
        <v>9490651</v>
      </c>
      <c r="M100" s="276">
        <f t="shared" si="28"/>
        <v>7199508.5400217902</v>
      </c>
      <c r="N100" s="276">
        <f t="shared" si="28"/>
        <v>4912438.1569634676</v>
      </c>
      <c r="O100" s="277">
        <f t="shared" si="28"/>
        <v>5117254.1990519855</v>
      </c>
    </row>
    <row r="101" spans="1:17" x14ac:dyDescent="0.2">
      <c r="A101" s="262" t="s">
        <v>49</v>
      </c>
      <c r="B101" s="276">
        <f>+B100*0.2454</f>
        <v>2471878.1262000003</v>
      </c>
      <c r="C101" s="276">
        <f>+C100*0.265</f>
        <v>2926870.94</v>
      </c>
      <c r="D101" s="276">
        <f t="shared" si="28"/>
        <v>26489</v>
      </c>
      <c r="E101" s="276">
        <f t="shared" si="28"/>
        <v>27041</v>
      </c>
      <c r="F101" s="276">
        <f t="shared" si="28"/>
        <v>27634</v>
      </c>
      <c r="G101" s="276">
        <f t="shared" si="28"/>
        <v>27830</v>
      </c>
      <c r="H101" s="276">
        <f t="shared" si="28"/>
        <v>27720</v>
      </c>
      <c r="I101" s="276">
        <f t="shared" si="28"/>
        <v>25276</v>
      </c>
      <c r="J101" s="276">
        <f t="shared" si="28"/>
        <v>25520</v>
      </c>
      <c r="K101" s="276">
        <f t="shared" si="28"/>
        <v>26032</v>
      </c>
      <c r="L101" s="276">
        <f t="shared" si="28"/>
        <v>26568</v>
      </c>
      <c r="M101" s="276">
        <f t="shared" si="28"/>
        <v>19558.614180022891</v>
      </c>
      <c r="N101" s="276">
        <f t="shared" si="28"/>
        <v>13345.422407816242</v>
      </c>
      <c r="O101" s="277">
        <f t="shared" si="28"/>
        <v>13901.837880180767</v>
      </c>
    </row>
    <row r="102" spans="1:17" x14ac:dyDescent="0.2">
      <c r="A102" s="262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281"/>
    </row>
    <row r="103" spans="1:17" x14ac:dyDescent="0.2">
      <c r="A103" s="261" t="str">
        <f>+A41</f>
        <v>Sentinels</v>
      </c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281"/>
    </row>
    <row r="104" spans="1:17" x14ac:dyDescent="0.2">
      <c r="A104" s="262" t="s">
        <v>63</v>
      </c>
      <c r="B104" s="276">
        <f t="shared" ref="B104" si="29">+E42</f>
        <v>28.5</v>
      </c>
      <c r="C104" s="276">
        <f t="shared" ref="C104" si="30">+F42</f>
        <v>26.5</v>
      </c>
      <c r="D104" s="276">
        <f t="shared" ref="D104:O106" si="31">+G42</f>
        <v>26</v>
      </c>
      <c r="E104" s="276">
        <f t="shared" si="31"/>
        <v>26</v>
      </c>
      <c r="F104" s="276">
        <f t="shared" si="31"/>
        <v>25</v>
      </c>
      <c r="G104" s="276">
        <f t="shared" si="31"/>
        <v>24</v>
      </c>
      <c r="H104" s="276">
        <f t="shared" si="31"/>
        <v>24</v>
      </c>
      <c r="I104" s="276">
        <f t="shared" si="31"/>
        <v>24</v>
      </c>
      <c r="J104" s="276">
        <f t="shared" si="31"/>
        <v>24</v>
      </c>
      <c r="K104" s="276">
        <f t="shared" si="31"/>
        <v>24</v>
      </c>
      <c r="L104" s="276">
        <f t="shared" si="31"/>
        <v>24</v>
      </c>
      <c r="M104" s="276">
        <f t="shared" si="31"/>
        <v>23.339285720167176</v>
      </c>
      <c r="N104" s="276">
        <f t="shared" si="31"/>
        <v>22.696760746983312</v>
      </c>
      <c r="O104" s="277">
        <f t="shared" si="31"/>
        <v>22.071924333171605</v>
      </c>
    </row>
    <row r="105" spans="1:17" x14ac:dyDescent="0.2">
      <c r="A105" s="262" t="s">
        <v>48</v>
      </c>
      <c r="B105" s="276">
        <f>+'Chart II'!H61</f>
        <v>40813</v>
      </c>
      <c r="C105" s="276">
        <f>+'Chart II'!H62</f>
        <v>38567</v>
      </c>
      <c r="D105" s="276">
        <f t="shared" si="31"/>
        <v>39233</v>
      </c>
      <c r="E105" s="276">
        <f t="shared" si="31"/>
        <v>36792</v>
      </c>
      <c r="F105" s="276">
        <f t="shared" si="31"/>
        <v>35812</v>
      </c>
      <c r="G105" s="276">
        <f t="shared" si="31"/>
        <v>35812</v>
      </c>
      <c r="H105" s="276">
        <f t="shared" si="31"/>
        <v>35812</v>
      </c>
      <c r="I105" s="276">
        <f t="shared" si="31"/>
        <v>35812</v>
      </c>
      <c r="J105" s="276">
        <f t="shared" si="31"/>
        <v>35812</v>
      </c>
      <c r="K105" s="276">
        <f t="shared" si="31"/>
        <v>35813</v>
      </c>
      <c r="L105" s="276">
        <f t="shared" si="31"/>
        <v>35814</v>
      </c>
      <c r="M105" s="276">
        <f t="shared" si="31"/>
        <v>34672.37733167367</v>
      </c>
      <c r="N105" s="276">
        <f t="shared" si="31"/>
        <v>33345.033034021741</v>
      </c>
      <c r="O105" s="277">
        <f t="shared" si="31"/>
        <v>32059.16311080223</v>
      </c>
    </row>
    <row r="106" spans="1:17" x14ac:dyDescent="0.2">
      <c r="A106" s="262" t="s">
        <v>49</v>
      </c>
      <c r="B106" s="276">
        <f>+B105*0.2454</f>
        <v>10015.510200000001</v>
      </c>
      <c r="C106" s="276">
        <f>+C105*0.2778</f>
        <v>10713.9126</v>
      </c>
      <c r="D106" s="276">
        <f t="shared" si="31"/>
        <v>108.9805555555556</v>
      </c>
      <c r="E106" s="276">
        <f t="shared" si="31"/>
        <v>102.2</v>
      </c>
      <c r="F106" s="276">
        <f t="shared" si="31"/>
        <v>99.477777777777803</v>
      </c>
      <c r="G106" s="276">
        <f t="shared" si="31"/>
        <v>100</v>
      </c>
      <c r="H106" s="276">
        <f t="shared" si="31"/>
        <v>100</v>
      </c>
      <c r="I106" s="276">
        <f t="shared" si="31"/>
        <v>100</v>
      </c>
      <c r="J106" s="276">
        <f t="shared" si="31"/>
        <v>100</v>
      </c>
      <c r="K106" s="276">
        <f t="shared" si="31"/>
        <v>100</v>
      </c>
      <c r="L106" s="276">
        <f t="shared" si="31"/>
        <v>100</v>
      </c>
      <c r="M106" s="276">
        <f t="shared" si="31"/>
        <v>100.62017532644411</v>
      </c>
      <c r="N106" s="276">
        <f t="shared" si="31"/>
        <v>96.768186330400098</v>
      </c>
      <c r="O106" s="277">
        <f t="shared" si="31"/>
        <v>93.036557088953359</v>
      </c>
    </row>
    <row r="107" spans="1:17" x14ac:dyDescent="0.2">
      <c r="A107" s="262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281"/>
    </row>
    <row r="108" spans="1:17" x14ac:dyDescent="0.2">
      <c r="A108" s="261" t="str">
        <f>+A46</f>
        <v>USL</v>
      </c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281"/>
    </row>
    <row r="109" spans="1:17" x14ac:dyDescent="0.2">
      <c r="A109" s="262" t="s">
        <v>63</v>
      </c>
      <c r="B109" s="276">
        <f t="shared" ref="B109" si="32">+E47</f>
        <v>298</v>
      </c>
      <c r="C109" s="276">
        <f t="shared" ref="C109" si="33">+F47</f>
        <v>301</v>
      </c>
      <c r="D109" s="276">
        <f t="shared" ref="D109:O110" si="34">+G47</f>
        <v>301</v>
      </c>
      <c r="E109" s="276">
        <f t="shared" si="34"/>
        <v>302.5</v>
      </c>
      <c r="F109" s="276">
        <f t="shared" si="34"/>
        <v>306.5</v>
      </c>
      <c r="G109" s="276">
        <f t="shared" si="34"/>
        <v>302.5</v>
      </c>
      <c r="H109" s="276">
        <f t="shared" si="34"/>
        <v>295.5</v>
      </c>
      <c r="I109" s="276">
        <f t="shared" si="34"/>
        <v>295</v>
      </c>
      <c r="J109" s="276">
        <f t="shared" si="34"/>
        <v>295.5</v>
      </c>
      <c r="K109" s="276">
        <f t="shared" si="34"/>
        <v>284.5</v>
      </c>
      <c r="L109" s="276">
        <f t="shared" si="34"/>
        <v>273.5</v>
      </c>
      <c r="M109" s="276">
        <f t="shared" si="34"/>
        <v>272.12644749091885</v>
      </c>
      <c r="N109" s="276">
        <f t="shared" si="34"/>
        <v>270.75979314086953</v>
      </c>
      <c r="O109" s="277">
        <f t="shared" si="34"/>
        <v>269.4000023064018</v>
      </c>
    </row>
    <row r="110" spans="1:17" x14ac:dyDescent="0.2">
      <c r="A110" s="262" t="s">
        <v>48</v>
      </c>
      <c r="B110" s="276">
        <f>+'Chart II'!I61</f>
        <v>3841944</v>
      </c>
      <c r="C110" s="276">
        <f>+'Chart II'!I62</f>
        <v>3208501</v>
      </c>
      <c r="D110" s="276">
        <f t="shared" si="34"/>
        <v>3372873</v>
      </c>
      <c r="E110" s="276">
        <f t="shared" si="34"/>
        <v>2825455</v>
      </c>
      <c r="F110" s="276">
        <f t="shared" si="34"/>
        <v>2831501</v>
      </c>
      <c r="G110" s="276">
        <f t="shared" si="34"/>
        <v>2769028</v>
      </c>
      <c r="H110" s="276">
        <f t="shared" si="34"/>
        <v>2745701</v>
      </c>
      <c r="I110" s="276">
        <f t="shared" si="34"/>
        <v>2752416</v>
      </c>
      <c r="J110" s="276">
        <f t="shared" si="34"/>
        <v>2711219</v>
      </c>
      <c r="K110" s="276">
        <f t="shared" si="34"/>
        <v>2512230</v>
      </c>
      <c r="L110" s="276">
        <f t="shared" si="34"/>
        <v>2500582</v>
      </c>
      <c r="M110" s="276">
        <f t="shared" si="34"/>
        <v>2564504.7683705813</v>
      </c>
      <c r="N110" s="276">
        <f t="shared" si="34"/>
        <v>2612658.5895418967</v>
      </c>
      <c r="O110" s="277">
        <f t="shared" si="34"/>
        <v>2660941.3975806902</v>
      </c>
    </row>
    <row r="111" spans="1:17" x14ac:dyDescent="0.2">
      <c r="A111" s="262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281"/>
    </row>
    <row r="112" spans="1:17" x14ac:dyDescent="0.2">
      <c r="A112" s="261" t="s">
        <v>64</v>
      </c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281"/>
      <c r="Q112" s="360"/>
    </row>
    <row r="113" spans="1:17" x14ac:dyDescent="0.2">
      <c r="A113" s="262" t="s">
        <v>51</v>
      </c>
      <c r="B113" s="276">
        <f>+B109+B104+B99+B94+B89+B84+B80+B76</f>
        <v>60872.5</v>
      </c>
      <c r="C113" s="276">
        <f>+C109+C104+C99+C94+C89+C84+C80+C76</f>
        <v>62211</v>
      </c>
      <c r="D113" s="276">
        <f t="shared" ref="D113:O113" si="35">+D109+D104+D99+D94+D89+D84+D80+D76</f>
        <v>63344.5</v>
      </c>
      <c r="E113" s="276">
        <f t="shared" si="35"/>
        <v>64128</v>
      </c>
      <c r="F113" s="276">
        <f t="shared" si="35"/>
        <v>64894</v>
      </c>
      <c r="G113" s="276">
        <f t="shared" si="35"/>
        <v>65524.5</v>
      </c>
      <c r="H113" s="276">
        <f t="shared" si="35"/>
        <v>65927</v>
      </c>
      <c r="I113" s="276">
        <f t="shared" si="35"/>
        <v>66584</v>
      </c>
      <c r="J113" s="276">
        <f t="shared" si="35"/>
        <v>67453.5</v>
      </c>
      <c r="K113" s="276">
        <f t="shared" si="35"/>
        <v>68724</v>
      </c>
      <c r="L113" s="276">
        <f t="shared" si="35"/>
        <v>70012.5</v>
      </c>
      <c r="M113" s="276">
        <f t="shared" si="35"/>
        <v>71046.127588452087</v>
      </c>
      <c r="N113" s="276">
        <f t="shared" si="35"/>
        <v>72339.669961111766</v>
      </c>
      <c r="O113" s="277">
        <f t="shared" si="35"/>
        <v>73657.780656757473</v>
      </c>
      <c r="Q113" s="357"/>
    </row>
    <row r="114" spans="1:17" x14ac:dyDescent="0.2">
      <c r="A114" s="262" t="s">
        <v>48</v>
      </c>
      <c r="B114" s="276">
        <f t="shared" ref="B114:C115" si="36">+B110+B105+B100+B95+B90+B85+B81+B77</f>
        <v>1141200155</v>
      </c>
      <c r="C114" s="276">
        <f t="shared" si="36"/>
        <v>1114000000</v>
      </c>
      <c r="D114" s="276">
        <f t="shared" ref="D114:O114" si="37">+D110+D105+D100+D95+D90+D85+D81+D77</f>
        <v>1117251257</v>
      </c>
      <c r="E114" s="276">
        <f t="shared" si="37"/>
        <v>1082664508</v>
      </c>
      <c r="F114" s="276">
        <f t="shared" si="37"/>
        <v>1090938483</v>
      </c>
      <c r="G114" s="276">
        <f t="shared" si="37"/>
        <v>1110518847</v>
      </c>
      <c r="H114" s="276">
        <f t="shared" si="37"/>
        <v>1073783871</v>
      </c>
      <c r="I114" s="276">
        <f t="shared" si="37"/>
        <v>1078161209</v>
      </c>
      <c r="J114" s="276">
        <f t="shared" si="37"/>
        <v>1091642390</v>
      </c>
      <c r="K114" s="276">
        <f t="shared" si="37"/>
        <v>1079760469</v>
      </c>
      <c r="L114" s="276">
        <f t="shared" si="37"/>
        <v>1074433920</v>
      </c>
      <c r="M114" s="276">
        <f t="shared" si="37"/>
        <v>1070015150.8588881</v>
      </c>
      <c r="N114" s="276">
        <f t="shared" si="37"/>
        <v>1061596460.9022121</v>
      </c>
      <c r="O114" s="277">
        <f t="shared" si="37"/>
        <v>1059903126.5592079</v>
      </c>
      <c r="Q114" s="359"/>
    </row>
    <row r="115" spans="1:17" ht="13.5" thickBot="1" x14ac:dyDescent="0.25">
      <c r="A115" s="264" t="s">
        <v>50</v>
      </c>
      <c r="B115" s="282">
        <f t="shared" si="36"/>
        <v>125170840.32960001</v>
      </c>
      <c r="C115" s="282">
        <f t="shared" si="36"/>
        <v>117070442.43610001</v>
      </c>
      <c r="D115" s="282">
        <f t="shared" ref="D115:O115" si="38">+D111+D106+D101+D96+D91+D86+D82+D78</f>
        <v>1231679.9805555556</v>
      </c>
      <c r="E115" s="282">
        <f t="shared" si="38"/>
        <v>1167952.2</v>
      </c>
      <c r="F115" s="282">
        <f t="shared" si="38"/>
        <v>1165174.4777777777</v>
      </c>
      <c r="G115" s="282">
        <f t="shared" si="38"/>
        <v>1171404</v>
      </c>
      <c r="H115" s="282">
        <f t="shared" si="38"/>
        <v>1146022</v>
      </c>
      <c r="I115" s="282">
        <f t="shared" si="38"/>
        <v>1145530</v>
      </c>
      <c r="J115" s="282">
        <f t="shared" si="38"/>
        <v>1137326</v>
      </c>
      <c r="K115" s="282">
        <f t="shared" si="38"/>
        <v>1159775</v>
      </c>
      <c r="L115" s="282">
        <f t="shared" si="38"/>
        <v>1179834</v>
      </c>
      <c r="M115" s="282">
        <f t="shared" si="38"/>
        <v>1121722.9745915893</v>
      </c>
      <c r="N115" s="282">
        <f t="shared" si="38"/>
        <v>1105713.7921281916</v>
      </c>
      <c r="O115" s="283">
        <f t="shared" si="38"/>
        <v>1106551.0586040316</v>
      </c>
      <c r="Q115" s="360"/>
    </row>
  </sheetData>
  <mergeCells count="4">
    <mergeCell ref="B3:L3"/>
    <mergeCell ref="D66:I66"/>
    <mergeCell ref="K66:O66"/>
    <mergeCell ref="P3:R3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206"/>
  <sheetViews>
    <sheetView workbookViewId="0"/>
  </sheetViews>
  <sheetFormatPr defaultRowHeight="12.75" x14ac:dyDescent="0.2"/>
  <cols>
    <col min="1" max="1" width="11.85546875" customWidth="1"/>
    <col min="2" max="2" width="18" customWidth="1"/>
    <col min="3" max="3" width="11.7109375" customWidth="1"/>
    <col min="4" max="4" width="13.42578125" customWidth="1"/>
    <col min="5" max="5" width="13.85546875" customWidth="1"/>
    <col min="6" max="6" width="13.5703125" customWidth="1"/>
    <col min="7" max="7" width="12.42578125" customWidth="1"/>
    <col min="8" max="8" width="17.5703125" bestFit="1" customWidth="1"/>
    <col min="10" max="10" width="11.85546875" customWidth="1"/>
    <col min="11" max="11" width="18" customWidth="1"/>
    <col min="12" max="12" width="11.7109375" customWidth="1"/>
    <col min="13" max="13" width="13.42578125" customWidth="1"/>
    <col min="14" max="14" width="13.85546875" customWidth="1"/>
    <col min="15" max="15" width="13.5703125" customWidth="1"/>
    <col min="16" max="16" width="12.42578125" customWidth="1"/>
    <col min="17" max="17" width="17.5703125" bestFit="1" customWidth="1"/>
    <col min="19" max="19" width="11.85546875" customWidth="1"/>
    <col min="20" max="20" width="18" customWidth="1"/>
    <col min="21" max="21" width="11.7109375" customWidth="1"/>
    <col min="22" max="22" width="13.42578125" customWidth="1"/>
    <col min="23" max="23" width="13.85546875" customWidth="1"/>
    <col min="24" max="24" width="13.5703125" customWidth="1"/>
    <col min="25" max="25" width="12.42578125" customWidth="1"/>
    <col min="26" max="26" width="17.5703125" bestFit="1" customWidth="1"/>
  </cols>
  <sheetData>
    <row r="1" spans="1:26" x14ac:dyDescent="0.2">
      <c r="A1" t="s">
        <v>264</v>
      </c>
      <c r="J1" s="58" t="s">
        <v>345</v>
      </c>
      <c r="S1" t="s">
        <v>265</v>
      </c>
    </row>
    <row r="2" spans="1:26" ht="36.75" thickBot="1" x14ac:dyDescent="0.25">
      <c r="A2" s="299" t="s">
        <v>255</v>
      </c>
      <c r="B2" s="285" t="s">
        <v>0</v>
      </c>
      <c r="C2" s="285" t="s">
        <v>3</v>
      </c>
      <c r="D2" s="285" t="s">
        <v>4</v>
      </c>
      <c r="E2" s="285" t="s">
        <v>217</v>
      </c>
      <c r="F2" s="285" t="s">
        <v>5</v>
      </c>
      <c r="G2" s="285" t="s">
        <v>17</v>
      </c>
      <c r="H2" s="286" t="s">
        <v>10</v>
      </c>
      <c r="J2" s="299" t="s">
        <v>255</v>
      </c>
      <c r="K2" s="285" t="s">
        <v>0</v>
      </c>
      <c r="L2" s="285" t="s">
        <v>3</v>
      </c>
      <c r="M2" s="285" t="s">
        <v>4</v>
      </c>
      <c r="N2" s="285" t="s">
        <v>217</v>
      </c>
      <c r="O2" s="285" t="s">
        <v>5</v>
      </c>
      <c r="P2" s="285" t="s">
        <v>17</v>
      </c>
      <c r="Q2" s="286" t="s">
        <v>10</v>
      </c>
      <c r="S2" s="299" t="s">
        <v>255</v>
      </c>
      <c r="T2" s="285" t="s">
        <v>0</v>
      </c>
      <c r="U2" s="285" t="s">
        <v>3</v>
      </c>
      <c r="V2" s="285" t="s">
        <v>4</v>
      </c>
      <c r="W2" s="285" t="s">
        <v>217</v>
      </c>
      <c r="X2" s="285" t="s">
        <v>5</v>
      </c>
      <c r="Y2" s="285" t="s">
        <v>17</v>
      </c>
      <c r="Z2" s="286" t="s">
        <v>10</v>
      </c>
    </row>
    <row r="3" spans="1:26" x14ac:dyDescent="0.2">
      <c r="A3" s="287">
        <f>+'Purchased Power Model '!A3</f>
        <v>37622</v>
      </c>
      <c r="B3" s="288">
        <f>+'Purchased Power Model '!B3</f>
        <v>126011890</v>
      </c>
      <c r="C3" s="289">
        <f>+'Purchased Power Model '!C3</f>
        <v>786</v>
      </c>
      <c r="D3" s="289">
        <f>+'Purchased Power Model '!D3</f>
        <v>0</v>
      </c>
      <c r="E3" s="290">
        <f>+'Purchased Power Model '!E3</f>
        <v>5.2000000000000005E-2</v>
      </c>
      <c r="F3" s="291">
        <f>+'Purchased Power Model '!F3</f>
        <v>31</v>
      </c>
      <c r="G3" s="291">
        <f>+'Purchased Power Model '!G3</f>
        <v>0</v>
      </c>
      <c r="H3" s="292">
        <f>+'Purchased Power Model '!H3</f>
        <v>118335604.95606168</v>
      </c>
      <c r="J3" s="287">
        <f>+'10 Year Average'!A3</f>
        <v>37622</v>
      </c>
      <c r="K3" s="288">
        <f>+'10 Year Average'!B3</f>
        <v>126011890</v>
      </c>
      <c r="L3" s="289">
        <f>+'10 Year Average'!C3</f>
        <v>786</v>
      </c>
      <c r="M3" s="289">
        <f>+'10 Year Average'!D3</f>
        <v>0</v>
      </c>
      <c r="N3" s="290">
        <f>+'10 Year Average'!E3</f>
        <v>5.2000000000000005E-2</v>
      </c>
      <c r="O3" s="291">
        <f>+'10 Year Average'!F3</f>
        <v>31</v>
      </c>
      <c r="P3" s="291">
        <f>+'10 Year Average'!G3</f>
        <v>0</v>
      </c>
      <c r="Q3" s="292">
        <f>+'10 Year Average'!H3</f>
        <v>118335604.95606168</v>
      </c>
      <c r="S3" s="287">
        <f>+'20 Year Trend'!A3</f>
        <v>37622</v>
      </c>
      <c r="T3" s="288">
        <f>+'20 Year Trend'!B3</f>
        <v>126011890</v>
      </c>
      <c r="U3" s="289">
        <f>+'20 Year Trend'!C3</f>
        <v>786</v>
      </c>
      <c r="V3" s="289">
        <f>+'20 Year Trend'!D3</f>
        <v>0</v>
      </c>
      <c r="W3" s="290">
        <f>+'20 Year Trend'!E3</f>
        <v>5.2000000000000005E-2</v>
      </c>
      <c r="X3" s="291">
        <f>+'20 Year Trend'!F3</f>
        <v>31</v>
      </c>
      <c r="Y3" s="291">
        <f>+'20 Year Trend'!G3</f>
        <v>0</v>
      </c>
      <c r="Z3" s="292">
        <f>+'20 Year Trend'!H3</f>
        <v>118335604.95606168</v>
      </c>
    </row>
    <row r="4" spans="1:26" x14ac:dyDescent="0.2">
      <c r="A4" s="287">
        <f>+'Purchased Power Model '!A4</f>
        <v>37653</v>
      </c>
      <c r="B4" s="288">
        <f>+'Purchased Power Model '!B4</f>
        <v>112581000</v>
      </c>
      <c r="C4" s="289">
        <f>+'Purchased Power Model '!C4</f>
        <v>686.5</v>
      </c>
      <c r="D4" s="289">
        <f>+'Purchased Power Model '!D4</f>
        <v>0</v>
      </c>
      <c r="E4" s="290">
        <f>+'Purchased Power Model '!E4</f>
        <v>5.2000000000000005E-2</v>
      </c>
      <c r="F4" s="291">
        <f>+'Purchased Power Model '!F4</f>
        <v>28</v>
      </c>
      <c r="G4" s="291">
        <f>+'Purchased Power Model '!G4</f>
        <v>0</v>
      </c>
      <c r="H4" s="292">
        <f>+'Purchased Power Model '!H4</f>
        <v>106358375.85138433</v>
      </c>
      <c r="J4" s="287">
        <f>+'10 Year Average'!A4</f>
        <v>37653</v>
      </c>
      <c r="K4" s="288">
        <f>+'10 Year Average'!B4</f>
        <v>112581000</v>
      </c>
      <c r="L4" s="289">
        <f>+'10 Year Average'!C4</f>
        <v>686.5</v>
      </c>
      <c r="M4" s="289">
        <f>+'10 Year Average'!D4</f>
        <v>0</v>
      </c>
      <c r="N4" s="290">
        <f>+'10 Year Average'!E4</f>
        <v>5.2000000000000005E-2</v>
      </c>
      <c r="O4" s="291">
        <f>+'10 Year Average'!F4</f>
        <v>28</v>
      </c>
      <c r="P4" s="291">
        <f>+'10 Year Average'!G4</f>
        <v>0</v>
      </c>
      <c r="Q4" s="292">
        <f>+'10 Year Average'!H4</f>
        <v>106358375.85138433</v>
      </c>
      <c r="S4" s="287">
        <f>+'20 Year Trend'!A4</f>
        <v>37653</v>
      </c>
      <c r="T4" s="288">
        <f>+'20 Year Trend'!B4</f>
        <v>112581000</v>
      </c>
      <c r="U4" s="289">
        <f>+'20 Year Trend'!C4</f>
        <v>686.5</v>
      </c>
      <c r="V4" s="289">
        <f>+'20 Year Trend'!D4</f>
        <v>0</v>
      </c>
      <c r="W4" s="290">
        <f>+'20 Year Trend'!E4</f>
        <v>5.2000000000000005E-2</v>
      </c>
      <c r="X4" s="291">
        <f>+'20 Year Trend'!F4</f>
        <v>28</v>
      </c>
      <c r="Y4" s="291">
        <f>+'20 Year Trend'!G4</f>
        <v>0</v>
      </c>
      <c r="Z4" s="292">
        <f>+'20 Year Trend'!H4</f>
        <v>106358375.85138433</v>
      </c>
    </row>
    <row r="5" spans="1:26" x14ac:dyDescent="0.2">
      <c r="A5" s="287">
        <f>+'Purchased Power Model '!A5</f>
        <v>37681</v>
      </c>
      <c r="B5" s="288">
        <f>+'Purchased Power Model '!B5</f>
        <v>110536430</v>
      </c>
      <c r="C5" s="289">
        <f>+'Purchased Power Model '!C5</f>
        <v>572.5</v>
      </c>
      <c r="D5" s="289">
        <f>+'Purchased Power Model '!D5</f>
        <v>0</v>
      </c>
      <c r="E5" s="290">
        <f>+'Purchased Power Model '!E5</f>
        <v>5.2000000000000005E-2</v>
      </c>
      <c r="F5" s="291">
        <f>+'Purchased Power Model '!F5</f>
        <v>31</v>
      </c>
      <c r="G5" s="291">
        <f>+'Purchased Power Model '!G5</f>
        <v>1</v>
      </c>
      <c r="H5" s="292">
        <f>+'Purchased Power Model '!H5</f>
        <v>103387848.88866398</v>
      </c>
      <c r="J5" s="287">
        <f>+'10 Year Average'!A5</f>
        <v>37681</v>
      </c>
      <c r="K5" s="288">
        <f>+'10 Year Average'!B5</f>
        <v>110536430</v>
      </c>
      <c r="L5" s="289">
        <f>+'10 Year Average'!C5</f>
        <v>572.5</v>
      </c>
      <c r="M5" s="289">
        <f>+'10 Year Average'!D5</f>
        <v>0</v>
      </c>
      <c r="N5" s="290">
        <f>+'10 Year Average'!E5</f>
        <v>5.2000000000000005E-2</v>
      </c>
      <c r="O5" s="291">
        <f>+'10 Year Average'!F5</f>
        <v>31</v>
      </c>
      <c r="P5" s="291">
        <f>+'10 Year Average'!G5</f>
        <v>1</v>
      </c>
      <c r="Q5" s="292">
        <f>+'10 Year Average'!H5</f>
        <v>103387848.88866398</v>
      </c>
      <c r="S5" s="287">
        <f>+'20 Year Trend'!A5</f>
        <v>37681</v>
      </c>
      <c r="T5" s="288">
        <f>+'20 Year Trend'!B5</f>
        <v>110536430</v>
      </c>
      <c r="U5" s="289">
        <f>+'20 Year Trend'!C5</f>
        <v>572.5</v>
      </c>
      <c r="V5" s="289">
        <f>+'20 Year Trend'!D5</f>
        <v>0</v>
      </c>
      <c r="W5" s="290">
        <f>+'20 Year Trend'!E5</f>
        <v>5.2000000000000005E-2</v>
      </c>
      <c r="X5" s="291">
        <f>+'20 Year Trend'!F5</f>
        <v>31</v>
      </c>
      <c r="Y5" s="291">
        <f>+'20 Year Trend'!G5</f>
        <v>1</v>
      </c>
      <c r="Z5" s="292">
        <f>+'20 Year Trend'!H5</f>
        <v>103387848.88866398</v>
      </c>
    </row>
    <row r="6" spans="1:26" x14ac:dyDescent="0.2">
      <c r="A6" s="287">
        <f>+'Purchased Power Model '!A6</f>
        <v>37712</v>
      </c>
      <c r="B6" s="288">
        <f>+'Purchased Power Model '!B6</f>
        <v>97712940</v>
      </c>
      <c r="C6" s="289">
        <f>+'Purchased Power Model '!C6</f>
        <v>403.9</v>
      </c>
      <c r="D6" s="289">
        <f>+'Purchased Power Model '!D6</f>
        <v>0</v>
      </c>
      <c r="E6" s="290">
        <f>+'Purchased Power Model '!E6</f>
        <v>5.5999999999999994E-2</v>
      </c>
      <c r="F6" s="291">
        <f>+'Purchased Power Model '!F6</f>
        <v>30</v>
      </c>
      <c r="G6" s="291">
        <f>+'Purchased Power Model '!G6</f>
        <v>1</v>
      </c>
      <c r="H6" s="292">
        <f>+'Purchased Power Model '!H6</f>
        <v>93884411.207610041</v>
      </c>
      <c r="J6" s="287">
        <f>+'10 Year Average'!A6</f>
        <v>37712</v>
      </c>
      <c r="K6" s="288">
        <f>+'10 Year Average'!B6</f>
        <v>97712940</v>
      </c>
      <c r="L6" s="289">
        <f>+'10 Year Average'!C6</f>
        <v>403.9</v>
      </c>
      <c r="M6" s="289">
        <f>+'10 Year Average'!D6</f>
        <v>0</v>
      </c>
      <c r="N6" s="290">
        <f>+'10 Year Average'!E6</f>
        <v>5.5999999999999994E-2</v>
      </c>
      <c r="O6" s="291">
        <f>+'10 Year Average'!F6</f>
        <v>30</v>
      </c>
      <c r="P6" s="291">
        <f>+'10 Year Average'!G6</f>
        <v>1</v>
      </c>
      <c r="Q6" s="292">
        <f>+'10 Year Average'!H6</f>
        <v>93884411.207610041</v>
      </c>
      <c r="S6" s="287">
        <f>+'20 Year Trend'!A6</f>
        <v>37712</v>
      </c>
      <c r="T6" s="288">
        <f>+'20 Year Trend'!B6</f>
        <v>97712940</v>
      </c>
      <c r="U6" s="289">
        <f>+'20 Year Trend'!C6</f>
        <v>403.9</v>
      </c>
      <c r="V6" s="289">
        <f>+'20 Year Trend'!D6</f>
        <v>0</v>
      </c>
      <c r="W6" s="290">
        <f>+'20 Year Trend'!E6</f>
        <v>5.5999999999999994E-2</v>
      </c>
      <c r="X6" s="291">
        <f>+'20 Year Trend'!F6</f>
        <v>30</v>
      </c>
      <c r="Y6" s="291">
        <f>+'20 Year Trend'!G6</f>
        <v>1</v>
      </c>
      <c r="Z6" s="292">
        <f>+'20 Year Trend'!H6</f>
        <v>93884411.207610041</v>
      </c>
    </row>
    <row r="7" spans="1:26" x14ac:dyDescent="0.2">
      <c r="A7" s="287">
        <f>+'Purchased Power Model '!A7</f>
        <v>37742</v>
      </c>
      <c r="B7" s="288">
        <f>+'Purchased Power Model '!B7</f>
        <v>90261150</v>
      </c>
      <c r="C7" s="289">
        <f>+'Purchased Power Model '!C7</f>
        <v>192</v>
      </c>
      <c r="D7" s="289">
        <f>+'Purchased Power Model '!D7</f>
        <v>0</v>
      </c>
      <c r="E7" s="290">
        <f>+'Purchased Power Model '!E7</f>
        <v>5.5999999999999994E-2</v>
      </c>
      <c r="F7" s="291">
        <f>+'Purchased Power Model '!F7</f>
        <v>31</v>
      </c>
      <c r="G7" s="291">
        <f>+'Purchased Power Model '!G7</f>
        <v>1</v>
      </c>
      <c r="H7" s="292">
        <f>+'Purchased Power Model '!H7</f>
        <v>88463641.782313541</v>
      </c>
      <c r="J7" s="287">
        <f>+'10 Year Average'!A7</f>
        <v>37742</v>
      </c>
      <c r="K7" s="288">
        <f>+'10 Year Average'!B7</f>
        <v>90261150</v>
      </c>
      <c r="L7" s="289">
        <f>+'10 Year Average'!C7</f>
        <v>192</v>
      </c>
      <c r="M7" s="289">
        <f>+'10 Year Average'!D7</f>
        <v>0</v>
      </c>
      <c r="N7" s="290">
        <f>+'10 Year Average'!E7</f>
        <v>5.5999999999999994E-2</v>
      </c>
      <c r="O7" s="291">
        <f>+'10 Year Average'!F7</f>
        <v>31</v>
      </c>
      <c r="P7" s="291">
        <f>+'10 Year Average'!G7</f>
        <v>1</v>
      </c>
      <c r="Q7" s="292">
        <f>+'10 Year Average'!H7</f>
        <v>88463641.782313541</v>
      </c>
      <c r="S7" s="287">
        <f>+'20 Year Trend'!A7</f>
        <v>37742</v>
      </c>
      <c r="T7" s="288">
        <f>+'20 Year Trend'!B7</f>
        <v>90261150</v>
      </c>
      <c r="U7" s="289">
        <f>+'20 Year Trend'!C7</f>
        <v>192</v>
      </c>
      <c r="V7" s="289">
        <f>+'20 Year Trend'!D7</f>
        <v>0</v>
      </c>
      <c r="W7" s="290">
        <f>+'20 Year Trend'!E7</f>
        <v>5.5999999999999994E-2</v>
      </c>
      <c r="X7" s="291">
        <f>+'20 Year Trend'!F7</f>
        <v>31</v>
      </c>
      <c r="Y7" s="291">
        <f>+'20 Year Trend'!G7</f>
        <v>1</v>
      </c>
      <c r="Z7" s="292">
        <f>+'20 Year Trend'!H7</f>
        <v>88463641.782313541</v>
      </c>
    </row>
    <row r="8" spans="1:26" x14ac:dyDescent="0.2">
      <c r="A8" s="287">
        <f>+'Purchased Power Model '!A8</f>
        <v>37773</v>
      </c>
      <c r="B8" s="288">
        <f>+'Purchased Power Model '!B8</f>
        <v>92476040</v>
      </c>
      <c r="C8" s="289">
        <f>+'Purchased Power Model '!C8</f>
        <v>55.1</v>
      </c>
      <c r="D8" s="289">
        <f>+'Purchased Power Model '!D8</f>
        <v>31</v>
      </c>
      <c r="E8" s="290">
        <f>+'Purchased Power Model '!E8</f>
        <v>5.5999999999999994E-2</v>
      </c>
      <c r="F8" s="291">
        <f>+'Purchased Power Model '!F8</f>
        <v>30</v>
      </c>
      <c r="G8" s="291">
        <f>+'Purchased Power Model '!G8</f>
        <v>0</v>
      </c>
      <c r="H8" s="292">
        <f>+'Purchased Power Model '!H8</f>
        <v>91985879.438937098</v>
      </c>
      <c r="J8" s="287">
        <f>+'10 Year Average'!A8</f>
        <v>37773</v>
      </c>
      <c r="K8" s="288">
        <f>+'10 Year Average'!B8</f>
        <v>92476040</v>
      </c>
      <c r="L8" s="289">
        <f>+'10 Year Average'!C8</f>
        <v>55.1</v>
      </c>
      <c r="M8" s="289">
        <f>+'10 Year Average'!D8</f>
        <v>31</v>
      </c>
      <c r="N8" s="290">
        <f>+'10 Year Average'!E8</f>
        <v>5.5999999999999994E-2</v>
      </c>
      <c r="O8" s="291">
        <f>+'10 Year Average'!F8</f>
        <v>30</v>
      </c>
      <c r="P8" s="291">
        <f>+'10 Year Average'!G8</f>
        <v>0</v>
      </c>
      <c r="Q8" s="292">
        <f>+'10 Year Average'!H8</f>
        <v>91985879.438937098</v>
      </c>
      <c r="S8" s="287">
        <f>+'20 Year Trend'!A8</f>
        <v>37773</v>
      </c>
      <c r="T8" s="288">
        <f>+'20 Year Trend'!B8</f>
        <v>92476040</v>
      </c>
      <c r="U8" s="289">
        <f>+'20 Year Trend'!C8</f>
        <v>55.1</v>
      </c>
      <c r="V8" s="289">
        <f>+'20 Year Trend'!D8</f>
        <v>31</v>
      </c>
      <c r="W8" s="290">
        <f>+'20 Year Trend'!E8</f>
        <v>5.5999999999999994E-2</v>
      </c>
      <c r="X8" s="291">
        <f>+'20 Year Trend'!F8</f>
        <v>30</v>
      </c>
      <c r="Y8" s="291">
        <f>+'20 Year Trend'!G8</f>
        <v>0</v>
      </c>
      <c r="Z8" s="292">
        <f>+'20 Year Trend'!H8</f>
        <v>91985879.438937098</v>
      </c>
    </row>
    <row r="9" spans="1:26" x14ac:dyDescent="0.2">
      <c r="A9" s="287">
        <f>+'Purchased Power Model '!A9</f>
        <v>37803</v>
      </c>
      <c r="B9" s="288">
        <f>+'Purchased Power Model '!B9</f>
        <v>100371630</v>
      </c>
      <c r="C9" s="289">
        <f>+'Purchased Power Model '!C9</f>
        <v>5.7</v>
      </c>
      <c r="D9" s="289">
        <f>+'Purchased Power Model '!D9</f>
        <v>59.1</v>
      </c>
      <c r="E9" s="290">
        <f>+'Purchased Power Model '!E9</f>
        <v>5.0999999999999997E-2</v>
      </c>
      <c r="F9" s="291">
        <f>+'Purchased Power Model '!F9</f>
        <v>31</v>
      </c>
      <c r="G9" s="291">
        <f>+'Purchased Power Model '!G9</f>
        <v>0</v>
      </c>
      <c r="H9" s="292">
        <f>+'Purchased Power Model '!H9</f>
        <v>97500518.259077847</v>
      </c>
      <c r="J9" s="287">
        <f>+'10 Year Average'!A9</f>
        <v>37803</v>
      </c>
      <c r="K9" s="288">
        <f>+'10 Year Average'!B9</f>
        <v>100371630</v>
      </c>
      <c r="L9" s="289">
        <f>+'10 Year Average'!C9</f>
        <v>5.7</v>
      </c>
      <c r="M9" s="289">
        <f>+'10 Year Average'!D9</f>
        <v>59.1</v>
      </c>
      <c r="N9" s="290">
        <f>+'10 Year Average'!E9</f>
        <v>5.0999999999999997E-2</v>
      </c>
      <c r="O9" s="291">
        <f>+'10 Year Average'!F9</f>
        <v>31</v>
      </c>
      <c r="P9" s="291">
        <f>+'10 Year Average'!G9</f>
        <v>0</v>
      </c>
      <c r="Q9" s="292">
        <f>+'10 Year Average'!H9</f>
        <v>97500518.259077847</v>
      </c>
      <c r="S9" s="287">
        <f>+'20 Year Trend'!A9</f>
        <v>37803</v>
      </c>
      <c r="T9" s="288">
        <f>+'20 Year Trend'!B9</f>
        <v>100371630</v>
      </c>
      <c r="U9" s="289">
        <f>+'20 Year Trend'!C9</f>
        <v>5.7</v>
      </c>
      <c r="V9" s="289">
        <f>+'20 Year Trend'!D9</f>
        <v>59.1</v>
      </c>
      <c r="W9" s="290">
        <f>+'20 Year Trend'!E9</f>
        <v>5.0999999999999997E-2</v>
      </c>
      <c r="X9" s="291">
        <f>+'20 Year Trend'!F9</f>
        <v>31</v>
      </c>
      <c r="Y9" s="291">
        <f>+'20 Year Trend'!G9</f>
        <v>0</v>
      </c>
      <c r="Z9" s="292">
        <f>+'20 Year Trend'!H9</f>
        <v>97500518.259077847</v>
      </c>
    </row>
    <row r="10" spans="1:26" x14ac:dyDescent="0.2">
      <c r="A10" s="287">
        <f>+'Purchased Power Model '!A10</f>
        <v>37834</v>
      </c>
      <c r="B10" s="288">
        <f>+'Purchased Power Model '!B10</f>
        <v>101507680</v>
      </c>
      <c r="C10" s="289">
        <f>+'Purchased Power Model '!C10</f>
        <v>10.4</v>
      </c>
      <c r="D10" s="289">
        <f>+'Purchased Power Model '!D10</f>
        <v>106.5</v>
      </c>
      <c r="E10" s="290">
        <f>+'Purchased Power Model '!E10</f>
        <v>5.0999999999999997E-2</v>
      </c>
      <c r="F10" s="291">
        <f>+'Purchased Power Model '!F10</f>
        <v>31</v>
      </c>
      <c r="G10" s="291">
        <f>+'Purchased Power Model '!G10</f>
        <v>0</v>
      </c>
      <c r="H10" s="292">
        <f>+'Purchased Power Model '!H10</f>
        <v>104947073.52873427</v>
      </c>
      <c r="J10" s="287">
        <f>+'10 Year Average'!A10</f>
        <v>37834</v>
      </c>
      <c r="K10" s="288">
        <f>+'10 Year Average'!B10</f>
        <v>101507680</v>
      </c>
      <c r="L10" s="289">
        <f>+'10 Year Average'!C10</f>
        <v>10.4</v>
      </c>
      <c r="M10" s="289">
        <f>+'10 Year Average'!D10</f>
        <v>106.5</v>
      </c>
      <c r="N10" s="290">
        <f>+'10 Year Average'!E10</f>
        <v>5.0999999999999997E-2</v>
      </c>
      <c r="O10" s="291">
        <f>+'10 Year Average'!F10</f>
        <v>31</v>
      </c>
      <c r="P10" s="291">
        <f>+'10 Year Average'!G10</f>
        <v>0</v>
      </c>
      <c r="Q10" s="292">
        <f>+'10 Year Average'!H10</f>
        <v>104947073.52873427</v>
      </c>
      <c r="S10" s="287">
        <f>+'20 Year Trend'!A10</f>
        <v>37834</v>
      </c>
      <c r="T10" s="288">
        <f>+'20 Year Trend'!B10</f>
        <v>101507680</v>
      </c>
      <c r="U10" s="289">
        <f>+'20 Year Trend'!C10</f>
        <v>10.4</v>
      </c>
      <c r="V10" s="289">
        <f>+'20 Year Trend'!D10</f>
        <v>106.5</v>
      </c>
      <c r="W10" s="290">
        <f>+'20 Year Trend'!E10</f>
        <v>5.0999999999999997E-2</v>
      </c>
      <c r="X10" s="291">
        <f>+'20 Year Trend'!F10</f>
        <v>31</v>
      </c>
      <c r="Y10" s="291">
        <f>+'20 Year Trend'!G10</f>
        <v>0</v>
      </c>
      <c r="Z10" s="292">
        <f>+'20 Year Trend'!H10</f>
        <v>104947073.52873427</v>
      </c>
    </row>
    <row r="11" spans="1:26" x14ac:dyDescent="0.2">
      <c r="A11" s="287">
        <f>+'Purchased Power Model '!A11</f>
        <v>37865</v>
      </c>
      <c r="B11" s="288">
        <f>+'Purchased Power Model '!B11</f>
        <v>91341000</v>
      </c>
      <c r="C11" s="289">
        <f>+'Purchased Power Model '!C11</f>
        <v>55.2</v>
      </c>
      <c r="D11" s="289">
        <f>+'Purchased Power Model '!D11</f>
        <v>12.1</v>
      </c>
      <c r="E11" s="290">
        <f>+'Purchased Power Model '!E11</f>
        <v>5.0999999999999997E-2</v>
      </c>
      <c r="F11" s="291">
        <f>+'Purchased Power Model '!F11</f>
        <v>30</v>
      </c>
      <c r="G11" s="291">
        <f>+'Purchased Power Model '!G11</f>
        <v>1</v>
      </c>
      <c r="H11" s="292">
        <f>+'Purchased Power Model '!H11</f>
        <v>82731609.371544942</v>
      </c>
      <c r="J11" s="287">
        <f>+'10 Year Average'!A11</f>
        <v>37865</v>
      </c>
      <c r="K11" s="288">
        <f>+'10 Year Average'!B11</f>
        <v>91341000</v>
      </c>
      <c r="L11" s="289">
        <f>+'10 Year Average'!C11</f>
        <v>55.2</v>
      </c>
      <c r="M11" s="289">
        <f>+'10 Year Average'!D11</f>
        <v>12.1</v>
      </c>
      <c r="N11" s="290">
        <f>+'10 Year Average'!E11</f>
        <v>5.0999999999999997E-2</v>
      </c>
      <c r="O11" s="291">
        <f>+'10 Year Average'!F11</f>
        <v>30</v>
      </c>
      <c r="P11" s="291">
        <f>+'10 Year Average'!G11</f>
        <v>1</v>
      </c>
      <c r="Q11" s="292">
        <f>+'10 Year Average'!H11</f>
        <v>82731609.371544942</v>
      </c>
      <c r="S11" s="287">
        <f>+'20 Year Trend'!A11</f>
        <v>37865</v>
      </c>
      <c r="T11" s="288">
        <f>+'20 Year Trend'!B11</f>
        <v>91341000</v>
      </c>
      <c r="U11" s="289">
        <f>+'20 Year Trend'!C11</f>
        <v>55.2</v>
      </c>
      <c r="V11" s="289">
        <f>+'20 Year Trend'!D11</f>
        <v>12.1</v>
      </c>
      <c r="W11" s="290">
        <f>+'20 Year Trend'!E11</f>
        <v>5.0999999999999997E-2</v>
      </c>
      <c r="X11" s="291">
        <f>+'20 Year Trend'!F11</f>
        <v>30</v>
      </c>
      <c r="Y11" s="291">
        <f>+'20 Year Trend'!G11</f>
        <v>1</v>
      </c>
      <c r="Z11" s="292">
        <f>+'20 Year Trend'!H11</f>
        <v>82731609.371544942</v>
      </c>
    </row>
    <row r="12" spans="1:26" x14ac:dyDescent="0.2">
      <c r="A12" s="287">
        <f>+'Purchased Power Model '!A12</f>
        <v>37895</v>
      </c>
      <c r="B12" s="288">
        <f>+'Purchased Power Model '!B12</f>
        <v>95672250</v>
      </c>
      <c r="C12" s="289">
        <f>+'Purchased Power Model '!C12</f>
        <v>289.7</v>
      </c>
      <c r="D12" s="289">
        <f>+'Purchased Power Model '!D12</f>
        <v>0</v>
      </c>
      <c r="E12" s="290">
        <f>+'Purchased Power Model '!E12</f>
        <v>4.8000000000000001E-2</v>
      </c>
      <c r="F12" s="291">
        <f>+'Purchased Power Model '!F12</f>
        <v>31</v>
      </c>
      <c r="G12" s="291">
        <f>+'Purchased Power Model '!G12</f>
        <v>1</v>
      </c>
      <c r="H12" s="292">
        <f>+'Purchased Power Model '!H12</f>
        <v>92834247.03890723</v>
      </c>
      <c r="J12" s="287">
        <f>+'10 Year Average'!A12</f>
        <v>37895</v>
      </c>
      <c r="K12" s="288">
        <f>+'10 Year Average'!B12</f>
        <v>95672250</v>
      </c>
      <c r="L12" s="289">
        <f>+'10 Year Average'!C12</f>
        <v>289.7</v>
      </c>
      <c r="M12" s="289">
        <f>+'10 Year Average'!D12</f>
        <v>0</v>
      </c>
      <c r="N12" s="290">
        <f>+'10 Year Average'!E12</f>
        <v>4.8000000000000001E-2</v>
      </c>
      <c r="O12" s="291">
        <f>+'10 Year Average'!F12</f>
        <v>31</v>
      </c>
      <c r="P12" s="291">
        <f>+'10 Year Average'!G12</f>
        <v>1</v>
      </c>
      <c r="Q12" s="292">
        <f>+'10 Year Average'!H12</f>
        <v>92834247.03890723</v>
      </c>
      <c r="S12" s="287">
        <f>+'20 Year Trend'!A12</f>
        <v>37895</v>
      </c>
      <c r="T12" s="288">
        <f>+'20 Year Trend'!B12</f>
        <v>95672250</v>
      </c>
      <c r="U12" s="289">
        <f>+'20 Year Trend'!C12</f>
        <v>289.7</v>
      </c>
      <c r="V12" s="289">
        <f>+'20 Year Trend'!D12</f>
        <v>0</v>
      </c>
      <c r="W12" s="290">
        <f>+'20 Year Trend'!E12</f>
        <v>4.8000000000000001E-2</v>
      </c>
      <c r="X12" s="291">
        <f>+'20 Year Trend'!F12</f>
        <v>31</v>
      </c>
      <c r="Y12" s="291">
        <f>+'20 Year Trend'!G12</f>
        <v>1</v>
      </c>
      <c r="Z12" s="292">
        <f>+'20 Year Trend'!H12</f>
        <v>92834247.03890723</v>
      </c>
    </row>
    <row r="13" spans="1:26" x14ac:dyDescent="0.2">
      <c r="A13" s="287">
        <f>+'Purchased Power Model '!A13</f>
        <v>37926</v>
      </c>
      <c r="B13" s="288">
        <f>+'Purchased Power Model '!B13</f>
        <v>101404920</v>
      </c>
      <c r="C13" s="289">
        <f>+'Purchased Power Model '!C13</f>
        <v>387.6</v>
      </c>
      <c r="D13" s="289">
        <f>+'Purchased Power Model '!D13</f>
        <v>0</v>
      </c>
      <c r="E13" s="290">
        <f>+'Purchased Power Model '!E13</f>
        <v>4.8000000000000001E-2</v>
      </c>
      <c r="F13" s="291">
        <f>+'Purchased Power Model '!F13</f>
        <v>30</v>
      </c>
      <c r="G13" s="291">
        <f>+'Purchased Power Model '!G13</f>
        <v>1</v>
      </c>
      <c r="H13" s="292">
        <f>+'Purchased Power Model '!H13</f>
        <v>93876198.099970028</v>
      </c>
      <c r="J13" s="287">
        <f>+'10 Year Average'!A13</f>
        <v>37926</v>
      </c>
      <c r="K13" s="288">
        <f>+'10 Year Average'!B13</f>
        <v>101404920</v>
      </c>
      <c r="L13" s="289">
        <f>+'10 Year Average'!C13</f>
        <v>387.6</v>
      </c>
      <c r="M13" s="289">
        <f>+'10 Year Average'!D13</f>
        <v>0</v>
      </c>
      <c r="N13" s="290">
        <f>+'10 Year Average'!E13</f>
        <v>4.8000000000000001E-2</v>
      </c>
      <c r="O13" s="291">
        <f>+'10 Year Average'!F13</f>
        <v>30</v>
      </c>
      <c r="P13" s="291">
        <f>+'10 Year Average'!G13</f>
        <v>1</v>
      </c>
      <c r="Q13" s="292">
        <f>+'10 Year Average'!H13</f>
        <v>93876198.099970028</v>
      </c>
      <c r="S13" s="287">
        <f>+'20 Year Trend'!A13</f>
        <v>37926</v>
      </c>
      <c r="T13" s="288">
        <f>+'20 Year Trend'!B13</f>
        <v>101404920</v>
      </c>
      <c r="U13" s="289">
        <f>+'20 Year Trend'!C13</f>
        <v>387.6</v>
      </c>
      <c r="V13" s="289">
        <f>+'20 Year Trend'!D13</f>
        <v>0</v>
      </c>
      <c r="W13" s="290">
        <f>+'20 Year Trend'!E13</f>
        <v>4.8000000000000001E-2</v>
      </c>
      <c r="X13" s="291">
        <f>+'20 Year Trend'!F13</f>
        <v>30</v>
      </c>
      <c r="Y13" s="291">
        <f>+'20 Year Trend'!G13</f>
        <v>1</v>
      </c>
      <c r="Z13" s="292">
        <f>+'20 Year Trend'!H13</f>
        <v>93876198.099970028</v>
      </c>
    </row>
    <row r="14" spans="1:26" x14ac:dyDescent="0.2">
      <c r="A14" s="287">
        <f>+'Purchased Power Model '!A14</f>
        <v>37956</v>
      </c>
      <c r="B14" s="288">
        <f>+'Purchased Power Model '!B14</f>
        <v>112847240</v>
      </c>
      <c r="C14" s="289">
        <f>+'Purchased Power Model '!C14</f>
        <v>548.20000000000005</v>
      </c>
      <c r="D14" s="289">
        <f>+'Purchased Power Model '!D14</f>
        <v>0</v>
      </c>
      <c r="E14" s="290">
        <f>+'Purchased Power Model '!E14</f>
        <v>4.8000000000000001E-2</v>
      </c>
      <c r="F14" s="291">
        <f>+'Purchased Power Model '!F14</f>
        <v>31</v>
      </c>
      <c r="G14" s="291">
        <f>+'Purchased Power Model '!G14</f>
        <v>0</v>
      </c>
      <c r="H14" s="292">
        <f>+'Purchased Power Model '!H14</f>
        <v>109510484.03955507</v>
      </c>
      <c r="J14" s="287">
        <f>+'10 Year Average'!A14</f>
        <v>37956</v>
      </c>
      <c r="K14" s="288">
        <f>+'10 Year Average'!B14</f>
        <v>112847240</v>
      </c>
      <c r="L14" s="289">
        <f>+'10 Year Average'!C14</f>
        <v>548.20000000000005</v>
      </c>
      <c r="M14" s="289">
        <f>+'10 Year Average'!D14</f>
        <v>0</v>
      </c>
      <c r="N14" s="290">
        <f>+'10 Year Average'!E14</f>
        <v>4.8000000000000001E-2</v>
      </c>
      <c r="O14" s="291">
        <f>+'10 Year Average'!F14</f>
        <v>31</v>
      </c>
      <c r="P14" s="291">
        <f>+'10 Year Average'!G14</f>
        <v>0</v>
      </c>
      <c r="Q14" s="292">
        <f>+'10 Year Average'!H14</f>
        <v>109510484.03955507</v>
      </c>
      <c r="S14" s="287">
        <f>+'20 Year Trend'!A14</f>
        <v>37956</v>
      </c>
      <c r="T14" s="288">
        <f>+'20 Year Trend'!B14</f>
        <v>112847240</v>
      </c>
      <c r="U14" s="289">
        <f>+'20 Year Trend'!C14</f>
        <v>548.20000000000005</v>
      </c>
      <c r="V14" s="289">
        <f>+'20 Year Trend'!D14</f>
        <v>0</v>
      </c>
      <c r="W14" s="290">
        <f>+'20 Year Trend'!E14</f>
        <v>4.8000000000000001E-2</v>
      </c>
      <c r="X14" s="291">
        <f>+'20 Year Trend'!F14</f>
        <v>31</v>
      </c>
      <c r="Y14" s="291">
        <f>+'20 Year Trend'!G14</f>
        <v>0</v>
      </c>
      <c r="Z14" s="292">
        <f>+'20 Year Trend'!H14</f>
        <v>109510484.03955507</v>
      </c>
    </row>
    <row r="15" spans="1:26" x14ac:dyDescent="0.2">
      <c r="A15" s="287">
        <f>+'Purchased Power Model '!A15</f>
        <v>37987</v>
      </c>
      <c r="B15" s="288">
        <f>+'Purchased Power Model '!B15</f>
        <v>127196340</v>
      </c>
      <c r="C15" s="289">
        <f>+'Purchased Power Model '!C15</f>
        <v>828.8</v>
      </c>
      <c r="D15" s="289">
        <f>+'Purchased Power Model '!D15</f>
        <v>0</v>
      </c>
      <c r="E15" s="290">
        <f>+'Purchased Power Model '!E15</f>
        <v>5.0999999999999997E-2</v>
      </c>
      <c r="F15" s="291">
        <f>+'Purchased Power Model '!F15</f>
        <v>31</v>
      </c>
      <c r="G15" s="291">
        <f>+'Purchased Power Model '!G15</f>
        <v>0</v>
      </c>
      <c r="H15" s="292">
        <f>+'Purchased Power Model '!H15</f>
        <v>120056817.51415342</v>
      </c>
      <c r="J15" s="287">
        <f>+'10 Year Average'!A15</f>
        <v>37987</v>
      </c>
      <c r="K15" s="288">
        <f>+'10 Year Average'!B15</f>
        <v>127196340</v>
      </c>
      <c r="L15" s="289">
        <f>+'10 Year Average'!C15</f>
        <v>828.8</v>
      </c>
      <c r="M15" s="289">
        <f>+'10 Year Average'!D15</f>
        <v>0</v>
      </c>
      <c r="N15" s="290">
        <f>+'10 Year Average'!E15</f>
        <v>5.0999999999999997E-2</v>
      </c>
      <c r="O15" s="291">
        <f>+'10 Year Average'!F15</f>
        <v>31</v>
      </c>
      <c r="P15" s="291">
        <f>+'10 Year Average'!G15</f>
        <v>0</v>
      </c>
      <c r="Q15" s="292">
        <f>+'10 Year Average'!H15</f>
        <v>120056817.51415342</v>
      </c>
      <c r="S15" s="287">
        <f>+'20 Year Trend'!A15</f>
        <v>37987</v>
      </c>
      <c r="T15" s="288">
        <f>+'20 Year Trend'!B15</f>
        <v>127196340</v>
      </c>
      <c r="U15" s="289">
        <f>+'20 Year Trend'!C15</f>
        <v>828.8</v>
      </c>
      <c r="V15" s="289">
        <f>+'20 Year Trend'!D15</f>
        <v>0</v>
      </c>
      <c r="W15" s="290">
        <f>+'20 Year Trend'!E15</f>
        <v>5.0999999999999997E-2</v>
      </c>
      <c r="X15" s="291">
        <f>+'20 Year Trend'!F15</f>
        <v>31</v>
      </c>
      <c r="Y15" s="291">
        <f>+'20 Year Trend'!G15</f>
        <v>0</v>
      </c>
      <c r="Z15" s="292">
        <f>+'20 Year Trend'!H15</f>
        <v>120056817.51415342</v>
      </c>
    </row>
    <row r="16" spans="1:26" x14ac:dyDescent="0.2">
      <c r="A16" s="287">
        <f>+'Purchased Power Model '!A16</f>
        <v>38018</v>
      </c>
      <c r="B16" s="288">
        <f>+'Purchased Power Model '!B16</f>
        <v>108928270</v>
      </c>
      <c r="C16" s="289">
        <f>+'Purchased Power Model '!C16</f>
        <v>615.6</v>
      </c>
      <c r="D16" s="289">
        <f>+'Purchased Power Model '!D16</f>
        <v>0</v>
      </c>
      <c r="E16" s="290">
        <f>+'Purchased Power Model '!E16</f>
        <v>5.0999999999999997E-2</v>
      </c>
      <c r="F16" s="291">
        <f>+'Purchased Power Model '!F16</f>
        <v>29</v>
      </c>
      <c r="G16" s="291">
        <f>+'Purchased Power Model '!G16</f>
        <v>0</v>
      </c>
      <c r="H16" s="292">
        <f>+'Purchased Power Model '!H16</f>
        <v>106430748.48740545</v>
      </c>
      <c r="J16" s="287">
        <f>+'10 Year Average'!A16</f>
        <v>38018</v>
      </c>
      <c r="K16" s="288">
        <f>+'10 Year Average'!B16</f>
        <v>108928270</v>
      </c>
      <c r="L16" s="289">
        <f>+'10 Year Average'!C16</f>
        <v>615.6</v>
      </c>
      <c r="M16" s="289">
        <f>+'10 Year Average'!D16</f>
        <v>0</v>
      </c>
      <c r="N16" s="290">
        <f>+'10 Year Average'!E16</f>
        <v>5.0999999999999997E-2</v>
      </c>
      <c r="O16" s="291">
        <f>+'10 Year Average'!F16</f>
        <v>29</v>
      </c>
      <c r="P16" s="291">
        <f>+'10 Year Average'!G16</f>
        <v>0</v>
      </c>
      <c r="Q16" s="292">
        <f>+'10 Year Average'!H16</f>
        <v>106430748.48740545</v>
      </c>
      <c r="S16" s="287">
        <f>+'20 Year Trend'!A16</f>
        <v>38018</v>
      </c>
      <c r="T16" s="288">
        <f>+'20 Year Trend'!B16</f>
        <v>108928270</v>
      </c>
      <c r="U16" s="289">
        <f>+'20 Year Trend'!C16</f>
        <v>615.6</v>
      </c>
      <c r="V16" s="289">
        <f>+'20 Year Trend'!D16</f>
        <v>0</v>
      </c>
      <c r="W16" s="290">
        <f>+'20 Year Trend'!E16</f>
        <v>5.0999999999999997E-2</v>
      </c>
      <c r="X16" s="291">
        <f>+'20 Year Trend'!F16</f>
        <v>29</v>
      </c>
      <c r="Y16" s="291">
        <f>+'20 Year Trend'!G16</f>
        <v>0</v>
      </c>
      <c r="Z16" s="292">
        <f>+'20 Year Trend'!H16</f>
        <v>106430748.48740545</v>
      </c>
    </row>
    <row r="17" spans="1:26" x14ac:dyDescent="0.2">
      <c r="A17" s="287">
        <f>+'Purchased Power Model '!A17</f>
        <v>38047</v>
      </c>
      <c r="B17" s="288">
        <f>+'Purchased Power Model '!B17</f>
        <v>105064150</v>
      </c>
      <c r="C17" s="289">
        <f>+'Purchased Power Model '!C17</f>
        <v>487.1</v>
      </c>
      <c r="D17" s="289">
        <f>+'Purchased Power Model '!D17</f>
        <v>0</v>
      </c>
      <c r="E17" s="290">
        <f>+'Purchased Power Model '!E17</f>
        <v>5.0999999999999997E-2</v>
      </c>
      <c r="F17" s="291">
        <f>+'Purchased Power Model '!F17</f>
        <v>31</v>
      </c>
      <c r="G17" s="291">
        <f>+'Purchased Power Model '!G17</f>
        <v>1</v>
      </c>
      <c r="H17" s="292">
        <f>+'Purchased Power Model '!H17</f>
        <v>100184811.32136308</v>
      </c>
      <c r="J17" s="287">
        <f>+'10 Year Average'!A17</f>
        <v>38047</v>
      </c>
      <c r="K17" s="288">
        <f>+'10 Year Average'!B17</f>
        <v>105064150</v>
      </c>
      <c r="L17" s="289">
        <f>+'10 Year Average'!C17</f>
        <v>487.1</v>
      </c>
      <c r="M17" s="289">
        <f>+'10 Year Average'!D17</f>
        <v>0</v>
      </c>
      <c r="N17" s="290">
        <f>+'10 Year Average'!E17</f>
        <v>5.0999999999999997E-2</v>
      </c>
      <c r="O17" s="291">
        <f>+'10 Year Average'!F17</f>
        <v>31</v>
      </c>
      <c r="P17" s="291">
        <f>+'10 Year Average'!G17</f>
        <v>1</v>
      </c>
      <c r="Q17" s="292">
        <f>+'10 Year Average'!H17</f>
        <v>100184811.32136308</v>
      </c>
      <c r="S17" s="287">
        <f>+'20 Year Trend'!A17</f>
        <v>38047</v>
      </c>
      <c r="T17" s="288">
        <f>+'20 Year Trend'!B17</f>
        <v>105064150</v>
      </c>
      <c r="U17" s="289">
        <f>+'20 Year Trend'!C17</f>
        <v>487.1</v>
      </c>
      <c r="V17" s="289">
        <f>+'20 Year Trend'!D17</f>
        <v>0</v>
      </c>
      <c r="W17" s="290">
        <f>+'20 Year Trend'!E17</f>
        <v>5.0999999999999997E-2</v>
      </c>
      <c r="X17" s="291">
        <f>+'20 Year Trend'!F17</f>
        <v>31</v>
      </c>
      <c r="Y17" s="291">
        <f>+'20 Year Trend'!G17</f>
        <v>1</v>
      </c>
      <c r="Z17" s="292">
        <f>+'20 Year Trend'!H17</f>
        <v>100184811.32136308</v>
      </c>
    </row>
    <row r="18" spans="1:26" x14ac:dyDescent="0.2">
      <c r="A18" s="287">
        <f>+'Purchased Power Model '!A18</f>
        <v>38078</v>
      </c>
      <c r="B18" s="288">
        <f>+'Purchased Power Model '!B18</f>
        <v>91322380</v>
      </c>
      <c r="C18" s="289">
        <f>+'Purchased Power Model '!C18</f>
        <v>345</v>
      </c>
      <c r="D18" s="289">
        <f>+'Purchased Power Model '!D18</f>
        <v>0</v>
      </c>
      <c r="E18" s="290">
        <f>+'Purchased Power Model '!E18</f>
        <v>5.2999999999999999E-2</v>
      </c>
      <c r="F18" s="291">
        <f>+'Purchased Power Model '!F18</f>
        <v>30</v>
      </c>
      <c r="G18" s="291">
        <f>+'Purchased Power Model '!G18</f>
        <v>1</v>
      </c>
      <c r="H18" s="292">
        <f>+'Purchased Power Model '!H18</f>
        <v>91853727.130824104</v>
      </c>
      <c r="J18" s="287">
        <f>+'10 Year Average'!A18</f>
        <v>38078</v>
      </c>
      <c r="K18" s="288">
        <f>+'10 Year Average'!B18</f>
        <v>91322380</v>
      </c>
      <c r="L18" s="289">
        <f>+'10 Year Average'!C18</f>
        <v>345</v>
      </c>
      <c r="M18" s="289">
        <f>+'10 Year Average'!D18</f>
        <v>0</v>
      </c>
      <c r="N18" s="290">
        <f>+'10 Year Average'!E18</f>
        <v>5.2999999999999999E-2</v>
      </c>
      <c r="O18" s="291">
        <f>+'10 Year Average'!F18</f>
        <v>30</v>
      </c>
      <c r="P18" s="291">
        <f>+'10 Year Average'!G18</f>
        <v>1</v>
      </c>
      <c r="Q18" s="292">
        <f>+'10 Year Average'!H18</f>
        <v>91853727.130824104</v>
      </c>
      <c r="S18" s="287">
        <f>+'20 Year Trend'!A18</f>
        <v>38078</v>
      </c>
      <c r="T18" s="288">
        <f>+'20 Year Trend'!B18</f>
        <v>91322380</v>
      </c>
      <c r="U18" s="289">
        <f>+'20 Year Trend'!C18</f>
        <v>345</v>
      </c>
      <c r="V18" s="289">
        <f>+'20 Year Trend'!D18</f>
        <v>0</v>
      </c>
      <c r="W18" s="290">
        <f>+'20 Year Trend'!E18</f>
        <v>5.2999999999999999E-2</v>
      </c>
      <c r="X18" s="291">
        <f>+'20 Year Trend'!F18</f>
        <v>30</v>
      </c>
      <c r="Y18" s="291">
        <f>+'20 Year Trend'!G18</f>
        <v>1</v>
      </c>
      <c r="Z18" s="292">
        <f>+'20 Year Trend'!H18</f>
        <v>91853727.130824104</v>
      </c>
    </row>
    <row r="19" spans="1:26" x14ac:dyDescent="0.2">
      <c r="A19" s="287">
        <f>+'Purchased Power Model '!A19</f>
        <v>38108</v>
      </c>
      <c r="B19" s="288">
        <f>+'Purchased Power Model '!B19</f>
        <v>86885250</v>
      </c>
      <c r="C19" s="289">
        <f>+'Purchased Power Model '!C19</f>
        <v>177.5</v>
      </c>
      <c r="D19" s="289">
        <f>+'Purchased Power Model '!D19</f>
        <v>0</v>
      </c>
      <c r="E19" s="290">
        <f>+'Purchased Power Model '!E19</f>
        <v>5.2999999999999999E-2</v>
      </c>
      <c r="F19" s="291">
        <f>+'Purchased Power Model '!F19</f>
        <v>31</v>
      </c>
      <c r="G19" s="291">
        <f>+'Purchased Power Model '!G19</f>
        <v>1</v>
      </c>
      <c r="H19" s="292">
        <f>+'Purchased Power Model '!H19</f>
        <v>88138392.226334408</v>
      </c>
      <c r="J19" s="287">
        <f>+'10 Year Average'!A19</f>
        <v>38108</v>
      </c>
      <c r="K19" s="288">
        <f>+'10 Year Average'!B19</f>
        <v>86885250</v>
      </c>
      <c r="L19" s="289">
        <f>+'10 Year Average'!C19</f>
        <v>177.5</v>
      </c>
      <c r="M19" s="289">
        <f>+'10 Year Average'!D19</f>
        <v>0</v>
      </c>
      <c r="N19" s="290">
        <f>+'10 Year Average'!E19</f>
        <v>5.2999999999999999E-2</v>
      </c>
      <c r="O19" s="291">
        <f>+'10 Year Average'!F19</f>
        <v>31</v>
      </c>
      <c r="P19" s="291">
        <f>+'10 Year Average'!G19</f>
        <v>1</v>
      </c>
      <c r="Q19" s="292">
        <f>+'10 Year Average'!H19</f>
        <v>88138392.226334408</v>
      </c>
      <c r="S19" s="287">
        <f>+'20 Year Trend'!A19</f>
        <v>38108</v>
      </c>
      <c r="T19" s="288">
        <f>+'20 Year Trend'!B19</f>
        <v>86885250</v>
      </c>
      <c r="U19" s="289">
        <f>+'20 Year Trend'!C19</f>
        <v>177.5</v>
      </c>
      <c r="V19" s="289">
        <f>+'20 Year Trend'!D19</f>
        <v>0</v>
      </c>
      <c r="W19" s="290">
        <f>+'20 Year Trend'!E19</f>
        <v>5.2999999999999999E-2</v>
      </c>
      <c r="X19" s="291">
        <f>+'20 Year Trend'!F19</f>
        <v>31</v>
      </c>
      <c r="Y19" s="291">
        <f>+'20 Year Trend'!G19</f>
        <v>1</v>
      </c>
      <c r="Z19" s="292">
        <f>+'20 Year Trend'!H19</f>
        <v>88138392.226334408</v>
      </c>
    </row>
    <row r="20" spans="1:26" x14ac:dyDescent="0.2">
      <c r="A20" s="287">
        <f>+'Purchased Power Model '!A20</f>
        <v>38139</v>
      </c>
      <c r="B20" s="288">
        <f>+'Purchased Power Model '!B20</f>
        <v>86876500</v>
      </c>
      <c r="C20" s="289">
        <f>+'Purchased Power Model '!C20</f>
        <v>73.2</v>
      </c>
      <c r="D20" s="289">
        <f>+'Purchased Power Model '!D20</f>
        <v>15.6</v>
      </c>
      <c r="E20" s="290">
        <f>+'Purchased Power Model '!E20</f>
        <v>5.2999999999999999E-2</v>
      </c>
      <c r="F20" s="291">
        <f>+'Purchased Power Model '!F20</f>
        <v>30</v>
      </c>
      <c r="G20" s="291">
        <f>+'Purchased Power Model '!G20</f>
        <v>0</v>
      </c>
      <c r="H20" s="292">
        <f>+'Purchased Power Model '!H20</f>
        <v>90552126.613090277</v>
      </c>
      <c r="J20" s="287">
        <f>+'10 Year Average'!A20</f>
        <v>38139</v>
      </c>
      <c r="K20" s="288">
        <f>+'10 Year Average'!B20</f>
        <v>86876500</v>
      </c>
      <c r="L20" s="289">
        <f>+'10 Year Average'!C20</f>
        <v>73.2</v>
      </c>
      <c r="M20" s="289">
        <f>+'10 Year Average'!D20</f>
        <v>15.6</v>
      </c>
      <c r="N20" s="290">
        <f>+'10 Year Average'!E20</f>
        <v>5.2999999999999999E-2</v>
      </c>
      <c r="O20" s="291">
        <f>+'10 Year Average'!F20</f>
        <v>30</v>
      </c>
      <c r="P20" s="291">
        <f>+'10 Year Average'!G20</f>
        <v>0</v>
      </c>
      <c r="Q20" s="292">
        <f>+'10 Year Average'!H20</f>
        <v>90552126.613090277</v>
      </c>
      <c r="S20" s="287">
        <f>+'20 Year Trend'!A20</f>
        <v>38139</v>
      </c>
      <c r="T20" s="288">
        <f>+'20 Year Trend'!B20</f>
        <v>86876500</v>
      </c>
      <c r="U20" s="289">
        <f>+'20 Year Trend'!C20</f>
        <v>73.2</v>
      </c>
      <c r="V20" s="289">
        <f>+'20 Year Trend'!D20</f>
        <v>15.6</v>
      </c>
      <c r="W20" s="290">
        <f>+'20 Year Trend'!E20</f>
        <v>5.2999999999999999E-2</v>
      </c>
      <c r="X20" s="291">
        <f>+'20 Year Trend'!F20</f>
        <v>30</v>
      </c>
      <c r="Y20" s="291">
        <f>+'20 Year Trend'!G20</f>
        <v>0</v>
      </c>
      <c r="Z20" s="292">
        <f>+'20 Year Trend'!H20</f>
        <v>90552126.613090277</v>
      </c>
    </row>
    <row r="21" spans="1:26" x14ac:dyDescent="0.2">
      <c r="A21" s="287">
        <f>+'Purchased Power Model '!A21</f>
        <v>38169</v>
      </c>
      <c r="B21" s="288">
        <f>+'Purchased Power Model '!B21</f>
        <v>92903530</v>
      </c>
      <c r="C21" s="289">
        <f>+'Purchased Power Model '!C21</f>
        <v>2</v>
      </c>
      <c r="D21" s="289">
        <f>+'Purchased Power Model '!D21</f>
        <v>69.3</v>
      </c>
      <c r="E21" s="290">
        <f>+'Purchased Power Model '!E21</f>
        <v>5.2999999999999999E-2</v>
      </c>
      <c r="F21" s="291">
        <f>+'Purchased Power Model '!F21</f>
        <v>31</v>
      </c>
      <c r="G21" s="291">
        <f>+'Purchased Power Model '!G21</f>
        <v>0</v>
      </c>
      <c r="H21" s="292">
        <f>+'Purchased Power Model '!H21</f>
        <v>98767503.449769825</v>
      </c>
      <c r="J21" s="287">
        <f>+'10 Year Average'!A21</f>
        <v>38169</v>
      </c>
      <c r="K21" s="288">
        <f>+'10 Year Average'!B21</f>
        <v>92903530</v>
      </c>
      <c r="L21" s="289">
        <f>+'10 Year Average'!C21</f>
        <v>2</v>
      </c>
      <c r="M21" s="289">
        <f>+'10 Year Average'!D21</f>
        <v>69.3</v>
      </c>
      <c r="N21" s="290">
        <f>+'10 Year Average'!E21</f>
        <v>5.2999999999999999E-2</v>
      </c>
      <c r="O21" s="291">
        <f>+'10 Year Average'!F21</f>
        <v>31</v>
      </c>
      <c r="P21" s="291">
        <f>+'10 Year Average'!G21</f>
        <v>0</v>
      </c>
      <c r="Q21" s="292">
        <f>+'10 Year Average'!H21</f>
        <v>98767503.449769825</v>
      </c>
      <c r="S21" s="287">
        <f>+'20 Year Trend'!A21</f>
        <v>38169</v>
      </c>
      <c r="T21" s="288">
        <f>+'20 Year Trend'!B21</f>
        <v>92903530</v>
      </c>
      <c r="U21" s="289">
        <f>+'20 Year Trend'!C21</f>
        <v>2</v>
      </c>
      <c r="V21" s="289">
        <f>+'20 Year Trend'!D21</f>
        <v>69.3</v>
      </c>
      <c r="W21" s="290">
        <f>+'20 Year Trend'!E21</f>
        <v>5.2999999999999999E-2</v>
      </c>
      <c r="X21" s="291">
        <f>+'20 Year Trend'!F21</f>
        <v>31</v>
      </c>
      <c r="Y21" s="291">
        <f>+'20 Year Trend'!G21</f>
        <v>0</v>
      </c>
      <c r="Z21" s="292">
        <f>+'20 Year Trend'!H21</f>
        <v>98767503.449769825</v>
      </c>
    </row>
    <row r="22" spans="1:26" x14ac:dyDescent="0.2">
      <c r="A22" s="287">
        <f>+'Purchased Power Model '!A22</f>
        <v>38200</v>
      </c>
      <c r="B22" s="288">
        <f>+'Purchased Power Model '!B22</f>
        <v>94121760</v>
      </c>
      <c r="C22" s="289">
        <f>+'Purchased Power Model '!C22</f>
        <v>19.600000000000001</v>
      </c>
      <c r="D22" s="289">
        <f>+'Purchased Power Model '!D22</f>
        <v>53.6</v>
      </c>
      <c r="E22" s="290">
        <f>+'Purchased Power Model '!E22</f>
        <v>5.2999999999999999E-2</v>
      </c>
      <c r="F22" s="291">
        <f>+'Purchased Power Model '!F22</f>
        <v>31</v>
      </c>
      <c r="G22" s="291">
        <f>+'Purchased Power Model '!G22</f>
        <v>0</v>
      </c>
      <c r="H22" s="292">
        <f>+'Purchased Power Model '!H22</f>
        <v>97036852.368572861</v>
      </c>
      <c r="J22" s="287">
        <f>+'10 Year Average'!A22</f>
        <v>38200</v>
      </c>
      <c r="K22" s="288">
        <f>+'10 Year Average'!B22</f>
        <v>94121760</v>
      </c>
      <c r="L22" s="289">
        <f>+'10 Year Average'!C22</f>
        <v>19.600000000000001</v>
      </c>
      <c r="M22" s="289">
        <f>+'10 Year Average'!D22</f>
        <v>53.6</v>
      </c>
      <c r="N22" s="290">
        <f>+'10 Year Average'!E22</f>
        <v>5.2999999999999999E-2</v>
      </c>
      <c r="O22" s="291">
        <f>+'10 Year Average'!F22</f>
        <v>31</v>
      </c>
      <c r="P22" s="291">
        <f>+'10 Year Average'!G22</f>
        <v>0</v>
      </c>
      <c r="Q22" s="292">
        <f>+'10 Year Average'!H22</f>
        <v>97036852.368572861</v>
      </c>
      <c r="S22" s="287">
        <f>+'20 Year Trend'!A22</f>
        <v>38200</v>
      </c>
      <c r="T22" s="288">
        <f>+'20 Year Trend'!B22</f>
        <v>94121760</v>
      </c>
      <c r="U22" s="289">
        <f>+'20 Year Trend'!C22</f>
        <v>19.600000000000001</v>
      </c>
      <c r="V22" s="289">
        <f>+'20 Year Trend'!D22</f>
        <v>53.6</v>
      </c>
      <c r="W22" s="290">
        <f>+'20 Year Trend'!E22</f>
        <v>5.2999999999999999E-2</v>
      </c>
      <c r="X22" s="291">
        <f>+'20 Year Trend'!F22</f>
        <v>31</v>
      </c>
      <c r="Y22" s="291">
        <f>+'20 Year Trend'!G22</f>
        <v>0</v>
      </c>
      <c r="Z22" s="292">
        <f>+'20 Year Trend'!H22</f>
        <v>97036852.368572861</v>
      </c>
    </row>
    <row r="23" spans="1:26" x14ac:dyDescent="0.2">
      <c r="A23" s="287">
        <f>+'Purchased Power Model '!A23</f>
        <v>38231</v>
      </c>
      <c r="B23" s="288">
        <f>+'Purchased Power Model '!B23</f>
        <v>88536700</v>
      </c>
      <c r="C23" s="289">
        <f>+'Purchased Power Model '!C23</f>
        <v>41.7</v>
      </c>
      <c r="D23" s="289">
        <f>+'Purchased Power Model '!D23</f>
        <v>26.7</v>
      </c>
      <c r="E23" s="290">
        <f>+'Purchased Power Model '!E23</f>
        <v>5.2999999999999999E-2</v>
      </c>
      <c r="F23" s="291">
        <f>+'Purchased Power Model '!F23</f>
        <v>30</v>
      </c>
      <c r="G23" s="291">
        <f>+'Purchased Power Model '!G23</f>
        <v>1</v>
      </c>
      <c r="H23" s="292">
        <f>+'Purchased Power Model '!H23</f>
        <v>84296653.162602127</v>
      </c>
      <c r="J23" s="287">
        <f>+'10 Year Average'!A23</f>
        <v>38231</v>
      </c>
      <c r="K23" s="288">
        <f>+'10 Year Average'!B23</f>
        <v>88536700</v>
      </c>
      <c r="L23" s="289">
        <f>+'10 Year Average'!C23</f>
        <v>41.7</v>
      </c>
      <c r="M23" s="289">
        <f>+'10 Year Average'!D23</f>
        <v>26.7</v>
      </c>
      <c r="N23" s="290">
        <f>+'10 Year Average'!E23</f>
        <v>5.2999999999999999E-2</v>
      </c>
      <c r="O23" s="291">
        <f>+'10 Year Average'!F23</f>
        <v>30</v>
      </c>
      <c r="P23" s="291">
        <f>+'10 Year Average'!G23</f>
        <v>1</v>
      </c>
      <c r="Q23" s="292">
        <f>+'10 Year Average'!H23</f>
        <v>84296653.162602127</v>
      </c>
      <c r="S23" s="287">
        <f>+'20 Year Trend'!A23</f>
        <v>38231</v>
      </c>
      <c r="T23" s="288">
        <f>+'20 Year Trend'!B23</f>
        <v>88536700</v>
      </c>
      <c r="U23" s="289">
        <f>+'20 Year Trend'!C23</f>
        <v>41.7</v>
      </c>
      <c r="V23" s="289">
        <f>+'20 Year Trend'!D23</f>
        <v>26.7</v>
      </c>
      <c r="W23" s="290">
        <f>+'20 Year Trend'!E23</f>
        <v>5.2999999999999999E-2</v>
      </c>
      <c r="X23" s="291">
        <f>+'20 Year Trend'!F23</f>
        <v>30</v>
      </c>
      <c r="Y23" s="291">
        <f>+'20 Year Trend'!G23</f>
        <v>1</v>
      </c>
      <c r="Z23" s="292">
        <f>+'20 Year Trend'!H23</f>
        <v>84296653.162602127</v>
      </c>
    </row>
    <row r="24" spans="1:26" x14ac:dyDescent="0.2">
      <c r="A24" s="287">
        <f>+'Purchased Power Model '!A24</f>
        <v>38261</v>
      </c>
      <c r="B24" s="288">
        <f>+'Purchased Power Model '!B24</f>
        <v>88377710</v>
      </c>
      <c r="C24" s="289">
        <f>+'Purchased Power Model '!C24</f>
        <v>235</v>
      </c>
      <c r="D24" s="289">
        <f>+'Purchased Power Model '!D24</f>
        <v>0</v>
      </c>
      <c r="E24" s="290">
        <f>+'Purchased Power Model '!E24</f>
        <v>5.7999999999999996E-2</v>
      </c>
      <c r="F24" s="291">
        <f>+'Purchased Power Model '!F24</f>
        <v>31</v>
      </c>
      <c r="G24" s="291">
        <f>+'Purchased Power Model '!G24</f>
        <v>1</v>
      </c>
      <c r="H24" s="292">
        <f>+'Purchased Power Model '!H24</f>
        <v>89960831.066484928</v>
      </c>
      <c r="J24" s="287">
        <f>+'10 Year Average'!A24</f>
        <v>38261</v>
      </c>
      <c r="K24" s="288">
        <f>+'10 Year Average'!B24</f>
        <v>88377710</v>
      </c>
      <c r="L24" s="289">
        <f>+'10 Year Average'!C24</f>
        <v>235</v>
      </c>
      <c r="M24" s="289">
        <f>+'10 Year Average'!D24</f>
        <v>0</v>
      </c>
      <c r="N24" s="290">
        <f>+'10 Year Average'!E24</f>
        <v>5.7999999999999996E-2</v>
      </c>
      <c r="O24" s="291">
        <f>+'10 Year Average'!F24</f>
        <v>31</v>
      </c>
      <c r="P24" s="291">
        <f>+'10 Year Average'!G24</f>
        <v>1</v>
      </c>
      <c r="Q24" s="292">
        <f>+'10 Year Average'!H24</f>
        <v>89960831.066484928</v>
      </c>
      <c r="S24" s="287">
        <f>+'20 Year Trend'!A24</f>
        <v>38261</v>
      </c>
      <c r="T24" s="288">
        <f>+'20 Year Trend'!B24</f>
        <v>88377710</v>
      </c>
      <c r="U24" s="289">
        <f>+'20 Year Trend'!C24</f>
        <v>235</v>
      </c>
      <c r="V24" s="289">
        <f>+'20 Year Trend'!D24</f>
        <v>0</v>
      </c>
      <c r="W24" s="290">
        <f>+'20 Year Trend'!E24</f>
        <v>5.7999999999999996E-2</v>
      </c>
      <c r="X24" s="291">
        <f>+'20 Year Trend'!F24</f>
        <v>31</v>
      </c>
      <c r="Y24" s="291">
        <f>+'20 Year Trend'!G24</f>
        <v>1</v>
      </c>
      <c r="Z24" s="292">
        <f>+'20 Year Trend'!H24</f>
        <v>89960831.066484928</v>
      </c>
    </row>
    <row r="25" spans="1:26" x14ac:dyDescent="0.2">
      <c r="A25" s="287">
        <f>+'Purchased Power Model '!A25</f>
        <v>38292</v>
      </c>
      <c r="B25" s="288">
        <f>+'Purchased Power Model '!B25</f>
        <v>94905100</v>
      </c>
      <c r="C25" s="289">
        <f>+'Purchased Power Model '!C25</f>
        <v>385.7</v>
      </c>
      <c r="D25" s="289">
        <f>+'Purchased Power Model '!D25</f>
        <v>0</v>
      </c>
      <c r="E25" s="290">
        <f>+'Purchased Power Model '!E25</f>
        <v>5.7999999999999996E-2</v>
      </c>
      <c r="F25" s="291">
        <f>+'Purchased Power Model '!F25</f>
        <v>30</v>
      </c>
      <c r="G25" s="291">
        <f>+'Purchased Power Model '!G25</f>
        <v>1</v>
      </c>
      <c r="H25" s="292">
        <f>+'Purchased Power Model '!H25</f>
        <v>93030866.422561228</v>
      </c>
      <c r="J25" s="287">
        <f>+'10 Year Average'!A25</f>
        <v>38292</v>
      </c>
      <c r="K25" s="288">
        <f>+'10 Year Average'!B25</f>
        <v>94905100</v>
      </c>
      <c r="L25" s="289">
        <f>+'10 Year Average'!C25</f>
        <v>385.7</v>
      </c>
      <c r="M25" s="289">
        <f>+'10 Year Average'!D25</f>
        <v>0</v>
      </c>
      <c r="N25" s="290">
        <f>+'10 Year Average'!E25</f>
        <v>5.7999999999999996E-2</v>
      </c>
      <c r="O25" s="291">
        <f>+'10 Year Average'!F25</f>
        <v>30</v>
      </c>
      <c r="P25" s="291">
        <f>+'10 Year Average'!G25</f>
        <v>1</v>
      </c>
      <c r="Q25" s="292">
        <f>+'10 Year Average'!H25</f>
        <v>93030866.422561228</v>
      </c>
      <c r="S25" s="287">
        <f>+'20 Year Trend'!A25</f>
        <v>38292</v>
      </c>
      <c r="T25" s="288">
        <f>+'20 Year Trend'!B25</f>
        <v>94905100</v>
      </c>
      <c r="U25" s="289">
        <f>+'20 Year Trend'!C25</f>
        <v>385.7</v>
      </c>
      <c r="V25" s="289">
        <f>+'20 Year Trend'!D25</f>
        <v>0</v>
      </c>
      <c r="W25" s="290">
        <f>+'20 Year Trend'!E25</f>
        <v>5.7999999999999996E-2</v>
      </c>
      <c r="X25" s="291">
        <f>+'20 Year Trend'!F25</f>
        <v>30</v>
      </c>
      <c r="Y25" s="291">
        <f>+'20 Year Trend'!G25</f>
        <v>1</v>
      </c>
      <c r="Z25" s="292">
        <f>+'20 Year Trend'!H25</f>
        <v>93030866.422561228</v>
      </c>
    </row>
    <row r="26" spans="1:26" x14ac:dyDescent="0.2">
      <c r="A26" s="287">
        <f>+'Purchased Power Model '!A26</f>
        <v>38322</v>
      </c>
      <c r="B26" s="288">
        <f>+'Purchased Power Model '!B26</f>
        <v>113323500</v>
      </c>
      <c r="C26" s="289">
        <f>+'Purchased Power Model '!C26</f>
        <v>627.5</v>
      </c>
      <c r="D26" s="289">
        <f>+'Purchased Power Model '!D26</f>
        <v>0</v>
      </c>
      <c r="E26" s="290">
        <f>+'Purchased Power Model '!E26</f>
        <v>5.7999999999999996E-2</v>
      </c>
      <c r="F26" s="291">
        <f>+'Purchased Power Model '!F26</f>
        <v>31</v>
      </c>
      <c r="G26" s="291">
        <f>+'Purchased Power Model '!G26</f>
        <v>0</v>
      </c>
      <c r="H26" s="292">
        <f>+'Purchased Power Model '!H26</f>
        <v>111784100.17947766</v>
      </c>
      <c r="J26" s="287">
        <f>+'10 Year Average'!A26</f>
        <v>38322</v>
      </c>
      <c r="K26" s="288">
        <f>+'10 Year Average'!B26</f>
        <v>113323500</v>
      </c>
      <c r="L26" s="289">
        <f>+'10 Year Average'!C26</f>
        <v>627.5</v>
      </c>
      <c r="M26" s="289">
        <f>+'10 Year Average'!D26</f>
        <v>0</v>
      </c>
      <c r="N26" s="290">
        <f>+'10 Year Average'!E26</f>
        <v>5.7999999999999996E-2</v>
      </c>
      <c r="O26" s="291">
        <f>+'10 Year Average'!F26</f>
        <v>31</v>
      </c>
      <c r="P26" s="291">
        <f>+'10 Year Average'!G26</f>
        <v>0</v>
      </c>
      <c r="Q26" s="292">
        <f>+'10 Year Average'!H26</f>
        <v>111784100.17947766</v>
      </c>
      <c r="S26" s="287">
        <f>+'20 Year Trend'!A26</f>
        <v>38322</v>
      </c>
      <c r="T26" s="288">
        <f>+'20 Year Trend'!B26</f>
        <v>113323500</v>
      </c>
      <c r="U26" s="289">
        <f>+'20 Year Trend'!C26</f>
        <v>627.5</v>
      </c>
      <c r="V26" s="289">
        <f>+'20 Year Trend'!D26</f>
        <v>0</v>
      </c>
      <c r="W26" s="290">
        <f>+'20 Year Trend'!E26</f>
        <v>5.7999999999999996E-2</v>
      </c>
      <c r="X26" s="291">
        <f>+'20 Year Trend'!F26</f>
        <v>31</v>
      </c>
      <c r="Y26" s="291">
        <f>+'20 Year Trend'!G26</f>
        <v>0</v>
      </c>
      <c r="Z26" s="292">
        <f>+'20 Year Trend'!H26</f>
        <v>111784100.17947766</v>
      </c>
    </row>
    <row r="27" spans="1:26" x14ac:dyDescent="0.2">
      <c r="A27" s="287">
        <f>+'Purchased Power Model '!A27</f>
        <v>38353</v>
      </c>
      <c r="B27" s="288">
        <f>+'Purchased Power Model '!B27</f>
        <v>118166820</v>
      </c>
      <c r="C27" s="289">
        <f>+'Purchased Power Model '!C27</f>
        <v>745.5</v>
      </c>
      <c r="D27" s="289">
        <f>+'Purchased Power Model '!D27</f>
        <v>0</v>
      </c>
      <c r="E27" s="290">
        <f>+'Purchased Power Model '!E27</f>
        <v>7.2000000000000008E-2</v>
      </c>
      <c r="F27" s="291">
        <f>+'Purchased Power Model '!F27</f>
        <v>31</v>
      </c>
      <c r="G27" s="291">
        <f>+'Purchased Power Model '!G27</f>
        <v>0</v>
      </c>
      <c r="H27" s="292">
        <f>+'Purchased Power Model '!H27</f>
        <v>115235269.37346007</v>
      </c>
      <c r="J27" s="287">
        <f>+'10 Year Average'!A27</f>
        <v>38353</v>
      </c>
      <c r="K27" s="288">
        <f>+'10 Year Average'!B27</f>
        <v>118166820</v>
      </c>
      <c r="L27" s="289">
        <f>+'10 Year Average'!C27</f>
        <v>745.5</v>
      </c>
      <c r="M27" s="289">
        <f>+'10 Year Average'!D27</f>
        <v>0</v>
      </c>
      <c r="N27" s="290">
        <f>+'10 Year Average'!E27</f>
        <v>7.2000000000000008E-2</v>
      </c>
      <c r="O27" s="291">
        <f>+'10 Year Average'!F27</f>
        <v>31</v>
      </c>
      <c r="P27" s="291">
        <f>+'10 Year Average'!G27</f>
        <v>0</v>
      </c>
      <c r="Q27" s="292">
        <f>+'10 Year Average'!H27</f>
        <v>115235269.37346007</v>
      </c>
      <c r="S27" s="287">
        <f>+'20 Year Trend'!A27</f>
        <v>38353</v>
      </c>
      <c r="T27" s="288">
        <f>+'20 Year Trend'!B27</f>
        <v>118166820</v>
      </c>
      <c r="U27" s="289">
        <f>+'20 Year Trend'!C27</f>
        <v>745.5</v>
      </c>
      <c r="V27" s="289">
        <f>+'20 Year Trend'!D27</f>
        <v>0</v>
      </c>
      <c r="W27" s="290">
        <f>+'20 Year Trend'!E27</f>
        <v>7.2000000000000008E-2</v>
      </c>
      <c r="X27" s="291">
        <f>+'20 Year Trend'!F27</f>
        <v>31</v>
      </c>
      <c r="Y27" s="291">
        <f>+'20 Year Trend'!G27</f>
        <v>0</v>
      </c>
      <c r="Z27" s="292">
        <f>+'20 Year Trend'!H27</f>
        <v>115235269.37346007</v>
      </c>
    </row>
    <row r="28" spans="1:26" x14ac:dyDescent="0.2">
      <c r="A28" s="287">
        <f>+'Purchased Power Model '!A28</f>
        <v>38384</v>
      </c>
      <c r="B28" s="288">
        <f>+'Purchased Power Model '!B28</f>
        <v>100566840</v>
      </c>
      <c r="C28" s="289">
        <f>+'Purchased Power Model '!C28</f>
        <v>589.5</v>
      </c>
      <c r="D28" s="289">
        <f>+'Purchased Power Model '!D28</f>
        <v>0</v>
      </c>
      <c r="E28" s="290">
        <f>+'Purchased Power Model '!E28</f>
        <v>7.2000000000000008E-2</v>
      </c>
      <c r="F28" s="291">
        <f>+'Purchased Power Model '!F28</f>
        <v>28</v>
      </c>
      <c r="G28" s="291">
        <f>+'Purchased Power Model '!G28</f>
        <v>0</v>
      </c>
      <c r="H28" s="292">
        <f>+'Purchased Power Model '!H28</f>
        <v>101087836.43036865</v>
      </c>
      <c r="J28" s="287">
        <f>+'10 Year Average'!A28</f>
        <v>38384</v>
      </c>
      <c r="K28" s="288">
        <f>+'10 Year Average'!B28</f>
        <v>100566840</v>
      </c>
      <c r="L28" s="289">
        <f>+'10 Year Average'!C28</f>
        <v>589.5</v>
      </c>
      <c r="M28" s="289">
        <f>+'10 Year Average'!D28</f>
        <v>0</v>
      </c>
      <c r="N28" s="290">
        <f>+'10 Year Average'!E28</f>
        <v>7.2000000000000008E-2</v>
      </c>
      <c r="O28" s="291">
        <f>+'10 Year Average'!F28</f>
        <v>28</v>
      </c>
      <c r="P28" s="291">
        <f>+'10 Year Average'!G28</f>
        <v>0</v>
      </c>
      <c r="Q28" s="292">
        <f>+'10 Year Average'!H28</f>
        <v>101087836.43036865</v>
      </c>
      <c r="S28" s="287">
        <f>+'20 Year Trend'!A28</f>
        <v>38384</v>
      </c>
      <c r="T28" s="288">
        <f>+'20 Year Trend'!B28</f>
        <v>100566840</v>
      </c>
      <c r="U28" s="289">
        <f>+'20 Year Trend'!C28</f>
        <v>589.5</v>
      </c>
      <c r="V28" s="289">
        <f>+'20 Year Trend'!D28</f>
        <v>0</v>
      </c>
      <c r="W28" s="290">
        <f>+'20 Year Trend'!E28</f>
        <v>7.2000000000000008E-2</v>
      </c>
      <c r="X28" s="291">
        <f>+'20 Year Trend'!F28</f>
        <v>28</v>
      </c>
      <c r="Y28" s="291">
        <f>+'20 Year Trend'!G28</f>
        <v>0</v>
      </c>
      <c r="Z28" s="292">
        <f>+'20 Year Trend'!H28</f>
        <v>101087836.43036865</v>
      </c>
    </row>
    <row r="29" spans="1:26" x14ac:dyDescent="0.2">
      <c r="A29" s="287">
        <f>+'Purchased Power Model '!A29</f>
        <v>38412</v>
      </c>
      <c r="B29" s="288">
        <f>+'Purchased Power Model '!B29</f>
        <v>104158730</v>
      </c>
      <c r="C29" s="289">
        <f>+'Purchased Power Model '!C29</f>
        <v>578.29999999999995</v>
      </c>
      <c r="D29" s="289">
        <f>+'Purchased Power Model '!D29</f>
        <v>0</v>
      </c>
      <c r="E29" s="290">
        <f>+'Purchased Power Model '!E29</f>
        <v>7.2000000000000008E-2</v>
      </c>
      <c r="F29" s="291">
        <f>+'Purchased Power Model '!F29</f>
        <v>31</v>
      </c>
      <c r="G29" s="291">
        <f>+'Purchased Power Model '!G29</f>
        <v>1</v>
      </c>
      <c r="H29" s="292">
        <f>+'Purchased Power Model '!H29</f>
        <v>102065928.13293974</v>
      </c>
      <c r="J29" s="287">
        <f>+'10 Year Average'!A29</f>
        <v>38412</v>
      </c>
      <c r="K29" s="288">
        <f>+'10 Year Average'!B29</f>
        <v>104158730</v>
      </c>
      <c r="L29" s="289">
        <f>+'10 Year Average'!C29</f>
        <v>578.29999999999995</v>
      </c>
      <c r="M29" s="289">
        <f>+'10 Year Average'!D29</f>
        <v>0</v>
      </c>
      <c r="N29" s="290">
        <f>+'10 Year Average'!E29</f>
        <v>7.2000000000000008E-2</v>
      </c>
      <c r="O29" s="291">
        <f>+'10 Year Average'!F29</f>
        <v>31</v>
      </c>
      <c r="P29" s="291">
        <f>+'10 Year Average'!G29</f>
        <v>1</v>
      </c>
      <c r="Q29" s="292">
        <f>+'10 Year Average'!H29</f>
        <v>102065928.13293974</v>
      </c>
      <c r="S29" s="287">
        <f>+'20 Year Trend'!A29</f>
        <v>38412</v>
      </c>
      <c r="T29" s="288">
        <f>+'20 Year Trend'!B29</f>
        <v>104158730</v>
      </c>
      <c r="U29" s="289">
        <f>+'20 Year Trend'!C29</f>
        <v>578.29999999999995</v>
      </c>
      <c r="V29" s="289">
        <f>+'20 Year Trend'!D29</f>
        <v>0</v>
      </c>
      <c r="W29" s="290">
        <f>+'20 Year Trend'!E29</f>
        <v>7.2000000000000008E-2</v>
      </c>
      <c r="X29" s="291">
        <f>+'20 Year Trend'!F29</f>
        <v>31</v>
      </c>
      <c r="Y29" s="291">
        <f>+'20 Year Trend'!G29</f>
        <v>1</v>
      </c>
      <c r="Z29" s="292">
        <f>+'20 Year Trend'!H29</f>
        <v>102065928.13293974</v>
      </c>
    </row>
    <row r="30" spans="1:26" x14ac:dyDescent="0.2">
      <c r="A30" s="287">
        <f>+'Purchased Power Model '!A30</f>
        <v>38443</v>
      </c>
      <c r="B30" s="288">
        <f>+'Purchased Power Model '!B30</f>
        <v>84434840</v>
      </c>
      <c r="C30" s="289">
        <f>+'Purchased Power Model '!C30</f>
        <v>325.3</v>
      </c>
      <c r="D30" s="289">
        <f>+'Purchased Power Model '!D30</f>
        <v>0</v>
      </c>
      <c r="E30" s="290">
        <f>+'Purchased Power Model '!E30</f>
        <v>6.3E-2</v>
      </c>
      <c r="F30" s="291">
        <f>+'Purchased Power Model '!F30</f>
        <v>30</v>
      </c>
      <c r="G30" s="291">
        <f>+'Purchased Power Model '!G30</f>
        <v>1</v>
      </c>
      <c r="H30" s="292">
        <f>+'Purchased Power Model '!H30</f>
        <v>90324685.217596367</v>
      </c>
      <c r="J30" s="287">
        <f>+'10 Year Average'!A30</f>
        <v>38443</v>
      </c>
      <c r="K30" s="288">
        <f>+'10 Year Average'!B30</f>
        <v>84434840</v>
      </c>
      <c r="L30" s="289">
        <f>+'10 Year Average'!C30</f>
        <v>325.3</v>
      </c>
      <c r="M30" s="289">
        <f>+'10 Year Average'!D30</f>
        <v>0</v>
      </c>
      <c r="N30" s="290">
        <f>+'10 Year Average'!E30</f>
        <v>6.3E-2</v>
      </c>
      <c r="O30" s="291">
        <f>+'10 Year Average'!F30</f>
        <v>30</v>
      </c>
      <c r="P30" s="291">
        <f>+'10 Year Average'!G30</f>
        <v>1</v>
      </c>
      <c r="Q30" s="292">
        <f>+'10 Year Average'!H30</f>
        <v>90324685.217596367</v>
      </c>
      <c r="S30" s="287">
        <f>+'20 Year Trend'!A30</f>
        <v>38443</v>
      </c>
      <c r="T30" s="288">
        <f>+'20 Year Trend'!B30</f>
        <v>84434840</v>
      </c>
      <c r="U30" s="289">
        <f>+'20 Year Trend'!C30</f>
        <v>325.3</v>
      </c>
      <c r="V30" s="289">
        <f>+'20 Year Trend'!D30</f>
        <v>0</v>
      </c>
      <c r="W30" s="290">
        <f>+'20 Year Trend'!E30</f>
        <v>6.3E-2</v>
      </c>
      <c r="X30" s="291">
        <f>+'20 Year Trend'!F30</f>
        <v>30</v>
      </c>
      <c r="Y30" s="291">
        <f>+'20 Year Trend'!G30</f>
        <v>1</v>
      </c>
      <c r="Z30" s="292">
        <f>+'20 Year Trend'!H30</f>
        <v>90324685.217596367</v>
      </c>
    </row>
    <row r="31" spans="1:26" x14ac:dyDescent="0.2">
      <c r="A31" s="287">
        <f>+'Purchased Power Model '!A31</f>
        <v>38473</v>
      </c>
      <c r="B31" s="288">
        <f>+'Purchased Power Model '!B31</f>
        <v>81831370</v>
      </c>
      <c r="C31" s="289">
        <f>+'Purchased Power Model '!C31</f>
        <v>216.1</v>
      </c>
      <c r="D31" s="289">
        <f>+'Purchased Power Model '!D31</f>
        <v>0.3</v>
      </c>
      <c r="E31" s="290">
        <f>+'Purchased Power Model '!E31</f>
        <v>6.3E-2</v>
      </c>
      <c r="F31" s="291">
        <f>+'Purchased Power Model '!F31</f>
        <v>31</v>
      </c>
      <c r="G31" s="291">
        <f>+'Purchased Power Model '!G31</f>
        <v>1</v>
      </c>
      <c r="H31" s="292">
        <f>+'Purchased Power Model '!H31</f>
        <v>88894680.889096633</v>
      </c>
      <c r="J31" s="287">
        <f>+'10 Year Average'!A31</f>
        <v>38473</v>
      </c>
      <c r="K31" s="288">
        <f>+'10 Year Average'!B31</f>
        <v>81831370</v>
      </c>
      <c r="L31" s="289">
        <f>+'10 Year Average'!C31</f>
        <v>216.1</v>
      </c>
      <c r="M31" s="289">
        <f>+'10 Year Average'!D31</f>
        <v>0.3</v>
      </c>
      <c r="N31" s="290">
        <f>+'10 Year Average'!E31</f>
        <v>6.3E-2</v>
      </c>
      <c r="O31" s="291">
        <f>+'10 Year Average'!F31</f>
        <v>31</v>
      </c>
      <c r="P31" s="291">
        <f>+'10 Year Average'!G31</f>
        <v>1</v>
      </c>
      <c r="Q31" s="292">
        <f>+'10 Year Average'!H31</f>
        <v>88894680.889096633</v>
      </c>
      <c r="S31" s="287">
        <f>+'20 Year Trend'!A31</f>
        <v>38473</v>
      </c>
      <c r="T31" s="288">
        <f>+'20 Year Trend'!B31</f>
        <v>81831370</v>
      </c>
      <c r="U31" s="289">
        <f>+'20 Year Trend'!C31</f>
        <v>216.1</v>
      </c>
      <c r="V31" s="289">
        <f>+'20 Year Trend'!D31</f>
        <v>0.3</v>
      </c>
      <c r="W31" s="290">
        <f>+'20 Year Trend'!E31</f>
        <v>6.3E-2</v>
      </c>
      <c r="X31" s="291">
        <f>+'20 Year Trend'!F31</f>
        <v>31</v>
      </c>
      <c r="Y31" s="291">
        <f>+'20 Year Trend'!G31</f>
        <v>1</v>
      </c>
      <c r="Z31" s="292">
        <f>+'20 Year Trend'!H31</f>
        <v>88894680.889096633</v>
      </c>
    </row>
    <row r="32" spans="1:26" x14ac:dyDescent="0.2">
      <c r="A32" s="287">
        <f>+'Purchased Power Model '!A32</f>
        <v>38504</v>
      </c>
      <c r="B32" s="288">
        <f>+'Purchased Power Model '!B32</f>
        <v>98362500</v>
      </c>
      <c r="C32" s="289">
        <f>+'Purchased Power Model '!C32</f>
        <v>13.7</v>
      </c>
      <c r="D32" s="289">
        <f>+'Purchased Power Model '!D32</f>
        <v>89.9</v>
      </c>
      <c r="E32" s="290">
        <f>+'Purchased Power Model '!E32</f>
        <v>6.3E-2</v>
      </c>
      <c r="F32" s="291">
        <f>+'Purchased Power Model '!F32</f>
        <v>30</v>
      </c>
      <c r="G32" s="291">
        <f>+'Purchased Power Model '!G32</f>
        <v>0</v>
      </c>
      <c r="H32" s="292">
        <f>+'Purchased Power Model '!H32</f>
        <v>98883910.235352844</v>
      </c>
      <c r="J32" s="287">
        <f>+'10 Year Average'!A32</f>
        <v>38504</v>
      </c>
      <c r="K32" s="288">
        <f>+'10 Year Average'!B32</f>
        <v>98362500</v>
      </c>
      <c r="L32" s="289">
        <f>+'10 Year Average'!C32</f>
        <v>13.7</v>
      </c>
      <c r="M32" s="289">
        <f>+'10 Year Average'!D32</f>
        <v>89.9</v>
      </c>
      <c r="N32" s="290">
        <f>+'10 Year Average'!E32</f>
        <v>6.3E-2</v>
      </c>
      <c r="O32" s="291">
        <f>+'10 Year Average'!F32</f>
        <v>30</v>
      </c>
      <c r="P32" s="291">
        <f>+'10 Year Average'!G32</f>
        <v>0</v>
      </c>
      <c r="Q32" s="292">
        <f>+'10 Year Average'!H32</f>
        <v>98883910.235352844</v>
      </c>
      <c r="S32" s="287">
        <f>+'20 Year Trend'!A32</f>
        <v>38504</v>
      </c>
      <c r="T32" s="288">
        <f>+'20 Year Trend'!B32</f>
        <v>98362500</v>
      </c>
      <c r="U32" s="289">
        <f>+'20 Year Trend'!C32</f>
        <v>13.7</v>
      </c>
      <c r="V32" s="289">
        <f>+'20 Year Trend'!D32</f>
        <v>89.9</v>
      </c>
      <c r="W32" s="290">
        <f>+'20 Year Trend'!E32</f>
        <v>6.3E-2</v>
      </c>
      <c r="X32" s="291">
        <f>+'20 Year Trend'!F32</f>
        <v>30</v>
      </c>
      <c r="Y32" s="291">
        <f>+'20 Year Trend'!G32</f>
        <v>0</v>
      </c>
      <c r="Z32" s="292">
        <f>+'20 Year Trend'!H32</f>
        <v>98883910.235352844</v>
      </c>
    </row>
    <row r="33" spans="1:26" x14ac:dyDescent="0.2">
      <c r="A33" s="287">
        <f>+'Purchased Power Model '!A33</f>
        <v>38534</v>
      </c>
      <c r="B33" s="288">
        <f>+'Purchased Power Model '!B33</f>
        <v>103745750</v>
      </c>
      <c r="C33" s="289">
        <f>+'Purchased Power Model '!C33</f>
        <v>2.2000000000000002</v>
      </c>
      <c r="D33" s="289">
        <f>+'Purchased Power Model '!D33</f>
        <v>153</v>
      </c>
      <c r="E33" s="290">
        <f>+'Purchased Power Model '!E33</f>
        <v>5.7000000000000002E-2</v>
      </c>
      <c r="F33" s="291">
        <f>+'Purchased Power Model '!F33</f>
        <v>31</v>
      </c>
      <c r="G33" s="291">
        <f>+'Purchased Power Model '!G33</f>
        <v>0</v>
      </c>
      <c r="H33" s="292">
        <f>+'Purchased Power Model '!H33</f>
        <v>111296757.60731834</v>
      </c>
      <c r="J33" s="287">
        <f>+'10 Year Average'!A33</f>
        <v>38534</v>
      </c>
      <c r="K33" s="288">
        <f>+'10 Year Average'!B33</f>
        <v>103745750</v>
      </c>
      <c r="L33" s="289">
        <f>+'10 Year Average'!C33</f>
        <v>2.2000000000000002</v>
      </c>
      <c r="M33" s="289">
        <f>+'10 Year Average'!D33</f>
        <v>153</v>
      </c>
      <c r="N33" s="290">
        <f>+'10 Year Average'!E33</f>
        <v>5.7000000000000002E-2</v>
      </c>
      <c r="O33" s="291">
        <f>+'10 Year Average'!F33</f>
        <v>31</v>
      </c>
      <c r="P33" s="291">
        <f>+'10 Year Average'!G33</f>
        <v>0</v>
      </c>
      <c r="Q33" s="292">
        <f>+'10 Year Average'!H33</f>
        <v>111296757.60731834</v>
      </c>
      <c r="S33" s="287">
        <f>+'20 Year Trend'!A33</f>
        <v>38534</v>
      </c>
      <c r="T33" s="288">
        <f>+'20 Year Trend'!B33</f>
        <v>103745750</v>
      </c>
      <c r="U33" s="289">
        <f>+'20 Year Trend'!C33</f>
        <v>2.2000000000000002</v>
      </c>
      <c r="V33" s="289">
        <f>+'20 Year Trend'!D33</f>
        <v>153</v>
      </c>
      <c r="W33" s="290">
        <f>+'20 Year Trend'!E33</f>
        <v>5.7000000000000002E-2</v>
      </c>
      <c r="X33" s="291">
        <f>+'20 Year Trend'!F33</f>
        <v>31</v>
      </c>
      <c r="Y33" s="291">
        <f>+'20 Year Trend'!G33</f>
        <v>0</v>
      </c>
      <c r="Z33" s="292">
        <f>+'20 Year Trend'!H33</f>
        <v>111296757.60731834</v>
      </c>
    </row>
    <row r="34" spans="1:26" x14ac:dyDescent="0.2">
      <c r="A34" s="287">
        <f>+'Purchased Power Model '!A34</f>
        <v>38565</v>
      </c>
      <c r="B34" s="288">
        <f>+'Purchased Power Model '!B34</f>
        <v>101425330</v>
      </c>
      <c r="C34" s="289">
        <f>+'Purchased Power Model '!C34</f>
        <v>0</v>
      </c>
      <c r="D34" s="289">
        <f>+'Purchased Power Model '!D34</f>
        <v>108</v>
      </c>
      <c r="E34" s="290">
        <f>+'Purchased Power Model '!E34</f>
        <v>5.7000000000000002E-2</v>
      </c>
      <c r="F34" s="291">
        <f>+'Purchased Power Model '!F34</f>
        <v>31</v>
      </c>
      <c r="G34" s="291">
        <f>+'Purchased Power Model '!G34</f>
        <v>0</v>
      </c>
      <c r="H34" s="292">
        <f>+'Purchased Power Model '!H34</f>
        <v>104314129.05814295</v>
      </c>
      <c r="J34" s="287">
        <f>+'10 Year Average'!A34</f>
        <v>38565</v>
      </c>
      <c r="K34" s="288">
        <f>+'10 Year Average'!B34</f>
        <v>101425330</v>
      </c>
      <c r="L34" s="289">
        <f>+'10 Year Average'!C34</f>
        <v>0</v>
      </c>
      <c r="M34" s="289">
        <f>+'10 Year Average'!D34</f>
        <v>108</v>
      </c>
      <c r="N34" s="290">
        <f>+'10 Year Average'!E34</f>
        <v>5.7000000000000002E-2</v>
      </c>
      <c r="O34" s="291">
        <f>+'10 Year Average'!F34</f>
        <v>31</v>
      </c>
      <c r="P34" s="291">
        <f>+'10 Year Average'!G34</f>
        <v>0</v>
      </c>
      <c r="Q34" s="292">
        <f>+'10 Year Average'!H34</f>
        <v>104314129.05814295</v>
      </c>
      <c r="S34" s="287">
        <f>+'20 Year Trend'!A34</f>
        <v>38565</v>
      </c>
      <c r="T34" s="288">
        <f>+'20 Year Trend'!B34</f>
        <v>101425330</v>
      </c>
      <c r="U34" s="289">
        <f>+'20 Year Trend'!C34</f>
        <v>0</v>
      </c>
      <c r="V34" s="289">
        <f>+'20 Year Trend'!D34</f>
        <v>108</v>
      </c>
      <c r="W34" s="290">
        <f>+'20 Year Trend'!E34</f>
        <v>5.7000000000000002E-2</v>
      </c>
      <c r="X34" s="291">
        <f>+'20 Year Trend'!F34</f>
        <v>31</v>
      </c>
      <c r="Y34" s="291">
        <f>+'20 Year Trend'!G34</f>
        <v>0</v>
      </c>
      <c r="Z34" s="292">
        <f>+'20 Year Trend'!H34</f>
        <v>104314129.05814295</v>
      </c>
    </row>
    <row r="35" spans="1:26" x14ac:dyDescent="0.2">
      <c r="A35" s="287">
        <f>+'Purchased Power Model '!A35</f>
        <v>38596</v>
      </c>
      <c r="B35" s="288">
        <f>+'Purchased Power Model '!B35</f>
        <v>87813850</v>
      </c>
      <c r="C35" s="289">
        <f>+'Purchased Power Model '!C35</f>
        <v>36.700000000000003</v>
      </c>
      <c r="D35" s="289">
        <f>+'Purchased Power Model '!D35</f>
        <v>32.799999999999997</v>
      </c>
      <c r="E35" s="290">
        <f>+'Purchased Power Model '!E35</f>
        <v>5.7000000000000002E-2</v>
      </c>
      <c r="F35" s="291">
        <f>+'Purchased Power Model '!F35</f>
        <v>30</v>
      </c>
      <c r="G35" s="291">
        <f>+'Purchased Power Model '!G35</f>
        <v>1</v>
      </c>
      <c r="H35" s="292">
        <f>+'Purchased Power Model '!H35</f>
        <v>84730738.348705426</v>
      </c>
      <c r="J35" s="287">
        <f>+'10 Year Average'!A35</f>
        <v>38596</v>
      </c>
      <c r="K35" s="288">
        <f>+'10 Year Average'!B35</f>
        <v>87813850</v>
      </c>
      <c r="L35" s="289">
        <f>+'10 Year Average'!C35</f>
        <v>36.700000000000003</v>
      </c>
      <c r="M35" s="289">
        <f>+'10 Year Average'!D35</f>
        <v>32.799999999999997</v>
      </c>
      <c r="N35" s="290">
        <f>+'10 Year Average'!E35</f>
        <v>5.7000000000000002E-2</v>
      </c>
      <c r="O35" s="291">
        <f>+'10 Year Average'!F35</f>
        <v>30</v>
      </c>
      <c r="P35" s="291">
        <f>+'10 Year Average'!G35</f>
        <v>1</v>
      </c>
      <c r="Q35" s="292">
        <f>+'10 Year Average'!H35</f>
        <v>84730738.348705426</v>
      </c>
      <c r="S35" s="287">
        <f>+'20 Year Trend'!A35</f>
        <v>38596</v>
      </c>
      <c r="T35" s="288">
        <f>+'20 Year Trend'!B35</f>
        <v>87813850</v>
      </c>
      <c r="U35" s="289">
        <f>+'20 Year Trend'!C35</f>
        <v>36.700000000000003</v>
      </c>
      <c r="V35" s="289">
        <f>+'20 Year Trend'!D35</f>
        <v>32.799999999999997</v>
      </c>
      <c r="W35" s="290">
        <f>+'20 Year Trend'!E35</f>
        <v>5.7000000000000002E-2</v>
      </c>
      <c r="X35" s="291">
        <f>+'20 Year Trend'!F35</f>
        <v>30</v>
      </c>
      <c r="Y35" s="291">
        <f>+'20 Year Trend'!G35</f>
        <v>1</v>
      </c>
      <c r="Z35" s="292">
        <f>+'20 Year Trend'!H35</f>
        <v>84730738.348705426</v>
      </c>
    </row>
    <row r="36" spans="1:26" x14ac:dyDescent="0.2">
      <c r="A36" s="287">
        <f>+'Purchased Power Model '!A36</f>
        <v>38626</v>
      </c>
      <c r="B36" s="288">
        <f>+'Purchased Power Model '!B36</f>
        <v>87350690</v>
      </c>
      <c r="C36" s="289">
        <f>+'Purchased Power Model '!C36</f>
        <v>223.8</v>
      </c>
      <c r="D36" s="289">
        <f>+'Purchased Power Model '!D36</f>
        <v>0.5</v>
      </c>
      <c r="E36" s="290">
        <f>+'Purchased Power Model '!E36</f>
        <v>6.7000000000000004E-2</v>
      </c>
      <c r="F36" s="291">
        <f>+'Purchased Power Model '!F36</f>
        <v>31</v>
      </c>
      <c r="G36" s="291">
        <f>+'Purchased Power Model '!G36</f>
        <v>1</v>
      </c>
      <c r="H36" s="292">
        <f>+'Purchased Power Model '!H36</f>
        <v>88912160.967081398</v>
      </c>
      <c r="J36" s="287">
        <f>+'10 Year Average'!A36</f>
        <v>38626</v>
      </c>
      <c r="K36" s="288">
        <f>+'10 Year Average'!B36</f>
        <v>87350690</v>
      </c>
      <c r="L36" s="289">
        <f>+'10 Year Average'!C36</f>
        <v>223.8</v>
      </c>
      <c r="M36" s="289">
        <f>+'10 Year Average'!D36</f>
        <v>0.5</v>
      </c>
      <c r="N36" s="290">
        <f>+'10 Year Average'!E36</f>
        <v>6.7000000000000004E-2</v>
      </c>
      <c r="O36" s="291">
        <f>+'10 Year Average'!F36</f>
        <v>31</v>
      </c>
      <c r="P36" s="291">
        <f>+'10 Year Average'!G36</f>
        <v>1</v>
      </c>
      <c r="Q36" s="292">
        <f>+'10 Year Average'!H36</f>
        <v>88912160.967081398</v>
      </c>
      <c r="S36" s="287">
        <f>+'20 Year Trend'!A36</f>
        <v>38626</v>
      </c>
      <c r="T36" s="288">
        <f>+'20 Year Trend'!B36</f>
        <v>87350690</v>
      </c>
      <c r="U36" s="289">
        <f>+'20 Year Trend'!C36</f>
        <v>223.8</v>
      </c>
      <c r="V36" s="289">
        <f>+'20 Year Trend'!D36</f>
        <v>0.5</v>
      </c>
      <c r="W36" s="290">
        <f>+'20 Year Trend'!E36</f>
        <v>6.7000000000000004E-2</v>
      </c>
      <c r="X36" s="291">
        <f>+'20 Year Trend'!F36</f>
        <v>31</v>
      </c>
      <c r="Y36" s="291">
        <f>+'20 Year Trend'!G36</f>
        <v>1</v>
      </c>
      <c r="Z36" s="292">
        <f>+'20 Year Trend'!H36</f>
        <v>88912160.967081398</v>
      </c>
    </row>
    <row r="37" spans="1:26" x14ac:dyDescent="0.2">
      <c r="A37" s="287">
        <f>+'Purchased Power Model '!A37</f>
        <v>38657</v>
      </c>
      <c r="B37" s="288">
        <f>+'Purchased Power Model '!B37</f>
        <v>94515140</v>
      </c>
      <c r="C37" s="289">
        <f>+'Purchased Power Model '!C37</f>
        <v>398.5</v>
      </c>
      <c r="D37" s="289">
        <f>+'Purchased Power Model '!D37</f>
        <v>0</v>
      </c>
      <c r="E37" s="290">
        <f>+'Purchased Power Model '!E37</f>
        <v>6.7000000000000004E-2</v>
      </c>
      <c r="F37" s="291">
        <f>+'Purchased Power Model '!F37</f>
        <v>30</v>
      </c>
      <c r="G37" s="291">
        <f>+'Purchased Power Model '!G37</f>
        <v>1</v>
      </c>
      <c r="H37" s="292">
        <f>+'Purchased Power Model '!H37</f>
        <v>92827406.987147972</v>
      </c>
      <c r="J37" s="287">
        <f>+'10 Year Average'!A37</f>
        <v>38657</v>
      </c>
      <c r="K37" s="288">
        <f>+'10 Year Average'!B37</f>
        <v>94515140</v>
      </c>
      <c r="L37" s="289">
        <f>+'10 Year Average'!C37</f>
        <v>398.5</v>
      </c>
      <c r="M37" s="289">
        <f>+'10 Year Average'!D37</f>
        <v>0</v>
      </c>
      <c r="N37" s="290">
        <f>+'10 Year Average'!E37</f>
        <v>6.7000000000000004E-2</v>
      </c>
      <c r="O37" s="291">
        <f>+'10 Year Average'!F37</f>
        <v>30</v>
      </c>
      <c r="P37" s="291">
        <f>+'10 Year Average'!G37</f>
        <v>1</v>
      </c>
      <c r="Q37" s="292">
        <f>+'10 Year Average'!H37</f>
        <v>92827406.987147972</v>
      </c>
      <c r="S37" s="287">
        <f>+'20 Year Trend'!A37</f>
        <v>38657</v>
      </c>
      <c r="T37" s="288">
        <f>+'20 Year Trend'!B37</f>
        <v>94515140</v>
      </c>
      <c r="U37" s="289">
        <f>+'20 Year Trend'!C37</f>
        <v>398.5</v>
      </c>
      <c r="V37" s="289">
        <f>+'20 Year Trend'!D37</f>
        <v>0</v>
      </c>
      <c r="W37" s="290">
        <f>+'20 Year Trend'!E37</f>
        <v>6.7000000000000004E-2</v>
      </c>
      <c r="X37" s="291">
        <f>+'20 Year Trend'!F37</f>
        <v>30</v>
      </c>
      <c r="Y37" s="291">
        <f>+'20 Year Trend'!G37</f>
        <v>1</v>
      </c>
      <c r="Z37" s="292">
        <f>+'20 Year Trend'!H37</f>
        <v>92827406.987147972</v>
      </c>
    </row>
    <row r="38" spans="1:26" x14ac:dyDescent="0.2">
      <c r="A38" s="287">
        <f>+'Purchased Power Model '!A38</f>
        <v>38687</v>
      </c>
      <c r="B38" s="288">
        <f>+'Purchased Power Model '!B38</f>
        <v>112129490</v>
      </c>
      <c r="C38" s="289">
        <f>+'Purchased Power Model '!C38</f>
        <v>641.1</v>
      </c>
      <c r="D38" s="289">
        <f>+'Purchased Power Model '!D38</f>
        <v>0</v>
      </c>
      <c r="E38" s="290">
        <f>+'Purchased Power Model '!E38</f>
        <v>6.7000000000000004E-2</v>
      </c>
      <c r="F38" s="291">
        <f>+'Purchased Power Model '!F38</f>
        <v>31</v>
      </c>
      <c r="G38" s="291">
        <f>+'Purchased Power Model '!G38</f>
        <v>0</v>
      </c>
      <c r="H38" s="292">
        <f>+'Purchased Power Model '!H38</f>
        <v>111611369.29398885</v>
      </c>
      <c r="J38" s="287">
        <f>+'10 Year Average'!A38</f>
        <v>38687</v>
      </c>
      <c r="K38" s="288">
        <f>+'10 Year Average'!B38</f>
        <v>112129490</v>
      </c>
      <c r="L38" s="289">
        <f>+'10 Year Average'!C38</f>
        <v>641.1</v>
      </c>
      <c r="M38" s="289">
        <f>+'10 Year Average'!D38</f>
        <v>0</v>
      </c>
      <c r="N38" s="290">
        <f>+'10 Year Average'!E38</f>
        <v>6.7000000000000004E-2</v>
      </c>
      <c r="O38" s="291">
        <f>+'10 Year Average'!F38</f>
        <v>31</v>
      </c>
      <c r="P38" s="291">
        <f>+'10 Year Average'!G38</f>
        <v>0</v>
      </c>
      <c r="Q38" s="292">
        <f>+'10 Year Average'!H38</f>
        <v>111611369.29398885</v>
      </c>
      <c r="S38" s="287">
        <f>+'20 Year Trend'!A38</f>
        <v>38687</v>
      </c>
      <c r="T38" s="288">
        <f>+'20 Year Trend'!B38</f>
        <v>112129490</v>
      </c>
      <c r="U38" s="289">
        <f>+'20 Year Trend'!C38</f>
        <v>641.1</v>
      </c>
      <c r="V38" s="289">
        <f>+'20 Year Trend'!D38</f>
        <v>0</v>
      </c>
      <c r="W38" s="290">
        <f>+'20 Year Trend'!E38</f>
        <v>6.7000000000000004E-2</v>
      </c>
      <c r="X38" s="291">
        <f>+'20 Year Trend'!F38</f>
        <v>31</v>
      </c>
      <c r="Y38" s="291">
        <f>+'20 Year Trend'!G38</f>
        <v>0</v>
      </c>
      <c r="Z38" s="292">
        <f>+'20 Year Trend'!H38</f>
        <v>111611369.29398885</v>
      </c>
    </row>
    <row r="39" spans="1:26" x14ac:dyDescent="0.2">
      <c r="A39" s="287">
        <f>+'Purchased Power Model '!A39</f>
        <v>38718</v>
      </c>
      <c r="B39" s="293">
        <f>+'Purchased Power Model '!B39</f>
        <v>108586490</v>
      </c>
      <c r="C39" s="289">
        <f>+'Purchased Power Model '!C39</f>
        <v>558.20000000000005</v>
      </c>
      <c r="D39" s="289">
        <f>+'Purchased Power Model '!D39</f>
        <v>0</v>
      </c>
      <c r="E39" s="290">
        <f>+'Purchased Power Model '!E39</f>
        <v>6.7000000000000004E-2</v>
      </c>
      <c r="F39" s="291">
        <f>+'Purchased Power Model '!F39</f>
        <v>31</v>
      </c>
      <c r="G39" s="291">
        <f>+'Purchased Power Model '!G39</f>
        <v>0</v>
      </c>
      <c r="H39" s="292">
        <f>+'Purchased Power Model '!H39</f>
        <v>108427123.30806802</v>
      </c>
      <c r="J39" s="287">
        <f>+'10 Year Average'!A39</f>
        <v>38718</v>
      </c>
      <c r="K39" s="293">
        <f>+'10 Year Average'!B39</f>
        <v>108586490</v>
      </c>
      <c r="L39" s="289">
        <f>+'10 Year Average'!C39</f>
        <v>558.20000000000005</v>
      </c>
      <c r="M39" s="289">
        <f>+'10 Year Average'!D39</f>
        <v>0</v>
      </c>
      <c r="N39" s="290">
        <f>+'10 Year Average'!E39</f>
        <v>6.7000000000000004E-2</v>
      </c>
      <c r="O39" s="291">
        <f>+'10 Year Average'!F39</f>
        <v>31</v>
      </c>
      <c r="P39" s="291">
        <f>+'10 Year Average'!G39</f>
        <v>0</v>
      </c>
      <c r="Q39" s="292">
        <f>+'10 Year Average'!H39</f>
        <v>108427123.30806802</v>
      </c>
      <c r="S39" s="287">
        <f>+'20 Year Trend'!A39</f>
        <v>38718</v>
      </c>
      <c r="T39" s="293">
        <f>+'20 Year Trend'!B39</f>
        <v>108586490</v>
      </c>
      <c r="U39" s="289">
        <f>+'20 Year Trend'!C39</f>
        <v>558.20000000000005</v>
      </c>
      <c r="V39" s="289">
        <f>+'20 Year Trend'!D39</f>
        <v>0</v>
      </c>
      <c r="W39" s="290">
        <f>+'20 Year Trend'!E39</f>
        <v>6.7000000000000004E-2</v>
      </c>
      <c r="X39" s="291">
        <f>+'20 Year Trend'!F39</f>
        <v>31</v>
      </c>
      <c r="Y39" s="291">
        <f>+'20 Year Trend'!G39</f>
        <v>0</v>
      </c>
      <c r="Z39" s="292">
        <f>+'20 Year Trend'!H39</f>
        <v>108427123.30806802</v>
      </c>
    </row>
    <row r="40" spans="1:26" x14ac:dyDescent="0.2">
      <c r="A40" s="287">
        <f>+'Purchased Power Model '!A40</f>
        <v>38749</v>
      </c>
      <c r="B40" s="293">
        <f>+'Purchased Power Model '!B40</f>
        <v>101769990</v>
      </c>
      <c r="C40" s="289">
        <f>+'Purchased Power Model '!C40</f>
        <v>608.79999999999995</v>
      </c>
      <c r="D40" s="289">
        <f>+'Purchased Power Model '!D40</f>
        <v>0</v>
      </c>
      <c r="E40" s="290">
        <f>+'Purchased Power Model '!E40</f>
        <v>6.7000000000000004E-2</v>
      </c>
      <c r="F40" s="291">
        <f>+'Purchased Power Model '!F40</f>
        <v>28</v>
      </c>
      <c r="G40" s="291">
        <f>+'Purchased Power Model '!G40</f>
        <v>0</v>
      </c>
      <c r="H40" s="292">
        <f>+'Purchased Power Model '!H40</f>
        <v>102215338.38296506</v>
      </c>
      <c r="J40" s="287">
        <f>+'10 Year Average'!A40</f>
        <v>38749</v>
      </c>
      <c r="K40" s="293">
        <f>+'10 Year Average'!B40</f>
        <v>101769990</v>
      </c>
      <c r="L40" s="289">
        <f>+'10 Year Average'!C40</f>
        <v>608.79999999999995</v>
      </c>
      <c r="M40" s="289">
        <f>+'10 Year Average'!D40</f>
        <v>0</v>
      </c>
      <c r="N40" s="290">
        <f>+'10 Year Average'!E40</f>
        <v>6.7000000000000004E-2</v>
      </c>
      <c r="O40" s="291">
        <f>+'10 Year Average'!F40</f>
        <v>28</v>
      </c>
      <c r="P40" s="291">
        <f>+'10 Year Average'!G40</f>
        <v>0</v>
      </c>
      <c r="Q40" s="292">
        <f>+'10 Year Average'!H40</f>
        <v>102215338.38296506</v>
      </c>
      <c r="S40" s="287">
        <f>+'20 Year Trend'!A40</f>
        <v>38749</v>
      </c>
      <c r="T40" s="293">
        <f>+'20 Year Trend'!B40</f>
        <v>101769990</v>
      </c>
      <c r="U40" s="289">
        <f>+'20 Year Trend'!C40</f>
        <v>608.79999999999995</v>
      </c>
      <c r="V40" s="289">
        <f>+'20 Year Trend'!D40</f>
        <v>0</v>
      </c>
      <c r="W40" s="290">
        <f>+'20 Year Trend'!E40</f>
        <v>6.7000000000000004E-2</v>
      </c>
      <c r="X40" s="291">
        <f>+'20 Year Trend'!F40</f>
        <v>28</v>
      </c>
      <c r="Y40" s="291">
        <f>+'20 Year Trend'!G40</f>
        <v>0</v>
      </c>
      <c r="Z40" s="292">
        <f>+'20 Year Trend'!H40</f>
        <v>102215338.38296506</v>
      </c>
    </row>
    <row r="41" spans="1:26" x14ac:dyDescent="0.2">
      <c r="A41" s="287">
        <f>+'Purchased Power Model '!A41</f>
        <v>38777</v>
      </c>
      <c r="B41" s="293">
        <f>+'Purchased Power Model '!B41</f>
        <v>102729300</v>
      </c>
      <c r="C41" s="289">
        <f>+'Purchased Power Model '!C41</f>
        <v>534</v>
      </c>
      <c r="D41" s="289">
        <f>+'Purchased Power Model '!D41</f>
        <v>0</v>
      </c>
      <c r="E41" s="290">
        <f>+'Purchased Power Model '!E41</f>
        <v>6.7000000000000004E-2</v>
      </c>
      <c r="F41" s="291">
        <f>+'Purchased Power Model '!F41</f>
        <v>31</v>
      </c>
      <c r="G41" s="291">
        <f>+'Purchased Power Model '!G41</f>
        <v>1</v>
      </c>
      <c r="H41" s="292">
        <f>+'Purchased Power Model '!H41</f>
        <v>100750510.36654261</v>
      </c>
      <c r="J41" s="287">
        <f>+'10 Year Average'!A41</f>
        <v>38777</v>
      </c>
      <c r="K41" s="293">
        <f>+'10 Year Average'!B41</f>
        <v>102729300</v>
      </c>
      <c r="L41" s="289">
        <f>+'10 Year Average'!C41</f>
        <v>534</v>
      </c>
      <c r="M41" s="289">
        <f>+'10 Year Average'!D41</f>
        <v>0</v>
      </c>
      <c r="N41" s="290">
        <f>+'10 Year Average'!E41</f>
        <v>6.7000000000000004E-2</v>
      </c>
      <c r="O41" s="291">
        <f>+'10 Year Average'!F41</f>
        <v>31</v>
      </c>
      <c r="P41" s="291">
        <f>+'10 Year Average'!G41</f>
        <v>1</v>
      </c>
      <c r="Q41" s="292">
        <f>+'10 Year Average'!H41</f>
        <v>100750510.36654261</v>
      </c>
      <c r="S41" s="287">
        <f>+'20 Year Trend'!A41</f>
        <v>38777</v>
      </c>
      <c r="T41" s="293">
        <f>+'20 Year Trend'!B41</f>
        <v>102729300</v>
      </c>
      <c r="U41" s="289">
        <f>+'20 Year Trend'!C41</f>
        <v>534</v>
      </c>
      <c r="V41" s="289">
        <f>+'20 Year Trend'!D41</f>
        <v>0</v>
      </c>
      <c r="W41" s="290">
        <f>+'20 Year Trend'!E41</f>
        <v>6.7000000000000004E-2</v>
      </c>
      <c r="X41" s="291">
        <f>+'20 Year Trend'!F41</f>
        <v>31</v>
      </c>
      <c r="Y41" s="291">
        <f>+'20 Year Trend'!G41</f>
        <v>1</v>
      </c>
      <c r="Z41" s="292">
        <f>+'20 Year Trend'!H41</f>
        <v>100750510.36654261</v>
      </c>
    </row>
    <row r="42" spans="1:26" x14ac:dyDescent="0.2">
      <c r="A42" s="287">
        <f>+'Purchased Power Model '!A42</f>
        <v>38808</v>
      </c>
      <c r="B42" s="293">
        <f>+'Purchased Power Model '!B42</f>
        <v>85245280</v>
      </c>
      <c r="C42" s="289">
        <f>+'Purchased Power Model '!C42</f>
        <v>323.60000000000002</v>
      </c>
      <c r="D42" s="289">
        <f>+'Purchased Power Model '!D42</f>
        <v>0</v>
      </c>
      <c r="E42" s="290">
        <f>+'Purchased Power Model '!E42</f>
        <v>6.3E-2</v>
      </c>
      <c r="F42" s="291">
        <f>+'Purchased Power Model '!F42</f>
        <v>30</v>
      </c>
      <c r="G42" s="291">
        <f>+'Purchased Power Model '!G42</f>
        <v>1</v>
      </c>
      <c r="H42" s="292">
        <f>+'Purchased Power Model '!H42</f>
        <v>90259387.049006909</v>
      </c>
      <c r="J42" s="287">
        <f>+'10 Year Average'!A42</f>
        <v>38808</v>
      </c>
      <c r="K42" s="293">
        <f>+'10 Year Average'!B42</f>
        <v>85245280</v>
      </c>
      <c r="L42" s="289">
        <f>+'10 Year Average'!C42</f>
        <v>323.60000000000002</v>
      </c>
      <c r="M42" s="289">
        <f>+'10 Year Average'!D42</f>
        <v>0</v>
      </c>
      <c r="N42" s="290">
        <f>+'10 Year Average'!E42</f>
        <v>6.3E-2</v>
      </c>
      <c r="O42" s="291">
        <f>+'10 Year Average'!F42</f>
        <v>30</v>
      </c>
      <c r="P42" s="291">
        <f>+'10 Year Average'!G42</f>
        <v>1</v>
      </c>
      <c r="Q42" s="292">
        <f>+'10 Year Average'!H42</f>
        <v>90259387.049006909</v>
      </c>
      <c r="S42" s="287">
        <f>+'20 Year Trend'!A42</f>
        <v>38808</v>
      </c>
      <c r="T42" s="293">
        <f>+'20 Year Trend'!B42</f>
        <v>85245280</v>
      </c>
      <c r="U42" s="289">
        <f>+'20 Year Trend'!C42</f>
        <v>323.60000000000002</v>
      </c>
      <c r="V42" s="289">
        <f>+'20 Year Trend'!D42</f>
        <v>0</v>
      </c>
      <c r="W42" s="290">
        <f>+'20 Year Trend'!E42</f>
        <v>6.3E-2</v>
      </c>
      <c r="X42" s="291">
        <f>+'20 Year Trend'!F42</f>
        <v>30</v>
      </c>
      <c r="Y42" s="291">
        <f>+'20 Year Trend'!G42</f>
        <v>1</v>
      </c>
      <c r="Z42" s="292">
        <f>+'20 Year Trend'!H42</f>
        <v>90259387.049006909</v>
      </c>
    </row>
    <row r="43" spans="1:26" x14ac:dyDescent="0.2">
      <c r="A43" s="287">
        <f>+'Purchased Power Model '!A43</f>
        <v>38838</v>
      </c>
      <c r="B43" s="293">
        <f>+'Purchased Power Model '!B43</f>
        <v>85191000</v>
      </c>
      <c r="C43" s="289">
        <f>+'Purchased Power Model '!C43</f>
        <v>172.6</v>
      </c>
      <c r="D43" s="289">
        <f>+'Purchased Power Model '!D43</f>
        <v>12.8</v>
      </c>
      <c r="E43" s="290">
        <f>+'Purchased Power Model '!E43</f>
        <v>6.3E-2</v>
      </c>
      <c r="F43" s="291">
        <f>+'Purchased Power Model '!F43</f>
        <v>31</v>
      </c>
      <c r="G43" s="291">
        <f>+'Purchased Power Model '!G43</f>
        <v>1</v>
      </c>
      <c r="H43" s="292">
        <f>+'Purchased Power Model '!H43</f>
        <v>89139961.83053349</v>
      </c>
      <c r="J43" s="287">
        <f>+'10 Year Average'!A43</f>
        <v>38838</v>
      </c>
      <c r="K43" s="293">
        <f>+'10 Year Average'!B43</f>
        <v>85191000</v>
      </c>
      <c r="L43" s="289">
        <f>+'10 Year Average'!C43</f>
        <v>172.6</v>
      </c>
      <c r="M43" s="289">
        <f>+'10 Year Average'!D43</f>
        <v>12.8</v>
      </c>
      <c r="N43" s="290">
        <f>+'10 Year Average'!E43</f>
        <v>6.3E-2</v>
      </c>
      <c r="O43" s="291">
        <f>+'10 Year Average'!F43</f>
        <v>31</v>
      </c>
      <c r="P43" s="291">
        <f>+'10 Year Average'!G43</f>
        <v>1</v>
      </c>
      <c r="Q43" s="292">
        <f>+'10 Year Average'!H43</f>
        <v>89139961.83053349</v>
      </c>
      <c r="S43" s="287">
        <f>+'20 Year Trend'!A43</f>
        <v>38838</v>
      </c>
      <c r="T43" s="293">
        <f>+'20 Year Trend'!B43</f>
        <v>85191000</v>
      </c>
      <c r="U43" s="289">
        <f>+'20 Year Trend'!C43</f>
        <v>172.6</v>
      </c>
      <c r="V43" s="289">
        <f>+'20 Year Trend'!D43</f>
        <v>12.8</v>
      </c>
      <c r="W43" s="290">
        <f>+'20 Year Trend'!E43</f>
        <v>6.3E-2</v>
      </c>
      <c r="X43" s="291">
        <f>+'20 Year Trend'!F43</f>
        <v>31</v>
      </c>
      <c r="Y43" s="291">
        <f>+'20 Year Trend'!G43</f>
        <v>1</v>
      </c>
      <c r="Z43" s="292">
        <f>+'20 Year Trend'!H43</f>
        <v>89139961.83053349</v>
      </c>
    </row>
    <row r="44" spans="1:26" x14ac:dyDescent="0.2">
      <c r="A44" s="287">
        <f>+'Purchased Power Model '!A44</f>
        <v>38869</v>
      </c>
      <c r="B44" s="293">
        <f>+'Purchased Power Model '!B44</f>
        <v>91808310</v>
      </c>
      <c r="C44" s="289">
        <f>+'Purchased Power Model '!C44</f>
        <v>22.6</v>
      </c>
      <c r="D44" s="289">
        <f>+'Purchased Power Model '!D44</f>
        <v>36.200000000000003</v>
      </c>
      <c r="E44" s="290">
        <f>+'Purchased Power Model '!E44</f>
        <v>6.3E-2</v>
      </c>
      <c r="F44" s="291">
        <f>+'Purchased Power Model '!F44</f>
        <v>30</v>
      </c>
      <c r="G44" s="291">
        <f>+'Purchased Power Model '!G44</f>
        <v>0</v>
      </c>
      <c r="H44" s="292">
        <f>+'Purchased Power Model '!H44</f>
        <v>90994002.809248403</v>
      </c>
      <c r="J44" s="287">
        <f>+'10 Year Average'!A44</f>
        <v>38869</v>
      </c>
      <c r="K44" s="293">
        <f>+'10 Year Average'!B44</f>
        <v>91808310</v>
      </c>
      <c r="L44" s="289">
        <f>+'10 Year Average'!C44</f>
        <v>22.6</v>
      </c>
      <c r="M44" s="289">
        <f>+'10 Year Average'!D44</f>
        <v>36.200000000000003</v>
      </c>
      <c r="N44" s="290">
        <f>+'10 Year Average'!E44</f>
        <v>6.3E-2</v>
      </c>
      <c r="O44" s="291">
        <f>+'10 Year Average'!F44</f>
        <v>30</v>
      </c>
      <c r="P44" s="291">
        <f>+'10 Year Average'!G44</f>
        <v>0</v>
      </c>
      <c r="Q44" s="292">
        <f>+'10 Year Average'!H44</f>
        <v>90994002.809248403</v>
      </c>
      <c r="S44" s="287">
        <f>+'20 Year Trend'!A44</f>
        <v>38869</v>
      </c>
      <c r="T44" s="293">
        <f>+'20 Year Trend'!B44</f>
        <v>91808310</v>
      </c>
      <c r="U44" s="289">
        <f>+'20 Year Trend'!C44</f>
        <v>22.6</v>
      </c>
      <c r="V44" s="289">
        <f>+'20 Year Trend'!D44</f>
        <v>36.200000000000003</v>
      </c>
      <c r="W44" s="290">
        <f>+'20 Year Trend'!E44</f>
        <v>6.3E-2</v>
      </c>
      <c r="X44" s="291">
        <f>+'20 Year Trend'!F44</f>
        <v>30</v>
      </c>
      <c r="Y44" s="291">
        <f>+'20 Year Trend'!G44</f>
        <v>0</v>
      </c>
      <c r="Z44" s="292">
        <f>+'20 Year Trend'!H44</f>
        <v>90994002.809248403</v>
      </c>
    </row>
    <row r="45" spans="1:26" x14ac:dyDescent="0.2">
      <c r="A45" s="287">
        <f>+'Purchased Power Model '!A45</f>
        <v>38899</v>
      </c>
      <c r="B45" s="293">
        <f>+'Purchased Power Model '!B45</f>
        <v>103610940</v>
      </c>
      <c r="C45" s="289">
        <f>+'Purchased Power Model '!C45</f>
        <v>1.7</v>
      </c>
      <c r="D45" s="289">
        <f>+'Purchased Power Model '!D45</f>
        <v>107.6</v>
      </c>
      <c r="E45" s="290">
        <f>+'Purchased Power Model '!E45</f>
        <v>6.6000000000000003E-2</v>
      </c>
      <c r="F45" s="291">
        <f>+'Purchased Power Model '!F45</f>
        <v>31</v>
      </c>
      <c r="G45" s="291">
        <f>+'Purchased Power Model '!G45</f>
        <v>0</v>
      </c>
      <c r="H45" s="292">
        <f>+'Purchased Power Model '!H45</f>
        <v>103622994.32553346</v>
      </c>
      <c r="J45" s="287">
        <f>+'10 Year Average'!A45</f>
        <v>38899</v>
      </c>
      <c r="K45" s="293">
        <f>+'10 Year Average'!B45</f>
        <v>103610940</v>
      </c>
      <c r="L45" s="289">
        <f>+'10 Year Average'!C45</f>
        <v>1.7</v>
      </c>
      <c r="M45" s="289">
        <f>+'10 Year Average'!D45</f>
        <v>107.6</v>
      </c>
      <c r="N45" s="290">
        <f>+'10 Year Average'!E45</f>
        <v>6.6000000000000003E-2</v>
      </c>
      <c r="O45" s="291">
        <f>+'10 Year Average'!F45</f>
        <v>31</v>
      </c>
      <c r="P45" s="291">
        <f>+'10 Year Average'!G45</f>
        <v>0</v>
      </c>
      <c r="Q45" s="292">
        <f>+'10 Year Average'!H45</f>
        <v>103622994.32553346</v>
      </c>
      <c r="S45" s="287">
        <f>+'20 Year Trend'!A45</f>
        <v>38899</v>
      </c>
      <c r="T45" s="293">
        <f>+'20 Year Trend'!B45</f>
        <v>103610940</v>
      </c>
      <c r="U45" s="289">
        <f>+'20 Year Trend'!C45</f>
        <v>1.7</v>
      </c>
      <c r="V45" s="289">
        <f>+'20 Year Trend'!D45</f>
        <v>107.6</v>
      </c>
      <c r="W45" s="290">
        <f>+'20 Year Trend'!E45</f>
        <v>6.6000000000000003E-2</v>
      </c>
      <c r="X45" s="291">
        <f>+'20 Year Trend'!F45</f>
        <v>31</v>
      </c>
      <c r="Y45" s="291">
        <f>+'20 Year Trend'!G45</f>
        <v>0</v>
      </c>
      <c r="Z45" s="292">
        <f>+'20 Year Trend'!H45</f>
        <v>103622994.32553346</v>
      </c>
    </row>
    <row r="46" spans="1:26" x14ac:dyDescent="0.2">
      <c r="A46" s="287">
        <f>+'Purchased Power Model '!A46</f>
        <v>38930</v>
      </c>
      <c r="B46" s="293">
        <f>+'Purchased Power Model '!B46</f>
        <v>98252830</v>
      </c>
      <c r="C46" s="289">
        <f>+'Purchased Power Model '!C46</f>
        <v>4.4000000000000004</v>
      </c>
      <c r="D46" s="289">
        <f>+'Purchased Power Model '!D46</f>
        <v>82.1</v>
      </c>
      <c r="E46" s="290">
        <f>+'Purchased Power Model '!E46</f>
        <v>6.6000000000000003E-2</v>
      </c>
      <c r="F46" s="291">
        <f>+'Purchased Power Model '!F46</f>
        <v>31</v>
      </c>
      <c r="G46" s="291">
        <f>+'Purchased Power Model '!G46</f>
        <v>0</v>
      </c>
      <c r="H46" s="292">
        <f>+'Purchased Power Model '!H46</f>
        <v>99817765.660628006</v>
      </c>
      <c r="J46" s="287">
        <f>+'10 Year Average'!A46</f>
        <v>38930</v>
      </c>
      <c r="K46" s="293">
        <f>+'10 Year Average'!B46</f>
        <v>98252830</v>
      </c>
      <c r="L46" s="289">
        <f>+'10 Year Average'!C46</f>
        <v>4.4000000000000004</v>
      </c>
      <c r="M46" s="289">
        <f>+'10 Year Average'!D46</f>
        <v>82.1</v>
      </c>
      <c r="N46" s="290">
        <f>+'10 Year Average'!E46</f>
        <v>6.6000000000000003E-2</v>
      </c>
      <c r="O46" s="291">
        <f>+'10 Year Average'!F46</f>
        <v>31</v>
      </c>
      <c r="P46" s="291">
        <f>+'10 Year Average'!G46</f>
        <v>0</v>
      </c>
      <c r="Q46" s="292">
        <f>+'10 Year Average'!H46</f>
        <v>99817765.660628006</v>
      </c>
      <c r="S46" s="287">
        <f>+'20 Year Trend'!A46</f>
        <v>38930</v>
      </c>
      <c r="T46" s="293">
        <f>+'20 Year Trend'!B46</f>
        <v>98252830</v>
      </c>
      <c r="U46" s="289">
        <f>+'20 Year Trend'!C46</f>
        <v>4.4000000000000004</v>
      </c>
      <c r="V46" s="289">
        <f>+'20 Year Trend'!D46</f>
        <v>82.1</v>
      </c>
      <c r="W46" s="290">
        <f>+'20 Year Trend'!E46</f>
        <v>6.6000000000000003E-2</v>
      </c>
      <c r="X46" s="291">
        <f>+'20 Year Trend'!F46</f>
        <v>31</v>
      </c>
      <c r="Y46" s="291">
        <f>+'20 Year Trend'!G46</f>
        <v>0</v>
      </c>
      <c r="Z46" s="292">
        <f>+'20 Year Trend'!H46</f>
        <v>99817765.660628006</v>
      </c>
    </row>
    <row r="47" spans="1:26" x14ac:dyDescent="0.2">
      <c r="A47" s="287">
        <f>+'Purchased Power Model '!A47</f>
        <v>38961</v>
      </c>
      <c r="B47" s="293">
        <f>+'Purchased Power Model '!B47</f>
        <v>83090470</v>
      </c>
      <c r="C47" s="289">
        <f>+'Purchased Power Model '!C47</f>
        <v>70.7</v>
      </c>
      <c r="D47" s="289">
        <f>+'Purchased Power Model '!D47</f>
        <v>5.0999999999999996</v>
      </c>
      <c r="E47" s="290">
        <f>+'Purchased Power Model '!E47</f>
        <v>6.6000000000000003E-2</v>
      </c>
      <c r="F47" s="291">
        <f>+'Purchased Power Model '!F47</f>
        <v>30</v>
      </c>
      <c r="G47" s="291">
        <f>+'Purchased Power Model '!G47</f>
        <v>1</v>
      </c>
      <c r="H47" s="292">
        <f>+'Purchased Power Model '!H47</f>
        <v>81095406.296919703</v>
      </c>
      <c r="J47" s="287">
        <f>+'10 Year Average'!A47</f>
        <v>38961</v>
      </c>
      <c r="K47" s="293">
        <f>+'10 Year Average'!B47</f>
        <v>83090470</v>
      </c>
      <c r="L47" s="289">
        <f>+'10 Year Average'!C47</f>
        <v>70.7</v>
      </c>
      <c r="M47" s="289">
        <f>+'10 Year Average'!D47</f>
        <v>5.0999999999999996</v>
      </c>
      <c r="N47" s="290">
        <f>+'10 Year Average'!E47</f>
        <v>6.6000000000000003E-2</v>
      </c>
      <c r="O47" s="291">
        <f>+'10 Year Average'!F47</f>
        <v>30</v>
      </c>
      <c r="P47" s="291">
        <f>+'10 Year Average'!G47</f>
        <v>1</v>
      </c>
      <c r="Q47" s="292">
        <f>+'10 Year Average'!H47</f>
        <v>81095406.296919703</v>
      </c>
      <c r="S47" s="287">
        <f>+'20 Year Trend'!A47</f>
        <v>38961</v>
      </c>
      <c r="T47" s="293">
        <f>+'20 Year Trend'!B47</f>
        <v>83090470</v>
      </c>
      <c r="U47" s="289">
        <f>+'20 Year Trend'!C47</f>
        <v>70.7</v>
      </c>
      <c r="V47" s="289">
        <f>+'20 Year Trend'!D47</f>
        <v>5.0999999999999996</v>
      </c>
      <c r="W47" s="290">
        <f>+'20 Year Trend'!E47</f>
        <v>6.6000000000000003E-2</v>
      </c>
      <c r="X47" s="291">
        <f>+'20 Year Trend'!F47</f>
        <v>30</v>
      </c>
      <c r="Y47" s="291">
        <f>+'20 Year Trend'!G47</f>
        <v>1</v>
      </c>
      <c r="Z47" s="292">
        <f>+'20 Year Trend'!H47</f>
        <v>81095406.296919703</v>
      </c>
    </row>
    <row r="48" spans="1:26" x14ac:dyDescent="0.2">
      <c r="A48" s="287">
        <f>+'Purchased Power Model '!A48</f>
        <v>38991</v>
      </c>
      <c r="B48" s="293">
        <f>+'Purchased Power Model '!B48</f>
        <v>90859410</v>
      </c>
      <c r="C48" s="289">
        <f>+'Purchased Power Model '!C48</f>
        <v>274.60000000000002</v>
      </c>
      <c r="D48" s="289">
        <f>+'Purchased Power Model '!D48</f>
        <v>0</v>
      </c>
      <c r="E48" s="290">
        <f>+'Purchased Power Model '!E48</f>
        <v>6.7000000000000004E-2</v>
      </c>
      <c r="F48" s="291">
        <f>+'Purchased Power Model '!F48</f>
        <v>31</v>
      </c>
      <c r="G48" s="291">
        <f>+'Purchased Power Model '!G48</f>
        <v>1</v>
      </c>
      <c r="H48" s="292">
        <f>+'Purchased Power Model '!H48</f>
        <v>90786778.053540647</v>
      </c>
      <c r="J48" s="287">
        <f>+'10 Year Average'!A48</f>
        <v>38991</v>
      </c>
      <c r="K48" s="293">
        <f>+'10 Year Average'!B48</f>
        <v>90859410</v>
      </c>
      <c r="L48" s="289">
        <f>+'10 Year Average'!C48</f>
        <v>274.60000000000002</v>
      </c>
      <c r="M48" s="289">
        <f>+'10 Year Average'!D48</f>
        <v>0</v>
      </c>
      <c r="N48" s="290">
        <f>+'10 Year Average'!E48</f>
        <v>6.7000000000000004E-2</v>
      </c>
      <c r="O48" s="291">
        <f>+'10 Year Average'!F48</f>
        <v>31</v>
      </c>
      <c r="P48" s="291">
        <f>+'10 Year Average'!G48</f>
        <v>1</v>
      </c>
      <c r="Q48" s="292">
        <f>+'10 Year Average'!H48</f>
        <v>90786778.053540647</v>
      </c>
      <c r="S48" s="287">
        <f>+'20 Year Trend'!A48</f>
        <v>38991</v>
      </c>
      <c r="T48" s="293">
        <f>+'20 Year Trend'!B48</f>
        <v>90859410</v>
      </c>
      <c r="U48" s="289">
        <f>+'20 Year Trend'!C48</f>
        <v>274.60000000000002</v>
      </c>
      <c r="V48" s="289">
        <f>+'20 Year Trend'!D48</f>
        <v>0</v>
      </c>
      <c r="W48" s="290">
        <f>+'20 Year Trend'!E48</f>
        <v>6.7000000000000004E-2</v>
      </c>
      <c r="X48" s="291">
        <f>+'20 Year Trend'!F48</f>
        <v>31</v>
      </c>
      <c r="Y48" s="291">
        <f>+'20 Year Trend'!G48</f>
        <v>1</v>
      </c>
      <c r="Z48" s="292">
        <f>+'20 Year Trend'!H48</f>
        <v>90786778.053540647</v>
      </c>
    </row>
    <row r="49" spans="1:26" x14ac:dyDescent="0.2">
      <c r="A49" s="287">
        <f>+'Purchased Power Model '!A49</f>
        <v>39022</v>
      </c>
      <c r="B49" s="293">
        <f>+'Purchased Power Model '!B49</f>
        <v>95117460</v>
      </c>
      <c r="C49" s="289">
        <f>+'Purchased Power Model '!C49</f>
        <v>367.5</v>
      </c>
      <c r="D49" s="289">
        <f>+'Purchased Power Model '!D49</f>
        <v>0</v>
      </c>
      <c r="E49" s="290">
        <f>+'Purchased Power Model '!E49</f>
        <v>6.7000000000000004E-2</v>
      </c>
      <c r="F49" s="291">
        <f>+'Purchased Power Model '!F49</f>
        <v>30</v>
      </c>
      <c r="G49" s="291">
        <f>+'Purchased Power Model '!G49</f>
        <v>1</v>
      </c>
      <c r="H49" s="292">
        <f>+'Purchased Power Model '!H49</f>
        <v>91636675.677575648</v>
      </c>
      <c r="J49" s="287">
        <f>+'10 Year Average'!A49</f>
        <v>39022</v>
      </c>
      <c r="K49" s="293">
        <f>+'10 Year Average'!B49</f>
        <v>95117460</v>
      </c>
      <c r="L49" s="289">
        <f>+'10 Year Average'!C49</f>
        <v>367.5</v>
      </c>
      <c r="M49" s="289">
        <f>+'10 Year Average'!D49</f>
        <v>0</v>
      </c>
      <c r="N49" s="290">
        <f>+'10 Year Average'!E49</f>
        <v>6.7000000000000004E-2</v>
      </c>
      <c r="O49" s="291">
        <f>+'10 Year Average'!F49</f>
        <v>30</v>
      </c>
      <c r="P49" s="291">
        <f>+'10 Year Average'!G49</f>
        <v>1</v>
      </c>
      <c r="Q49" s="292">
        <f>+'10 Year Average'!H49</f>
        <v>91636675.677575648</v>
      </c>
      <c r="S49" s="287">
        <f>+'20 Year Trend'!A49</f>
        <v>39022</v>
      </c>
      <c r="T49" s="293">
        <f>+'20 Year Trend'!B49</f>
        <v>95117460</v>
      </c>
      <c r="U49" s="289">
        <f>+'20 Year Trend'!C49</f>
        <v>367.5</v>
      </c>
      <c r="V49" s="289">
        <f>+'20 Year Trend'!D49</f>
        <v>0</v>
      </c>
      <c r="W49" s="290">
        <f>+'20 Year Trend'!E49</f>
        <v>6.7000000000000004E-2</v>
      </c>
      <c r="X49" s="291">
        <f>+'20 Year Trend'!F49</f>
        <v>30</v>
      </c>
      <c r="Y49" s="291">
        <f>+'20 Year Trend'!G49</f>
        <v>1</v>
      </c>
      <c r="Z49" s="292">
        <f>+'20 Year Trend'!H49</f>
        <v>91636675.677575648</v>
      </c>
    </row>
    <row r="50" spans="1:26" x14ac:dyDescent="0.2">
      <c r="A50" s="287">
        <f>+'Purchased Power Model '!A50</f>
        <v>39052</v>
      </c>
      <c r="B50" s="293">
        <f>+'Purchased Power Model '!B50</f>
        <v>105098960</v>
      </c>
      <c r="C50" s="289">
        <f>+'Purchased Power Model '!C50</f>
        <v>471.5</v>
      </c>
      <c r="D50" s="289">
        <f>+'Purchased Power Model '!D50</f>
        <v>0</v>
      </c>
      <c r="E50" s="290">
        <f>+'Purchased Power Model '!E50</f>
        <v>6.7000000000000004E-2</v>
      </c>
      <c r="F50" s="291">
        <f>+'Purchased Power Model '!F50</f>
        <v>31</v>
      </c>
      <c r="G50" s="291">
        <f>+'Purchased Power Model '!G50</f>
        <v>0</v>
      </c>
      <c r="H50" s="292">
        <f>+'Purchased Power Model '!H50</f>
        <v>105096916.71000607</v>
      </c>
      <c r="J50" s="287">
        <f>+'10 Year Average'!A50</f>
        <v>39052</v>
      </c>
      <c r="K50" s="293">
        <f>+'10 Year Average'!B50</f>
        <v>105098960</v>
      </c>
      <c r="L50" s="289">
        <f>+'10 Year Average'!C50</f>
        <v>471.5</v>
      </c>
      <c r="M50" s="289">
        <f>+'10 Year Average'!D50</f>
        <v>0</v>
      </c>
      <c r="N50" s="290">
        <f>+'10 Year Average'!E50</f>
        <v>6.7000000000000004E-2</v>
      </c>
      <c r="O50" s="291">
        <f>+'10 Year Average'!F50</f>
        <v>31</v>
      </c>
      <c r="P50" s="291">
        <f>+'10 Year Average'!G50</f>
        <v>0</v>
      </c>
      <c r="Q50" s="292">
        <f>+'10 Year Average'!H50</f>
        <v>105096916.71000607</v>
      </c>
      <c r="S50" s="287">
        <f>+'20 Year Trend'!A50</f>
        <v>39052</v>
      </c>
      <c r="T50" s="293">
        <f>+'20 Year Trend'!B50</f>
        <v>105098960</v>
      </c>
      <c r="U50" s="289">
        <f>+'20 Year Trend'!C50</f>
        <v>471.5</v>
      </c>
      <c r="V50" s="289">
        <f>+'20 Year Trend'!D50</f>
        <v>0</v>
      </c>
      <c r="W50" s="290">
        <f>+'20 Year Trend'!E50</f>
        <v>6.7000000000000004E-2</v>
      </c>
      <c r="X50" s="291">
        <f>+'20 Year Trend'!F50</f>
        <v>31</v>
      </c>
      <c r="Y50" s="291">
        <f>+'20 Year Trend'!G50</f>
        <v>0</v>
      </c>
      <c r="Z50" s="292">
        <f>+'20 Year Trend'!H50</f>
        <v>105096916.71000607</v>
      </c>
    </row>
    <row r="51" spans="1:26" x14ac:dyDescent="0.2">
      <c r="A51" s="287">
        <f>+'Purchased Power Model '!A51</f>
        <v>39083</v>
      </c>
      <c r="B51" s="293">
        <f>+'Purchased Power Model '!B51</f>
        <v>112093789.99999999</v>
      </c>
      <c r="C51" s="289">
        <f>+'Purchased Power Model '!C51</f>
        <v>573.1</v>
      </c>
      <c r="D51" s="289">
        <f>+'Purchased Power Model '!D51</f>
        <v>0</v>
      </c>
      <c r="E51" s="290">
        <f>+'Purchased Power Model '!E51</f>
        <v>6.2E-2</v>
      </c>
      <c r="F51" s="291">
        <f>+'Purchased Power Model '!F51</f>
        <v>31</v>
      </c>
      <c r="G51" s="291">
        <f>+'Purchased Power Model '!G51</f>
        <v>0</v>
      </c>
      <c r="H51" s="292">
        <f>+'Purchased Power Model '!H51</f>
        <v>109385618.23607996</v>
      </c>
      <c r="J51" s="287">
        <f>+'10 Year Average'!A51</f>
        <v>39083</v>
      </c>
      <c r="K51" s="293">
        <f>+'10 Year Average'!B51</f>
        <v>112093789.99999999</v>
      </c>
      <c r="L51" s="289">
        <f>+'10 Year Average'!C51</f>
        <v>573.1</v>
      </c>
      <c r="M51" s="289">
        <f>+'10 Year Average'!D51</f>
        <v>0</v>
      </c>
      <c r="N51" s="290">
        <f>+'10 Year Average'!E51</f>
        <v>6.2E-2</v>
      </c>
      <c r="O51" s="291">
        <f>+'10 Year Average'!F51</f>
        <v>31</v>
      </c>
      <c r="P51" s="291">
        <f>+'10 Year Average'!G51</f>
        <v>0</v>
      </c>
      <c r="Q51" s="292">
        <f>+'10 Year Average'!H51</f>
        <v>109385618.23607996</v>
      </c>
      <c r="S51" s="287">
        <f>+'20 Year Trend'!A51</f>
        <v>39083</v>
      </c>
      <c r="T51" s="293">
        <f>+'20 Year Trend'!B51</f>
        <v>112093789.99999999</v>
      </c>
      <c r="U51" s="289">
        <f>+'20 Year Trend'!C51</f>
        <v>573.1</v>
      </c>
      <c r="V51" s="289">
        <f>+'20 Year Trend'!D51</f>
        <v>0</v>
      </c>
      <c r="W51" s="290">
        <f>+'20 Year Trend'!E51</f>
        <v>6.2E-2</v>
      </c>
      <c r="X51" s="291">
        <f>+'20 Year Trend'!F51</f>
        <v>31</v>
      </c>
      <c r="Y51" s="291">
        <f>+'20 Year Trend'!G51</f>
        <v>0</v>
      </c>
      <c r="Z51" s="292">
        <f>+'20 Year Trend'!H51</f>
        <v>109385618.23607996</v>
      </c>
    </row>
    <row r="52" spans="1:26" x14ac:dyDescent="0.2">
      <c r="A52" s="287">
        <f>+'Purchased Power Model '!A52</f>
        <v>39114</v>
      </c>
      <c r="B52" s="293">
        <f>+'Purchased Power Model '!B52</f>
        <v>109302770</v>
      </c>
      <c r="C52" s="289">
        <f>+'Purchased Power Model '!C52</f>
        <v>693.5</v>
      </c>
      <c r="D52" s="289">
        <f>+'Purchased Power Model '!D52</f>
        <v>0</v>
      </c>
      <c r="E52" s="290">
        <f>+'Purchased Power Model '!E52</f>
        <v>6.2E-2</v>
      </c>
      <c r="F52" s="291">
        <f>+'Purchased Power Model '!F52</f>
        <v>28</v>
      </c>
      <c r="G52" s="291">
        <f>+'Purchased Power Model '!G52</f>
        <v>0</v>
      </c>
      <c r="H52" s="292">
        <f>+'Purchased Power Model '!H52</f>
        <v>105854899.291885</v>
      </c>
      <c r="J52" s="287">
        <f>+'10 Year Average'!A52</f>
        <v>39114</v>
      </c>
      <c r="K52" s="293">
        <f>+'10 Year Average'!B52</f>
        <v>109302770</v>
      </c>
      <c r="L52" s="289">
        <f>+'10 Year Average'!C52</f>
        <v>693.5</v>
      </c>
      <c r="M52" s="289">
        <f>+'10 Year Average'!D52</f>
        <v>0</v>
      </c>
      <c r="N52" s="290">
        <f>+'10 Year Average'!E52</f>
        <v>6.2E-2</v>
      </c>
      <c r="O52" s="291">
        <f>+'10 Year Average'!F52</f>
        <v>28</v>
      </c>
      <c r="P52" s="291">
        <f>+'10 Year Average'!G52</f>
        <v>0</v>
      </c>
      <c r="Q52" s="292">
        <f>+'10 Year Average'!H52</f>
        <v>105854899.291885</v>
      </c>
      <c r="S52" s="287">
        <f>+'20 Year Trend'!A52</f>
        <v>39114</v>
      </c>
      <c r="T52" s="293">
        <f>+'20 Year Trend'!B52</f>
        <v>109302770</v>
      </c>
      <c r="U52" s="289">
        <f>+'20 Year Trend'!C52</f>
        <v>693.5</v>
      </c>
      <c r="V52" s="289">
        <f>+'20 Year Trend'!D52</f>
        <v>0</v>
      </c>
      <c r="W52" s="290">
        <f>+'20 Year Trend'!E52</f>
        <v>6.2E-2</v>
      </c>
      <c r="X52" s="291">
        <f>+'20 Year Trend'!F52</f>
        <v>28</v>
      </c>
      <c r="Y52" s="291">
        <f>+'20 Year Trend'!G52</f>
        <v>0</v>
      </c>
      <c r="Z52" s="292">
        <f>+'20 Year Trend'!H52</f>
        <v>105854899.291885</v>
      </c>
    </row>
    <row r="53" spans="1:26" x14ac:dyDescent="0.2">
      <c r="A53" s="287">
        <f>+'Purchased Power Model '!A53</f>
        <v>39142</v>
      </c>
      <c r="B53" s="293">
        <f>+'Purchased Power Model '!B53</f>
        <v>106781890</v>
      </c>
      <c r="C53" s="289">
        <f>+'Purchased Power Model '!C53</f>
        <v>477.9</v>
      </c>
      <c r="D53" s="289">
        <f>+'Purchased Power Model '!D53</f>
        <v>0</v>
      </c>
      <c r="E53" s="290">
        <f>+'Purchased Power Model '!E53</f>
        <v>6.2E-2</v>
      </c>
      <c r="F53" s="291">
        <f>+'Purchased Power Model '!F53</f>
        <v>31</v>
      </c>
      <c r="G53" s="291">
        <f>+'Purchased Power Model '!G53</f>
        <v>1</v>
      </c>
      <c r="H53" s="292">
        <f>+'Purchased Power Model '!H53</f>
        <v>98981846.488759875</v>
      </c>
      <c r="J53" s="287">
        <f>+'10 Year Average'!A53</f>
        <v>39142</v>
      </c>
      <c r="K53" s="293">
        <f>+'10 Year Average'!B53</f>
        <v>106781890</v>
      </c>
      <c r="L53" s="289">
        <f>+'10 Year Average'!C53</f>
        <v>477.9</v>
      </c>
      <c r="M53" s="289">
        <f>+'10 Year Average'!D53</f>
        <v>0</v>
      </c>
      <c r="N53" s="290">
        <f>+'10 Year Average'!E53</f>
        <v>6.2E-2</v>
      </c>
      <c r="O53" s="291">
        <f>+'10 Year Average'!F53</f>
        <v>31</v>
      </c>
      <c r="P53" s="291">
        <f>+'10 Year Average'!G53</f>
        <v>1</v>
      </c>
      <c r="Q53" s="292">
        <f>+'10 Year Average'!H53</f>
        <v>98981846.488759875</v>
      </c>
      <c r="S53" s="287">
        <f>+'20 Year Trend'!A53</f>
        <v>39142</v>
      </c>
      <c r="T53" s="293">
        <f>+'20 Year Trend'!B53</f>
        <v>106781890</v>
      </c>
      <c r="U53" s="289">
        <f>+'20 Year Trend'!C53</f>
        <v>477.9</v>
      </c>
      <c r="V53" s="289">
        <f>+'20 Year Trend'!D53</f>
        <v>0</v>
      </c>
      <c r="W53" s="290">
        <f>+'20 Year Trend'!E53</f>
        <v>6.2E-2</v>
      </c>
      <c r="X53" s="291">
        <f>+'20 Year Trend'!F53</f>
        <v>31</v>
      </c>
      <c r="Y53" s="291">
        <f>+'20 Year Trend'!G53</f>
        <v>1</v>
      </c>
      <c r="Z53" s="292">
        <f>+'20 Year Trend'!H53</f>
        <v>98981846.488759875</v>
      </c>
    </row>
    <row r="54" spans="1:26" x14ac:dyDescent="0.2">
      <c r="A54" s="287">
        <f>+'Purchased Power Model '!A54</f>
        <v>39173</v>
      </c>
      <c r="B54" s="293">
        <f>+'Purchased Power Model '!B54</f>
        <v>92267850</v>
      </c>
      <c r="C54" s="289">
        <f>+'Purchased Power Model '!C54</f>
        <v>280.39999999999998</v>
      </c>
      <c r="D54" s="289">
        <f>+'Purchased Power Model '!D54</f>
        <v>0</v>
      </c>
      <c r="E54" s="290">
        <f>+'Purchased Power Model '!E54</f>
        <v>5.9000000000000004E-2</v>
      </c>
      <c r="F54" s="291">
        <f>+'Purchased Power Model '!F54</f>
        <v>30</v>
      </c>
      <c r="G54" s="291">
        <f>+'Purchased Power Model '!G54</f>
        <v>1</v>
      </c>
      <c r="H54" s="292">
        <f>+'Purchased Power Model '!H54</f>
        <v>88908985.901622057</v>
      </c>
      <c r="J54" s="287">
        <f>+'10 Year Average'!A54</f>
        <v>39173</v>
      </c>
      <c r="K54" s="293">
        <f>+'10 Year Average'!B54</f>
        <v>92267850</v>
      </c>
      <c r="L54" s="289">
        <f>+'10 Year Average'!C54</f>
        <v>280.39999999999998</v>
      </c>
      <c r="M54" s="289">
        <f>+'10 Year Average'!D54</f>
        <v>0</v>
      </c>
      <c r="N54" s="290">
        <f>+'10 Year Average'!E54</f>
        <v>5.9000000000000004E-2</v>
      </c>
      <c r="O54" s="291">
        <f>+'10 Year Average'!F54</f>
        <v>30</v>
      </c>
      <c r="P54" s="291">
        <f>+'10 Year Average'!G54</f>
        <v>1</v>
      </c>
      <c r="Q54" s="292">
        <f>+'10 Year Average'!H54</f>
        <v>88908985.901622057</v>
      </c>
      <c r="S54" s="287">
        <f>+'20 Year Trend'!A54</f>
        <v>39173</v>
      </c>
      <c r="T54" s="293">
        <f>+'20 Year Trend'!B54</f>
        <v>92267850</v>
      </c>
      <c r="U54" s="289">
        <f>+'20 Year Trend'!C54</f>
        <v>280.39999999999998</v>
      </c>
      <c r="V54" s="289">
        <f>+'20 Year Trend'!D54</f>
        <v>0</v>
      </c>
      <c r="W54" s="290">
        <f>+'20 Year Trend'!E54</f>
        <v>5.9000000000000004E-2</v>
      </c>
      <c r="X54" s="291">
        <f>+'20 Year Trend'!F54</f>
        <v>30</v>
      </c>
      <c r="Y54" s="291">
        <f>+'20 Year Trend'!G54</f>
        <v>1</v>
      </c>
      <c r="Z54" s="292">
        <f>+'20 Year Trend'!H54</f>
        <v>88908985.901622057</v>
      </c>
    </row>
    <row r="55" spans="1:26" x14ac:dyDescent="0.2">
      <c r="A55" s="287">
        <f>+'Purchased Power Model '!A55</f>
        <v>39203</v>
      </c>
      <c r="B55" s="293">
        <f>+'Purchased Power Model '!B55</f>
        <v>86029130</v>
      </c>
      <c r="C55" s="289">
        <f>+'Purchased Power Model '!C55</f>
        <v>72.8</v>
      </c>
      <c r="D55" s="289">
        <f>+'Purchased Power Model '!D55</f>
        <v>4.5</v>
      </c>
      <c r="E55" s="290">
        <f>+'Purchased Power Model '!E55</f>
        <v>5.9000000000000004E-2</v>
      </c>
      <c r="F55" s="291">
        <f>+'Purchased Power Model '!F55</f>
        <v>31</v>
      </c>
      <c r="G55" s="291">
        <f>+'Purchased Power Model '!G55</f>
        <v>1</v>
      </c>
      <c r="H55" s="292">
        <f>+'Purchased Power Model '!H55</f>
        <v>84343194.935857773</v>
      </c>
      <c r="J55" s="287">
        <f>+'10 Year Average'!A55</f>
        <v>39203</v>
      </c>
      <c r="K55" s="293">
        <f>+'10 Year Average'!B55</f>
        <v>86029130</v>
      </c>
      <c r="L55" s="289">
        <f>+'10 Year Average'!C55</f>
        <v>72.8</v>
      </c>
      <c r="M55" s="289">
        <f>+'10 Year Average'!D55</f>
        <v>4.5</v>
      </c>
      <c r="N55" s="290">
        <f>+'10 Year Average'!E55</f>
        <v>5.9000000000000004E-2</v>
      </c>
      <c r="O55" s="291">
        <f>+'10 Year Average'!F55</f>
        <v>31</v>
      </c>
      <c r="P55" s="291">
        <f>+'10 Year Average'!G55</f>
        <v>1</v>
      </c>
      <c r="Q55" s="292">
        <f>+'10 Year Average'!H55</f>
        <v>84343194.935857773</v>
      </c>
      <c r="S55" s="287">
        <f>+'20 Year Trend'!A55</f>
        <v>39203</v>
      </c>
      <c r="T55" s="293">
        <f>+'20 Year Trend'!B55</f>
        <v>86029130</v>
      </c>
      <c r="U55" s="289">
        <f>+'20 Year Trend'!C55</f>
        <v>72.8</v>
      </c>
      <c r="V55" s="289">
        <f>+'20 Year Trend'!D55</f>
        <v>4.5</v>
      </c>
      <c r="W55" s="290">
        <f>+'20 Year Trend'!E55</f>
        <v>5.9000000000000004E-2</v>
      </c>
      <c r="X55" s="291">
        <f>+'20 Year Trend'!F55</f>
        <v>31</v>
      </c>
      <c r="Y55" s="291">
        <f>+'20 Year Trend'!G55</f>
        <v>1</v>
      </c>
      <c r="Z55" s="292">
        <f>+'20 Year Trend'!H55</f>
        <v>84343194.935857773</v>
      </c>
    </row>
    <row r="56" spans="1:26" x14ac:dyDescent="0.2">
      <c r="A56" s="287">
        <f>+'Purchased Power Model '!A56</f>
        <v>39234</v>
      </c>
      <c r="B56" s="293">
        <f>+'Purchased Power Model '!B56</f>
        <v>96829929.999999985</v>
      </c>
      <c r="C56" s="289">
        <f>+'Purchased Power Model '!C56</f>
        <v>6.2</v>
      </c>
      <c r="D56" s="289">
        <f>+'Purchased Power Model '!D56</f>
        <v>32.799999999999997</v>
      </c>
      <c r="E56" s="290">
        <f>+'Purchased Power Model '!E56</f>
        <v>5.9000000000000004E-2</v>
      </c>
      <c r="F56" s="291">
        <f>+'Purchased Power Model '!F56</f>
        <v>30</v>
      </c>
      <c r="G56" s="291">
        <f>+'Purchased Power Model '!G56</f>
        <v>0</v>
      </c>
      <c r="H56" s="292">
        <f>+'Purchased Power Model '!H56</f>
        <v>90151816.414879128</v>
      </c>
      <c r="J56" s="287">
        <f>+'10 Year Average'!A56</f>
        <v>39234</v>
      </c>
      <c r="K56" s="293">
        <f>+'10 Year Average'!B56</f>
        <v>96829929.999999985</v>
      </c>
      <c r="L56" s="289">
        <f>+'10 Year Average'!C56</f>
        <v>6.2</v>
      </c>
      <c r="M56" s="289">
        <f>+'10 Year Average'!D56</f>
        <v>32.799999999999997</v>
      </c>
      <c r="N56" s="290">
        <f>+'10 Year Average'!E56</f>
        <v>5.9000000000000004E-2</v>
      </c>
      <c r="O56" s="291">
        <f>+'10 Year Average'!F56</f>
        <v>30</v>
      </c>
      <c r="P56" s="291">
        <f>+'10 Year Average'!G56</f>
        <v>0</v>
      </c>
      <c r="Q56" s="292">
        <f>+'10 Year Average'!H56</f>
        <v>90151816.414879128</v>
      </c>
      <c r="S56" s="287">
        <f>+'20 Year Trend'!A56</f>
        <v>39234</v>
      </c>
      <c r="T56" s="293">
        <f>+'20 Year Trend'!B56</f>
        <v>96829929.999999985</v>
      </c>
      <c r="U56" s="289">
        <f>+'20 Year Trend'!C56</f>
        <v>6.2</v>
      </c>
      <c r="V56" s="289">
        <f>+'20 Year Trend'!D56</f>
        <v>32.799999999999997</v>
      </c>
      <c r="W56" s="290">
        <f>+'20 Year Trend'!E56</f>
        <v>5.9000000000000004E-2</v>
      </c>
      <c r="X56" s="291">
        <f>+'20 Year Trend'!F56</f>
        <v>30</v>
      </c>
      <c r="Y56" s="291">
        <f>+'20 Year Trend'!G56</f>
        <v>0</v>
      </c>
      <c r="Z56" s="292">
        <f>+'20 Year Trend'!H56</f>
        <v>90151816.414879128</v>
      </c>
    </row>
    <row r="57" spans="1:26" x14ac:dyDescent="0.2">
      <c r="A57" s="287">
        <f>+'Purchased Power Model '!A57</f>
        <v>39264</v>
      </c>
      <c r="B57" s="293">
        <f>+'Purchased Power Model '!B57</f>
        <v>96919610</v>
      </c>
      <c r="C57" s="289">
        <f>+'Purchased Power Model '!C57</f>
        <v>8.6999999999999993</v>
      </c>
      <c r="D57" s="289">
        <f>+'Purchased Power Model '!D57</f>
        <v>41.6</v>
      </c>
      <c r="E57" s="290">
        <f>+'Purchased Power Model '!E57</f>
        <v>6.4000000000000001E-2</v>
      </c>
      <c r="F57" s="291">
        <f>+'Purchased Power Model '!F57</f>
        <v>31</v>
      </c>
      <c r="G57" s="291">
        <f>+'Purchased Power Model '!G57</f>
        <v>0</v>
      </c>
      <c r="H57" s="292">
        <f>+'Purchased Power Model '!H57</f>
        <v>93929089.35754469</v>
      </c>
      <c r="J57" s="287">
        <f>+'10 Year Average'!A57</f>
        <v>39264</v>
      </c>
      <c r="K57" s="293">
        <f>+'10 Year Average'!B57</f>
        <v>96919610</v>
      </c>
      <c r="L57" s="289">
        <f>+'10 Year Average'!C57</f>
        <v>8.6999999999999993</v>
      </c>
      <c r="M57" s="289">
        <f>+'10 Year Average'!D57</f>
        <v>41.6</v>
      </c>
      <c r="N57" s="290">
        <f>+'10 Year Average'!E57</f>
        <v>6.4000000000000001E-2</v>
      </c>
      <c r="O57" s="291">
        <f>+'10 Year Average'!F57</f>
        <v>31</v>
      </c>
      <c r="P57" s="291">
        <f>+'10 Year Average'!G57</f>
        <v>0</v>
      </c>
      <c r="Q57" s="292">
        <f>+'10 Year Average'!H57</f>
        <v>93929089.35754469</v>
      </c>
      <c r="S57" s="287">
        <f>+'20 Year Trend'!A57</f>
        <v>39264</v>
      </c>
      <c r="T57" s="293">
        <f>+'20 Year Trend'!B57</f>
        <v>96919610</v>
      </c>
      <c r="U57" s="289">
        <f>+'20 Year Trend'!C57</f>
        <v>8.6999999999999993</v>
      </c>
      <c r="V57" s="289">
        <f>+'20 Year Trend'!D57</f>
        <v>41.6</v>
      </c>
      <c r="W57" s="290">
        <f>+'20 Year Trend'!E57</f>
        <v>6.4000000000000001E-2</v>
      </c>
      <c r="X57" s="291">
        <f>+'20 Year Trend'!F57</f>
        <v>31</v>
      </c>
      <c r="Y57" s="291">
        <f>+'20 Year Trend'!G57</f>
        <v>0</v>
      </c>
      <c r="Z57" s="292">
        <f>+'20 Year Trend'!H57</f>
        <v>93929089.35754469</v>
      </c>
    </row>
    <row r="58" spans="1:26" x14ac:dyDescent="0.2">
      <c r="A58" s="287">
        <f>+'Purchased Power Model '!A58</f>
        <v>39295</v>
      </c>
      <c r="B58" s="293">
        <f>+'Purchased Power Model '!B58</f>
        <v>103644560</v>
      </c>
      <c r="C58" s="289">
        <f>+'Purchased Power Model '!C58</f>
        <v>4</v>
      </c>
      <c r="D58" s="289">
        <f>+'Purchased Power Model '!D58</f>
        <v>87.8</v>
      </c>
      <c r="E58" s="290">
        <f>+'Purchased Power Model '!E58</f>
        <v>6.4000000000000001E-2</v>
      </c>
      <c r="F58" s="291">
        <f>+'Purchased Power Model '!F58</f>
        <v>31</v>
      </c>
      <c r="G58" s="291">
        <f>+'Purchased Power Model '!G58</f>
        <v>0</v>
      </c>
      <c r="H58" s="292">
        <f>+'Purchased Power Model '!H58</f>
        <v>100830634.1646053</v>
      </c>
      <c r="J58" s="287">
        <f>+'10 Year Average'!A58</f>
        <v>39295</v>
      </c>
      <c r="K58" s="293">
        <f>+'10 Year Average'!B58</f>
        <v>103644560</v>
      </c>
      <c r="L58" s="289">
        <f>+'10 Year Average'!C58</f>
        <v>4</v>
      </c>
      <c r="M58" s="289">
        <f>+'10 Year Average'!D58</f>
        <v>87.8</v>
      </c>
      <c r="N58" s="290">
        <f>+'10 Year Average'!E58</f>
        <v>6.4000000000000001E-2</v>
      </c>
      <c r="O58" s="291">
        <f>+'10 Year Average'!F58</f>
        <v>31</v>
      </c>
      <c r="P58" s="291">
        <f>+'10 Year Average'!G58</f>
        <v>0</v>
      </c>
      <c r="Q58" s="292">
        <f>+'10 Year Average'!H58</f>
        <v>100830634.1646053</v>
      </c>
      <c r="S58" s="287">
        <f>+'20 Year Trend'!A58</f>
        <v>39295</v>
      </c>
      <c r="T58" s="293">
        <f>+'20 Year Trend'!B58</f>
        <v>103644560</v>
      </c>
      <c r="U58" s="289">
        <f>+'20 Year Trend'!C58</f>
        <v>4</v>
      </c>
      <c r="V58" s="289">
        <f>+'20 Year Trend'!D58</f>
        <v>87.8</v>
      </c>
      <c r="W58" s="290">
        <f>+'20 Year Trend'!E58</f>
        <v>6.4000000000000001E-2</v>
      </c>
      <c r="X58" s="291">
        <f>+'20 Year Trend'!F58</f>
        <v>31</v>
      </c>
      <c r="Y58" s="291">
        <f>+'20 Year Trend'!G58</f>
        <v>0</v>
      </c>
      <c r="Z58" s="292">
        <f>+'20 Year Trend'!H58</f>
        <v>100830634.1646053</v>
      </c>
    </row>
    <row r="59" spans="1:26" x14ac:dyDescent="0.2">
      <c r="A59" s="287">
        <f>+'Purchased Power Model '!A59</f>
        <v>39326</v>
      </c>
      <c r="B59" s="293">
        <f>+'Purchased Power Model '!B59</f>
        <v>87760000</v>
      </c>
      <c r="C59" s="289">
        <f>+'Purchased Power Model '!C59</f>
        <v>20.100000000000001</v>
      </c>
      <c r="D59" s="289">
        <f>+'Purchased Power Model '!D59</f>
        <v>12.3</v>
      </c>
      <c r="E59" s="290">
        <f>+'Purchased Power Model '!E59</f>
        <v>6.4000000000000001E-2</v>
      </c>
      <c r="F59" s="291">
        <f>+'Purchased Power Model '!F59</f>
        <v>30</v>
      </c>
      <c r="G59" s="291">
        <f>+'Purchased Power Model '!G59</f>
        <v>1</v>
      </c>
      <c r="H59" s="292">
        <f>+'Purchased Power Model '!H59</f>
        <v>80409995.794367388</v>
      </c>
      <c r="J59" s="287">
        <f>+'10 Year Average'!A59</f>
        <v>39326</v>
      </c>
      <c r="K59" s="293">
        <f>+'10 Year Average'!B59</f>
        <v>87760000</v>
      </c>
      <c r="L59" s="289">
        <f>+'10 Year Average'!C59</f>
        <v>20.100000000000001</v>
      </c>
      <c r="M59" s="289">
        <f>+'10 Year Average'!D59</f>
        <v>12.3</v>
      </c>
      <c r="N59" s="290">
        <f>+'10 Year Average'!E59</f>
        <v>6.4000000000000001E-2</v>
      </c>
      <c r="O59" s="291">
        <f>+'10 Year Average'!F59</f>
        <v>30</v>
      </c>
      <c r="P59" s="291">
        <f>+'10 Year Average'!G59</f>
        <v>1</v>
      </c>
      <c r="Q59" s="292">
        <f>+'10 Year Average'!H59</f>
        <v>80409995.794367388</v>
      </c>
      <c r="S59" s="287">
        <f>+'20 Year Trend'!A59</f>
        <v>39326</v>
      </c>
      <c r="T59" s="293">
        <f>+'20 Year Trend'!B59</f>
        <v>87760000</v>
      </c>
      <c r="U59" s="289">
        <f>+'20 Year Trend'!C59</f>
        <v>20.100000000000001</v>
      </c>
      <c r="V59" s="289">
        <f>+'20 Year Trend'!D59</f>
        <v>12.3</v>
      </c>
      <c r="W59" s="290">
        <f>+'20 Year Trend'!E59</f>
        <v>6.4000000000000001E-2</v>
      </c>
      <c r="X59" s="291">
        <f>+'20 Year Trend'!F59</f>
        <v>30</v>
      </c>
      <c r="Y59" s="291">
        <f>+'20 Year Trend'!G59</f>
        <v>1</v>
      </c>
      <c r="Z59" s="292">
        <f>+'20 Year Trend'!H59</f>
        <v>80409995.794367388</v>
      </c>
    </row>
    <row r="60" spans="1:26" x14ac:dyDescent="0.2">
      <c r="A60" s="287">
        <f>+'Purchased Power Model '!A60</f>
        <v>39356</v>
      </c>
      <c r="B60" s="293">
        <f>+'Purchased Power Model '!B60</f>
        <v>88883380</v>
      </c>
      <c r="C60" s="289">
        <f>+'Purchased Power Model '!C60</f>
        <v>101.5</v>
      </c>
      <c r="D60" s="289">
        <f>+'Purchased Power Model '!D60</f>
        <v>0</v>
      </c>
      <c r="E60" s="290">
        <f>+'Purchased Power Model '!E60</f>
        <v>6.0999999999999999E-2</v>
      </c>
      <c r="F60" s="291">
        <f>+'Purchased Power Model '!F60</f>
        <v>31</v>
      </c>
      <c r="G60" s="291">
        <f>+'Purchased Power Model '!G60</f>
        <v>1</v>
      </c>
      <c r="H60" s="292">
        <f>+'Purchased Power Model '!H60</f>
        <v>84601298.88644135</v>
      </c>
      <c r="J60" s="287">
        <f>+'10 Year Average'!A60</f>
        <v>39356</v>
      </c>
      <c r="K60" s="293">
        <f>+'10 Year Average'!B60</f>
        <v>88883380</v>
      </c>
      <c r="L60" s="289">
        <f>+'10 Year Average'!C60</f>
        <v>101.5</v>
      </c>
      <c r="M60" s="289">
        <f>+'10 Year Average'!D60</f>
        <v>0</v>
      </c>
      <c r="N60" s="290">
        <f>+'10 Year Average'!E60</f>
        <v>6.0999999999999999E-2</v>
      </c>
      <c r="O60" s="291">
        <f>+'10 Year Average'!F60</f>
        <v>31</v>
      </c>
      <c r="P60" s="291">
        <f>+'10 Year Average'!G60</f>
        <v>1</v>
      </c>
      <c r="Q60" s="292">
        <f>+'10 Year Average'!H60</f>
        <v>84601298.88644135</v>
      </c>
      <c r="S60" s="287">
        <f>+'20 Year Trend'!A60</f>
        <v>39356</v>
      </c>
      <c r="T60" s="293">
        <f>+'20 Year Trend'!B60</f>
        <v>88883380</v>
      </c>
      <c r="U60" s="289">
        <f>+'20 Year Trend'!C60</f>
        <v>101.5</v>
      </c>
      <c r="V60" s="289">
        <f>+'20 Year Trend'!D60</f>
        <v>0</v>
      </c>
      <c r="W60" s="290">
        <f>+'20 Year Trend'!E60</f>
        <v>6.0999999999999999E-2</v>
      </c>
      <c r="X60" s="291">
        <f>+'20 Year Trend'!F60</f>
        <v>31</v>
      </c>
      <c r="Y60" s="291">
        <f>+'20 Year Trend'!G60</f>
        <v>1</v>
      </c>
      <c r="Z60" s="292">
        <f>+'20 Year Trend'!H60</f>
        <v>84601298.88644135</v>
      </c>
    </row>
    <row r="61" spans="1:26" x14ac:dyDescent="0.2">
      <c r="A61" s="287">
        <f>+'Purchased Power Model '!A61</f>
        <v>39387</v>
      </c>
      <c r="B61" s="293">
        <f>+'Purchased Power Model '!B61</f>
        <v>97788230</v>
      </c>
      <c r="C61" s="289">
        <f>+'Purchased Power Model '!C61</f>
        <v>314.10000000000002</v>
      </c>
      <c r="D61" s="289">
        <f>+'Purchased Power Model '!D61</f>
        <v>0</v>
      </c>
      <c r="E61" s="290">
        <f>+'Purchased Power Model '!E61</f>
        <v>6.0999999999999999E-2</v>
      </c>
      <c r="F61" s="291">
        <f>+'Purchased Power Model '!F61</f>
        <v>30</v>
      </c>
      <c r="G61" s="291">
        <f>+'Purchased Power Model '!G61</f>
        <v>1</v>
      </c>
      <c r="H61" s="292">
        <f>+'Purchased Power Model '!H61</f>
        <v>90048955.792921752</v>
      </c>
      <c r="J61" s="287">
        <f>+'10 Year Average'!A61</f>
        <v>39387</v>
      </c>
      <c r="K61" s="293">
        <f>+'10 Year Average'!B61</f>
        <v>97788230</v>
      </c>
      <c r="L61" s="289">
        <f>+'10 Year Average'!C61</f>
        <v>314.10000000000002</v>
      </c>
      <c r="M61" s="289">
        <f>+'10 Year Average'!D61</f>
        <v>0</v>
      </c>
      <c r="N61" s="290">
        <f>+'10 Year Average'!E61</f>
        <v>6.0999999999999999E-2</v>
      </c>
      <c r="O61" s="291">
        <f>+'10 Year Average'!F61</f>
        <v>30</v>
      </c>
      <c r="P61" s="291">
        <f>+'10 Year Average'!G61</f>
        <v>1</v>
      </c>
      <c r="Q61" s="292">
        <f>+'10 Year Average'!H61</f>
        <v>90048955.792921752</v>
      </c>
      <c r="S61" s="287">
        <f>+'20 Year Trend'!A61</f>
        <v>39387</v>
      </c>
      <c r="T61" s="293">
        <f>+'20 Year Trend'!B61</f>
        <v>97788230</v>
      </c>
      <c r="U61" s="289">
        <f>+'20 Year Trend'!C61</f>
        <v>314.10000000000002</v>
      </c>
      <c r="V61" s="289">
        <f>+'20 Year Trend'!D61</f>
        <v>0</v>
      </c>
      <c r="W61" s="290">
        <f>+'20 Year Trend'!E61</f>
        <v>6.0999999999999999E-2</v>
      </c>
      <c r="X61" s="291">
        <f>+'20 Year Trend'!F61</f>
        <v>30</v>
      </c>
      <c r="Y61" s="291">
        <f>+'20 Year Trend'!G61</f>
        <v>1</v>
      </c>
      <c r="Z61" s="292">
        <f>+'20 Year Trend'!H61</f>
        <v>90048955.792921752</v>
      </c>
    </row>
    <row r="62" spans="1:26" ht="13.5" thickBot="1" x14ac:dyDescent="0.25">
      <c r="A62" s="294">
        <f>+'Purchased Power Model '!A62</f>
        <v>39417</v>
      </c>
      <c r="B62" s="381">
        <f>+'Purchased Power Model '!B62</f>
        <v>112852450</v>
      </c>
      <c r="C62" s="295">
        <f>+'Purchased Power Model '!C62</f>
        <v>337.8</v>
      </c>
      <c r="D62" s="295">
        <f>+'Purchased Power Model '!D62</f>
        <v>0</v>
      </c>
      <c r="E62" s="296">
        <f>+'Purchased Power Model '!E62</f>
        <v>6.0999999999999999E-2</v>
      </c>
      <c r="F62" s="297">
        <f>+'Purchased Power Model '!F62</f>
        <v>31</v>
      </c>
      <c r="G62" s="297">
        <f>+'Purchased Power Model '!G62</f>
        <v>0</v>
      </c>
      <c r="H62" s="298">
        <f>+'Purchased Power Model '!H62</f>
        <v>100424818.6266858</v>
      </c>
      <c r="J62" s="294">
        <f>+'10 Year Average'!A62</f>
        <v>39417</v>
      </c>
      <c r="K62" s="381">
        <f>+'10 Year Average'!B62</f>
        <v>112852450</v>
      </c>
      <c r="L62" s="295">
        <f>+'10 Year Average'!C62</f>
        <v>337.8</v>
      </c>
      <c r="M62" s="295">
        <f>+'10 Year Average'!D62</f>
        <v>0</v>
      </c>
      <c r="N62" s="296">
        <f>+'10 Year Average'!E62</f>
        <v>6.0999999999999999E-2</v>
      </c>
      <c r="O62" s="297">
        <f>+'10 Year Average'!F62</f>
        <v>31</v>
      </c>
      <c r="P62" s="297">
        <f>+'10 Year Average'!G62</f>
        <v>0</v>
      </c>
      <c r="Q62" s="298">
        <f>+'10 Year Average'!H62</f>
        <v>100424818.6266858</v>
      </c>
      <c r="S62" s="294">
        <f>+'20 Year Trend'!A62</f>
        <v>39417</v>
      </c>
      <c r="T62" s="381">
        <f>+'20 Year Trend'!B62</f>
        <v>112852450</v>
      </c>
      <c r="U62" s="295">
        <f>+'20 Year Trend'!C62</f>
        <v>337.8</v>
      </c>
      <c r="V62" s="295">
        <f>+'20 Year Trend'!D62</f>
        <v>0</v>
      </c>
      <c r="W62" s="296">
        <f>+'20 Year Trend'!E62</f>
        <v>6.0999999999999999E-2</v>
      </c>
      <c r="X62" s="297">
        <f>+'20 Year Trend'!F62</f>
        <v>31</v>
      </c>
      <c r="Y62" s="297">
        <f>+'20 Year Trend'!G62</f>
        <v>0</v>
      </c>
      <c r="Z62" s="298">
        <f>+'20 Year Trend'!H62</f>
        <v>100424818.6266858</v>
      </c>
    </row>
    <row r="63" spans="1:26" x14ac:dyDescent="0.2">
      <c r="A63" s="287">
        <f>+'Purchased Power Model '!A63</f>
        <v>39448</v>
      </c>
      <c r="B63" s="291">
        <f>+'Purchased Power Model '!B63</f>
        <v>111423480</v>
      </c>
      <c r="C63" s="289">
        <f>+'Purchased Power Model '!C63</f>
        <v>432.8</v>
      </c>
      <c r="D63" s="289">
        <f>+'Purchased Power Model '!D63</f>
        <v>0</v>
      </c>
      <c r="E63" s="290">
        <f>+'Purchased Power Model '!E63</f>
        <v>6.6000000000000003E-2</v>
      </c>
      <c r="F63" s="291">
        <f>+'Purchased Power Model '!F63</f>
        <v>31</v>
      </c>
      <c r="G63" s="291">
        <f>+'Purchased Power Model '!G63</f>
        <v>0</v>
      </c>
      <c r="H63" s="292">
        <f>+'Purchased Power Model '!H63</f>
        <v>103687658.24454477</v>
      </c>
      <c r="J63" s="287">
        <f>+'10 Year Average'!A63</f>
        <v>39448</v>
      </c>
      <c r="K63" s="291">
        <f>+'10 Year Average'!B63</f>
        <v>111423480</v>
      </c>
      <c r="L63" s="289">
        <f>+'10 Year Average'!C63</f>
        <v>432.8</v>
      </c>
      <c r="M63" s="289">
        <f>+'10 Year Average'!D63</f>
        <v>0</v>
      </c>
      <c r="N63" s="290">
        <f>+'10 Year Average'!E63</f>
        <v>6.6000000000000003E-2</v>
      </c>
      <c r="O63" s="291">
        <f>+'10 Year Average'!F63</f>
        <v>31</v>
      </c>
      <c r="P63" s="291">
        <f>+'10 Year Average'!G63</f>
        <v>0</v>
      </c>
      <c r="Q63" s="292">
        <f>+'10 Year Average'!H63</f>
        <v>103687658.24454477</v>
      </c>
      <c r="S63" s="287">
        <f>+'20 Year Trend'!A63</f>
        <v>39448</v>
      </c>
      <c r="T63" s="291">
        <f>+'20 Year Trend'!B63</f>
        <v>111423480</v>
      </c>
      <c r="U63" s="289">
        <f>+'20 Year Trend'!C63</f>
        <v>432.8</v>
      </c>
      <c r="V63" s="289">
        <f>+'20 Year Trend'!D63</f>
        <v>0</v>
      </c>
      <c r="W63" s="290">
        <f>+'20 Year Trend'!E63</f>
        <v>6.6000000000000003E-2</v>
      </c>
      <c r="X63" s="291">
        <f>+'20 Year Trend'!F63</f>
        <v>31</v>
      </c>
      <c r="Y63" s="291">
        <f>+'20 Year Trend'!G63</f>
        <v>0</v>
      </c>
      <c r="Z63" s="292">
        <f>+'20 Year Trend'!H63</f>
        <v>103687658.24454477</v>
      </c>
    </row>
    <row r="64" spans="1:26" x14ac:dyDescent="0.2">
      <c r="A64" s="287">
        <f>+'Purchased Power Model '!A64</f>
        <v>39479</v>
      </c>
      <c r="B64" s="291">
        <f>+'Purchased Power Model '!B64</f>
        <v>106527560</v>
      </c>
      <c r="C64" s="289">
        <f>+'Purchased Power Model '!C64</f>
        <v>317.60000000000002</v>
      </c>
      <c r="D64" s="289">
        <f>+'Purchased Power Model '!D64</f>
        <v>0</v>
      </c>
      <c r="E64" s="290">
        <f>+'Purchased Power Model '!E64</f>
        <v>6.6000000000000003E-2</v>
      </c>
      <c r="F64" s="291">
        <f>+'Purchased Power Model '!F64</f>
        <v>29</v>
      </c>
      <c r="G64" s="291">
        <f>+'Purchased Power Model '!G64</f>
        <v>0</v>
      </c>
      <c r="H64" s="292">
        <f>+'Purchased Power Model '!H64</f>
        <v>93825836.583541557</v>
      </c>
      <c r="J64" s="287">
        <f>+'10 Year Average'!A64</f>
        <v>39479</v>
      </c>
      <c r="K64" s="291">
        <f>+'10 Year Average'!B64</f>
        <v>106527560</v>
      </c>
      <c r="L64" s="289">
        <f>+'10 Year Average'!C64</f>
        <v>317.60000000000002</v>
      </c>
      <c r="M64" s="289">
        <f>+'10 Year Average'!D64</f>
        <v>0</v>
      </c>
      <c r="N64" s="290">
        <f>+'10 Year Average'!E64</f>
        <v>6.6000000000000003E-2</v>
      </c>
      <c r="O64" s="291">
        <f>+'10 Year Average'!F64</f>
        <v>29</v>
      </c>
      <c r="P64" s="291">
        <f>+'10 Year Average'!G64</f>
        <v>0</v>
      </c>
      <c r="Q64" s="292">
        <f>+'10 Year Average'!H64</f>
        <v>93825836.583541557</v>
      </c>
      <c r="S64" s="287">
        <f>+'20 Year Trend'!A64</f>
        <v>39479</v>
      </c>
      <c r="T64" s="291">
        <f>+'20 Year Trend'!B64</f>
        <v>106527560</v>
      </c>
      <c r="U64" s="289">
        <f>+'20 Year Trend'!C64</f>
        <v>317.60000000000002</v>
      </c>
      <c r="V64" s="289">
        <f>+'20 Year Trend'!D64</f>
        <v>0</v>
      </c>
      <c r="W64" s="290">
        <f>+'20 Year Trend'!E64</f>
        <v>6.6000000000000003E-2</v>
      </c>
      <c r="X64" s="291">
        <f>+'20 Year Trend'!F64</f>
        <v>29</v>
      </c>
      <c r="Y64" s="291">
        <f>+'20 Year Trend'!G64</f>
        <v>0</v>
      </c>
      <c r="Z64" s="292">
        <f>+'20 Year Trend'!H64</f>
        <v>93825836.583541557</v>
      </c>
    </row>
    <row r="65" spans="1:26" x14ac:dyDescent="0.2">
      <c r="A65" s="287">
        <f>+'Purchased Power Model '!A65</f>
        <v>39508</v>
      </c>
      <c r="B65" s="291">
        <f>+'Purchased Power Model '!B65</f>
        <v>105633899.99999999</v>
      </c>
      <c r="C65" s="289">
        <f>+'Purchased Power Model '!C65</f>
        <v>430</v>
      </c>
      <c r="D65" s="289">
        <f>+'Purchased Power Model '!D65</f>
        <v>0</v>
      </c>
      <c r="E65" s="290">
        <f>+'Purchased Power Model '!E65</f>
        <v>6.6000000000000003E-2</v>
      </c>
      <c r="F65" s="291">
        <f>+'Purchased Power Model '!F65</f>
        <v>31</v>
      </c>
      <c r="G65" s="291">
        <f>+'Purchased Power Model '!G65</f>
        <v>1</v>
      </c>
      <c r="H65" s="292">
        <f>+'Purchased Power Model '!H65</f>
        <v>96833034.013498306</v>
      </c>
      <c r="J65" s="287">
        <f>+'10 Year Average'!A65</f>
        <v>39508</v>
      </c>
      <c r="K65" s="291">
        <f>+'10 Year Average'!B65</f>
        <v>105633899.99999999</v>
      </c>
      <c r="L65" s="289">
        <f>+'10 Year Average'!C65</f>
        <v>430</v>
      </c>
      <c r="M65" s="289">
        <f>+'10 Year Average'!D65</f>
        <v>0</v>
      </c>
      <c r="N65" s="290">
        <f>+'10 Year Average'!E65</f>
        <v>6.6000000000000003E-2</v>
      </c>
      <c r="O65" s="291">
        <f>+'10 Year Average'!F65</f>
        <v>31</v>
      </c>
      <c r="P65" s="291">
        <f>+'10 Year Average'!G65</f>
        <v>1</v>
      </c>
      <c r="Q65" s="292">
        <f>+'10 Year Average'!H65</f>
        <v>96833034.013498306</v>
      </c>
      <c r="S65" s="287">
        <f>+'20 Year Trend'!A65</f>
        <v>39508</v>
      </c>
      <c r="T65" s="291">
        <f>+'20 Year Trend'!B65</f>
        <v>105633899.99999999</v>
      </c>
      <c r="U65" s="289">
        <f>+'20 Year Trend'!C65</f>
        <v>430</v>
      </c>
      <c r="V65" s="289">
        <f>+'20 Year Trend'!D65</f>
        <v>0</v>
      </c>
      <c r="W65" s="290">
        <f>+'20 Year Trend'!E65</f>
        <v>6.6000000000000003E-2</v>
      </c>
      <c r="X65" s="291">
        <f>+'20 Year Trend'!F65</f>
        <v>31</v>
      </c>
      <c r="Y65" s="291">
        <f>+'20 Year Trend'!G65</f>
        <v>1</v>
      </c>
      <c r="Z65" s="292">
        <f>+'20 Year Trend'!H65</f>
        <v>96833034.013498306</v>
      </c>
    </row>
    <row r="66" spans="1:26" x14ac:dyDescent="0.2">
      <c r="A66" s="287">
        <f>+'Purchased Power Model '!A66</f>
        <v>39539</v>
      </c>
      <c r="B66" s="291">
        <f>+'Purchased Power Model '!B66</f>
        <v>86147429.999999985</v>
      </c>
      <c r="C66" s="289">
        <f>+'Purchased Power Model '!C66</f>
        <v>144.6</v>
      </c>
      <c r="D66" s="289">
        <f>+'Purchased Power Model '!D66</f>
        <v>0</v>
      </c>
      <c r="E66" s="290">
        <f>+'Purchased Power Model '!E66</f>
        <v>7.400000000000001E-2</v>
      </c>
      <c r="F66" s="291">
        <f>+'Purchased Power Model '!F66</f>
        <v>30</v>
      </c>
      <c r="G66" s="291">
        <f>+'Purchased Power Model '!G66</f>
        <v>1</v>
      </c>
      <c r="H66" s="292">
        <f>+'Purchased Power Model '!H66</f>
        <v>82534287.494939819</v>
      </c>
      <c r="J66" s="287">
        <f>+'10 Year Average'!A66</f>
        <v>39539</v>
      </c>
      <c r="K66" s="291">
        <f>+'10 Year Average'!B66</f>
        <v>86147429.999999985</v>
      </c>
      <c r="L66" s="289">
        <f>+'10 Year Average'!C66</f>
        <v>144.6</v>
      </c>
      <c r="M66" s="289">
        <f>+'10 Year Average'!D66</f>
        <v>0</v>
      </c>
      <c r="N66" s="290">
        <f>+'10 Year Average'!E66</f>
        <v>7.400000000000001E-2</v>
      </c>
      <c r="O66" s="291">
        <f>+'10 Year Average'!F66</f>
        <v>30</v>
      </c>
      <c r="P66" s="291">
        <f>+'10 Year Average'!G66</f>
        <v>1</v>
      </c>
      <c r="Q66" s="292">
        <f>+'10 Year Average'!H66</f>
        <v>82534287.494939819</v>
      </c>
      <c r="S66" s="287">
        <f>+'20 Year Trend'!A66</f>
        <v>39539</v>
      </c>
      <c r="T66" s="291">
        <f>+'20 Year Trend'!B66</f>
        <v>86147429.999999985</v>
      </c>
      <c r="U66" s="289">
        <f>+'20 Year Trend'!C66</f>
        <v>144.6</v>
      </c>
      <c r="V66" s="289">
        <f>+'20 Year Trend'!D66</f>
        <v>0</v>
      </c>
      <c r="W66" s="290">
        <f>+'20 Year Trend'!E66</f>
        <v>7.400000000000001E-2</v>
      </c>
      <c r="X66" s="291">
        <f>+'20 Year Trend'!F66</f>
        <v>30</v>
      </c>
      <c r="Y66" s="291">
        <f>+'20 Year Trend'!G66</f>
        <v>1</v>
      </c>
      <c r="Z66" s="292">
        <f>+'20 Year Trend'!H66</f>
        <v>82534287.494939819</v>
      </c>
    </row>
    <row r="67" spans="1:26" x14ac:dyDescent="0.2">
      <c r="A67" s="287">
        <f>+'Purchased Power Model '!A67</f>
        <v>39569</v>
      </c>
      <c r="B67" s="291">
        <f>+'Purchased Power Model '!B67</f>
        <v>82776310</v>
      </c>
      <c r="C67" s="289">
        <f>+'Purchased Power Model '!C67</f>
        <v>151</v>
      </c>
      <c r="D67" s="289">
        <f>+'Purchased Power Model '!D67</f>
        <v>0</v>
      </c>
      <c r="E67" s="290">
        <f>+'Purchased Power Model '!E67</f>
        <v>7.400000000000001E-2</v>
      </c>
      <c r="F67" s="291">
        <f>+'Purchased Power Model '!F67</f>
        <v>31</v>
      </c>
      <c r="G67" s="291">
        <f>+'Purchased Power Model '!G67</f>
        <v>1</v>
      </c>
      <c r="H67" s="292">
        <f>+'Purchased Power Model '!H67</f>
        <v>85498571.130276814</v>
      </c>
      <c r="J67" s="287">
        <f>+'10 Year Average'!A67</f>
        <v>39569</v>
      </c>
      <c r="K67" s="291">
        <f>+'10 Year Average'!B67</f>
        <v>82776310</v>
      </c>
      <c r="L67" s="289">
        <f>+'10 Year Average'!C67</f>
        <v>151</v>
      </c>
      <c r="M67" s="289">
        <f>+'10 Year Average'!D67</f>
        <v>0</v>
      </c>
      <c r="N67" s="290">
        <f>+'10 Year Average'!E67</f>
        <v>7.400000000000001E-2</v>
      </c>
      <c r="O67" s="291">
        <f>+'10 Year Average'!F67</f>
        <v>31</v>
      </c>
      <c r="P67" s="291">
        <f>+'10 Year Average'!G67</f>
        <v>1</v>
      </c>
      <c r="Q67" s="292">
        <f>+'10 Year Average'!H67</f>
        <v>85498571.130276814</v>
      </c>
      <c r="S67" s="287">
        <f>+'20 Year Trend'!A67</f>
        <v>39569</v>
      </c>
      <c r="T67" s="291">
        <f>+'20 Year Trend'!B67</f>
        <v>82776310</v>
      </c>
      <c r="U67" s="289">
        <f>+'20 Year Trend'!C67</f>
        <v>151</v>
      </c>
      <c r="V67" s="289">
        <f>+'20 Year Trend'!D67</f>
        <v>0</v>
      </c>
      <c r="W67" s="290">
        <f>+'20 Year Trend'!E67</f>
        <v>7.400000000000001E-2</v>
      </c>
      <c r="X67" s="291">
        <f>+'20 Year Trend'!F67</f>
        <v>31</v>
      </c>
      <c r="Y67" s="291">
        <f>+'20 Year Trend'!G67</f>
        <v>1</v>
      </c>
      <c r="Z67" s="292">
        <f>+'20 Year Trend'!H67</f>
        <v>85498571.130276814</v>
      </c>
    </row>
    <row r="68" spans="1:26" x14ac:dyDescent="0.2">
      <c r="A68" s="287">
        <f>+'Purchased Power Model '!A68</f>
        <v>39600</v>
      </c>
      <c r="B68" s="291">
        <f>+'Purchased Power Model '!B68</f>
        <v>90692793</v>
      </c>
      <c r="C68" s="289">
        <f>+'Purchased Power Model '!C68</f>
        <v>15.5</v>
      </c>
      <c r="D68" s="289">
        <f>+'Purchased Power Model '!D68</f>
        <v>23.6</v>
      </c>
      <c r="E68" s="290">
        <f>+'Purchased Power Model '!E68</f>
        <v>7.400000000000001E-2</v>
      </c>
      <c r="F68" s="291">
        <f>+'Purchased Power Model '!F68</f>
        <v>30</v>
      </c>
      <c r="G68" s="291">
        <f>+'Purchased Power Model '!G68</f>
        <v>0</v>
      </c>
      <c r="H68" s="292">
        <f>+'Purchased Power Model '!H68</f>
        <v>87940225.409869581</v>
      </c>
      <c r="J68" s="287">
        <f>+'10 Year Average'!A68</f>
        <v>39600</v>
      </c>
      <c r="K68" s="291">
        <f>+'10 Year Average'!B68</f>
        <v>90692793</v>
      </c>
      <c r="L68" s="289">
        <f>+'10 Year Average'!C68</f>
        <v>15.5</v>
      </c>
      <c r="M68" s="289">
        <f>+'10 Year Average'!D68</f>
        <v>23.6</v>
      </c>
      <c r="N68" s="290">
        <f>+'10 Year Average'!E68</f>
        <v>7.400000000000001E-2</v>
      </c>
      <c r="O68" s="291">
        <f>+'10 Year Average'!F68</f>
        <v>30</v>
      </c>
      <c r="P68" s="291">
        <f>+'10 Year Average'!G68</f>
        <v>0</v>
      </c>
      <c r="Q68" s="292">
        <f>+'10 Year Average'!H68</f>
        <v>87940225.409869581</v>
      </c>
      <c r="S68" s="287">
        <f>+'20 Year Trend'!A68</f>
        <v>39600</v>
      </c>
      <c r="T68" s="291">
        <f>+'20 Year Trend'!B68</f>
        <v>90692793</v>
      </c>
      <c r="U68" s="289">
        <f>+'20 Year Trend'!C68</f>
        <v>15.5</v>
      </c>
      <c r="V68" s="289">
        <f>+'20 Year Trend'!D68</f>
        <v>23.6</v>
      </c>
      <c r="W68" s="290">
        <f>+'20 Year Trend'!E68</f>
        <v>7.400000000000001E-2</v>
      </c>
      <c r="X68" s="291">
        <f>+'20 Year Trend'!F68</f>
        <v>30</v>
      </c>
      <c r="Y68" s="291">
        <f>+'20 Year Trend'!G68</f>
        <v>0</v>
      </c>
      <c r="Z68" s="292">
        <f>+'20 Year Trend'!H68</f>
        <v>87940225.409869581</v>
      </c>
    </row>
    <row r="69" spans="1:26" x14ac:dyDescent="0.2">
      <c r="A69" s="287">
        <f>+'Purchased Power Model '!A69</f>
        <v>39630</v>
      </c>
      <c r="B69" s="291">
        <f>+'Purchased Power Model '!B69</f>
        <v>98868440</v>
      </c>
      <c r="C69" s="289">
        <f>+'Purchased Power Model '!C69</f>
        <v>1</v>
      </c>
      <c r="D69" s="289">
        <f>+'Purchased Power Model '!D69</f>
        <v>61.4</v>
      </c>
      <c r="E69" s="290">
        <f>+'Purchased Power Model '!E69</f>
        <v>6.8000000000000005E-2</v>
      </c>
      <c r="F69" s="291">
        <f>+'Purchased Power Model '!F69</f>
        <v>31</v>
      </c>
      <c r="G69" s="291">
        <f>+'Purchased Power Model '!G69</f>
        <v>0</v>
      </c>
      <c r="H69" s="292">
        <f>+'Purchased Power Model '!H69</f>
        <v>96359561.532215193</v>
      </c>
      <c r="J69" s="287">
        <f>+'10 Year Average'!A69</f>
        <v>39630</v>
      </c>
      <c r="K69" s="291">
        <f>+'10 Year Average'!B69</f>
        <v>98868440</v>
      </c>
      <c r="L69" s="289">
        <f>+'10 Year Average'!C69</f>
        <v>1</v>
      </c>
      <c r="M69" s="289">
        <f>+'10 Year Average'!D69</f>
        <v>61.4</v>
      </c>
      <c r="N69" s="290">
        <f>+'10 Year Average'!E69</f>
        <v>6.8000000000000005E-2</v>
      </c>
      <c r="O69" s="291">
        <f>+'10 Year Average'!F69</f>
        <v>31</v>
      </c>
      <c r="P69" s="291">
        <f>+'10 Year Average'!G69</f>
        <v>0</v>
      </c>
      <c r="Q69" s="292">
        <f>+'10 Year Average'!H69</f>
        <v>96359561.532215193</v>
      </c>
      <c r="S69" s="287">
        <f>+'20 Year Trend'!A69</f>
        <v>39630</v>
      </c>
      <c r="T69" s="291">
        <f>+'20 Year Trend'!B69</f>
        <v>98868440</v>
      </c>
      <c r="U69" s="289">
        <f>+'20 Year Trend'!C69</f>
        <v>1</v>
      </c>
      <c r="V69" s="289">
        <f>+'20 Year Trend'!D69</f>
        <v>61.4</v>
      </c>
      <c r="W69" s="290">
        <f>+'20 Year Trend'!E69</f>
        <v>6.8000000000000005E-2</v>
      </c>
      <c r="X69" s="291">
        <f>+'20 Year Trend'!F69</f>
        <v>31</v>
      </c>
      <c r="Y69" s="291">
        <f>+'20 Year Trend'!G69</f>
        <v>0</v>
      </c>
      <c r="Z69" s="292">
        <f>+'20 Year Trend'!H69</f>
        <v>96359561.532215193</v>
      </c>
    </row>
    <row r="70" spans="1:26" x14ac:dyDescent="0.2">
      <c r="A70" s="287">
        <f>+'Purchased Power Model '!A70</f>
        <v>39661</v>
      </c>
      <c r="B70" s="291">
        <f>+'Purchased Power Model '!B70</f>
        <v>93432320</v>
      </c>
      <c r="C70" s="289">
        <f>+'Purchased Power Model '!C70</f>
        <v>13.8</v>
      </c>
      <c r="D70" s="289">
        <f>+'Purchased Power Model '!D70</f>
        <v>29.9</v>
      </c>
      <c r="E70" s="290">
        <f>+'Purchased Power Model '!E70</f>
        <v>6.8000000000000005E-2</v>
      </c>
      <c r="F70" s="291">
        <f>+'Purchased Power Model '!F70</f>
        <v>31</v>
      </c>
      <c r="G70" s="291">
        <f>+'Purchased Power Model '!G70</f>
        <v>0</v>
      </c>
      <c r="H70" s="292">
        <f>+'Purchased Power Model '!H70</f>
        <v>92022530.805188119</v>
      </c>
      <c r="J70" s="287">
        <f>+'10 Year Average'!A70</f>
        <v>39661</v>
      </c>
      <c r="K70" s="291">
        <f>+'10 Year Average'!B70</f>
        <v>93432320</v>
      </c>
      <c r="L70" s="289">
        <f>+'10 Year Average'!C70</f>
        <v>13.8</v>
      </c>
      <c r="M70" s="289">
        <f>+'10 Year Average'!D70</f>
        <v>29.9</v>
      </c>
      <c r="N70" s="290">
        <f>+'10 Year Average'!E70</f>
        <v>6.8000000000000005E-2</v>
      </c>
      <c r="O70" s="291">
        <f>+'10 Year Average'!F70</f>
        <v>31</v>
      </c>
      <c r="P70" s="291">
        <f>+'10 Year Average'!G70</f>
        <v>0</v>
      </c>
      <c r="Q70" s="292">
        <f>+'10 Year Average'!H70</f>
        <v>92022530.805188119</v>
      </c>
      <c r="S70" s="287">
        <f>+'20 Year Trend'!A70</f>
        <v>39661</v>
      </c>
      <c r="T70" s="291">
        <f>+'20 Year Trend'!B70</f>
        <v>93432320</v>
      </c>
      <c r="U70" s="289">
        <f>+'20 Year Trend'!C70</f>
        <v>13.8</v>
      </c>
      <c r="V70" s="289">
        <f>+'20 Year Trend'!D70</f>
        <v>29.9</v>
      </c>
      <c r="W70" s="290">
        <f>+'20 Year Trend'!E70</f>
        <v>6.8000000000000005E-2</v>
      </c>
      <c r="X70" s="291">
        <f>+'20 Year Trend'!F70</f>
        <v>31</v>
      </c>
      <c r="Y70" s="291">
        <f>+'20 Year Trend'!G70</f>
        <v>0</v>
      </c>
      <c r="Z70" s="292">
        <f>+'20 Year Trend'!H70</f>
        <v>92022530.805188119</v>
      </c>
    </row>
    <row r="71" spans="1:26" x14ac:dyDescent="0.2">
      <c r="A71" s="287">
        <f>+'Purchased Power Model '!A71</f>
        <v>39692</v>
      </c>
      <c r="B71" s="291">
        <f>+'Purchased Power Model '!B71</f>
        <v>86855072</v>
      </c>
      <c r="C71" s="289">
        <f>+'Purchased Power Model '!C71</f>
        <v>51.6</v>
      </c>
      <c r="D71" s="289">
        <f>+'Purchased Power Model '!D71</f>
        <v>15.1</v>
      </c>
      <c r="E71" s="290">
        <f>+'Purchased Power Model '!E71</f>
        <v>6.8000000000000005E-2</v>
      </c>
      <c r="F71" s="291">
        <f>+'Purchased Power Model '!F71</f>
        <v>30</v>
      </c>
      <c r="G71" s="291">
        <f>+'Purchased Power Model '!G71</f>
        <v>1</v>
      </c>
      <c r="H71" s="292">
        <f>+'Purchased Power Model '!H71</f>
        <v>81740208.568068817</v>
      </c>
      <c r="J71" s="287">
        <f>+'10 Year Average'!A71</f>
        <v>39692</v>
      </c>
      <c r="K71" s="291">
        <f>+'10 Year Average'!B71</f>
        <v>86855072</v>
      </c>
      <c r="L71" s="289">
        <f>+'10 Year Average'!C71</f>
        <v>51.6</v>
      </c>
      <c r="M71" s="289">
        <f>+'10 Year Average'!D71</f>
        <v>15.1</v>
      </c>
      <c r="N71" s="290">
        <f>+'10 Year Average'!E71</f>
        <v>6.8000000000000005E-2</v>
      </c>
      <c r="O71" s="291">
        <f>+'10 Year Average'!F71</f>
        <v>30</v>
      </c>
      <c r="P71" s="291">
        <f>+'10 Year Average'!G71</f>
        <v>1</v>
      </c>
      <c r="Q71" s="292">
        <f>+'10 Year Average'!H71</f>
        <v>81740208.568068817</v>
      </c>
      <c r="S71" s="287">
        <f>+'20 Year Trend'!A71</f>
        <v>39692</v>
      </c>
      <c r="T71" s="291">
        <f>+'20 Year Trend'!B71</f>
        <v>86855072</v>
      </c>
      <c r="U71" s="289">
        <f>+'20 Year Trend'!C71</f>
        <v>51.6</v>
      </c>
      <c r="V71" s="289">
        <f>+'20 Year Trend'!D71</f>
        <v>15.1</v>
      </c>
      <c r="W71" s="290">
        <f>+'20 Year Trend'!E71</f>
        <v>6.8000000000000005E-2</v>
      </c>
      <c r="X71" s="291">
        <f>+'20 Year Trend'!F71</f>
        <v>30</v>
      </c>
      <c r="Y71" s="291">
        <f>+'20 Year Trend'!G71</f>
        <v>1</v>
      </c>
      <c r="Z71" s="292">
        <f>+'20 Year Trend'!H71</f>
        <v>81740208.568068817</v>
      </c>
    </row>
    <row r="72" spans="1:26" x14ac:dyDescent="0.2">
      <c r="A72" s="287">
        <f>+'Purchased Power Model '!A72</f>
        <v>39722</v>
      </c>
      <c r="B72" s="291">
        <f>+'Purchased Power Model '!B72</f>
        <v>88294618</v>
      </c>
      <c r="C72" s="289">
        <f>+'Purchased Power Model '!C72</f>
        <v>203.1</v>
      </c>
      <c r="D72" s="289">
        <f>+'Purchased Power Model '!D72</f>
        <v>0</v>
      </c>
      <c r="E72" s="290">
        <f>+'Purchased Power Model '!E72</f>
        <v>0.08</v>
      </c>
      <c r="F72" s="291">
        <f>+'Purchased Power Model '!F72</f>
        <v>31</v>
      </c>
      <c r="G72" s="291">
        <f>+'Purchased Power Model '!G72</f>
        <v>1</v>
      </c>
      <c r="H72" s="292">
        <f>+'Purchased Power Model '!H72</f>
        <v>87036357.121303484</v>
      </c>
      <c r="J72" s="287">
        <f>+'10 Year Average'!A72</f>
        <v>39722</v>
      </c>
      <c r="K72" s="291">
        <f>+'10 Year Average'!B72</f>
        <v>88294618</v>
      </c>
      <c r="L72" s="289">
        <f>+'10 Year Average'!C72</f>
        <v>203.1</v>
      </c>
      <c r="M72" s="289">
        <f>+'10 Year Average'!D72</f>
        <v>0</v>
      </c>
      <c r="N72" s="290">
        <f>+'10 Year Average'!E72</f>
        <v>0.08</v>
      </c>
      <c r="O72" s="291">
        <f>+'10 Year Average'!F72</f>
        <v>31</v>
      </c>
      <c r="P72" s="291">
        <f>+'10 Year Average'!G72</f>
        <v>1</v>
      </c>
      <c r="Q72" s="292">
        <f>+'10 Year Average'!H72</f>
        <v>87036357.121303484</v>
      </c>
      <c r="S72" s="287">
        <f>+'20 Year Trend'!A72</f>
        <v>39722</v>
      </c>
      <c r="T72" s="291">
        <f>+'20 Year Trend'!B72</f>
        <v>88294618</v>
      </c>
      <c r="U72" s="289">
        <f>+'20 Year Trend'!C72</f>
        <v>203.1</v>
      </c>
      <c r="V72" s="289">
        <f>+'20 Year Trend'!D72</f>
        <v>0</v>
      </c>
      <c r="W72" s="290">
        <f>+'20 Year Trend'!E72</f>
        <v>0.08</v>
      </c>
      <c r="X72" s="291">
        <f>+'20 Year Trend'!F72</f>
        <v>31</v>
      </c>
      <c r="Y72" s="291">
        <f>+'20 Year Trend'!G72</f>
        <v>1</v>
      </c>
      <c r="Z72" s="292">
        <f>+'20 Year Trend'!H72</f>
        <v>87036357.121303484</v>
      </c>
    </row>
    <row r="73" spans="1:26" x14ac:dyDescent="0.2">
      <c r="A73" s="287">
        <f>+'Purchased Power Model '!A73</f>
        <v>39753</v>
      </c>
      <c r="B73" s="291">
        <f>+'Purchased Power Model '!B73</f>
        <v>95870835</v>
      </c>
      <c r="C73" s="289">
        <f>+'Purchased Power Model '!C73</f>
        <v>268.8</v>
      </c>
      <c r="D73" s="289">
        <f>+'Purchased Power Model '!D73</f>
        <v>0</v>
      </c>
      <c r="E73" s="290">
        <f>+'Purchased Power Model '!E73</f>
        <v>0.08</v>
      </c>
      <c r="F73" s="291">
        <f>+'Purchased Power Model '!F73</f>
        <v>30</v>
      </c>
      <c r="G73" s="291">
        <f>+'Purchased Power Model '!G73</f>
        <v>1</v>
      </c>
      <c r="H73" s="292">
        <f>+'Purchased Power Model '!H73</f>
        <v>86841484.047907293</v>
      </c>
      <c r="J73" s="287">
        <f>+'10 Year Average'!A73</f>
        <v>39753</v>
      </c>
      <c r="K73" s="291">
        <f>+'10 Year Average'!B73</f>
        <v>95870835</v>
      </c>
      <c r="L73" s="289">
        <f>+'10 Year Average'!C73</f>
        <v>268.8</v>
      </c>
      <c r="M73" s="289">
        <f>+'10 Year Average'!D73</f>
        <v>0</v>
      </c>
      <c r="N73" s="290">
        <f>+'10 Year Average'!E73</f>
        <v>0.08</v>
      </c>
      <c r="O73" s="291">
        <f>+'10 Year Average'!F73</f>
        <v>30</v>
      </c>
      <c r="P73" s="291">
        <f>+'10 Year Average'!G73</f>
        <v>1</v>
      </c>
      <c r="Q73" s="292">
        <f>+'10 Year Average'!H73</f>
        <v>86841484.047907293</v>
      </c>
      <c r="S73" s="287">
        <f>+'20 Year Trend'!A73</f>
        <v>39753</v>
      </c>
      <c r="T73" s="291">
        <f>+'20 Year Trend'!B73</f>
        <v>95870835</v>
      </c>
      <c r="U73" s="289">
        <f>+'20 Year Trend'!C73</f>
        <v>268.8</v>
      </c>
      <c r="V73" s="289">
        <f>+'20 Year Trend'!D73</f>
        <v>0</v>
      </c>
      <c r="W73" s="290">
        <f>+'20 Year Trend'!E73</f>
        <v>0.08</v>
      </c>
      <c r="X73" s="291">
        <f>+'20 Year Trend'!F73</f>
        <v>30</v>
      </c>
      <c r="Y73" s="291">
        <f>+'20 Year Trend'!G73</f>
        <v>1</v>
      </c>
      <c r="Z73" s="292">
        <f>+'20 Year Trend'!H73</f>
        <v>86841484.047907293</v>
      </c>
    </row>
    <row r="74" spans="1:26" x14ac:dyDescent="0.2">
      <c r="A74" s="287">
        <f>+'Purchased Power Model '!A74</f>
        <v>39783</v>
      </c>
      <c r="B74" s="291">
        <f>+'Purchased Power Model '!B74</f>
        <v>112359168</v>
      </c>
      <c r="C74" s="289">
        <f>+'Purchased Power Model '!C74</f>
        <v>378.9</v>
      </c>
      <c r="D74" s="289">
        <f>+'Purchased Power Model '!D74</f>
        <v>0</v>
      </c>
      <c r="E74" s="290">
        <f>+'Purchased Power Model '!E74</f>
        <v>0.08</v>
      </c>
      <c r="F74" s="291">
        <f>+'Purchased Power Model '!F74</f>
        <v>31</v>
      </c>
      <c r="G74" s="291">
        <f>+'Purchased Power Model '!G74</f>
        <v>0</v>
      </c>
      <c r="H74" s="292">
        <f>+'Purchased Power Model '!H74</f>
        <v>100536030.27351162</v>
      </c>
      <c r="J74" s="287">
        <f>+'10 Year Average'!A74</f>
        <v>39783</v>
      </c>
      <c r="K74" s="291">
        <f>+'10 Year Average'!B74</f>
        <v>112359168</v>
      </c>
      <c r="L74" s="289">
        <f>+'10 Year Average'!C74</f>
        <v>378.9</v>
      </c>
      <c r="M74" s="289">
        <f>+'10 Year Average'!D74</f>
        <v>0</v>
      </c>
      <c r="N74" s="290">
        <f>+'10 Year Average'!E74</f>
        <v>0.08</v>
      </c>
      <c r="O74" s="291">
        <f>+'10 Year Average'!F74</f>
        <v>31</v>
      </c>
      <c r="P74" s="291">
        <f>+'10 Year Average'!G74</f>
        <v>0</v>
      </c>
      <c r="Q74" s="292">
        <f>+'10 Year Average'!H74</f>
        <v>100536030.27351162</v>
      </c>
      <c r="S74" s="287">
        <f>+'20 Year Trend'!A74</f>
        <v>39783</v>
      </c>
      <c r="T74" s="291">
        <f>+'20 Year Trend'!B74</f>
        <v>112359168</v>
      </c>
      <c r="U74" s="289">
        <f>+'20 Year Trend'!C74</f>
        <v>378.9</v>
      </c>
      <c r="V74" s="289">
        <f>+'20 Year Trend'!D74</f>
        <v>0</v>
      </c>
      <c r="W74" s="290">
        <f>+'20 Year Trend'!E74</f>
        <v>0.08</v>
      </c>
      <c r="X74" s="291">
        <f>+'20 Year Trend'!F74</f>
        <v>31</v>
      </c>
      <c r="Y74" s="291">
        <f>+'20 Year Trend'!G74</f>
        <v>0</v>
      </c>
      <c r="Z74" s="292">
        <f>+'20 Year Trend'!H74</f>
        <v>100536030.27351162</v>
      </c>
    </row>
    <row r="75" spans="1:26" x14ac:dyDescent="0.2">
      <c r="A75" s="287">
        <f>+'Purchased Power Model '!A75</f>
        <v>39814</v>
      </c>
      <c r="B75" s="293">
        <f>+'Purchased Power Model '!B75</f>
        <v>119321706</v>
      </c>
      <c r="C75" s="289">
        <f>+'Purchased Power Model '!C75</f>
        <v>684.3</v>
      </c>
      <c r="D75" s="289">
        <f>+'Purchased Power Model '!D75</f>
        <v>0</v>
      </c>
      <c r="E75" s="290">
        <f>+'Purchased Power Model '!E75</f>
        <v>8.3000000000000004E-2</v>
      </c>
      <c r="F75" s="291">
        <f>+'Purchased Power Model '!F75</f>
        <v>31</v>
      </c>
      <c r="G75" s="291">
        <f>+'Purchased Power Model '!G75</f>
        <v>0</v>
      </c>
      <c r="H75" s="292">
        <f>+'Purchased Power Model '!H75</f>
        <v>112034948.79576781</v>
      </c>
      <c r="J75" s="287">
        <f>+'10 Year Average'!A75</f>
        <v>39814</v>
      </c>
      <c r="K75" s="293">
        <f>+'10 Year Average'!B75</f>
        <v>119321706</v>
      </c>
      <c r="L75" s="289">
        <f>+'10 Year Average'!C75</f>
        <v>684.3</v>
      </c>
      <c r="M75" s="289">
        <f>+'10 Year Average'!D75</f>
        <v>0</v>
      </c>
      <c r="N75" s="290">
        <f>+'10 Year Average'!E75</f>
        <v>8.3000000000000004E-2</v>
      </c>
      <c r="O75" s="291">
        <f>+'10 Year Average'!F75</f>
        <v>31</v>
      </c>
      <c r="P75" s="291">
        <f>+'10 Year Average'!G75</f>
        <v>0</v>
      </c>
      <c r="Q75" s="292">
        <f>+'10 Year Average'!H75</f>
        <v>112034948.79576781</v>
      </c>
      <c r="S75" s="287">
        <f>+'20 Year Trend'!A75</f>
        <v>39814</v>
      </c>
      <c r="T75" s="293">
        <f>+'20 Year Trend'!B75</f>
        <v>119321706</v>
      </c>
      <c r="U75" s="289">
        <f>+'20 Year Trend'!C75</f>
        <v>684.3</v>
      </c>
      <c r="V75" s="289">
        <f>+'20 Year Trend'!D75</f>
        <v>0</v>
      </c>
      <c r="W75" s="290">
        <f>+'20 Year Trend'!E75</f>
        <v>8.3000000000000004E-2</v>
      </c>
      <c r="X75" s="291">
        <f>+'20 Year Trend'!F75</f>
        <v>31</v>
      </c>
      <c r="Y75" s="291">
        <f>+'20 Year Trend'!G75</f>
        <v>0</v>
      </c>
      <c r="Z75" s="292">
        <f>+'20 Year Trend'!H75</f>
        <v>112034948.79576781</v>
      </c>
    </row>
    <row r="76" spans="1:26" x14ac:dyDescent="0.2">
      <c r="A76" s="287">
        <f>+'Purchased Power Model '!A76</f>
        <v>39845</v>
      </c>
      <c r="B76" s="293">
        <f>+'Purchased Power Model '!B76</f>
        <v>99385016</v>
      </c>
      <c r="C76" s="289">
        <f>+'Purchased Power Model '!C76</f>
        <v>595.29999999999995</v>
      </c>
      <c r="D76" s="289">
        <f>+'Purchased Power Model '!D76</f>
        <v>0</v>
      </c>
      <c r="E76" s="290">
        <f>+'Purchased Power Model '!E76</f>
        <v>8.3000000000000004E-2</v>
      </c>
      <c r="F76" s="291">
        <f>+'Purchased Power Model '!F76</f>
        <v>28</v>
      </c>
      <c r="G76" s="291">
        <f>+'Purchased Power Model '!G76</f>
        <v>0</v>
      </c>
      <c r="H76" s="292">
        <f>+'Purchased Power Model '!H76</f>
        <v>100461031.90884882</v>
      </c>
      <c r="J76" s="287">
        <f>+'10 Year Average'!A76</f>
        <v>39845</v>
      </c>
      <c r="K76" s="293">
        <f>+'10 Year Average'!B76</f>
        <v>99385016</v>
      </c>
      <c r="L76" s="289">
        <f>+'10 Year Average'!C76</f>
        <v>595.29999999999995</v>
      </c>
      <c r="M76" s="289">
        <f>+'10 Year Average'!D76</f>
        <v>0</v>
      </c>
      <c r="N76" s="290">
        <f>+'10 Year Average'!E76</f>
        <v>8.3000000000000004E-2</v>
      </c>
      <c r="O76" s="291">
        <f>+'10 Year Average'!F76</f>
        <v>28</v>
      </c>
      <c r="P76" s="291">
        <f>+'10 Year Average'!G76</f>
        <v>0</v>
      </c>
      <c r="Q76" s="292">
        <f>+'10 Year Average'!H76</f>
        <v>100461031.90884882</v>
      </c>
      <c r="S76" s="287">
        <f>+'20 Year Trend'!A76</f>
        <v>39845</v>
      </c>
      <c r="T76" s="293">
        <f>+'20 Year Trend'!B76</f>
        <v>99385016</v>
      </c>
      <c r="U76" s="289">
        <f>+'20 Year Trend'!C76</f>
        <v>595.29999999999995</v>
      </c>
      <c r="V76" s="289">
        <f>+'20 Year Trend'!D76</f>
        <v>0</v>
      </c>
      <c r="W76" s="290">
        <f>+'20 Year Trend'!E76</f>
        <v>8.3000000000000004E-2</v>
      </c>
      <c r="X76" s="291">
        <f>+'20 Year Trend'!F76</f>
        <v>28</v>
      </c>
      <c r="Y76" s="291">
        <f>+'20 Year Trend'!G76</f>
        <v>0</v>
      </c>
      <c r="Z76" s="292">
        <f>+'20 Year Trend'!H76</f>
        <v>100461031.90884882</v>
      </c>
    </row>
    <row r="77" spans="1:26" x14ac:dyDescent="0.2">
      <c r="A77" s="287">
        <f>+'Purchased Power Model '!A77</f>
        <v>39873</v>
      </c>
      <c r="B77" s="293">
        <f>+'Purchased Power Model '!B77</f>
        <v>100852310</v>
      </c>
      <c r="C77" s="289">
        <f>+'Purchased Power Model '!C77</f>
        <v>442.2</v>
      </c>
      <c r="D77" s="289">
        <f>+'Purchased Power Model '!D77</f>
        <v>0</v>
      </c>
      <c r="E77" s="290">
        <f>+'Purchased Power Model '!E77</f>
        <v>8.3000000000000004E-2</v>
      </c>
      <c r="F77" s="291">
        <f>+'Purchased Power Model '!F77</f>
        <v>31</v>
      </c>
      <c r="G77" s="291">
        <f>+'Purchased Power Model '!G77</f>
        <v>1</v>
      </c>
      <c r="H77" s="292">
        <f>+'Purchased Power Model '!H77</f>
        <v>95988647.068571121</v>
      </c>
      <c r="J77" s="287">
        <f>+'10 Year Average'!A77</f>
        <v>39873</v>
      </c>
      <c r="K77" s="293">
        <f>+'10 Year Average'!B77</f>
        <v>100852310</v>
      </c>
      <c r="L77" s="289">
        <f>+'10 Year Average'!C77</f>
        <v>442.2</v>
      </c>
      <c r="M77" s="289">
        <f>+'10 Year Average'!D77</f>
        <v>0</v>
      </c>
      <c r="N77" s="290">
        <f>+'10 Year Average'!E77</f>
        <v>8.3000000000000004E-2</v>
      </c>
      <c r="O77" s="291">
        <f>+'10 Year Average'!F77</f>
        <v>31</v>
      </c>
      <c r="P77" s="291">
        <f>+'10 Year Average'!G77</f>
        <v>1</v>
      </c>
      <c r="Q77" s="292">
        <f>+'10 Year Average'!H77</f>
        <v>95988647.068571121</v>
      </c>
      <c r="S77" s="287">
        <f>+'20 Year Trend'!A77</f>
        <v>39873</v>
      </c>
      <c r="T77" s="293">
        <f>+'20 Year Trend'!B77</f>
        <v>100852310</v>
      </c>
      <c r="U77" s="289">
        <f>+'20 Year Trend'!C77</f>
        <v>442.2</v>
      </c>
      <c r="V77" s="289">
        <f>+'20 Year Trend'!D77</f>
        <v>0</v>
      </c>
      <c r="W77" s="290">
        <f>+'20 Year Trend'!E77</f>
        <v>8.3000000000000004E-2</v>
      </c>
      <c r="X77" s="291">
        <f>+'20 Year Trend'!F77</f>
        <v>31</v>
      </c>
      <c r="Y77" s="291">
        <f>+'20 Year Trend'!G77</f>
        <v>1</v>
      </c>
      <c r="Z77" s="292">
        <f>+'20 Year Trend'!H77</f>
        <v>95988647.068571121</v>
      </c>
    </row>
    <row r="78" spans="1:26" x14ac:dyDescent="0.2">
      <c r="A78" s="287">
        <f>+'Purchased Power Model '!A78</f>
        <v>39904</v>
      </c>
      <c r="B78" s="293">
        <f>+'Purchased Power Model '!B78</f>
        <v>86741668</v>
      </c>
      <c r="C78" s="289">
        <f>+'Purchased Power Model '!C78</f>
        <v>313.8</v>
      </c>
      <c r="D78" s="289">
        <f>+'Purchased Power Model '!D78</f>
        <v>0</v>
      </c>
      <c r="E78" s="290">
        <f>+'Purchased Power Model '!E78</f>
        <v>8.8000000000000009E-2</v>
      </c>
      <c r="F78" s="291">
        <f>+'Purchased Power Model '!F78</f>
        <v>30</v>
      </c>
      <c r="G78" s="291">
        <f>+'Purchased Power Model '!G78</f>
        <v>1</v>
      </c>
      <c r="H78" s="292">
        <f>+'Purchased Power Model '!H78</f>
        <v>87952083.884086847</v>
      </c>
      <c r="J78" s="287">
        <f>+'10 Year Average'!A78</f>
        <v>39904</v>
      </c>
      <c r="K78" s="293">
        <f>+'10 Year Average'!B78</f>
        <v>86741668</v>
      </c>
      <c r="L78" s="289">
        <f>+'10 Year Average'!C78</f>
        <v>313.8</v>
      </c>
      <c r="M78" s="289">
        <f>+'10 Year Average'!D78</f>
        <v>0</v>
      </c>
      <c r="N78" s="290">
        <f>+'10 Year Average'!E78</f>
        <v>8.8000000000000009E-2</v>
      </c>
      <c r="O78" s="291">
        <f>+'10 Year Average'!F78</f>
        <v>30</v>
      </c>
      <c r="P78" s="291">
        <f>+'10 Year Average'!G78</f>
        <v>1</v>
      </c>
      <c r="Q78" s="292">
        <f>+'10 Year Average'!H78</f>
        <v>87952083.884086847</v>
      </c>
      <c r="S78" s="287">
        <f>+'20 Year Trend'!A78</f>
        <v>39904</v>
      </c>
      <c r="T78" s="293">
        <f>+'20 Year Trend'!B78</f>
        <v>86741668</v>
      </c>
      <c r="U78" s="289">
        <f>+'20 Year Trend'!C78</f>
        <v>313.8</v>
      </c>
      <c r="V78" s="289">
        <f>+'20 Year Trend'!D78</f>
        <v>0</v>
      </c>
      <c r="W78" s="290">
        <f>+'20 Year Trend'!E78</f>
        <v>8.8000000000000009E-2</v>
      </c>
      <c r="X78" s="291">
        <f>+'20 Year Trend'!F78</f>
        <v>30</v>
      </c>
      <c r="Y78" s="291">
        <f>+'20 Year Trend'!G78</f>
        <v>1</v>
      </c>
      <c r="Z78" s="292">
        <f>+'20 Year Trend'!H78</f>
        <v>87952083.884086847</v>
      </c>
    </row>
    <row r="79" spans="1:26" x14ac:dyDescent="0.2">
      <c r="A79" s="287">
        <f>+'Purchased Power Model '!A79</f>
        <v>39934</v>
      </c>
      <c r="B79" s="293">
        <f>+'Purchased Power Model '!B79</f>
        <v>80591893.384615391</v>
      </c>
      <c r="C79" s="289">
        <f>+'Purchased Power Model '!C79</f>
        <v>170.1</v>
      </c>
      <c r="D79" s="289">
        <f>+'Purchased Power Model '!D79</f>
        <v>0</v>
      </c>
      <c r="E79" s="290">
        <f>+'Purchased Power Model '!E79</f>
        <v>8.8000000000000009E-2</v>
      </c>
      <c r="F79" s="291">
        <f>+'Purchased Power Model '!F79</f>
        <v>31</v>
      </c>
      <c r="G79" s="291">
        <f>+'Purchased Power Model '!G79</f>
        <v>1</v>
      </c>
      <c r="H79" s="292">
        <f>+'Purchased Power Model '!H79</f>
        <v>85150923.339849457</v>
      </c>
      <c r="J79" s="287">
        <f>+'10 Year Average'!A79</f>
        <v>39934</v>
      </c>
      <c r="K79" s="293">
        <f>+'10 Year Average'!B79</f>
        <v>80591893.384615391</v>
      </c>
      <c r="L79" s="289">
        <f>+'10 Year Average'!C79</f>
        <v>170.1</v>
      </c>
      <c r="M79" s="289">
        <f>+'10 Year Average'!D79</f>
        <v>0</v>
      </c>
      <c r="N79" s="290">
        <f>+'10 Year Average'!E79</f>
        <v>8.8000000000000009E-2</v>
      </c>
      <c r="O79" s="291">
        <f>+'10 Year Average'!F79</f>
        <v>31</v>
      </c>
      <c r="P79" s="291">
        <f>+'10 Year Average'!G79</f>
        <v>1</v>
      </c>
      <c r="Q79" s="292">
        <f>+'10 Year Average'!H79</f>
        <v>85150923.339849457</v>
      </c>
      <c r="S79" s="287">
        <f>+'20 Year Trend'!A79</f>
        <v>39934</v>
      </c>
      <c r="T79" s="293">
        <f>+'20 Year Trend'!B79</f>
        <v>80591893.384615391</v>
      </c>
      <c r="U79" s="289">
        <f>+'20 Year Trend'!C79</f>
        <v>170.1</v>
      </c>
      <c r="V79" s="289">
        <f>+'20 Year Trend'!D79</f>
        <v>0</v>
      </c>
      <c r="W79" s="290">
        <f>+'20 Year Trend'!E79</f>
        <v>8.8000000000000009E-2</v>
      </c>
      <c r="X79" s="291">
        <f>+'20 Year Trend'!F79</f>
        <v>31</v>
      </c>
      <c r="Y79" s="291">
        <f>+'20 Year Trend'!G79</f>
        <v>1</v>
      </c>
      <c r="Z79" s="292">
        <f>+'20 Year Trend'!H79</f>
        <v>85150923.339849457</v>
      </c>
    </row>
    <row r="80" spans="1:26" x14ac:dyDescent="0.2">
      <c r="A80" s="287">
        <f>+'Purchased Power Model '!A80</f>
        <v>39965</v>
      </c>
      <c r="B80" s="293">
        <f>+'Purchased Power Model '!B80</f>
        <v>84198050.923076928</v>
      </c>
      <c r="C80" s="289">
        <f>+'Purchased Power Model '!C80</f>
        <v>57.9</v>
      </c>
      <c r="D80" s="289">
        <f>+'Purchased Power Model '!D80</f>
        <v>26.3</v>
      </c>
      <c r="E80" s="290">
        <f>+'Purchased Power Model '!E80</f>
        <v>8.8000000000000009E-2</v>
      </c>
      <c r="F80" s="291">
        <f>+'Purchased Power Model '!F80</f>
        <v>30</v>
      </c>
      <c r="G80" s="291">
        <f>+'Purchased Power Model '!G80</f>
        <v>0</v>
      </c>
      <c r="H80" s="292">
        <f>+'Purchased Power Model '!H80</f>
        <v>88901434.138204738</v>
      </c>
      <c r="J80" s="287">
        <f>+'10 Year Average'!A80</f>
        <v>39965</v>
      </c>
      <c r="K80" s="293">
        <f>+'10 Year Average'!B80</f>
        <v>84198050.923076928</v>
      </c>
      <c r="L80" s="289">
        <f>+'10 Year Average'!C80</f>
        <v>57.9</v>
      </c>
      <c r="M80" s="289">
        <f>+'10 Year Average'!D80</f>
        <v>26.3</v>
      </c>
      <c r="N80" s="290">
        <f>+'10 Year Average'!E80</f>
        <v>8.8000000000000009E-2</v>
      </c>
      <c r="O80" s="291">
        <f>+'10 Year Average'!F80</f>
        <v>30</v>
      </c>
      <c r="P80" s="291">
        <f>+'10 Year Average'!G80</f>
        <v>0</v>
      </c>
      <c r="Q80" s="292">
        <f>+'10 Year Average'!H80</f>
        <v>88901434.138204738</v>
      </c>
      <c r="S80" s="287">
        <f>+'20 Year Trend'!A80</f>
        <v>39965</v>
      </c>
      <c r="T80" s="293">
        <f>+'20 Year Trend'!B80</f>
        <v>84198050.923076928</v>
      </c>
      <c r="U80" s="289">
        <f>+'20 Year Trend'!C80</f>
        <v>57.9</v>
      </c>
      <c r="V80" s="289">
        <f>+'20 Year Trend'!D80</f>
        <v>26.3</v>
      </c>
      <c r="W80" s="290">
        <f>+'20 Year Trend'!E80</f>
        <v>8.8000000000000009E-2</v>
      </c>
      <c r="X80" s="291">
        <f>+'20 Year Trend'!F80</f>
        <v>30</v>
      </c>
      <c r="Y80" s="291">
        <f>+'20 Year Trend'!G80</f>
        <v>0</v>
      </c>
      <c r="Z80" s="292">
        <f>+'20 Year Trend'!H80</f>
        <v>88901434.138204738</v>
      </c>
    </row>
    <row r="81" spans="1:26" x14ac:dyDescent="0.2">
      <c r="A81" s="287">
        <f>+'Purchased Power Model '!A81</f>
        <v>39995</v>
      </c>
      <c r="B81" s="293">
        <f>+'Purchased Power Model '!B81</f>
        <v>87831701.059230775</v>
      </c>
      <c r="C81" s="289">
        <f>+'Purchased Power Model '!C81</f>
        <v>16.8</v>
      </c>
      <c r="D81" s="289">
        <f>+'Purchased Power Model '!D81</f>
        <v>25.6</v>
      </c>
      <c r="E81" s="290">
        <f>+'Purchased Power Model '!E81</f>
        <v>9.5000000000000001E-2</v>
      </c>
      <c r="F81" s="291">
        <f>+'Purchased Power Model '!F81</f>
        <v>31</v>
      </c>
      <c r="G81" s="291">
        <f>+'Purchased Power Model '!G81</f>
        <v>0</v>
      </c>
      <c r="H81" s="292">
        <f>+'Purchased Power Model '!H81</f>
        <v>89393259.994600505</v>
      </c>
      <c r="J81" s="287">
        <f>+'10 Year Average'!A81</f>
        <v>39995</v>
      </c>
      <c r="K81" s="293">
        <f>+'10 Year Average'!B81</f>
        <v>87831701.059230775</v>
      </c>
      <c r="L81" s="289">
        <f>+'10 Year Average'!C81</f>
        <v>16.8</v>
      </c>
      <c r="M81" s="289">
        <f>+'10 Year Average'!D81</f>
        <v>25.6</v>
      </c>
      <c r="N81" s="290">
        <f>+'10 Year Average'!E81</f>
        <v>9.5000000000000001E-2</v>
      </c>
      <c r="O81" s="291">
        <f>+'10 Year Average'!F81</f>
        <v>31</v>
      </c>
      <c r="P81" s="291">
        <f>+'10 Year Average'!G81</f>
        <v>0</v>
      </c>
      <c r="Q81" s="292">
        <f>+'10 Year Average'!H81</f>
        <v>89393259.994600505</v>
      </c>
      <c r="S81" s="287">
        <f>+'20 Year Trend'!A81</f>
        <v>39995</v>
      </c>
      <c r="T81" s="293">
        <f>+'20 Year Trend'!B81</f>
        <v>87831701.059230775</v>
      </c>
      <c r="U81" s="289">
        <f>+'20 Year Trend'!C81</f>
        <v>16.8</v>
      </c>
      <c r="V81" s="289">
        <f>+'20 Year Trend'!D81</f>
        <v>25.6</v>
      </c>
      <c r="W81" s="290">
        <f>+'20 Year Trend'!E81</f>
        <v>9.5000000000000001E-2</v>
      </c>
      <c r="X81" s="291">
        <f>+'20 Year Trend'!F81</f>
        <v>31</v>
      </c>
      <c r="Y81" s="291">
        <f>+'20 Year Trend'!G81</f>
        <v>0</v>
      </c>
      <c r="Z81" s="292">
        <f>+'20 Year Trend'!H81</f>
        <v>89393259.994600505</v>
      </c>
    </row>
    <row r="82" spans="1:26" x14ac:dyDescent="0.2">
      <c r="A82" s="287">
        <f>+'Purchased Power Model '!A82</f>
        <v>40026</v>
      </c>
      <c r="B82" s="293">
        <f>+'Purchased Power Model '!B82</f>
        <v>97879755</v>
      </c>
      <c r="C82" s="289">
        <f>+'Purchased Power Model '!C82</f>
        <v>13.1</v>
      </c>
      <c r="D82" s="289">
        <f>+'Purchased Power Model '!D82</f>
        <v>77.7</v>
      </c>
      <c r="E82" s="290">
        <f>+'Purchased Power Model '!E82</f>
        <v>9.5000000000000001E-2</v>
      </c>
      <c r="F82" s="291">
        <f>+'Purchased Power Model '!F82</f>
        <v>31</v>
      </c>
      <c r="G82" s="291">
        <f>+'Purchased Power Model '!G82</f>
        <v>0</v>
      </c>
      <c r="H82" s="292">
        <f>+'Purchased Power Model '!H82</f>
        <v>97237636.327235788</v>
      </c>
      <c r="J82" s="287">
        <f>+'10 Year Average'!A82</f>
        <v>40026</v>
      </c>
      <c r="K82" s="293">
        <f>+'10 Year Average'!B82</f>
        <v>97879755</v>
      </c>
      <c r="L82" s="289">
        <f>+'10 Year Average'!C82</f>
        <v>13.1</v>
      </c>
      <c r="M82" s="289">
        <f>+'10 Year Average'!D82</f>
        <v>77.7</v>
      </c>
      <c r="N82" s="290">
        <f>+'10 Year Average'!E82</f>
        <v>9.5000000000000001E-2</v>
      </c>
      <c r="O82" s="291">
        <f>+'10 Year Average'!F82</f>
        <v>31</v>
      </c>
      <c r="P82" s="291">
        <f>+'10 Year Average'!G82</f>
        <v>0</v>
      </c>
      <c r="Q82" s="292">
        <f>+'10 Year Average'!H82</f>
        <v>97237636.327235788</v>
      </c>
      <c r="S82" s="287">
        <f>+'20 Year Trend'!A82</f>
        <v>40026</v>
      </c>
      <c r="T82" s="293">
        <f>+'20 Year Trend'!B82</f>
        <v>97879755</v>
      </c>
      <c r="U82" s="289">
        <f>+'20 Year Trend'!C82</f>
        <v>13.1</v>
      </c>
      <c r="V82" s="289">
        <f>+'20 Year Trend'!D82</f>
        <v>77.7</v>
      </c>
      <c r="W82" s="290">
        <f>+'20 Year Trend'!E82</f>
        <v>9.5000000000000001E-2</v>
      </c>
      <c r="X82" s="291">
        <f>+'20 Year Trend'!F82</f>
        <v>31</v>
      </c>
      <c r="Y82" s="291">
        <f>+'20 Year Trend'!G82</f>
        <v>0</v>
      </c>
      <c r="Z82" s="292">
        <f>+'20 Year Trend'!H82</f>
        <v>97237636.327235788</v>
      </c>
    </row>
    <row r="83" spans="1:26" x14ac:dyDescent="0.2">
      <c r="A83" s="287">
        <f>+'Purchased Power Model '!A83</f>
        <v>40057</v>
      </c>
      <c r="B83" s="293">
        <f>+'Purchased Power Model '!B83</f>
        <v>83907661.687692314</v>
      </c>
      <c r="C83" s="289">
        <f>+'Purchased Power Model '!C83</f>
        <v>64.8</v>
      </c>
      <c r="D83" s="289">
        <f>+'Purchased Power Model '!D83</f>
        <v>9</v>
      </c>
      <c r="E83" s="290">
        <f>+'Purchased Power Model '!E83</f>
        <v>9.5000000000000001E-2</v>
      </c>
      <c r="F83" s="291">
        <f>+'Purchased Power Model '!F83</f>
        <v>30</v>
      </c>
      <c r="G83" s="291">
        <f>+'Purchased Power Model '!G83</f>
        <v>1</v>
      </c>
      <c r="H83" s="292">
        <f>+'Purchased Power Model '!H83</f>
        <v>79226801.767542571</v>
      </c>
      <c r="J83" s="287">
        <f>+'10 Year Average'!A83</f>
        <v>40057</v>
      </c>
      <c r="K83" s="293">
        <f>+'10 Year Average'!B83</f>
        <v>83907661.687692314</v>
      </c>
      <c r="L83" s="289">
        <f>+'10 Year Average'!C83</f>
        <v>64.8</v>
      </c>
      <c r="M83" s="289">
        <f>+'10 Year Average'!D83</f>
        <v>9</v>
      </c>
      <c r="N83" s="290">
        <f>+'10 Year Average'!E83</f>
        <v>9.5000000000000001E-2</v>
      </c>
      <c r="O83" s="291">
        <f>+'10 Year Average'!F83</f>
        <v>30</v>
      </c>
      <c r="P83" s="291">
        <f>+'10 Year Average'!G83</f>
        <v>1</v>
      </c>
      <c r="Q83" s="292">
        <f>+'10 Year Average'!H83</f>
        <v>79226801.767542571</v>
      </c>
      <c r="S83" s="287">
        <f>+'20 Year Trend'!A83</f>
        <v>40057</v>
      </c>
      <c r="T83" s="293">
        <f>+'20 Year Trend'!B83</f>
        <v>83907661.687692314</v>
      </c>
      <c r="U83" s="289">
        <f>+'20 Year Trend'!C83</f>
        <v>64.8</v>
      </c>
      <c r="V83" s="289">
        <f>+'20 Year Trend'!D83</f>
        <v>9</v>
      </c>
      <c r="W83" s="290">
        <f>+'20 Year Trend'!E83</f>
        <v>9.5000000000000001E-2</v>
      </c>
      <c r="X83" s="291">
        <f>+'20 Year Trend'!F83</f>
        <v>30</v>
      </c>
      <c r="Y83" s="291">
        <f>+'20 Year Trend'!G83</f>
        <v>1</v>
      </c>
      <c r="Z83" s="292">
        <f>+'20 Year Trend'!H83</f>
        <v>79226801.767542571</v>
      </c>
    </row>
    <row r="84" spans="1:26" x14ac:dyDescent="0.2">
      <c r="A84" s="287">
        <f>+'Purchased Power Model '!A84</f>
        <v>40087</v>
      </c>
      <c r="B84" s="293">
        <f>+'Purchased Power Model '!B84</f>
        <v>88097164.336923078</v>
      </c>
      <c r="C84" s="289">
        <f>+'Purchased Power Model '!C84</f>
        <v>287.89999999999998</v>
      </c>
      <c r="D84" s="289">
        <f>+'Purchased Power Model '!D84</f>
        <v>0</v>
      </c>
      <c r="E84" s="290">
        <f>+'Purchased Power Model '!E84</f>
        <v>0.1</v>
      </c>
      <c r="F84" s="291">
        <f>+'Purchased Power Model '!F84</f>
        <v>31</v>
      </c>
      <c r="G84" s="291">
        <f>+'Purchased Power Model '!G84</f>
        <v>1</v>
      </c>
      <c r="H84" s="292">
        <f>+'Purchased Power Model '!H84</f>
        <v>88748880.6706184</v>
      </c>
      <c r="J84" s="287">
        <f>+'10 Year Average'!A84</f>
        <v>40087</v>
      </c>
      <c r="K84" s="293">
        <f>+'10 Year Average'!B84</f>
        <v>88097164.336923078</v>
      </c>
      <c r="L84" s="289">
        <f>+'10 Year Average'!C84</f>
        <v>287.89999999999998</v>
      </c>
      <c r="M84" s="289">
        <f>+'10 Year Average'!D84</f>
        <v>0</v>
      </c>
      <c r="N84" s="290">
        <f>+'10 Year Average'!E84</f>
        <v>0.1</v>
      </c>
      <c r="O84" s="291">
        <f>+'10 Year Average'!F84</f>
        <v>31</v>
      </c>
      <c r="P84" s="291">
        <f>+'10 Year Average'!G84</f>
        <v>1</v>
      </c>
      <c r="Q84" s="292">
        <f>+'10 Year Average'!H84</f>
        <v>88748880.6706184</v>
      </c>
      <c r="S84" s="287">
        <f>+'20 Year Trend'!A84</f>
        <v>40087</v>
      </c>
      <c r="T84" s="293">
        <f>+'20 Year Trend'!B84</f>
        <v>88097164.336923078</v>
      </c>
      <c r="U84" s="289">
        <f>+'20 Year Trend'!C84</f>
        <v>287.89999999999998</v>
      </c>
      <c r="V84" s="289">
        <f>+'20 Year Trend'!D84</f>
        <v>0</v>
      </c>
      <c r="W84" s="290">
        <f>+'20 Year Trend'!E84</f>
        <v>0.1</v>
      </c>
      <c r="X84" s="291">
        <f>+'20 Year Trend'!F84</f>
        <v>31</v>
      </c>
      <c r="Y84" s="291">
        <f>+'20 Year Trend'!G84</f>
        <v>1</v>
      </c>
      <c r="Z84" s="292">
        <f>+'20 Year Trend'!H84</f>
        <v>88748880.6706184</v>
      </c>
    </row>
    <row r="85" spans="1:26" x14ac:dyDescent="0.2">
      <c r="A85" s="287">
        <f>+'Purchased Power Model '!A85</f>
        <v>40118</v>
      </c>
      <c r="B85" s="293">
        <f>+'Purchased Power Model '!B85</f>
        <v>89873866.688461557</v>
      </c>
      <c r="C85" s="289">
        <f>+'Purchased Power Model '!C85</f>
        <v>347.4</v>
      </c>
      <c r="D85" s="289">
        <f>+'Purchased Power Model '!D85</f>
        <v>0</v>
      </c>
      <c r="E85" s="290">
        <f>+'Purchased Power Model '!E85</f>
        <v>0.1</v>
      </c>
      <c r="F85" s="291">
        <f>+'Purchased Power Model '!F85</f>
        <v>30</v>
      </c>
      <c r="G85" s="291">
        <f>+'Purchased Power Model '!G85</f>
        <v>1</v>
      </c>
      <c r="H85" s="292">
        <f>+'Purchased Power Model '!H85</f>
        <v>88315861.335307747</v>
      </c>
      <c r="J85" s="287">
        <f>+'10 Year Average'!A85</f>
        <v>40118</v>
      </c>
      <c r="K85" s="293">
        <f>+'10 Year Average'!B85</f>
        <v>89873866.688461557</v>
      </c>
      <c r="L85" s="289">
        <f>+'10 Year Average'!C85</f>
        <v>347.4</v>
      </c>
      <c r="M85" s="289">
        <f>+'10 Year Average'!D85</f>
        <v>0</v>
      </c>
      <c r="N85" s="290">
        <f>+'10 Year Average'!E85</f>
        <v>0.1</v>
      </c>
      <c r="O85" s="291">
        <f>+'10 Year Average'!F85</f>
        <v>30</v>
      </c>
      <c r="P85" s="291">
        <f>+'10 Year Average'!G85</f>
        <v>1</v>
      </c>
      <c r="Q85" s="292">
        <f>+'10 Year Average'!H85</f>
        <v>88315861.335307747</v>
      </c>
      <c r="S85" s="287">
        <f>+'20 Year Trend'!A85</f>
        <v>40118</v>
      </c>
      <c r="T85" s="293">
        <f>+'20 Year Trend'!B85</f>
        <v>89873866.688461557</v>
      </c>
      <c r="U85" s="289">
        <f>+'20 Year Trend'!C85</f>
        <v>347.4</v>
      </c>
      <c r="V85" s="289">
        <f>+'20 Year Trend'!D85</f>
        <v>0</v>
      </c>
      <c r="W85" s="290">
        <f>+'20 Year Trend'!E85</f>
        <v>0.1</v>
      </c>
      <c r="X85" s="291">
        <f>+'20 Year Trend'!F85</f>
        <v>30</v>
      </c>
      <c r="Y85" s="291">
        <f>+'20 Year Trend'!G85</f>
        <v>1</v>
      </c>
      <c r="Z85" s="292">
        <f>+'20 Year Trend'!H85</f>
        <v>88315861.335307747</v>
      </c>
    </row>
    <row r="86" spans="1:26" x14ac:dyDescent="0.2">
      <c r="A86" s="287">
        <f>+'Purchased Power Model '!A86</f>
        <v>40148</v>
      </c>
      <c r="B86" s="293">
        <f>+'Purchased Power Model '!B86</f>
        <v>109709991.43076923</v>
      </c>
      <c r="C86" s="289">
        <f>+'Purchased Power Model '!C86</f>
        <v>619.1</v>
      </c>
      <c r="D86" s="289">
        <f>+'Purchased Power Model '!D86</f>
        <v>0</v>
      </c>
      <c r="E86" s="290">
        <f>+'Purchased Power Model '!E86</f>
        <v>0.1</v>
      </c>
      <c r="F86" s="291">
        <f>+'Purchased Power Model '!F86</f>
        <v>31</v>
      </c>
      <c r="G86" s="291">
        <f>+'Purchased Power Model '!G86</f>
        <v>0</v>
      </c>
      <c r="H86" s="292">
        <f>+'Purchased Power Model '!H86</f>
        <v>108217574.64565037</v>
      </c>
      <c r="J86" s="287">
        <f>+'10 Year Average'!A86</f>
        <v>40148</v>
      </c>
      <c r="K86" s="293">
        <f>+'10 Year Average'!B86</f>
        <v>109709991.43076923</v>
      </c>
      <c r="L86" s="289">
        <f>+'10 Year Average'!C86</f>
        <v>619.1</v>
      </c>
      <c r="M86" s="289">
        <f>+'10 Year Average'!D86</f>
        <v>0</v>
      </c>
      <c r="N86" s="290">
        <f>+'10 Year Average'!E86</f>
        <v>0.1</v>
      </c>
      <c r="O86" s="291">
        <f>+'10 Year Average'!F86</f>
        <v>31</v>
      </c>
      <c r="P86" s="291">
        <f>+'10 Year Average'!G86</f>
        <v>0</v>
      </c>
      <c r="Q86" s="292">
        <f>+'10 Year Average'!H86</f>
        <v>108217574.64565037</v>
      </c>
      <c r="S86" s="287">
        <f>+'20 Year Trend'!A86</f>
        <v>40148</v>
      </c>
      <c r="T86" s="293">
        <f>+'20 Year Trend'!B86</f>
        <v>109709991.43076923</v>
      </c>
      <c r="U86" s="289">
        <f>+'20 Year Trend'!C86</f>
        <v>619.1</v>
      </c>
      <c r="V86" s="289">
        <f>+'20 Year Trend'!D86</f>
        <v>0</v>
      </c>
      <c r="W86" s="290">
        <f>+'20 Year Trend'!E86</f>
        <v>0.1</v>
      </c>
      <c r="X86" s="291">
        <f>+'20 Year Trend'!F86</f>
        <v>31</v>
      </c>
      <c r="Y86" s="291">
        <f>+'20 Year Trend'!G86</f>
        <v>0</v>
      </c>
      <c r="Z86" s="292">
        <f>+'20 Year Trend'!H86</f>
        <v>108217574.64565037</v>
      </c>
    </row>
    <row r="87" spans="1:26" x14ac:dyDescent="0.2">
      <c r="A87" s="287">
        <f>+'Purchased Power Model '!A87</f>
        <v>40179</v>
      </c>
      <c r="B87" s="293">
        <f>+'Purchased Power Model '!B87</f>
        <v>114148404.02769232</v>
      </c>
      <c r="C87" s="289">
        <f>+'Purchased Power Model '!C87</f>
        <v>699.9</v>
      </c>
      <c r="D87" s="289">
        <f>+'Purchased Power Model '!D87</f>
        <v>0</v>
      </c>
      <c r="E87" s="290">
        <f>+'Purchased Power Model '!E87</f>
        <v>0.10300000000000001</v>
      </c>
      <c r="F87" s="291">
        <f>+'Purchased Power Model '!F87</f>
        <v>31</v>
      </c>
      <c r="G87" s="291">
        <f>+'Purchased Power Model '!G87</f>
        <v>0</v>
      </c>
      <c r="H87" s="292">
        <f>+'Purchased Power Model '!H87</f>
        <v>111089452.77661806</v>
      </c>
      <c r="J87" s="287">
        <f>+'10 Year Average'!A87</f>
        <v>40179</v>
      </c>
      <c r="K87" s="293">
        <f>+'10 Year Average'!B87</f>
        <v>114148404.02769232</v>
      </c>
      <c r="L87" s="289">
        <f>+'10 Year Average'!C87</f>
        <v>699.9</v>
      </c>
      <c r="M87" s="289">
        <f>+'10 Year Average'!D87</f>
        <v>0</v>
      </c>
      <c r="N87" s="290">
        <f>+'10 Year Average'!E87</f>
        <v>0.10300000000000001</v>
      </c>
      <c r="O87" s="291">
        <f>+'10 Year Average'!F87</f>
        <v>31</v>
      </c>
      <c r="P87" s="291">
        <f>+'10 Year Average'!G87</f>
        <v>0</v>
      </c>
      <c r="Q87" s="292">
        <f>+'10 Year Average'!H87</f>
        <v>111089452.77661806</v>
      </c>
      <c r="S87" s="287">
        <f>+'20 Year Trend'!A87</f>
        <v>40179</v>
      </c>
      <c r="T87" s="293">
        <f>+'20 Year Trend'!B87</f>
        <v>114148404.02769232</v>
      </c>
      <c r="U87" s="289">
        <f>+'20 Year Trend'!C87</f>
        <v>699.9</v>
      </c>
      <c r="V87" s="289">
        <f>+'20 Year Trend'!D87</f>
        <v>0</v>
      </c>
      <c r="W87" s="290">
        <f>+'20 Year Trend'!E87</f>
        <v>0.10300000000000001</v>
      </c>
      <c r="X87" s="291">
        <f>+'20 Year Trend'!F87</f>
        <v>31</v>
      </c>
      <c r="Y87" s="291">
        <f>+'20 Year Trend'!G87</f>
        <v>0</v>
      </c>
      <c r="Z87" s="292">
        <f>+'20 Year Trend'!H87</f>
        <v>111089452.77661806</v>
      </c>
    </row>
    <row r="88" spans="1:26" x14ac:dyDescent="0.2">
      <c r="A88" s="287">
        <f>+'Purchased Power Model '!A88</f>
        <v>40210</v>
      </c>
      <c r="B88" s="293">
        <f>+'Purchased Power Model '!B88</f>
        <v>100280891.65769231</v>
      </c>
      <c r="C88" s="289">
        <f>+'Purchased Power Model '!C88</f>
        <v>583.79999999999995</v>
      </c>
      <c r="D88" s="289">
        <f>+'Purchased Power Model '!D88</f>
        <v>0</v>
      </c>
      <c r="E88" s="290">
        <f>+'Purchased Power Model '!E88</f>
        <v>0.10300000000000001</v>
      </c>
      <c r="F88" s="291">
        <f>+'Purchased Power Model '!F88</f>
        <v>28</v>
      </c>
      <c r="G88" s="291">
        <f>+'Purchased Power Model '!G88</f>
        <v>0</v>
      </c>
      <c r="H88" s="292">
        <f>+'Purchased Power Model '!H88</f>
        <v>98474606.261008441</v>
      </c>
      <c r="J88" s="287">
        <f>+'10 Year Average'!A88</f>
        <v>40210</v>
      </c>
      <c r="K88" s="293">
        <f>+'10 Year Average'!B88</f>
        <v>100280891.65769231</v>
      </c>
      <c r="L88" s="289">
        <f>+'10 Year Average'!C88</f>
        <v>583.79999999999995</v>
      </c>
      <c r="M88" s="289">
        <f>+'10 Year Average'!D88</f>
        <v>0</v>
      </c>
      <c r="N88" s="290">
        <f>+'10 Year Average'!E88</f>
        <v>0.10300000000000001</v>
      </c>
      <c r="O88" s="291">
        <f>+'10 Year Average'!F88</f>
        <v>28</v>
      </c>
      <c r="P88" s="291">
        <f>+'10 Year Average'!G88</f>
        <v>0</v>
      </c>
      <c r="Q88" s="292">
        <f>+'10 Year Average'!H88</f>
        <v>98474606.261008441</v>
      </c>
      <c r="S88" s="287">
        <f>+'20 Year Trend'!A88</f>
        <v>40210</v>
      </c>
      <c r="T88" s="293">
        <f>+'20 Year Trend'!B88</f>
        <v>100280891.65769231</v>
      </c>
      <c r="U88" s="289">
        <f>+'20 Year Trend'!C88</f>
        <v>583.79999999999995</v>
      </c>
      <c r="V88" s="289">
        <f>+'20 Year Trend'!D88</f>
        <v>0</v>
      </c>
      <c r="W88" s="290">
        <f>+'20 Year Trend'!E88</f>
        <v>0.10300000000000001</v>
      </c>
      <c r="X88" s="291">
        <f>+'20 Year Trend'!F88</f>
        <v>28</v>
      </c>
      <c r="Y88" s="291">
        <f>+'20 Year Trend'!G88</f>
        <v>0</v>
      </c>
      <c r="Z88" s="292">
        <f>+'20 Year Trend'!H88</f>
        <v>98474606.261008441</v>
      </c>
    </row>
    <row r="89" spans="1:26" x14ac:dyDescent="0.2">
      <c r="A89" s="287">
        <f>+'Purchased Power Model '!A89</f>
        <v>40238</v>
      </c>
      <c r="B89" s="293">
        <f>+'Purchased Power Model '!B89</f>
        <v>95443611.384615391</v>
      </c>
      <c r="C89" s="289">
        <f>+'Purchased Power Model '!C89</f>
        <v>411</v>
      </c>
      <c r="D89" s="289">
        <f>+'Purchased Power Model '!D89</f>
        <v>0</v>
      </c>
      <c r="E89" s="290">
        <f>+'Purchased Power Model '!E89</f>
        <v>0.10300000000000001</v>
      </c>
      <c r="F89" s="291">
        <f>+'Purchased Power Model '!F89</f>
        <v>31</v>
      </c>
      <c r="G89" s="291">
        <f>+'Purchased Power Model '!G89</f>
        <v>1</v>
      </c>
      <c r="H89" s="292">
        <f>+'Purchased Power Model '!H89</f>
        <v>93245530.878841221</v>
      </c>
      <c r="J89" s="287">
        <f>+'10 Year Average'!A89</f>
        <v>40238</v>
      </c>
      <c r="K89" s="293">
        <f>+'10 Year Average'!B89</f>
        <v>95443611.384615391</v>
      </c>
      <c r="L89" s="289">
        <f>+'10 Year Average'!C89</f>
        <v>411</v>
      </c>
      <c r="M89" s="289">
        <f>+'10 Year Average'!D89</f>
        <v>0</v>
      </c>
      <c r="N89" s="290">
        <f>+'10 Year Average'!E89</f>
        <v>0.10300000000000001</v>
      </c>
      <c r="O89" s="291">
        <f>+'10 Year Average'!F89</f>
        <v>31</v>
      </c>
      <c r="P89" s="291">
        <f>+'10 Year Average'!G89</f>
        <v>1</v>
      </c>
      <c r="Q89" s="292">
        <f>+'10 Year Average'!H89</f>
        <v>93245530.878841221</v>
      </c>
      <c r="S89" s="287">
        <f>+'20 Year Trend'!A89</f>
        <v>40238</v>
      </c>
      <c r="T89" s="293">
        <f>+'20 Year Trend'!B89</f>
        <v>95443611.384615391</v>
      </c>
      <c r="U89" s="289">
        <f>+'20 Year Trend'!C89</f>
        <v>411</v>
      </c>
      <c r="V89" s="289">
        <f>+'20 Year Trend'!D89</f>
        <v>0</v>
      </c>
      <c r="W89" s="290">
        <f>+'20 Year Trend'!E89</f>
        <v>0.10300000000000001</v>
      </c>
      <c r="X89" s="291">
        <f>+'20 Year Trend'!F89</f>
        <v>31</v>
      </c>
      <c r="Y89" s="291">
        <f>+'20 Year Trend'!G89</f>
        <v>1</v>
      </c>
      <c r="Z89" s="292">
        <f>+'20 Year Trend'!H89</f>
        <v>93245530.878841221</v>
      </c>
    </row>
    <row r="90" spans="1:26" x14ac:dyDescent="0.2">
      <c r="A90" s="287">
        <f>+'Purchased Power Model '!A90</f>
        <v>40269</v>
      </c>
      <c r="B90" s="293">
        <f>+'Purchased Power Model '!B90</f>
        <v>80941805.90538463</v>
      </c>
      <c r="C90" s="289">
        <f>+'Purchased Power Model '!C90</f>
        <v>244</v>
      </c>
      <c r="D90" s="289">
        <f>+'Purchased Power Model '!D90</f>
        <v>0</v>
      </c>
      <c r="E90" s="290">
        <f>+'Purchased Power Model '!E90</f>
        <v>9.9000000000000005E-2</v>
      </c>
      <c r="F90" s="291">
        <f>+'Purchased Power Model '!F90</f>
        <v>30</v>
      </c>
      <c r="G90" s="291">
        <f>+'Purchased Power Model '!G90</f>
        <v>1</v>
      </c>
      <c r="H90" s="292">
        <f>+'Purchased Power Model '!H90</f>
        <v>84421431.394706786</v>
      </c>
      <c r="J90" s="287">
        <f>+'10 Year Average'!A90</f>
        <v>40269</v>
      </c>
      <c r="K90" s="293">
        <f>+'10 Year Average'!B90</f>
        <v>80941805.90538463</v>
      </c>
      <c r="L90" s="289">
        <f>+'10 Year Average'!C90</f>
        <v>244</v>
      </c>
      <c r="M90" s="289">
        <f>+'10 Year Average'!D90</f>
        <v>0</v>
      </c>
      <c r="N90" s="290">
        <f>+'10 Year Average'!E90</f>
        <v>9.9000000000000005E-2</v>
      </c>
      <c r="O90" s="291">
        <f>+'10 Year Average'!F90</f>
        <v>30</v>
      </c>
      <c r="P90" s="291">
        <f>+'10 Year Average'!G90</f>
        <v>1</v>
      </c>
      <c r="Q90" s="292">
        <f>+'10 Year Average'!H90</f>
        <v>84421431.394706786</v>
      </c>
      <c r="S90" s="287">
        <f>+'20 Year Trend'!A90</f>
        <v>40269</v>
      </c>
      <c r="T90" s="293">
        <f>+'20 Year Trend'!B90</f>
        <v>80941805.90538463</v>
      </c>
      <c r="U90" s="289">
        <f>+'20 Year Trend'!C90</f>
        <v>244</v>
      </c>
      <c r="V90" s="289">
        <f>+'20 Year Trend'!D90</f>
        <v>0</v>
      </c>
      <c r="W90" s="290">
        <f>+'20 Year Trend'!E90</f>
        <v>9.9000000000000005E-2</v>
      </c>
      <c r="X90" s="291">
        <f>+'20 Year Trend'!F90</f>
        <v>30</v>
      </c>
      <c r="Y90" s="291">
        <f>+'20 Year Trend'!G90</f>
        <v>1</v>
      </c>
      <c r="Z90" s="292">
        <f>+'20 Year Trend'!H90</f>
        <v>84421431.394706786</v>
      </c>
    </row>
    <row r="91" spans="1:26" x14ac:dyDescent="0.2">
      <c r="A91" s="287">
        <f>+'Purchased Power Model '!A91</f>
        <v>40299</v>
      </c>
      <c r="B91" s="293">
        <f>+'Purchased Power Model '!B91</f>
        <v>87418768.25846155</v>
      </c>
      <c r="C91" s="289">
        <f>+'Purchased Power Model '!C91</f>
        <v>121.7</v>
      </c>
      <c r="D91" s="289">
        <f>+'Purchased Power Model '!D91</f>
        <v>23.2</v>
      </c>
      <c r="E91" s="290">
        <f>+'Purchased Power Model '!E91</f>
        <v>9.9000000000000005E-2</v>
      </c>
      <c r="F91" s="291">
        <f>+'Purchased Power Model '!F91</f>
        <v>31</v>
      </c>
      <c r="G91" s="291">
        <f>+'Purchased Power Model '!G91</f>
        <v>1</v>
      </c>
      <c r="H91" s="292">
        <f>+'Purchased Power Model '!H91</f>
        <v>85998626.246630341</v>
      </c>
      <c r="J91" s="287">
        <f>+'10 Year Average'!A91</f>
        <v>40299</v>
      </c>
      <c r="K91" s="293">
        <f>+'10 Year Average'!B91</f>
        <v>87418768.25846155</v>
      </c>
      <c r="L91" s="289">
        <f>+'10 Year Average'!C91</f>
        <v>121.7</v>
      </c>
      <c r="M91" s="289">
        <f>+'10 Year Average'!D91</f>
        <v>23.2</v>
      </c>
      <c r="N91" s="290">
        <f>+'10 Year Average'!E91</f>
        <v>9.9000000000000005E-2</v>
      </c>
      <c r="O91" s="291">
        <f>+'10 Year Average'!F91</f>
        <v>31</v>
      </c>
      <c r="P91" s="291">
        <f>+'10 Year Average'!G91</f>
        <v>1</v>
      </c>
      <c r="Q91" s="292">
        <f>+'10 Year Average'!H91</f>
        <v>85998626.246630341</v>
      </c>
      <c r="S91" s="287">
        <f>+'20 Year Trend'!A91</f>
        <v>40299</v>
      </c>
      <c r="T91" s="293">
        <f>+'20 Year Trend'!B91</f>
        <v>87418768.25846155</v>
      </c>
      <c r="U91" s="289">
        <f>+'20 Year Trend'!C91</f>
        <v>121.7</v>
      </c>
      <c r="V91" s="289">
        <f>+'20 Year Trend'!D91</f>
        <v>23.2</v>
      </c>
      <c r="W91" s="290">
        <f>+'20 Year Trend'!E91</f>
        <v>9.9000000000000005E-2</v>
      </c>
      <c r="X91" s="291">
        <f>+'20 Year Trend'!F91</f>
        <v>31</v>
      </c>
      <c r="Y91" s="291">
        <f>+'20 Year Trend'!G91</f>
        <v>1</v>
      </c>
      <c r="Z91" s="292">
        <f>+'20 Year Trend'!H91</f>
        <v>85998626.246630341</v>
      </c>
    </row>
    <row r="92" spans="1:26" x14ac:dyDescent="0.2">
      <c r="A92" s="287">
        <f>+'Purchased Power Model '!A92</f>
        <v>40330</v>
      </c>
      <c r="B92" s="293">
        <f>+'Purchased Power Model '!B92</f>
        <v>89087288.937692314</v>
      </c>
      <c r="C92" s="289">
        <f>+'Purchased Power Model '!C92</f>
        <v>19.399999999999999</v>
      </c>
      <c r="D92" s="289">
        <f>+'Purchased Power Model '!D92</f>
        <v>46.6</v>
      </c>
      <c r="E92" s="290">
        <f>+'Purchased Power Model '!E92</f>
        <v>9.9000000000000005E-2</v>
      </c>
      <c r="F92" s="291">
        <f>+'Purchased Power Model '!F92</f>
        <v>30</v>
      </c>
      <c r="G92" s="291">
        <f>+'Purchased Power Model '!G92</f>
        <v>0</v>
      </c>
      <c r="H92" s="292">
        <f>+'Purchased Power Model '!H92</f>
        <v>89684857.014590412</v>
      </c>
      <c r="J92" s="287">
        <f>+'10 Year Average'!A92</f>
        <v>40330</v>
      </c>
      <c r="K92" s="293">
        <f>+'10 Year Average'!B92</f>
        <v>89087288.937692314</v>
      </c>
      <c r="L92" s="289">
        <f>+'10 Year Average'!C92</f>
        <v>19.399999999999999</v>
      </c>
      <c r="M92" s="289">
        <f>+'10 Year Average'!D92</f>
        <v>46.6</v>
      </c>
      <c r="N92" s="290">
        <f>+'10 Year Average'!E92</f>
        <v>9.9000000000000005E-2</v>
      </c>
      <c r="O92" s="291">
        <f>+'10 Year Average'!F92</f>
        <v>30</v>
      </c>
      <c r="P92" s="291">
        <f>+'10 Year Average'!G92</f>
        <v>0</v>
      </c>
      <c r="Q92" s="292">
        <f>+'10 Year Average'!H92</f>
        <v>89684857.014590412</v>
      </c>
      <c r="S92" s="287">
        <f>+'20 Year Trend'!A92</f>
        <v>40330</v>
      </c>
      <c r="T92" s="293">
        <f>+'20 Year Trend'!B92</f>
        <v>89087288.937692314</v>
      </c>
      <c r="U92" s="289">
        <f>+'20 Year Trend'!C92</f>
        <v>19.399999999999999</v>
      </c>
      <c r="V92" s="289">
        <f>+'20 Year Trend'!D92</f>
        <v>46.6</v>
      </c>
      <c r="W92" s="290">
        <f>+'20 Year Trend'!E92</f>
        <v>9.9000000000000005E-2</v>
      </c>
      <c r="X92" s="291">
        <f>+'20 Year Trend'!F92</f>
        <v>30</v>
      </c>
      <c r="Y92" s="291">
        <f>+'20 Year Trend'!G92</f>
        <v>0</v>
      </c>
      <c r="Z92" s="292">
        <f>+'20 Year Trend'!H92</f>
        <v>89684857.014590412</v>
      </c>
    </row>
    <row r="93" spans="1:26" x14ac:dyDescent="0.2">
      <c r="A93" s="287">
        <f>+'Purchased Power Model '!A93</f>
        <v>40360</v>
      </c>
      <c r="B93" s="293">
        <f>+'Purchased Power Model '!B93</f>
        <v>107904059.08</v>
      </c>
      <c r="C93" s="289">
        <f>+'Purchased Power Model '!C93</f>
        <v>3.5</v>
      </c>
      <c r="D93" s="289">
        <f>+'Purchased Power Model '!D93</f>
        <v>124</v>
      </c>
      <c r="E93" s="290">
        <f>+'Purchased Power Model '!E93</f>
        <v>0.10099999999999999</v>
      </c>
      <c r="F93" s="291">
        <f>+'Purchased Power Model '!F93</f>
        <v>31</v>
      </c>
      <c r="G93" s="291">
        <f>+'Purchased Power Model '!G93</f>
        <v>0</v>
      </c>
      <c r="H93" s="292">
        <f>+'Purchased Power Model '!H93</f>
        <v>103502887.10995485</v>
      </c>
      <c r="J93" s="287">
        <f>+'10 Year Average'!A93</f>
        <v>40360</v>
      </c>
      <c r="K93" s="293">
        <f>+'10 Year Average'!B93</f>
        <v>107904059.08</v>
      </c>
      <c r="L93" s="289">
        <f>+'10 Year Average'!C93</f>
        <v>3.5</v>
      </c>
      <c r="M93" s="289">
        <f>+'10 Year Average'!D93</f>
        <v>124</v>
      </c>
      <c r="N93" s="290">
        <f>+'10 Year Average'!E93</f>
        <v>0.10099999999999999</v>
      </c>
      <c r="O93" s="291">
        <f>+'10 Year Average'!F93</f>
        <v>31</v>
      </c>
      <c r="P93" s="291">
        <f>+'10 Year Average'!G93</f>
        <v>0</v>
      </c>
      <c r="Q93" s="292">
        <f>+'10 Year Average'!H93</f>
        <v>103502887.10995485</v>
      </c>
      <c r="S93" s="287">
        <f>+'20 Year Trend'!A93</f>
        <v>40360</v>
      </c>
      <c r="T93" s="293">
        <f>+'20 Year Trend'!B93</f>
        <v>107904059.08</v>
      </c>
      <c r="U93" s="289">
        <f>+'20 Year Trend'!C93</f>
        <v>3.5</v>
      </c>
      <c r="V93" s="289">
        <f>+'20 Year Trend'!D93</f>
        <v>124</v>
      </c>
      <c r="W93" s="290">
        <f>+'20 Year Trend'!E93</f>
        <v>0.10099999999999999</v>
      </c>
      <c r="X93" s="291">
        <f>+'20 Year Trend'!F93</f>
        <v>31</v>
      </c>
      <c r="Y93" s="291">
        <f>+'20 Year Trend'!G93</f>
        <v>0</v>
      </c>
      <c r="Z93" s="292">
        <f>+'20 Year Trend'!H93</f>
        <v>103502887.10995485</v>
      </c>
    </row>
    <row r="94" spans="1:26" x14ac:dyDescent="0.2">
      <c r="A94" s="287">
        <f>+'Purchased Power Model '!A94</f>
        <v>40391</v>
      </c>
      <c r="B94" s="293">
        <f>+'Purchased Power Model '!B94</f>
        <v>102274426.19461538</v>
      </c>
      <c r="C94" s="289">
        <f>+'Purchased Power Model '!C94</f>
        <v>3.2</v>
      </c>
      <c r="D94" s="289">
        <f>+'Purchased Power Model '!D94</f>
        <v>96.8</v>
      </c>
      <c r="E94" s="290">
        <f>+'Purchased Power Model '!E94</f>
        <v>0.10099999999999999</v>
      </c>
      <c r="F94" s="291">
        <f>+'Purchased Power Model '!F94</f>
        <v>31</v>
      </c>
      <c r="G94" s="291">
        <f>+'Purchased Power Model '!G94</f>
        <v>0</v>
      </c>
      <c r="H94" s="292">
        <f>+'Purchased Power Model '!H94</f>
        <v>99321830.548106015</v>
      </c>
      <c r="J94" s="287">
        <f>+'10 Year Average'!A94</f>
        <v>40391</v>
      </c>
      <c r="K94" s="293">
        <f>+'10 Year Average'!B94</f>
        <v>102274426.19461538</v>
      </c>
      <c r="L94" s="289">
        <f>+'10 Year Average'!C94</f>
        <v>3.2</v>
      </c>
      <c r="M94" s="289">
        <f>+'10 Year Average'!D94</f>
        <v>96.8</v>
      </c>
      <c r="N94" s="290">
        <f>+'10 Year Average'!E94</f>
        <v>0.10099999999999999</v>
      </c>
      <c r="O94" s="291">
        <f>+'10 Year Average'!F94</f>
        <v>31</v>
      </c>
      <c r="P94" s="291">
        <f>+'10 Year Average'!G94</f>
        <v>0</v>
      </c>
      <c r="Q94" s="292">
        <f>+'10 Year Average'!H94</f>
        <v>99321830.548106015</v>
      </c>
      <c r="S94" s="287">
        <f>+'20 Year Trend'!A94</f>
        <v>40391</v>
      </c>
      <c r="T94" s="293">
        <f>+'20 Year Trend'!B94</f>
        <v>102274426.19461538</v>
      </c>
      <c r="U94" s="289">
        <f>+'20 Year Trend'!C94</f>
        <v>3.2</v>
      </c>
      <c r="V94" s="289">
        <f>+'20 Year Trend'!D94</f>
        <v>96.8</v>
      </c>
      <c r="W94" s="290">
        <f>+'20 Year Trend'!E94</f>
        <v>0.10099999999999999</v>
      </c>
      <c r="X94" s="291">
        <f>+'20 Year Trend'!F94</f>
        <v>31</v>
      </c>
      <c r="Y94" s="291">
        <f>+'20 Year Trend'!G94</f>
        <v>0</v>
      </c>
      <c r="Z94" s="292">
        <f>+'20 Year Trend'!H94</f>
        <v>99321830.548106015</v>
      </c>
    </row>
    <row r="95" spans="1:26" x14ac:dyDescent="0.2">
      <c r="A95" s="287">
        <f>+'Purchased Power Model '!A95</f>
        <v>40422</v>
      </c>
      <c r="B95" s="293">
        <f>+'Purchased Power Model '!B95</f>
        <v>83491002.500769228</v>
      </c>
      <c r="C95" s="289">
        <f>+'Purchased Power Model '!C95</f>
        <v>85.5</v>
      </c>
      <c r="D95" s="289">
        <f>+'Purchased Power Model '!D95</f>
        <v>18.5</v>
      </c>
      <c r="E95" s="290">
        <f>+'Purchased Power Model '!E95</f>
        <v>0.10099999999999999</v>
      </c>
      <c r="F95" s="291">
        <f>+'Purchased Power Model '!F95</f>
        <v>30</v>
      </c>
      <c r="G95" s="291">
        <f>+'Purchased Power Model '!G95</f>
        <v>1</v>
      </c>
      <c r="H95" s="292">
        <f>+'Purchased Power Model '!H95</f>
        <v>81014763.015154481</v>
      </c>
      <c r="J95" s="287">
        <f>+'10 Year Average'!A95</f>
        <v>40422</v>
      </c>
      <c r="K95" s="293">
        <f>+'10 Year Average'!B95</f>
        <v>83491002.500769228</v>
      </c>
      <c r="L95" s="289">
        <f>+'10 Year Average'!C95</f>
        <v>85.5</v>
      </c>
      <c r="M95" s="289">
        <f>+'10 Year Average'!D95</f>
        <v>18.5</v>
      </c>
      <c r="N95" s="290">
        <f>+'10 Year Average'!E95</f>
        <v>0.10099999999999999</v>
      </c>
      <c r="O95" s="291">
        <f>+'10 Year Average'!F95</f>
        <v>30</v>
      </c>
      <c r="P95" s="291">
        <f>+'10 Year Average'!G95</f>
        <v>1</v>
      </c>
      <c r="Q95" s="292">
        <f>+'10 Year Average'!H95</f>
        <v>81014763.015154481</v>
      </c>
      <c r="S95" s="287">
        <f>+'20 Year Trend'!A95</f>
        <v>40422</v>
      </c>
      <c r="T95" s="293">
        <f>+'20 Year Trend'!B95</f>
        <v>83491002.500769228</v>
      </c>
      <c r="U95" s="289">
        <f>+'20 Year Trend'!C95</f>
        <v>85.5</v>
      </c>
      <c r="V95" s="289">
        <f>+'20 Year Trend'!D95</f>
        <v>18.5</v>
      </c>
      <c r="W95" s="290">
        <f>+'20 Year Trend'!E95</f>
        <v>0.10099999999999999</v>
      </c>
      <c r="X95" s="291">
        <f>+'20 Year Trend'!F95</f>
        <v>30</v>
      </c>
      <c r="Y95" s="291">
        <f>+'20 Year Trend'!G95</f>
        <v>1</v>
      </c>
      <c r="Z95" s="292">
        <f>+'20 Year Trend'!H95</f>
        <v>81014763.015154481</v>
      </c>
    </row>
    <row r="96" spans="1:26" x14ac:dyDescent="0.2">
      <c r="A96" s="287">
        <f>+'Purchased Power Model '!A96</f>
        <v>40452</v>
      </c>
      <c r="B96" s="293">
        <f>+'Purchased Power Model '!B96</f>
        <v>84900189.230769232</v>
      </c>
      <c r="C96" s="289">
        <f>+'Purchased Power Model '!C96</f>
        <v>247.8</v>
      </c>
      <c r="D96" s="289">
        <f>+'Purchased Power Model '!D96</f>
        <v>0</v>
      </c>
      <c r="E96" s="290">
        <f>+'Purchased Power Model '!E96</f>
        <v>9.3000000000000013E-2</v>
      </c>
      <c r="F96" s="291">
        <f>+'Purchased Power Model '!F96</f>
        <v>31</v>
      </c>
      <c r="G96" s="291">
        <f>+'Purchased Power Model '!G96</f>
        <v>1</v>
      </c>
      <c r="H96" s="292">
        <f>+'Purchased Power Model '!H96</f>
        <v>87749258.065592259</v>
      </c>
      <c r="J96" s="287">
        <f>+'10 Year Average'!A96</f>
        <v>40452</v>
      </c>
      <c r="K96" s="293">
        <f>+'10 Year Average'!B96</f>
        <v>84900189.230769232</v>
      </c>
      <c r="L96" s="289">
        <f>+'10 Year Average'!C96</f>
        <v>247.8</v>
      </c>
      <c r="M96" s="289">
        <f>+'10 Year Average'!D96</f>
        <v>0</v>
      </c>
      <c r="N96" s="290">
        <f>+'10 Year Average'!E96</f>
        <v>9.3000000000000013E-2</v>
      </c>
      <c r="O96" s="291">
        <f>+'10 Year Average'!F96</f>
        <v>31</v>
      </c>
      <c r="P96" s="291">
        <f>+'10 Year Average'!G96</f>
        <v>1</v>
      </c>
      <c r="Q96" s="292">
        <f>+'10 Year Average'!H96</f>
        <v>87749258.065592259</v>
      </c>
      <c r="S96" s="287">
        <f>+'20 Year Trend'!A96</f>
        <v>40452</v>
      </c>
      <c r="T96" s="293">
        <f>+'20 Year Trend'!B96</f>
        <v>84900189.230769232</v>
      </c>
      <c r="U96" s="289">
        <f>+'20 Year Trend'!C96</f>
        <v>247.8</v>
      </c>
      <c r="V96" s="289">
        <f>+'20 Year Trend'!D96</f>
        <v>0</v>
      </c>
      <c r="W96" s="290">
        <f>+'20 Year Trend'!E96</f>
        <v>9.3000000000000013E-2</v>
      </c>
      <c r="X96" s="291">
        <f>+'20 Year Trend'!F96</f>
        <v>31</v>
      </c>
      <c r="Y96" s="291">
        <f>+'20 Year Trend'!G96</f>
        <v>1</v>
      </c>
      <c r="Z96" s="292">
        <f>+'20 Year Trend'!H96</f>
        <v>87749258.065592259</v>
      </c>
    </row>
    <row r="97" spans="1:26" x14ac:dyDescent="0.2">
      <c r="A97" s="287">
        <f>+'Purchased Power Model '!A97</f>
        <v>40483</v>
      </c>
      <c r="B97" s="293">
        <f>+'Purchased Power Model '!B97</f>
        <v>91736751.63692309</v>
      </c>
      <c r="C97" s="289">
        <f>+'Purchased Power Model '!C97</f>
        <v>389.2</v>
      </c>
      <c r="D97" s="289">
        <f>+'Purchased Power Model '!D97</f>
        <v>0</v>
      </c>
      <c r="E97" s="290">
        <f>+'Purchased Power Model '!E97</f>
        <v>9.3000000000000013E-2</v>
      </c>
      <c r="F97" s="291">
        <f>+'Purchased Power Model '!F97</f>
        <v>30</v>
      </c>
      <c r="G97" s="291">
        <f>+'Purchased Power Model '!G97</f>
        <v>1</v>
      </c>
      <c r="H97" s="292">
        <f>+'Purchased Power Model '!H97</f>
        <v>90462074.028796867</v>
      </c>
      <c r="J97" s="287">
        <f>+'10 Year Average'!A97</f>
        <v>40483</v>
      </c>
      <c r="K97" s="293">
        <f>+'10 Year Average'!B97</f>
        <v>91736751.63692309</v>
      </c>
      <c r="L97" s="289">
        <f>+'10 Year Average'!C97</f>
        <v>389.2</v>
      </c>
      <c r="M97" s="289">
        <f>+'10 Year Average'!D97</f>
        <v>0</v>
      </c>
      <c r="N97" s="290">
        <f>+'10 Year Average'!E97</f>
        <v>9.3000000000000013E-2</v>
      </c>
      <c r="O97" s="291">
        <f>+'10 Year Average'!F97</f>
        <v>30</v>
      </c>
      <c r="P97" s="291">
        <f>+'10 Year Average'!G97</f>
        <v>1</v>
      </c>
      <c r="Q97" s="292">
        <f>+'10 Year Average'!H97</f>
        <v>90462074.028796867</v>
      </c>
      <c r="S97" s="287">
        <f>+'20 Year Trend'!A97</f>
        <v>40483</v>
      </c>
      <c r="T97" s="293">
        <f>+'20 Year Trend'!B97</f>
        <v>91736751.63692309</v>
      </c>
      <c r="U97" s="289">
        <f>+'20 Year Trend'!C97</f>
        <v>389.2</v>
      </c>
      <c r="V97" s="289">
        <f>+'20 Year Trend'!D97</f>
        <v>0</v>
      </c>
      <c r="W97" s="290">
        <f>+'20 Year Trend'!E97</f>
        <v>9.3000000000000013E-2</v>
      </c>
      <c r="X97" s="291">
        <f>+'20 Year Trend'!F97</f>
        <v>30</v>
      </c>
      <c r="Y97" s="291">
        <f>+'20 Year Trend'!G97</f>
        <v>1</v>
      </c>
      <c r="Z97" s="292">
        <f>+'20 Year Trend'!H97</f>
        <v>90462074.028796867</v>
      </c>
    </row>
    <row r="98" spans="1:26" x14ac:dyDescent="0.2">
      <c r="A98" s="287">
        <f>+'Purchased Power Model '!A98</f>
        <v>40513</v>
      </c>
      <c r="B98" s="293">
        <f>+'Purchased Power Model '!B98</f>
        <v>110862133</v>
      </c>
      <c r="C98" s="289">
        <f>+'Purchased Power Model '!C98</f>
        <v>628.70000000000005</v>
      </c>
      <c r="D98" s="289">
        <f>+'Purchased Power Model '!D98</f>
        <v>0</v>
      </c>
      <c r="E98" s="290">
        <f>+'Purchased Power Model '!E98</f>
        <v>9.3000000000000013E-2</v>
      </c>
      <c r="F98" s="291">
        <f>+'Purchased Power Model '!F98</f>
        <v>31</v>
      </c>
      <c r="G98" s="291">
        <f>+'Purchased Power Model '!G98</f>
        <v>0</v>
      </c>
      <c r="H98" s="292">
        <f>+'Purchased Power Model '!H98</f>
        <v>109126963.2046805</v>
      </c>
      <c r="J98" s="287">
        <f>+'10 Year Average'!A98</f>
        <v>40513</v>
      </c>
      <c r="K98" s="293">
        <f>+'10 Year Average'!B98</f>
        <v>110862133</v>
      </c>
      <c r="L98" s="289">
        <f>+'10 Year Average'!C98</f>
        <v>628.70000000000005</v>
      </c>
      <c r="M98" s="289">
        <f>+'10 Year Average'!D98</f>
        <v>0</v>
      </c>
      <c r="N98" s="290">
        <f>+'10 Year Average'!E98</f>
        <v>9.3000000000000013E-2</v>
      </c>
      <c r="O98" s="291">
        <f>+'10 Year Average'!F98</f>
        <v>31</v>
      </c>
      <c r="P98" s="291">
        <f>+'10 Year Average'!G98</f>
        <v>0</v>
      </c>
      <c r="Q98" s="292">
        <f>+'10 Year Average'!H98</f>
        <v>109126963.2046805</v>
      </c>
      <c r="S98" s="287">
        <f>+'20 Year Trend'!A98</f>
        <v>40513</v>
      </c>
      <c r="T98" s="293">
        <f>+'20 Year Trend'!B98</f>
        <v>110862133</v>
      </c>
      <c r="U98" s="289">
        <f>+'20 Year Trend'!C98</f>
        <v>628.70000000000005</v>
      </c>
      <c r="V98" s="289">
        <f>+'20 Year Trend'!D98</f>
        <v>0</v>
      </c>
      <c r="W98" s="290">
        <f>+'20 Year Trend'!E98</f>
        <v>9.3000000000000013E-2</v>
      </c>
      <c r="X98" s="291">
        <f>+'20 Year Trend'!F98</f>
        <v>31</v>
      </c>
      <c r="Y98" s="291">
        <f>+'20 Year Trend'!G98</f>
        <v>0</v>
      </c>
      <c r="Z98" s="292">
        <f>+'20 Year Trend'!H98</f>
        <v>109126963.2046805</v>
      </c>
    </row>
    <row r="99" spans="1:26" x14ac:dyDescent="0.2">
      <c r="A99" s="287">
        <f>+'Purchased Power Model '!A99</f>
        <v>40544</v>
      </c>
      <c r="B99" s="293">
        <f>+'Purchased Power Model '!B99</f>
        <v>113644387.32076925</v>
      </c>
      <c r="C99" s="289">
        <f>+'Purchased Power Model '!C99</f>
        <v>760.9</v>
      </c>
      <c r="D99" s="289">
        <f>+'Purchased Power Model '!D99</f>
        <v>0</v>
      </c>
      <c r="E99" s="290">
        <f>+'Purchased Power Model '!E99</f>
        <v>8.8000000000000009E-2</v>
      </c>
      <c r="F99" s="291">
        <f>+'Purchased Power Model '!F99</f>
        <v>31</v>
      </c>
      <c r="G99" s="291">
        <f>+'Purchased Power Model '!G99</f>
        <v>0</v>
      </c>
      <c r="H99" s="292">
        <f>+'Purchased Power Model '!H99</f>
        <v>114591031.7653645</v>
      </c>
      <c r="J99" s="287">
        <f>+'10 Year Average'!A99</f>
        <v>40544</v>
      </c>
      <c r="K99" s="293">
        <f>+'10 Year Average'!B99</f>
        <v>113644387.32076925</v>
      </c>
      <c r="L99" s="289">
        <f>+'10 Year Average'!C99</f>
        <v>760.9</v>
      </c>
      <c r="M99" s="289">
        <f>+'10 Year Average'!D99</f>
        <v>0</v>
      </c>
      <c r="N99" s="290">
        <f>+'10 Year Average'!E99</f>
        <v>8.8000000000000009E-2</v>
      </c>
      <c r="O99" s="291">
        <f>+'10 Year Average'!F99</f>
        <v>31</v>
      </c>
      <c r="P99" s="291">
        <f>+'10 Year Average'!G99</f>
        <v>0</v>
      </c>
      <c r="Q99" s="292">
        <f>+'10 Year Average'!H99</f>
        <v>114591031.7653645</v>
      </c>
      <c r="S99" s="287">
        <f>+'20 Year Trend'!A99</f>
        <v>40544</v>
      </c>
      <c r="T99" s="293">
        <f>+'20 Year Trend'!B99</f>
        <v>113644387.32076925</v>
      </c>
      <c r="U99" s="289">
        <f>+'20 Year Trend'!C99</f>
        <v>760.9</v>
      </c>
      <c r="V99" s="289">
        <f>+'20 Year Trend'!D99</f>
        <v>0</v>
      </c>
      <c r="W99" s="290">
        <f>+'20 Year Trend'!E99</f>
        <v>8.8000000000000009E-2</v>
      </c>
      <c r="X99" s="291">
        <f>+'20 Year Trend'!F99</f>
        <v>31</v>
      </c>
      <c r="Y99" s="291">
        <f>+'20 Year Trend'!G99</f>
        <v>0</v>
      </c>
      <c r="Z99" s="292">
        <f>+'20 Year Trend'!H99</f>
        <v>114591031.7653645</v>
      </c>
    </row>
    <row r="100" spans="1:26" x14ac:dyDescent="0.2">
      <c r="A100" s="287">
        <f>+'Purchased Power Model '!A100</f>
        <v>40575</v>
      </c>
      <c r="B100" s="293">
        <f>+'Purchased Power Model '!B100</f>
        <v>100561048.38461539</v>
      </c>
      <c r="C100" s="289">
        <f>+'Purchased Power Model '!C100</f>
        <v>634.19999999999993</v>
      </c>
      <c r="D100" s="289">
        <f>+'Purchased Power Model '!D100</f>
        <v>0</v>
      </c>
      <c r="E100" s="290">
        <f>+'Purchased Power Model '!E100</f>
        <v>8.8000000000000009E-2</v>
      </c>
      <c r="F100" s="291">
        <f>+'Purchased Power Model '!F100</f>
        <v>28</v>
      </c>
      <c r="G100" s="291">
        <f>+'Purchased Power Model '!G100</f>
        <v>0</v>
      </c>
      <c r="H100" s="292">
        <f>+'Purchased Power Model '!H100</f>
        <v>101569031.96325594</v>
      </c>
      <c r="J100" s="287">
        <f>+'10 Year Average'!A100</f>
        <v>40575</v>
      </c>
      <c r="K100" s="293">
        <f>+'10 Year Average'!B100</f>
        <v>100561048.38461539</v>
      </c>
      <c r="L100" s="289">
        <f>+'10 Year Average'!C100</f>
        <v>634.19999999999993</v>
      </c>
      <c r="M100" s="289">
        <f>+'10 Year Average'!D100</f>
        <v>0</v>
      </c>
      <c r="N100" s="290">
        <f>+'10 Year Average'!E100</f>
        <v>8.8000000000000009E-2</v>
      </c>
      <c r="O100" s="291">
        <f>+'10 Year Average'!F100</f>
        <v>28</v>
      </c>
      <c r="P100" s="291">
        <f>+'10 Year Average'!G100</f>
        <v>0</v>
      </c>
      <c r="Q100" s="292">
        <f>+'10 Year Average'!H100</f>
        <v>101569031.96325594</v>
      </c>
      <c r="S100" s="287">
        <f>+'20 Year Trend'!A100</f>
        <v>40575</v>
      </c>
      <c r="T100" s="293">
        <f>+'20 Year Trend'!B100</f>
        <v>100561048.38461539</v>
      </c>
      <c r="U100" s="289">
        <f>+'20 Year Trend'!C100</f>
        <v>634.19999999999993</v>
      </c>
      <c r="V100" s="289">
        <f>+'20 Year Trend'!D100</f>
        <v>0</v>
      </c>
      <c r="W100" s="290">
        <f>+'20 Year Trend'!E100</f>
        <v>8.8000000000000009E-2</v>
      </c>
      <c r="X100" s="291">
        <f>+'20 Year Trend'!F100</f>
        <v>28</v>
      </c>
      <c r="Y100" s="291">
        <f>+'20 Year Trend'!G100</f>
        <v>0</v>
      </c>
      <c r="Z100" s="292">
        <f>+'20 Year Trend'!H100</f>
        <v>101569031.96325594</v>
      </c>
    </row>
    <row r="101" spans="1:26" x14ac:dyDescent="0.2">
      <c r="A101" s="287">
        <f>+'Purchased Power Model '!A101</f>
        <v>40603</v>
      </c>
      <c r="B101" s="293">
        <f>+'Purchased Power Model '!B101</f>
        <v>102613396.81846155</v>
      </c>
      <c r="C101" s="289">
        <f>+'Purchased Power Model '!C101</f>
        <v>559.80000000000007</v>
      </c>
      <c r="D101" s="289">
        <f>+'Purchased Power Model '!D101</f>
        <v>0</v>
      </c>
      <c r="E101" s="290">
        <f>+'Purchased Power Model '!E101</f>
        <v>8.8000000000000009E-2</v>
      </c>
      <c r="F101" s="291">
        <f>+'Purchased Power Model '!F101</f>
        <v>31</v>
      </c>
      <c r="G101" s="291">
        <f>+'Purchased Power Model '!G101</f>
        <v>1</v>
      </c>
      <c r="H101" s="292">
        <f>+'Purchased Power Model '!H101</f>
        <v>100119568.22179574</v>
      </c>
      <c r="J101" s="287">
        <f>+'10 Year Average'!A101</f>
        <v>40603</v>
      </c>
      <c r="K101" s="293">
        <f>+'10 Year Average'!B101</f>
        <v>102613396.81846155</v>
      </c>
      <c r="L101" s="289">
        <f>+'10 Year Average'!C101</f>
        <v>559.80000000000007</v>
      </c>
      <c r="M101" s="289">
        <f>+'10 Year Average'!D101</f>
        <v>0</v>
      </c>
      <c r="N101" s="290">
        <f>+'10 Year Average'!E101</f>
        <v>8.8000000000000009E-2</v>
      </c>
      <c r="O101" s="291">
        <f>+'10 Year Average'!F101</f>
        <v>31</v>
      </c>
      <c r="P101" s="291">
        <f>+'10 Year Average'!G101</f>
        <v>1</v>
      </c>
      <c r="Q101" s="292">
        <f>+'10 Year Average'!H101</f>
        <v>100119568.22179574</v>
      </c>
      <c r="S101" s="287">
        <f>+'20 Year Trend'!A101</f>
        <v>40603</v>
      </c>
      <c r="T101" s="293">
        <f>+'20 Year Trend'!B101</f>
        <v>102613396.81846155</v>
      </c>
      <c r="U101" s="289">
        <f>+'20 Year Trend'!C101</f>
        <v>559.80000000000007</v>
      </c>
      <c r="V101" s="289">
        <f>+'20 Year Trend'!D101</f>
        <v>0</v>
      </c>
      <c r="W101" s="290">
        <f>+'20 Year Trend'!E101</f>
        <v>8.8000000000000009E-2</v>
      </c>
      <c r="X101" s="291">
        <f>+'20 Year Trend'!F101</f>
        <v>31</v>
      </c>
      <c r="Y101" s="291">
        <f>+'20 Year Trend'!G101</f>
        <v>1</v>
      </c>
      <c r="Z101" s="292">
        <f>+'20 Year Trend'!H101</f>
        <v>100119568.22179574</v>
      </c>
    </row>
    <row r="102" spans="1:26" x14ac:dyDescent="0.2">
      <c r="A102" s="287">
        <f>+'Purchased Power Model '!A102</f>
        <v>40634</v>
      </c>
      <c r="B102" s="293">
        <f>+'Purchased Power Model '!B102</f>
        <v>87015565.163076922</v>
      </c>
      <c r="C102" s="289">
        <f>+'Purchased Power Model '!C102</f>
        <v>350.79999999999995</v>
      </c>
      <c r="D102" s="289">
        <f>+'Purchased Power Model '!D102</f>
        <v>0</v>
      </c>
      <c r="E102" s="290">
        <f>+'Purchased Power Model '!E102</f>
        <v>9.0999999999999998E-2</v>
      </c>
      <c r="F102" s="291">
        <f>+'Purchased Power Model '!F102</f>
        <v>30</v>
      </c>
      <c r="G102" s="291">
        <f>+'Purchased Power Model '!G102</f>
        <v>1</v>
      </c>
      <c r="H102" s="292">
        <f>+'Purchased Power Model '!H102</f>
        <v>89141573.906691045</v>
      </c>
      <c r="J102" s="287">
        <f>+'10 Year Average'!A102</f>
        <v>40634</v>
      </c>
      <c r="K102" s="293">
        <f>+'10 Year Average'!B102</f>
        <v>87015565.163076922</v>
      </c>
      <c r="L102" s="289">
        <f>+'10 Year Average'!C102</f>
        <v>350.79999999999995</v>
      </c>
      <c r="M102" s="289">
        <f>+'10 Year Average'!D102</f>
        <v>0</v>
      </c>
      <c r="N102" s="290">
        <f>+'10 Year Average'!E102</f>
        <v>9.0999999999999998E-2</v>
      </c>
      <c r="O102" s="291">
        <f>+'10 Year Average'!F102</f>
        <v>30</v>
      </c>
      <c r="P102" s="291">
        <f>+'10 Year Average'!G102</f>
        <v>1</v>
      </c>
      <c r="Q102" s="292">
        <f>+'10 Year Average'!H102</f>
        <v>89141573.906691045</v>
      </c>
      <c r="S102" s="287">
        <f>+'20 Year Trend'!A102</f>
        <v>40634</v>
      </c>
      <c r="T102" s="293">
        <f>+'20 Year Trend'!B102</f>
        <v>87015565.163076922</v>
      </c>
      <c r="U102" s="289">
        <f>+'20 Year Trend'!C102</f>
        <v>350.79999999999995</v>
      </c>
      <c r="V102" s="289">
        <f>+'20 Year Trend'!D102</f>
        <v>0</v>
      </c>
      <c r="W102" s="290">
        <f>+'20 Year Trend'!E102</f>
        <v>9.0999999999999998E-2</v>
      </c>
      <c r="X102" s="291">
        <f>+'20 Year Trend'!F102</f>
        <v>30</v>
      </c>
      <c r="Y102" s="291">
        <f>+'20 Year Trend'!G102</f>
        <v>1</v>
      </c>
      <c r="Z102" s="292">
        <f>+'20 Year Trend'!H102</f>
        <v>89141573.906691045</v>
      </c>
    </row>
    <row r="103" spans="1:26" x14ac:dyDescent="0.2">
      <c r="A103" s="287">
        <f>+'Purchased Power Model '!A103</f>
        <v>40664</v>
      </c>
      <c r="B103" s="293">
        <f>+'Purchased Power Model '!B103</f>
        <v>82921009.75</v>
      </c>
      <c r="C103" s="289">
        <f>+'Purchased Power Model '!C103</f>
        <v>157.69999999999996</v>
      </c>
      <c r="D103" s="289">
        <f>+'Purchased Power Model '!D103</f>
        <v>2.8</v>
      </c>
      <c r="E103" s="290">
        <f>+'Purchased Power Model '!E103</f>
        <v>9.0999999999999998E-2</v>
      </c>
      <c r="F103" s="291">
        <f>+'Purchased Power Model '!F103</f>
        <v>31</v>
      </c>
      <c r="G103" s="291">
        <f>+'Purchased Power Model '!G103</f>
        <v>1</v>
      </c>
      <c r="H103" s="292">
        <f>+'Purchased Power Model '!H103</f>
        <v>84872142.073580667</v>
      </c>
      <c r="J103" s="287">
        <f>+'10 Year Average'!A103</f>
        <v>40664</v>
      </c>
      <c r="K103" s="293">
        <f>+'10 Year Average'!B103</f>
        <v>82921009.75</v>
      </c>
      <c r="L103" s="289">
        <f>+'10 Year Average'!C103</f>
        <v>157.69999999999996</v>
      </c>
      <c r="M103" s="289">
        <f>+'10 Year Average'!D103</f>
        <v>2.8</v>
      </c>
      <c r="N103" s="290">
        <f>+'10 Year Average'!E103</f>
        <v>9.0999999999999998E-2</v>
      </c>
      <c r="O103" s="291">
        <f>+'10 Year Average'!F103</f>
        <v>31</v>
      </c>
      <c r="P103" s="291">
        <f>+'10 Year Average'!G103</f>
        <v>1</v>
      </c>
      <c r="Q103" s="292">
        <f>+'10 Year Average'!H103</f>
        <v>84872142.073580667</v>
      </c>
      <c r="S103" s="287">
        <f>+'20 Year Trend'!A103</f>
        <v>40664</v>
      </c>
      <c r="T103" s="293">
        <f>+'20 Year Trend'!B103</f>
        <v>82921009.75</v>
      </c>
      <c r="U103" s="289">
        <f>+'20 Year Trend'!C103</f>
        <v>157.69999999999996</v>
      </c>
      <c r="V103" s="289">
        <f>+'20 Year Trend'!D103</f>
        <v>2.8</v>
      </c>
      <c r="W103" s="290">
        <f>+'20 Year Trend'!E103</f>
        <v>9.0999999999999998E-2</v>
      </c>
      <c r="X103" s="291">
        <f>+'20 Year Trend'!F103</f>
        <v>31</v>
      </c>
      <c r="Y103" s="291">
        <f>+'20 Year Trend'!G103</f>
        <v>1</v>
      </c>
      <c r="Z103" s="292">
        <f>+'20 Year Trend'!H103</f>
        <v>84872142.073580667</v>
      </c>
    </row>
    <row r="104" spans="1:26" x14ac:dyDescent="0.2">
      <c r="A104" s="287">
        <f>+'Purchased Power Model '!A104</f>
        <v>40695</v>
      </c>
      <c r="B104" s="293">
        <f>+'Purchased Power Model '!B104</f>
        <v>88149132.009230778</v>
      </c>
      <c r="C104" s="289">
        <f>+'Purchased Power Model '!C104</f>
        <v>26.699999999999996</v>
      </c>
      <c r="D104" s="289">
        <f>+'Purchased Power Model '!D104</f>
        <v>36.900000000000006</v>
      </c>
      <c r="E104" s="290">
        <f>+'Purchased Power Model '!E104</f>
        <v>9.0999999999999998E-2</v>
      </c>
      <c r="F104" s="291">
        <f>+'Purchased Power Model '!F104</f>
        <v>30</v>
      </c>
      <c r="G104" s="291">
        <f>+'Purchased Power Model '!G104</f>
        <v>0</v>
      </c>
      <c r="H104" s="292">
        <f>+'Purchased Power Model '!H104</f>
        <v>89096206.95510453</v>
      </c>
      <c r="J104" s="287">
        <f>+'10 Year Average'!A104</f>
        <v>40695</v>
      </c>
      <c r="K104" s="293">
        <f>+'10 Year Average'!B104</f>
        <v>88149132.009230778</v>
      </c>
      <c r="L104" s="289">
        <f>+'10 Year Average'!C104</f>
        <v>26.699999999999996</v>
      </c>
      <c r="M104" s="289">
        <f>+'10 Year Average'!D104</f>
        <v>36.900000000000006</v>
      </c>
      <c r="N104" s="290">
        <f>+'10 Year Average'!E104</f>
        <v>9.0999999999999998E-2</v>
      </c>
      <c r="O104" s="291">
        <f>+'10 Year Average'!F104</f>
        <v>30</v>
      </c>
      <c r="P104" s="291">
        <f>+'10 Year Average'!G104</f>
        <v>0</v>
      </c>
      <c r="Q104" s="292">
        <f>+'10 Year Average'!H104</f>
        <v>89096206.95510453</v>
      </c>
      <c r="S104" s="287">
        <f>+'20 Year Trend'!A104</f>
        <v>40695</v>
      </c>
      <c r="T104" s="293">
        <f>+'20 Year Trend'!B104</f>
        <v>88149132.009230778</v>
      </c>
      <c r="U104" s="289">
        <f>+'20 Year Trend'!C104</f>
        <v>26.699999999999996</v>
      </c>
      <c r="V104" s="289">
        <f>+'20 Year Trend'!D104</f>
        <v>36.900000000000006</v>
      </c>
      <c r="W104" s="290">
        <f>+'20 Year Trend'!E104</f>
        <v>9.0999999999999998E-2</v>
      </c>
      <c r="X104" s="291">
        <f>+'20 Year Trend'!F104</f>
        <v>30</v>
      </c>
      <c r="Y104" s="291">
        <f>+'20 Year Trend'!G104</f>
        <v>0</v>
      </c>
      <c r="Z104" s="292">
        <f>+'20 Year Trend'!H104</f>
        <v>89096206.95510453</v>
      </c>
    </row>
    <row r="105" spans="1:26" x14ac:dyDescent="0.2">
      <c r="A105" s="287">
        <f>+'Purchased Power Model '!A105</f>
        <v>40725</v>
      </c>
      <c r="B105" s="293">
        <f>+'Purchased Power Model '!B105</f>
        <v>108927664.71923079</v>
      </c>
      <c r="C105" s="289">
        <f>+'Purchased Power Model '!C105</f>
        <v>0.2</v>
      </c>
      <c r="D105" s="289">
        <f>+'Purchased Power Model '!D105</f>
        <v>141.19999999999999</v>
      </c>
      <c r="E105" s="290">
        <f>+'Purchased Power Model '!E105</f>
        <v>7.2999999999999995E-2</v>
      </c>
      <c r="F105" s="291">
        <f>+'Purchased Power Model '!F105</f>
        <v>31</v>
      </c>
      <c r="G105" s="291">
        <f>+'Purchased Power Model '!G105</f>
        <v>0</v>
      </c>
      <c r="H105" s="292">
        <f>+'Purchased Power Model '!H105</f>
        <v>108175332.36202779</v>
      </c>
      <c r="J105" s="287">
        <f>+'10 Year Average'!A105</f>
        <v>40725</v>
      </c>
      <c r="K105" s="293">
        <f>+'10 Year Average'!B105</f>
        <v>108927664.71923079</v>
      </c>
      <c r="L105" s="289">
        <f>+'10 Year Average'!C105</f>
        <v>0.2</v>
      </c>
      <c r="M105" s="289">
        <f>+'10 Year Average'!D105</f>
        <v>141.19999999999999</v>
      </c>
      <c r="N105" s="290">
        <f>+'10 Year Average'!E105</f>
        <v>7.2999999999999995E-2</v>
      </c>
      <c r="O105" s="291">
        <f>+'10 Year Average'!F105</f>
        <v>31</v>
      </c>
      <c r="P105" s="291">
        <f>+'10 Year Average'!G105</f>
        <v>0</v>
      </c>
      <c r="Q105" s="292">
        <f>+'10 Year Average'!H105</f>
        <v>108175332.36202779</v>
      </c>
      <c r="S105" s="287">
        <f>+'20 Year Trend'!A105</f>
        <v>40725</v>
      </c>
      <c r="T105" s="293">
        <f>+'20 Year Trend'!B105</f>
        <v>108927664.71923079</v>
      </c>
      <c r="U105" s="289">
        <f>+'20 Year Trend'!C105</f>
        <v>0.2</v>
      </c>
      <c r="V105" s="289">
        <f>+'20 Year Trend'!D105</f>
        <v>141.19999999999999</v>
      </c>
      <c r="W105" s="290">
        <f>+'20 Year Trend'!E105</f>
        <v>7.2999999999999995E-2</v>
      </c>
      <c r="X105" s="291">
        <f>+'20 Year Trend'!F105</f>
        <v>31</v>
      </c>
      <c r="Y105" s="291">
        <f>+'20 Year Trend'!G105</f>
        <v>0</v>
      </c>
      <c r="Z105" s="292">
        <f>+'20 Year Trend'!H105</f>
        <v>108175332.36202779</v>
      </c>
    </row>
    <row r="106" spans="1:26" x14ac:dyDescent="0.2">
      <c r="A106" s="287">
        <f>+'Purchased Power Model '!A106</f>
        <v>40756</v>
      </c>
      <c r="B106" s="293">
        <f>+'Purchased Power Model '!B106</f>
        <v>100307973.92692308</v>
      </c>
      <c r="C106" s="289">
        <f>+'Purchased Power Model '!C106</f>
        <v>3.7</v>
      </c>
      <c r="D106" s="289">
        <f>+'Purchased Power Model '!D106</f>
        <v>80.499999999999957</v>
      </c>
      <c r="E106" s="290">
        <f>+'Purchased Power Model '!E106</f>
        <v>7.2999999999999995E-2</v>
      </c>
      <c r="F106" s="291">
        <f>+'Purchased Power Model '!F106</f>
        <v>31</v>
      </c>
      <c r="G106" s="291">
        <f>+'Purchased Power Model '!G106</f>
        <v>0</v>
      </c>
      <c r="H106" s="292">
        <f>+'Purchased Power Model '!H106</f>
        <v>99004965.551529273</v>
      </c>
      <c r="J106" s="287">
        <f>+'10 Year Average'!A106</f>
        <v>40756</v>
      </c>
      <c r="K106" s="293">
        <f>+'10 Year Average'!B106</f>
        <v>100307973.92692308</v>
      </c>
      <c r="L106" s="289">
        <f>+'10 Year Average'!C106</f>
        <v>3.7</v>
      </c>
      <c r="M106" s="289">
        <f>+'10 Year Average'!D106</f>
        <v>80.499999999999957</v>
      </c>
      <c r="N106" s="290">
        <f>+'10 Year Average'!E106</f>
        <v>7.2999999999999995E-2</v>
      </c>
      <c r="O106" s="291">
        <f>+'10 Year Average'!F106</f>
        <v>31</v>
      </c>
      <c r="P106" s="291">
        <f>+'10 Year Average'!G106</f>
        <v>0</v>
      </c>
      <c r="Q106" s="292">
        <f>+'10 Year Average'!H106</f>
        <v>99004965.551529273</v>
      </c>
      <c r="S106" s="287">
        <f>+'20 Year Trend'!A106</f>
        <v>40756</v>
      </c>
      <c r="T106" s="293">
        <f>+'20 Year Trend'!B106</f>
        <v>100307973.92692308</v>
      </c>
      <c r="U106" s="289">
        <f>+'20 Year Trend'!C106</f>
        <v>3.7</v>
      </c>
      <c r="V106" s="289">
        <f>+'20 Year Trend'!D106</f>
        <v>80.499999999999957</v>
      </c>
      <c r="W106" s="290">
        <f>+'20 Year Trend'!E106</f>
        <v>7.2999999999999995E-2</v>
      </c>
      <c r="X106" s="291">
        <f>+'20 Year Trend'!F106</f>
        <v>31</v>
      </c>
      <c r="Y106" s="291">
        <f>+'20 Year Trend'!G106</f>
        <v>0</v>
      </c>
      <c r="Z106" s="292">
        <f>+'20 Year Trend'!H106</f>
        <v>99004965.551529273</v>
      </c>
    </row>
    <row r="107" spans="1:26" x14ac:dyDescent="0.2">
      <c r="A107" s="287">
        <f>+'Purchased Power Model '!A107</f>
        <v>40787</v>
      </c>
      <c r="B107" s="293">
        <f>+'Purchased Power Model '!B107</f>
        <v>85805170.040769234</v>
      </c>
      <c r="C107" s="289">
        <f>+'Purchased Power Model '!C107</f>
        <v>48.900000000000006</v>
      </c>
      <c r="D107" s="289">
        <f>+'Purchased Power Model '!D107</f>
        <v>34.6</v>
      </c>
      <c r="E107" s="290">
        <f>+'Purchased Power Model '!E107</f>
        <v>7.2999999999999995E-2</v>
      </c>
      <c r="F107" s="291">
        <f>+'Purchased Power Model '!F107</f>
        <v>30</v>
      </c>
      <c r="G107" s="291">
        <f>+'Purchased Power Model '!G107</f>
        <v>1</v>
      </c>
      <c r="H107" s="292">
        <f>+'Purchased Power Model '!H107</f>
        <v>84239511.542387396</v>
      </c>
      <c r="J107" s="287">
        <f>+'10 Year Average'!A107</f>
        <v>40787</v>
      </c>
      <c r="K107" s="293">
        <f>+'10 Year Average'!B107</f>
        <v>85805170.040769234</v>
      </c>
      <c r="L107" s="289">
        <f>+'10 Year Average'!C107</f>
        <v>48.900000000000006</v>
      </c>
      <c r="M107" s="289">
        <f>+'10 Year Average'!D107</f>
        <v>34.6</v>
      </c>
      <c r="N107" s="290">
        <f>+'10 Year Average'!E107</f>
        <v>7.2999999999999995E-2</v>
      </c>
      <c r="O107" s="291">
        <f>+'10 Year Average'!F107</f>
        <v>30</v>
      </c>
      <c r="P107" s="291">
        <f>+'10 Year Average'!G107</f>
        <v>1</v>
      </c>
      <c r="Q107" s="292">
        <f>+'10 Year Average'!H107</f>
        <v>84239511.542387396</v>
      </c>
      <c r="S107" s="287">
        <f>+'20 Year Trend'!A107</f>
        <v>40787</v>
      </c>
      <c r="T107" s="293">
        <f>+'20 Year Trend'!B107</f>
        <v>85805170.040769234</v>
      </c>
      <c r="U107" s="289">
        <f>+'20 Year Trend'!C107</f>
        <v>48.900000000000006</v>
      </c>
      <c r="V107" s="289">
        <f>+'20 Year Trend'!D107</f>
        <v>34.6</v>
      </c>
      <c r="W107" s="290">
        <f>+'20 Year Trend'!E107</f>
        <v>7.2999999999999995E-2</v>
      </c>
      <c r="X107" s="291">
        <f>+'20 Year Trend'!F107</f>
        <v>30</v>
      </c>
      <c r="Y107" s="291">
        <f>+'20 Year Trend'!G107</f>
        <v>1</v>
      </c>
      <c r="Z107" s="292">
        <f>+'20 Year Trend'!H107</f>
        <v>84239511.542387396</v>
      </c>
    </row>
    <row r="108" spans="1:26" x14ac:dyDescent="0.2">
      <c r="A108" s="287">
        <f>+'Purchased Power Model '!A108</f>
        <v>40817</v>
      </c>
      <c r="B108" s="293">
        <f>+'Purchased Power Model '!B108</f>
        <v>85767949.723076925</v>
      </c>
      <c r="C108" s="289">
        <f>+'Purchased Power Model '!C108</f>
        <v>225.29999999999998</v>
      </c>
      <c r="D108" s="289">
        <f>+'Purchased Power Model '!D108</f>
        <v>0</v>
      </c>
      <c r="E108" s="290">
        <f>+'Purchased Power Model '!E108</f>
        <v>7.400000000000001E-2</v>
      </c>
      <c r="F108" s="291">
        <f>+'Purchased Power Model '!F108</f>
        <v>31</v>
      </c>
      <c r="G108" s="291">
        <f>+'Purchased Power Model '!G108</f>
        <v>1</v>
      </c>
      <c r="H108" s="292">
        <f>+'Purchased Power Model '!H108</f>
        <v>88352485.204509825</v>
      </c>
      <c r="J108" s="287">
        <f>+'10 Year Average'!A108</f>
        <v>40817</v>
      </c>
      <c r="K108" s="293">
        <f>+'10 Year Average'!B108</f>
        <v>85767949.723076925</v>
      </c>
      <c r="L108" s="289">
        <f>+'10 Year Average'!C108</f>
        <v>225.29999999999998</v>
      </c>
      <c r="M108" s="289">
        <f>+'10 Year Average'!D108</f>
        <v>0</v>
      </c>
      <c r="N108" s="290">
        <f>+'10 Year Average'!E108</f>
        <v>7.400000000000001E-2</v>
      </c>
      <c r="O108" s="291">
        <f>+'10 Year Average'!F108</f>
        <v>31</v>
      </c>
      <c r="P108" s="291">
        <f>+'10 Year Average'!G108</f>
        <v>1</v>
      </c>
      <c r="Q108" s="292">
        <f>+'10 Year Average'!H108</f>
        <v>88352485.204509825</v>
      </c>
      <c r="S108" s="287">
        <f>+'20 Year Trend'!A108</f>
        <v>40817</v>
      </c>
      <c r="T108" s="293">
        <f>+'20 Year Trend'!B108</f>
        <v>85767949.723076925</v>
      </c>
      <c r="U108" s="289">
        <f>+'20 Year Trend'!C108</f>
        <v>225.29999999999998</v>
      </c>
      <c r="V108" s="289">
        <f>+'20 Year Trend'!D108</f>
        <v>0</v>
      </c>
      <c r="W108" s="290">
        <f>+'20 Year Trend'!E108</f>
        <v>7.400000000000001E-2</v>
      </c>
      <c r="X108" s="291">
        <f>+'20 Year Trend'!F108</f>
        <v>31</v>
      </c>
      <c r="Y108" s="291">
        <f>+'20 Year Trend'!G108</f>
        <v>1</v>
      </c>
      <c r="Z108" s="292">
        <f>+'20 Year Trend'!H108</f>
        <v>88352485.204509825</v>
      </c>
    </row>
    <row r="109" spans="1:26" x14ac:dyDescent="0.2">
      <c r="A109" s="287">
        <f>+'Purchased Power Model '!A109</f>
        <v>40848</v>
      </c>
      <c r="B109" s="293">
        <f>+'Purchased Power Model '!B109</f>
        <v>89407468.154615387</v>
      </c>
      <c r="C109" s="289">
        <f>+'Purchased Power Model '!C109</f>
        <v>349.69999999999993</v>
      </c>
      <c r="D109" s="289">
        <f>+'Purchased Power Model '!D109</f>
        <v>0</v>
      </c>
      <c r="E109" s="290">
        <f>+'Purchased Power Model '!E109</f>
        <v>7.400000000000001E-2</v>
      </c>
      <c r="F109" s="291">
        <f>+'Purchased Power Model '!F109</f>
        <v>30</v>
      </c>
      <c r="G109" s="291">
        <f>+'Purchased Power Model '!G109</f>
        <v>1</v>
      </c>
      <c r="H109" s="292">
        <f>+'Purchased Power Model '!H109</f>
        <v>90412319.481819928</v>
      </c>
      <c r="J109" s="287">
        <f>+'10 Year Average'!A109</f>
        <v>40848</v>
      </c>
      <c r="K109" s="293">
        <f>+'10 Year Average'!B109</f>
        <v>89407468.154615387</v>
      </c>
      <c r="L109" s="289">
        <f>+'10 Year Average'!C109</f>
        <v>349.69999999999993</v>
      </c>
      <c r="M109" s="289">
        <f>+'10 Year Average'!D109</f>
        <v>0</v>
      </c>
      <c r="N109" s="290">
        <f>+'10 Year Average'!E109</f>
        <v>7.400000000000001E-2</v>
      </c>
      <c r="O109" s="291">
        <f>+'10 Year Average'!F109</f>
        <v>30</v>
      </c>
      <c r="P109" s="291">
        <f>+'10 Year Average'!G109</f>
        <v>1</v>
      </c>
      <c r="Q109" s="292">
        <f>+'10 Year Average'!H109</f>
        <v>90412319.481819928</v>
      </c>
      <c r="S109" s="287">
        <f>+'20 Year Trend'!A109</f>
        <v>40848</v>
      </c>
      <c r="T109" s="293">
        <f>+'20 Year Trend'!B109</f>
        <v>89407468.154615387</v>
      </c>
      <c r="U109" s="289">
        <f>+'20 Year Trend'!C109</f>
        <v>349.69999999999993</v>
      </c>
      <c r="V109" s="289">
        <f>+'20 Year Trend'!D109</f>
        <v>0</v>
      </c>
      <c r="W109" s="290">
        <f>+'20 Year Trend'!E109</f>
        <v>7.400000000000001E-2</v>
      </c>
      <c r="X109" s="291">
        <f>+'20 Year Trend'!F109</f>
        <v>30</v>
      </c>
      <c r="Y109" s="291">
        <f>+'20 Year Trend'!G109</f>
        <v>1</v>
      </c>
      <c r="Z109" s="292">
        <f>+'20 Year Trend'!H109</f>
        <v>90412319.481819928</v>
      </c>
    </row>
    <row r="110" spans="1:26" x14ac:dyDescent="0.2">
      <c r="A110" s="287">
        <f>+'Purchased Power Model '!A110</f>
        <v>40878</v>
      </c>
      <c r="B110" s="293">
        <f>+'Purchased Power Model '!B110</f>
        <v>103511621.38461539</v>
      </c>
      <c r="C110" s="289">
        <f>+'Purchased Power Model '!C110</f>
        <v>531.20000000000005</v>
      </c>
      <c r="D110" s="289">
        <f>+'Purchased Power Model '!D110</f>
        <v>0</v>
      </c>
      <c r="E110" s="290">
        <f>+'Purchased Power Model '!E110</f>
        <v>7.400000000000001E-2</v>
      </c>
      <c r="F110" s="291">
        <f>+'Purchased Power Model '!F110</f>
        <v>31</v>
      </c>
      <c r="G110" s="291">
        <f>+'Purchased Power Model '!G110</f>
        <v>0</v>
      </c>
      <c r="H110" s="292">
        <f>+'Purchased Power Model '!H110</f>
        <v>106849388.78818117</v>
      </c>
      <c r="J110" s="287">
        <f>+'10 Year Average'!A110</f>
        <v>40878</v>
      </c>
      <c r="K110" s="293">
        <f>+'10 Year Average'!B110</f>
        <v>103511621.38461539</v>
      </c>
      <c r="L110" s="289">
        <f>+'10 Year Average'!C110</f>
        <v>531.20000000000005</v>
      </c>
      <c r="M110" s="289">
        <f>+'10 Year Average'!D110</f>
        <v>0</v>
      </c>
      <c r="N110" s="290">
        <f>+'10 Year Average'!E110</f>
        <v>7.400000000000001E-2</v>
      </c>
      <c r="O110" s="291">
        <f>+'10 Year Average'!F110</f>
        <v>31</v>
      </c>
      <c r="P110" s="291">
        <f>+'10 Year Average'!G110</f>
        <v>0</v>
      </c>
      <c r="Q110" s="292">
        <f>+'10 Year Average'!H110</f>
        <v>106849388.78818117</v>
      </c>
      <c r="S110" s="287">
        <f>+'20 Year Trend'!A110</f>
        <v>40878</v>
      </c>
      <c r="T110" s="293">
        <f>+'20 Year Trend'!B110</f>
        <v>103511621.38461539</v>
      </c>
      <c r="U110" s="289">
        <f>+'20 Year Trend'!C110</f>
        <v>531.20000000000005</v>
      </c>
      <c r="V110" s="289">
        <f>+'20 Year Trend'!D110</f>
        <v>0</v>
      </c>
      <c r="W110" s="290">
        <f>+'20 Year Trend'!E110</f>
        <v>7.400000000000001E-2</v>
      </c>
      <c r="X110" s="291">
        <f>+'20 Year Trend'!F110</f>
        <v>31</v>
      </c>
      <c r="Y110" s="291">
        <f>+'20 Year Trend'!G110</f>
        <v>0</v>
      </c>
      <c r="Z110" s="292">
        <f>+'20 Year Trend'!H110</f>
        <v>106849388.78818117</v>
      </c>
    </row>
    <row r="111" spans="1:26" x14ac:dyDescent="0.2">
      <c r="A111" s="287">
        <f>+'Purchased Power Model '!A111</f>
        <v>40909</v>
      </c>
      <c r="B111" s="293">
        <f>+'Purchased Power Model '!B111</f>
        <v>107982172.33461541</v>
      </c>
      <c r="C111" s="289">
        <f>+'Purchased Power Model '!C111</f>
        <v>611</v>
      </c>
      <c r="D111" s="289">
        <f>+'Purchased Power Model '!D111</f>
        <v>0</v>
      </c>
      <c r="E111" s="290">
        <f>+'Purchased Power Model '!E111</f>
        <v>7.9000000000000001E-2</v>
      </c>
      <c r="F111" s="291">
        <f>+'Purchased Power Model '!F111</f>
        <v>31</v>
      </c>
      <c r="G111" s="291">
        <f>+'Purchased Power Model '!G111</f>
        <v>0</v>
      </c>
      <c r="H111" s="292">
        <f>+'Purchased Power Model '!H111</f>
        <v>109528385.95747565</v>
      </c>
      <c r="J111" s="287">
        <f>+'10 Year Average'!A111</f>
        <v>40909</v>
      </c>
      <c r="K111" s="293">
        <f>+'10 Year Average'!B111</f>
        <v>107982172.33461541</v>
      </c>
      <c r="L111" s="289">
        <f>+'10 Year Average'!C111</f>
        <v>611</v>
      </c>
      <c r="M111" s="289">
        <f>+'10 Year Average'!D111</f>
        <v>0</v>
      </c>
      <c r="N111" s="290">
        <f>+'10 Year Average'!E111</f>
        <v>7.9000000000000001E-2</v>
      </c>
      <c r="O111" s="291">
        <f>+'10 Year Average'!F111</f>
        <v>31</v>
      </c>
      <c r="P111" s="291">
        <f>+'10 Year Average'!G111</f>
        <v>0</v>
      </c>
      <c r="Q111" s="292">
        <f>+'10 Year Average'!H111</f>
        <v>109528385.95747565</v>
      </c>
      <c r="S111" s="287">
        <f>+'20 Year Trend'!A111</f>
        <v>40909</v>
      </c>
      <c r="T111" s="293">
        <f>+'20 Year Trend'!B111</f>
        <v>107982172.33461541</v>
      </c>
      <c r="U111" s="289">
        <f>+'20 Year Trend'!C111</f>
        <v>611</v>
      </c>
      <c r="V111" s="289">
        <f>+'20 Year Trend'!D111</f>
        <v>0</v>
      </c>
      <c r="W111" s="290">
        <f>+'20 Year Trend'!E111</f>
        <v>7.9000000000000001E-2</v>
      </c>
      <c r="X111" s="291">
        <f>+'20 Year Trend'!F111</f>
        <v>31</v>
      </c>
      <c r="Y111" s="291">
        <f>+'20 Year Trend'!G111</f>
        <v>0</v>
      </c>
      <c r="Z111" s="292">
        <f>+'20 Year Trend'!H111</f>
        <v>109528385.95747565</v>
      </c>
    </row>
    <row r="112" spans="1:26" x14ac:dyDescent="0.2">
      <c r="A112" s="287">
        <f>+'Purchased Power Model '!A112</f>
        <v>40940</v>
      </c>
      <c r="B112" s="293">
        <f>+'Purchased Power Model '!B112</f>
        <v>97310518.529230773</v>
      </c>
      <c r="C112" s="289">
        <f>+'Purchased Power Model '!C112</f>
        <v>536.20000000000005</v>
      </c>
      <c r="D112" s="289">
        <f>+'Purchased Power Model '!D112</f>
        <v>0</v>
      </c>
      <c r="E112" s="290">
        <f>+'Purchased Power Model '!E112</f>
        <v>7.9000000000000001E-2</v>
      </c>
      <c r="F112" s="291">
        <f>+'Purchased Power Model '!F112</f>
        <v>29</v>
      </c>
      <c r="G112" s="291">
        <f>+'Purchased Power Model '!G112</f>
        <v>0</v>
      </c>
      <c r="H112" s="292">
        <f>+'Purchased Power Model '!H112</f>
        <v>101218356.06765701</v>
      </c>
      <c r="J112" s="287">
        <f>+'10 Year Average'!A112</f>
        <v>40940</v>
      </c>
      <c r="K112" s="293">
        <f>+'10 Year Average'!B112</f>
        <v>97310518.529230773</v>
      </c>
      <c r="L112" s="289">
        <f>+'10 Year Average'!C112</f>
        <v>536.20000000000005</v>
      </c>
      <c r="M112" s="289">
        <f>+'10 Year Average'!D112</f>
        <v>0</v>
      </c>
      <c r="N112" s="290">
        <f>+'10 Year Average'!E112</f>
        <v>7.9000000000000001E-2</v>
      </c>
      <c r="O112" s="291">
        <f>+'10 Year Average'!F112</f>
        <v>29</v>
      </c>
      <c r="P112" s="291">
        <f>+'10 Year Average'!G112</f>
        <v>0</v>
      </c>
      <c r="Q112" s="292">
        <f>+'10 Year Average'!H112</f>
        <v>101218356.06765701</v>
      </c>
      <c r="S112" s="287">
        <f>+'20 Year Trend'!A112</f>
        <v>40940</v>
      </c>
      <c r="T112" s="293">
        <f>+'20 Year Trend'!B112</f>
        <v>97310518.529230773</v>
      </c>
      <c r="U112" s="289">
        <f>+'20 Year Trend'!C112</f>
        <v>536.20000000000005</v>
      </c>
      <c r="V112" s="289">
        <f>+'20 Year Trend'!D112</f>
        <v>0</v>
      </c>
      <c r="W112" s="290">
        <f>+'20 Year Trend'!E112</f>
        <v>7.9000000000000001E-2</v>
      </c>
      <c r="X112" s="291">
        <f>+'20 Year Trend'!F112</f>
        <v>29</v>
      </c>
      <c r="Y112" s="291">
        <f>+'20 Year Trend'!G112</f>
        <v>0</v>
      </c>
      <c r="Z112" s="292">
        <f>+'20 Year Trend'!H112</f>
        <v>101218356.06765701</v>
      </c>
    </row>
    <row r="113" spans="1:26" x14ac:dyDescent="0.2">
      <c r="A113" s="287">
        <f>+'Purchased Power Model '!A113</f>
        <v>40969</v>
      </c>
      <c r="B113" s="293">
        <f>+'Purchased Power Model '!B113</f>
        <v>92940593.720769227</v>
      </c>
      <c r="C113" s="289">
        <f>+'Purchased Power Model '!C113</f>
        <v>399.39999999999992</v>
      </c>
      <c r="D113" s="289">
        <f>+'Purchased Power Model '!D113</f>
        <v>0</v>
      </c>
      <c r="E113" s="290">
        <f>+'Purchased Power Model '!E113</f>
        <v>7.9000000000000001E-2</v>
      </c>
      <c r="F113" s="291">
        <f>+'Purchased Power Model '!F113</f>
        <v>31</v>
      </c>
      <c r="G113" s="291">
        <f>+'Purchased Power Model '!G113</f>
        <v>1</v>
      </c>
      <c r="H113" s="292">
        <f>+'Purchased Power Model '!H113</f>
        <v>94653610.1961485</v>
      </c>
      <c r="J113" s="287">
        <f>+'10 Year Average'!A113</f>
        <v>40969</v>
      </c>
      <c r="K113" s="293">
        <f>+'10 Year Average'!B113</f>
        <v>92940593.720769227</v>
      </c>
      <c r="L113" s="289">
        <f>+'10 Year Average'!C113</f>
        <v>399.39999999999992</v>
      </c>
      <c r="M113" s="289">
        <f>+'10 Year Average'!D113</f>
        <v>0</v>
      </c>
      <c r="N113" s="290">
        <f>+'10 Year Average'!E113</f>
        <v>7.9000000000000001E-2</v>
      </c>
      <c r="O113" s="291">
        <f>+'10 Year Average'!F113</f>
        <v>31</v>
      </c>
      <c r="P113" s="291">
        <f>+'10 Year Average'!G113</f>
        <v>1</v>
      </c>
      <c r="Q113" s="292">
        <f>+'10 Year Average'!H113</f>
        <v>94653610.1961485</v>
      </c>
      <c r="S113" s="287">
        <f>+'20 Year Trend'!A113</f>
        <v>40969</v>
      </c>
      <c r="T113" s="293">
        <f>+'20 Year Trend'!B113</f>
        <v>92940593.720769227</v>
      </c>
      <c r="U113" s="289">
        <f>+'20 Year Trend'!C113</f>
        <v>399.39999999999992</v>
      </c>
      <c r="V113" s="289">
        <f>+'20 Year Trend'!D113</f>
        <v>0</v>
      </c>
      <c r="W113" s="290">
        <f>+'20 Year Trend'!E113</f>
        <v>7.9000000000000001E-2</v>
      </c>
      <c r="X113" s="291">
        <f>+'20 Year Trend'!F113</f>
        <v>31</v>
      </c>
      <c r="Y113" s="291">
        <f>+'20 Year Trend'!G113</f>
        <v>1</v>
      </c>
      <c r="Z113" s="292">
        <f>+'20 Year Trend'!H113</f>
        <v>94653610.1961485</v>
      </c>
    </row>
    <row r="114" spans="1:26" x14ac:dyDescent="0.2">
      <c r="A114" s="287">
        <f>+'Purchased Power Model '!A114</f>
        <v>41000</v>
      </c>
      <c r="B114" s="293">
        <f>+'Purchased Power Model '!B114</f>
        <v>84061512.170000002</v>
      </c>
      <c r="C114" s="289">
        <f>+'Purchased Power Model '!C114</f>
        <v>336.89999999999992</v>
      </c>
      <c r="D114" s="289">
        <f>+'Purchased Power Model '!D114</f>
        <v>0</v>
      </c>
      <c r="E114" s="290">
        <f>+'Purchased Power Model '!E114</f>
        <v>8.4000000000000005E-2</v>
      </c>
      <c r="F114" s="291">
        <f>+'Purchased Power Model '!F114</f>
        <v>30</v>
      </c>
      <c r="G114" s="291">
        <f>+'Purchased Power Model '!G114</f>
        <v>1</v>
      </c>
      <c r="H114" s="292">
        <f>+'Purchased Power Model '!H114</f>
        <v>89148311.311690539</v>
      </c>
      <c r="J114" s="287">
        <f>+'10 Year Average'!A114</f>
        <v>41000</v>
      </c>
      <c r="K114" s="293">
        <f>+'10 Year Average'!B114</f>
        <v>84061512.170000002</v>
      </c>
      <c r="L114" s="289">
        <f>+'10 Year Average'!C114</f>
        <v>336.89999999999992</v>
      </c>
      <c r="M114" s="289">
        <f>+'10 Year Average'!D114</f>
        <v>0</v>
      </c>
      <c r="N114" s="290">
        <f>+'10 Year Average'!E114</f>
        <v>8.4000000000000005E-2</v>
      </c>
      <c r="O114" s="291">
        <f>+'10 Year Average'!F114</f>
        <v>30</v>
      </c>
      <c r="P114" s="291">
        <f>+'10 Year Average'!G114</f>
        <v>1</v>
      </c>
      <c r="Q114" s="292">
        <f>+'10 Year Average'!H114</f>
        <v>89148311.311690539</v>
      </c>
      <c r="S114" s="287">
        <f>+'20 Year Trend'!A114</f>
        <v>41000</v>
      </c>
      <c r="T114" s="293">
        <f>+'20 Year Trend'!B114</f>
        <v>84061512.170000002</v>
      </c>
      <c r="U114" s="289">
        <f>+'20 Year Trend'!C114</f>
        <v>336.89999999999992</v>
      </c>
      <c r="V114" s="289">
        <f>+'20 Year Trend'!D114</f>
        <v>0</v>
      </c>
      <c r="W114" s="290">
        <f>+'20 Year Trend'!E114</f>
        <v>8.4000000000000005E-2</v>
      </c>
      <c r="X114" s="291">
        <f>+'20 Year Trend'!F114</f>
        <v>30</v>
      </c>
      <c r="Y114" s="291">
        <f>+'20 Year Trend'!G114</f>
        <v>1</v>
      </c>
      <c r="Z114" s="292">
        <f>+'20 Year Trend'!H114</f>
        <v>89148311.311690539</v>
      </c>
    </row>
    <row r="115" spans="1:26" x14ac:dyDescent="0.2">
      <c r="A115" s="287">
        <f>+'Purchased Power Model '!A115</f>
        <v>41030</v>
      </c>
      <c r="B115" s="293">
        <f>+'Purchased Power Model '!B115</f>
        <v>84298340.921818167</v>
      </c>
      <c r="C115" s="289">
        <f>+'Purchased Power Model '!C115</f>
        <v>109.30000000000001</v>
      </c>
      <c r="D115" s="289">
        <f>+'Purchased Power Model '!D115</f>
        <v>21.8</v>
      </c>
      <c r="E115" s="290">
        <f>+'Purchased Power Model '!E115</f>
        <v>8.4000000000000005E-2</v>
      </c>
      <c r="F115" s="291">
        <f>+'Purchased Power Model '!F115</f>
        <v>31</v>
      </c>
      <c r="G115" s="291">
        <f>+'Purchased Power Model '!G115</f>
        <v>1</v>
      </c>
      <c r="H115" s="292">
        <f>+'Purchased Power Model '!H115</f>
        <v>86466252.445327953</v>
      </c>
      <c r="J115" s="287">
        <f>+'10 Year Average'!A115</f>
        <v>41030</v>
      </c>
      <c r="K115" s="293">
        <f>+'10 Year Average'!B115</f>
        <v>84298340.921818167</v>
      </c>
      <c r="L115" s="289">
        <f>+'10 Year Average'!C115</f>
        <v>109.30000000000001</v>
      </c>
      <c r="M115" s="289">
        <f>+'10 Year Average'!D115</f>
        <v>21.8</v>
      </c>
      <c r="N115" s="290">
        <f>+'10 Year Average'!E115</f>
        <v>8.4000000000000005E-2</v>
      </c>
      <c r="O115" s="291">
        <f>+'10 Year Average'!F115</f>
        <v>31</v>
      </c>
      <c r="P115" s="291">
        <f>+'10 Year Average'!G115</f>
        <v>1</v>
      </c>
      <c r="Q115" s="292">
        <f>+'10 Year Average'!H115</f>
        <v>86466252.445327953</v>
      </c>
      <c r="S115" s="287">
        <f>+'20 Year Trend'!A115</f>
        <v>41030</v>
      </c>
      <c r="T115" s="293">
        <f>+'20 Year Trend'!B115</f>
        <v>84298340.921818167</v>
      </c>
      <c r="U115" s="289">
        <f>+'20 Year Trend'!C115</f>
        <v>109.30000000000001</v>
      </c>
      <c r="V115" s="289">
        <f>+'20 Year Trend'!D115</f>
        <v>21.8</v>
      </c>
      <c r="W115" s="290">
        <f>+'20 Year Trend'!E115</f>
        <v>8.4000000000000005E-2</v>
      </c>
      <c r="X115" s="291">
        <f>+'20 Year Trend'!F115</f>
        <v>31</v>
      </c>
      <c r="Y115" s="291">
        <f>+'20 Year Trend'!G115</f>
        <v>1</v>
      </c>
      <c r="Z115" s="292">
        <f>+'20 Year Trend'!H115</f>
        <v>86466252.445327953</v>
      </c>
    </row>
    <row r="116" spans="1:26" x14ac:dyDescent="0.2">
      <c r="A116" s="287">
        <f>+'Purchased Power Model '!A116</f>
        <v>41061</v>
      </c>
      <c r="B116" s="293">
        <f>+'Purchased Power Model '!B116</f>
        <v>93187121.853636354</v>
      </c>
      <c r="C116" s="289">
        <f>+'Purchased Power Model '!C116</f>
        <v>28.2</v>
      </c>
      <c r="D116" s="289">
        <f>+'Purchased Power Model '!D116</f>
        <v>64.3</v>
      </c>
      <c r="E116" s="290">
        <f>+'Purchased Power Model '!E116</f>
        <v>8.4000000000000005E-2</v>
      </c>
      <c r="F116" s="291">
        <f>+'Purchased Power Model '!F116</f>
        <v>30</v>
      </c>
      <c r="G116" s="291">
        <f>+'Purchased Power Model '!G116</f>
        <v>0</v>
      </c>
      <c r="H116" s="292">
        <f>+'Purchased Power Model '!H116</f>
        <v>93894660.635274053</v>
      </c>
      <c r="J116" s="287">
        <f>+'10 Year Average'!A116</f>
        <v>41061</v>
      </c>
      <c r="K116" s="293">
        <f>+'10 Year Average'!B116</f>
        <v>93187121.853636354</v>
      </c>
      <c r="L116" s="289">
        <f>+'10 Year Average'!C116</f>
        <v>28.2</v>
      </c>
      <c r="M116" s="289">
        <f>+'10 Year Average'!D116</f>
        <v>64.3</v>
      </c>
      <c r="N116" s="290">
        <f>+'10 Year Average'!E116</f>
        <v>8.4000000000000005E-2</v>
      </c>
      <c r="O116" s="291">
        <f>+'10 Year Average'!F116</f>
        <v>30</v>
      </c>
      <c r="P116" s="291">
        <f>+'10 Year Average'!G116</f>
        <v>0</v>
      </c>
      <c r="Q116" s="292">
        <f>+'10 Year Average'!H116</f>
        <v>93894660.635274053</v>
      </c>
      <c r="S116" s="287">
        <f>+'20 Year Trend'!A116</f>
        <v>41061</v>
      </c>
      <c r="T116" s="293">
        <f>+'20 Year Trend'!B116</f>
        <v>93187121.853636354</v>
      </c>
      <c r="U116" s="289">
        <f>+'20 Year Trend'!C116</f>
        <v>28.2</v>
      </c>
      <c r="V116" s="289">
        <f>+'20 Year Trend'!D116</f>
        <v>64.3</v>
      </c>
      <c r="W116" s="290">
        <f>+'20 Year Trend'!E116</f>
        <v>8.4000000000000005E-2</v>
      </c>
      <c r="X116" s="291">
        <f>+'20 Year Trend'!F116</f>
        <v>30</v>
      </c>
      <c r="Y116" s="291">
        <f>+'20 Year Trend'!G116</f>
        <v>0</v>
      </c>
      <c r="Z116" s="292">
        <f>+'20 Year Trend'!H116</f>
        <v>93894660.635274053</v>
      </c>
    </row>
    <row r="117" spans="1:26" x14ac:dyDescent="0.2">
      <c r="A117" s="287">
        <f>+'Purchased Power Model '!A117</f>
        <v>41091</v>
      </c>
      <c r="B117" s="293">
        <f>+'Purchased Power Model '!B117</f>
        <v>110767074.55090907</v>
      </c>
      <c r="C117" s="289">
        <f>+'Purchased Power Model '!C117</f>
        <v>0</v>
      </c>
      <c r="D117" s="289">
        <f>+'Purchased Power Model '!D117</f>
        <v>155.30000000000001</v>
      </c>
      <c r="E117" s="290">
        <f>+'Purchased Power Model '!E117</f>
        <v>8.900000000000001E-2</v>
      </c>
      <c r="F117" s="291">
        <f>+'Purchased Power Model '!F117</f>
        <v>31</v>
      </c>
      <c r="G117" s="291">
        <f>+'Purchased Power Model '!G117</f>
        <v>0</v>
      </c>
      <c r="H117" s="292">
        <f>+'Purchased Power Model '!H117</f>
        <v>109093300.54196224</v>
      </c>
      <c r="J117" s="287">
        <f>+'10 Year Average'!A117</f>
        <v>41091</v>
      </c>
      <c r="K117" s="293">
        <f>+'10 Year Average'!B117</f>
        <v>110767074.55090907</v>
      </c>
      <c r="L117" s="289">
        <f>+'10 Year Average'!C117</f>
        <v>0</v>
      </c>
      <c r="M117" s="289">
        <f>+'10 Year Average'!D117</f>
        <v>155.30000000000001</v>
      </c>
      <c r="N117" s="290">
        <f>+'10 Year Average'!E117</f>
        <v>8.900000000000001E-2</v>
      </c>
      <c r="O117" s="291">
        <f>+'10 Year Average'!F117</f>
        <v>31</v>
      </c>
      <c r="P117" s="291">
        <f>+'10 Year Average'!G117</f>
        <v>0</v>
      </c>
      <c r="Q117" s="292">
        <f>+'10 Year Average'!H117</f>
        <v>109093300.54196224</v>
      </c>
      <c r="S117" s="287">
        <f>+'20 Year Trend'!A117</f>
        <v>41091</v>
      </c>
      <c r="T117" s="293">
        <f>+'20 Year Trend'!B117</f>
        <v>110767074.55090907</v>
      </c>
      <c r="U117" s="289">
        <f>+'20 Year Trend'!C117</f>
        <v>0</v>
      </c>
      <c r="V117" s="289">
        <f>+'20 Year Trend'!D117</f>
        <v>155.30000000000001</v>
      </c>
      <c r="W117" s="290">
        <f>+'20 Year Trend'!E117</f>
        <v>8.900000000000001E-2</v>
      </c>
      <c r="X117" s="291">
        <f>+'20 Year Trend'!F117</f>
        <v>31</v>
      </c>
      <c r="Y117" s="291">
        <f>+'20 Year Trend'!G117</f>
        <v>0</v>
      </c>
      <c r="Z117" s="292">
        <f>+'20 Year Trend'!H117</f>
        <v>109093300.54196224</v>
      </c>
    </row>
    <row r="118" spans="1:26" x14ac:dyDescent="0.2">
      <c r="A118" s="287">
        <f>+'Purchased Power Model '!A118</f>
        <v>41122</v>
      </c>
      <c r="B118" s="293">
        <f>+'Purchased Power Model '!B118</f>
        <v>101373951.59181817</v>
      </c>
      <c r="C118" s="289">
        <f>+'Purchased Power Model '!C118</f>
        <v>4.4000000000000004</v>
      </c>
      <c r="D118" s="289">
        <f>+'Purchased Power Model '!D118</f>
        <v>102.79999999999998</v>
      </c>
      <c r="E118" s="290">
        <f>+'Purchased Power Model '!E118</f>
        <v>8.900000000000001E-2</v>
      </c>
      <c r="F118" s="291">
        <f>+'Purchased Power Model '!F118</f>
        <v>31</v>
      </c>
      <c r="G118" s="291">
        <f>+'Purchased Power Model '!G118</f>
        <v>0</v>
      </c>
      <c r="H118" s="292">
        <f>+'Purchased Power Model '!H118</f>
        <v>101214495.02351633</v>
      </c>
      <c r="J118" s="287">
        <f>+'10 Year Average'!A118</f>
        <v>41122</v>
      </c>
      <c r="K118" s="293">
        <f>+'10 Year Average'!B118</f>
        <v>101373951.59181817</v>
      </c>
      <c r="L118" s="289">
        <f>+'10 Year Average'!C118</f>
        <v>4.4000000000000004</v>
      </c>
      <c r="M118" s="289">
        <f>+'10 Year Average'!D118</f>
        <v>102.79999999999998</v>
      </c>
      <c r="N118" s="290">
        <f>+'10 Year Average'!E118</f>
        <v>8.900000000000001E-2</v>
      </c>
      <c r="O118" s="291">
        <f>+'10 Year Average'!F118</f>
        <v>31</v>
      </c>
      <c r="P118" s="291">
        <f>+'10 Year Average'!G118</f>
        <v>0</v>
      </c>
      <c r="Q118" s="292">
        <f>+'10 Year Average'!H118</f>
        <v>101214495.02351633</v>
      </c>
      <c r="S118" s="287">
        <f>+'20 Year Trend'!A118</f>
        <v>41122</v>
      </c>
      <c r="T118" s="293">
        <f>+'20 Year Trend'!B118</f>
        <v>101373951.59181817</v>
      </c>
      <c r="U118" s="289">
        <f>+'20 Year Trend'!C118</f>
        <v>4.4000000000000004</v>
      </c>
      <c r="V118" s="289">
        <f>+'20 Year Trend'!D118</f>
        <v>102.79999999999998</v>
      </c>
      <c r="W118" s="290">
        <f>+'20 Year Trend'!E118</f>
        <v>8.900000000000001E-2</v>
      </c>
      <c r="X118" s="291">
        <f>+'20 Year Trend'!F118</f>
        <v>31</v>
      </c>
      <c r="Y118" s="291">
        <f>+'20 Year Trend'!G118</f>
        <v>0</v>
      </c>
      <c r="Z118" s="292">
        <f>+'20 Year Trend'!H118</f>
        <v>101214495.02351633</v>
      </c>
    </row>
    <row r="119" spans="1:26" x14ac:dyDescent="0.2">
      <c r="A119" s="287">
        <f>+'Purchased Power Model '!A119</f>
        <v>41153</v>
      </c>
      <c r="B119" s="293">
        <f>+'Purchased Power Model '!B119</f>
        <v>85023139.218181819</v>
      </c>
      <c r="C119" s="289">
        <f>+'Purchased Power Model '!C119</f>
        <v>84</v>
      </c>
      <c r="D119" s="289">
        <f>+'Purchased Power Model '!D119</f>
        <v>24.400000000000002</v>
      </c>
      <c r="E119" s="290">
        <f>+'Purchased Power Model '!E119</f>
        <v>8.900000000000001E-2</v>
      </c>
      <c r="F119" s="291">
        <f>+'Purchased Power Model '!F119</f>
        <v>30</v>
      </c>
      <c r="G119" s="291">
        <f>+'Purchased Power Model '!G119</f>
        <v>1</v>
      </c>
      <c r="H119" s="292">
        <f>+'Purchased Power Model '!H119</f>
        <v>82788389.467821151</v>
      </c>
      <c r="J119" s="287">
        <f>+'10 Year Average'!A119</f>
        <v>41153</v>
      </c>
      <c r="K119" s="293">
        <f>+'10 Year Average'!B119</f>
        <v>85023139.218181819</v>
      </c>
      <c r="L119" s="289">
        <f>+'10 Year Average'!C119</f>
        <v>84</v>
      </c>
      <c r="M119" s="289">
        <f>+'10 Year Average'!D119</f>
        <v>24.400000000000002</v>
      </c>
      <c r="N119" s="290">
        <f>+'10 Year Average'!E119</f>
        <v>8.900000000000001E-2</v>
      </c>
      <c r="O119" s="291">
        <f>+'10 Year Average'!F119</f>
        <v>30</v>
      </c>
      <c r="P119" s="291">
        <f>+'10 Year Average'!G119</f>
        <v>1</v>
      </c>
      <c r="Q119" s="292">
        <f>+'10 Year Average'!H119</f>
        <v>82788389.467821151</v>
      </c>
      <c r="S119" s="287">
        <f>+'20 Year Trend'!A119</f>
        <v>41153</v>
      </c>
      <c r="T119" s="293">
        <f>+'20 Year Trend'!B119</f>
        <v>85023139.218181819</v>
      </c>
      <c r="U119" s="289">
        <f>+'20 Year Trend'!C119</f>
        <v>84</v>
      </c>
      <c r="V119" s="289">
        <f>+'20 Year Trend'!D119</f>
        <v>24.400000000000002</v>
      </c>
      <c r="W119" s="290">
        <f>+'20 Year Trend'!E119</f>
        <v>8.900000000000001E-2</v>
      </c>
      <c r="X119" s="291">
        <f>+'20 Year Trend'!F119</f>
        <v>30</v>
      </c>
      <c r="Y119" s="291">
        <f>+'20 Year Trend'!G119</f>
        <v>1</v>
      </c>
      <c r="Z119" s="292">
        <f>+'20 Year Trend'!H119</f>
        <v>82788389.467821151</v>
      </c>
    </row>
    <row r="120" spans="1:26" x14ac:dyDescent="0.2">
      <c r="A120" s="287">
        <f>+'Purchased Power Model '!A120</f>
        <v>41183</v>
      </c>
      <c r="B120" s="293">
        <f>+'Purchased Power Model '!B120</f>
        <v>85295690.281818166</v>
      </c>
      <c r="C120" s="289">
        <f>+'Purchased Power Model '!C120</f>
        <v>228.99999999999994</v>
      </c>
      <c r="D120" s="289">
        <f>+'Purchased Power Model '!D120</f>
        <v>0</v>
      </c>
      <c r="E120" s="290">
        <f>+'Purchased Power Model '!E120</f>
        <v>9.1999999999999998E-2</v>
      </c>
      <c r="F120" s="291">
        <f>+'Purchased Power Model '!F120</f>
        <v>31</v>
      </c>
      <c r="G120" s="291">
        <f>+'Purchased Power Model '!G120</f>
        <v>1</v>
      </c>
      <c r="H120" s="292">
        <f>+'Purchased Power Model '!H120</f>
        <v>87104372.279501572</v>
      </c>
      <c r="J120" s="287">
        <f>+'10 Year Average'!A120</f>
        <v>41183</v>
      </c>
      <c r="K120" s="293">
        <f>+'10 Year Average'!B120</f>
        <v>85295690.281818166</v>
      </c>
      <c r="L120" s="289">
        <f>+'10 Year Average'!C120</f>
        <v>228.99999999999994</v>
      </c>
      <c r="M120" s="289">
        <f>+'10 Year Average'!D120</f>
        <v>0</v>
      </c>
      <c r="N120" s="290">
        <f>+'10 Year Average'!E120</f>
        <v>9.1999999999999998E-2</v>
      </c>
      <c r="O120" s="291">
        <f>+'10 Year Average'!F120</f>
        <v>31</v>
      </c>
      <c r="P120" s="291">
        <f>+'10 Year Average'!G120</f>
        <v>1</v>
      </c>
      <c r="Q120" s="292">
        <f>+'10 Year Average'!H120</f>
        <v>87104372.279501572</v>
      </c>
      <c r="S120" s="287">
        <f>+'20 Year Trend'!A120</f>
        <v>41183</v>
      </c>
      <c r="T120" s="293">
        <f>+'20 Year Trend'!B120</f>
        <v>85295690.281818166</v>
      </c>
      <c r="U120" s="289">
        <f>+'20 Year Trend'!C120</f>
        <v>228.99999999999994</v>
      </c>
      <c r="V120" s="289">
        <f>+'20 Year Trend'!D120</f>
        <v>0</v>
      </c>
      <c r="W120" s="290">
        <f>+'20 Year Trend'!E120</f>
        <v>9.1999999999999998E-2</v>
      </c>
      <c r="X120" s="291">
        <f>+'20 Year Trend'!F120</f>
        <v>31</v>
      </c>
      <c r="Y120" s="291">
        <f>+'20 Year Trend'!G120</f>
        <v>1</v>
      </c>
      <c r="Z120" s="292">
        <f>+'20 Year Trend'!H120</f>
        <v>87104372.279501572</v>
      </c>
    </row>
    <row r="121" spans="1:26" x14ac:dyDescent="0.2">
      <c r="A121" s="287">
        <f>+'Purchased Power Model '!A121</f>
        <v>41214</v>
      </c>
      <c r="B121" s="293">
        <f>+'Purchased Power Model '!B121</f>
        <v>91679199.734545454</v>
      </c>
      <c r="C121" s="289">
        <f>+'Purchased Power Model '!C121</f>
        <v>427.89999999999992</v>
      </c>
      <c r="D121" s="289">
        <f>+'Purchased Power Model '!D121</f>
        <v>0</v>
      </c>
      <c r="E121" s="290">
        <f>+'Purchased Power Model '!E121</f>
        <v>9.1999999999999998E-2</v>
      </c>
      <c r="F121" s="291">
        <f>+'Purchased Power Model '!F121</f>
        <v>30</v>
      </c>
      <c r="G121" s="291">
        <f>+'Purchased Power Model '!G121</f>
        <v>1</v>
      </c>
      <c r="H121" s="292">
        <f>+'Purchased Power Model '!H121</f>
        <v>92025802.768525809</v>
      </c>
      <c r="J121" s="287">
        <f>+'10 Year Average'!A121</f>
        <v>41214</v>
      </c>
      <c r="K121" s="293">
        <f>+'10 Year Average'!B121</f>
        <v>91679199.734545454</v>
      </c>
      <c r="L121" s="289">
        <f>+'10 Year Average'!C121</f>
        <v>427.89999999999992</v>
      </c>
      <c r="M121" s="289">
        <f>+'10 Year Average'!D121</f>
        <v>0</v>
      </c>
      <c r="N121" s="290">
        <f>+'10 Year Average'!E121</f>
        <v>9.1999999999999998E-2</v>
      </c>
      <c r="O121" s="291">
        <f>+'10 Year Average'!F121</f>
        <v>30</v>
      </c>
      <c r="P121" s="291">
        <f>+'10 Year Average'!G121</f>
        <v>1</v>
      </c>
      <c r="Q121" s="292">
        <f>+'10 Year Average'!H121</f>
        <v>92025802.768525809</v>
      </c>
      <c r="S121" s="287">
        <f>+'20 Year Trend'!A121</f>
        <v>41214</v>
      </c>
      <c r="T121" s="293">
        <f>+'20 Year Trend'!B121</f>
        <v>91679199.734545454</v>
      </c>
      <c r="U121" s="289">
        <f>+'20 Year Trend'!C121</f>
        <v>427.89999999999992</v>
      </c>
      <c r="V121" s="289">
        <f>+'20 Year Trend'!D121</f>
        <v>0</v>
      </c>
      <c r="W121" s="290">
        <f>+'20 Year Trend'!E121</f>
        <v>9.1999999999999998E-2</v>
      </c>
      <c r="X121" s="291">
        <f>+'20 Year Trend'!F121</f>
        <v>30</v>
      </c>
      <c r="Y121" s="291">
        <f>+'20 Year Trend'!G121</f>
        <v>1</v>
      </c>
      <c r="Z121" s="292">
        <f>+'20 Year Trend'!H121</f>
        <v>92025802.768525809</v>
      </c>
    </row>
    <row r="122" spans="1:26" ht="13.5" thickBot="1" x14ac:dyDescent="0.25">
      <c r="A122" s="294">
        <f>+'Purchased Power Model '!A122</f>
        <v>41244</v>
      </c>
      <c r="B122" s="381">
        <f>+'Purchased Power Model '!B122</f>
        <v>102292637.76363637</v>
      </c>
      <c r="C122" s="295">
        <f>+'Purchased Power Model '!C122</f>
        <v>451.09999999999997</v>
      </c>
      <c r="D122" s="295">
        <f>+'Purchased Power Model '!D122</f>
        <v>0</v>
      </c>
      <c r="E122" s="296">
        <f>+'Purchased Power Model '!E122</f>
        <v>9.1999999999999998E-2</v>
      </c>
      <c r="F122" s="297">
        <f>+'Purchased Power Model '!F122</f>
        <v>31</v>
      </c>
      <c r="G122" s="297">
        <f>+'Purchased Power Model '!G122</f>
        <v>0</v>
      </c>
      <c r="H122" s="298">
        <f>+'Purchased Power Model '!H122</f>
        <v>102382460.25858708</v>
      </c>
      <c r="J122" s="294">
        <f>+'10 Year Average'!A122</f>
        <v>41244</v>
      </c>
      <c r="K122" s="381">
        <f>+'10 Year Average'!B122</f>
        <v>102292637.76363637</v>
      </c>
      <c r="L122" s="295">
        <f>+'10 Year Average'!C122</f>
        <v>451.09999999999997</v>
      </c>
      <c r="M122" s="295">
        <f>+'10 Year Average'!D122</f>
        <v>0</v>
      </c>
      <c r="N122" s="296">
        <f>+'10 Year Average'!E122</f>
        <v>9.1999999999999998E-2</v>
      </c>
      <c r="O122" s="297">
        <f>+'10 Year Average'!F122</f>
        <v>31</v>
      </c>
      <c r="P122" s="297">
        <f>+'10 Year Average'!G122</f>
        <v>0</v>
      </c>
      <c r="Q122" s="298">
        <f>+'10 Year Average'!H122</f>
        <v>102382460.25858708</v>
      </c>
      <c r="S122" s="294">
        <f>+'20 Year Trend'!A122</f>
        <v>41244</v>
      </c>
      <c r="T122" s="381">
        <f>+'20 Year Trend'!B122</f>
        <v>102292637.76363637</v>
      </c>
      <c r="U122" s="295">
        <f>+'20 Year Trend'!C122</f>
        <v>451.09999999999997</v>
      </c>
      <c r="V122" s="295">
        <f>+'20 Year Trend'!D122</f>
        <v>0</v>
      </c>
      <c r="W122" s="296">
        <f>+'20 Year Trend'!E122</f>
        <v>9.1999999999999998E-2</v>
      </c>
      <c r="X122" s="297">
        <f>+'20 Year Trend'!F122</f>
        <v>31</v>
      </c>
      <c r="Y122" s="297">
        <f>+'20 Year Trend'!G122</f>
        <v>0</v>
      </c>
      <c r="Z122" s="298">
        <f>+'20 Year Trend'!H122</f>
        <v>102382460.25858708</v>
      </c>
    </row>
    <row r="123" spans="1:26" x14ac:dyDescent="0.2">
      <c r="A123" s="287">
        <f>+'Purchased Power Model '!A123</f>
        <v>41275</v>
      </c>
      <c r="B123" s="293">
        <f>+'Purchased Power Model '!B123</f>
        <v>107376383.33333334</v>
      </c>
      <c r="C123" s="289">
        <f>+'Purchased Power Model '!C123</f>
        <v>615.40000000000009</v>
      </c>
      <c r="D123" s="289">
        <f>+'Purchased Power Model '!D123</f>
        <v>0</v>
      </c>
      <c r="E123" s="290">
        <f>+'Purchased Power Model '!E123</f>
        <v>8.8000000000000009E-2</v>
      </c>
      <c r="F123" s="291">
        <f>+'Purchased Power Model '!F123</f>
        <v>31</v>
      </c>
      <c r="G123" s="291">
        <f>+'Purchased Power Model '!G123</f>
        <v>0</v>
      </c>
      <c r="H123" s="292">
        <f>+'Purchased Power Model '!H123</f>
        <v>109002276.74785569</v>
      </c>
      <c r="J123" s="287">
        <f>+'10 Year Average'!A123</f>
        <v>41275</v>
      </c>
      <c r="K123" s="293">
        <f>+'10 Year Average'!B123</f>
        <v>107376383.33333334</v>
      </c>
      <c r="L123" s="289">
        <f>+'10 Year Average'!C123</f>
        <v>615.40000000000009</v>
      </c>
      <c r="M123" s="289">
        <f>+'10 Year Average'!D123</f>
        <v>0</v>
      </c>
      <c r="N123" s="290">
        <f>+'10 Year Average'!E123</f>
        <v>8.8000000000000009E-2</v>
      </c>
      <c r="O123" s="291">
        <f>+'10 Year Average'!F123</f>
        <v>31</v>
      </c>
      <c r="P123" s="291">
        <f>+'10 Year Average'!G123</f>
        <v>0</v>
      </c>
      <c r="Q123" s="292">
        <f>+'10 Year Average'!H123</f>
        <v>109002276.74785569</v>
      </c>
      <c r="S123" s="287">
        <f>+'20 Year Trend'!A123</f>
        <v>41275</v>
      </c>
      <c r="T123" s="293">
        <f>+'20 Year Trend'!B123</f>
        <v>107376383.33333334</v>
      </c>
      <c r="U123" s="289">
        <f>+'20 Year Trend'!C123</f>
        <v>615.40000000000009</v>
      </c>
      <c r="V123" s="289">
        <f>+'20 Year Trend'!D123</f>
        <v>0</v>
      </c>
      <c r="W123" s="290">
        <f>+'20 Year Trend'!E123</f>
        <v>8.8000000000000009E-2</v>
      </c>
      <c r="X123" s="291">
        <f>+'20 Year Trend'!F123</f>
        <v>31</v>
      </c>
      <c r="Y123" s="291">
        <f>+'20 Year Trend'!G123</f>
        <v>0</v>
      </c>
      <c r="Z123" s="292">
        <f>+'20 Year Trend'!H123</f>
        <v>109002276.74785569</v>
      </c>
    </row>
    <row r="124" spans="1:26" x14ac:dyDescent="0.2">
      <c r="A124" s="287">
        <f>+'Purchased Power Model '!A124</f>
        <v>41306</v>
      </c>
      <c r="B124" s="293">
        <f>+'Purchased Power Model '!B124</f>
        <v>98702891.666666672</v>
      </c>
      <c r="C124" s="289">
        <f>+'Purchased Power Model '!C124</f>
        <v>611.5</v>
      </c>
      <c r="D124" s="289">
        <f>+'Purchased Power Model '!D124</f>
        <v>0</v>
      </c>
      <c r="E124" s="290">
        <f>+'Purchased Power Model '!E124</f>
        <v>8.8000000000000009E-2</v>
      </c>
      <c r="F124" s="291">
        <f>+'Purchased Power Model '!F124</f>
        <v>28</v>
      </c>
      <c r="G124" s="291">
        <f>+'Purchased Power Model '!G124</f>
        <v>0</v>
      </c>
      <c r="H124" s="292">
        <f>+'Purchased Power Model '!H124</f>
        <v>100697109.35914977</v>
      </c>
      <c r="J124" s="287">
        <f>+'10 Year Average'!A124</f>
        <v>41306</v>
      </c>
      <c r="K124" s="293">
        <f>+'10 Year Average'!B124</f>
        <v>98702891.666666672</v>
      </c>
      <c r="L124" s="289">
        <f>+'10 Year Average'!C124</f>
        <v>611.5</v>
      </c>
      <c r="M124" s="289">
        <f>+'10 Year Average'!D124</f>
        <v>0</v>
      </c>
      <c r="N124" s="290">
        <f>+'10 Year Average'!E124</f>
        <v>8.8000000000000009E-2</v>
      </c>
      <c r="O124" s="291">
        <f>+'10 Year Average'!F124</f>
        <v>28</v>
      </c>
      <c r="P124" s="291">
        <f>+'10 Year Average'!G124</f>
        <v>0</v>
      </c>
      <c r="Q124" s="292">
        <f>+'10 Year Average'!H124</f>
        <v>100697109.35914977</v>
      </c>
      <c r="S124" s="287">
        <f>+'20 Year Trend'!A124</f>
        <v>41306</v>
      </c>
      <c r="T124" s="293">
        <f>+'20 Year Trend'!B124</f>
        <v>98702891.666666672</v>
      </c>
      <c r="U124" s="289">
        <f>+'20 Year Trend'!C124</f>
        <v>611.5</v>
      </c>
      <c r="V124" s="289">
        <f>+'20 Year Trend'!D124</f>
        <v>0</v>
      </c>
      <c r="W124" s="290">
        <f>+'20 Year Trend'!E124</f>
        <v>8.8000000000000009E-2</v>
      </c>
      <c r="X124" s="291">
        <f>+'20 Year Trend'!F124</f>
        <v>28</v>
      </c>
      <c r="Y124" s="291">
        <f>+'20 Year Trend'!G124</f>
        <v>0</v>
      </c>
      <c r="Z124" s="292">
        <f>+'20 Year Trend'!H124</f>
        <v>100697109.35914977</v>
      </c>
    </row>
    <row r="125" spans="1:26" x14ac:dyDescent="0.2">
      <c r="A125" s="287">
        <f>+'Purchased Power Model '!A125</f>
        <v>41334</v>
      </c>
      <c r="B125" s="293">
        <f>+'Purchased Power Model '!B125</f>
        <v>98851083.333333343</v>
      </c>
      <c r="C125" s="289">
        <f>+'Purchased Power Model '!C125</f>
        <v>545</v>
      </c>
      <c r="D125" s="289">
        <f>+'Purchased Power Model '!D125</f>
        <v>0</v>
      </c>
      <c r="E125" s="290">
        <f>+'Purchased Power Model '!E125</f>
        <v>8.8000000000000009E-2</v>
      </c>
      <c r="F125" s="291">
        <f>+'Purchased Power Model '!F125</f>
        <v>31</v>
      </c>
      <c r="G125" s="291">
        <f>+'Purchased Power Model '!G125</f>
        <v>1</v>
      </c>
      <c r="H125" s="292">
        <f>+'Purchased Power Model '!H125</f>
        <v>99551090.048193455</v>
      </c>
      <c r="J125" s="287">
        <f>+'10 Year Average'!A125</f>
        <v>41334</v>
      </c>
      <c r="K125" s="293">
        <f>+'10 Year Average'!B125</f>
        <v>98851083.333333343</v>
      </c>
      <c r="L125" s="289">
        <f>+'10 Year Average'!C125</f>
        <v>545</v>
      </c>
      <c r="M125" s="289">
        <f>+'10 Year Average'!D125</f>
        <v>0</v>
      </c>
      <c r="N125" s="290">
        <f>+'10 Year Average'!E125</f>
        <v>8.8000000000000009E-2</v>
      </c>
      <c r="O125" s="291">
        <f>+'10 Year Average'!F125</f>
        <v>31</v>
      </c>
      <c r="P125" s="291">
        <f>+'10 Year Average'!G125</f>
        <v>1</v>
      </c>
      <c r="Q125" s="292">
        <f>+'10 Year Average'!H125</f>
        <v>99551090.048193455</v>
      </c>
      <c r="S125" s="287">
        <f>+'20 Year Trend'!A125</f>
        <v>41334</v>
      </c>
      <c r="T125" s="293">
        <f>+'20 Year Trend'!B125</f>
        <v>98851083.333333343</v>
      </c>
      <c r="U125" s="289">
        <f>+'20 Year Trend'!C125</f>
        <v>545</v>
      </c>
      <c r="V125" s="289">
        <f>+'20 Year Trend'!D125</f>
        <v>0</v>
      </c>
      <c r="W125" s="290">
        <f>+'20 Year Trend'!E125</f>
        <v>8.8000000000000009E-2</v>
      </c>
      <c r="X125" s="291">
        <f>+'20 Year Trend'!F125</f>
        <v>31</v>
      </c>
      <c r="Y125" s="291">
        <f>+'20 Year Trend'!G125</f>
        <v>1</v>
      </c>
      <c r="Z125" s="292">
        <f>+'20 Year Trend'!H125</f>
        <v>99551090.048193455</v>
      </c>
    </row>
    <row r="126" spans="1:26" x14ac:dyDescent="0.2">
      <c r="A126" s="287">
        <f>+'Purchased Power Model '!A126</f>
        <v>41365</v>
      </c>
      <c r="B126" s="293">
        <f>+'Purchased Power Model '!B126</f>
        <v>87330008.333333343</v>
      </c>
      <c r="C126" s="289">
        <f>+'Purchased Power Model '!C126</f>
        <v>366.49999999999994</v>
      </c>
      <c r="D126" s="289">
        <f>+'Purchased Power Model '!D126</f>
        <v>0</v>
      </c>
      <c r="E126" s="290">
        <f>+'Purchased Power Model '!E126</f>
        <v>7.400000000000001E-2</v>
      </c>
      <c r="F126" s="291">
        <f>+'Purchased Power Model '!F126</f>
        <v>30</v>
      </c>
      <c r="G126" s="291">
        <f>+'Purchased Power Model '!G126</f>
        <v>1</v>
      </c>
      <c r="H126" s="292">
        <f>+'Purchased Power Model '!H126</f>
        <v>91057619.030233324</v>
      </c>
      <c r="J126" s="287">
        <f>+'10 Year Average'!A126</f>
        <v>41365</v>
      </c>
      <c r="K126" s="293">
        <f>+'10 Year Average'!B126</f>
        <v>87330008.333333343</v>
      </c>
      <c r="L126" s="289">
        <f>+'10 Year Average'!C126</f>
        <v>366.49999999999994</v>
      </c>
      <c r="M126" s="289">
        <f>+'10 Year Average'!D126</f>
        <v>0</v>
      </c>
      <c r="N126" s="290">
        <f>+'10 Year Average'!E126</f>
        <v>7.400000000000001E-2</v>
      </c>
      <c r="O126" s="291">
        <f>+'10 Year Average'!F126</f>
        <v>30</v>
      </c>
      <c r="P126" s="291">
        <f>+'10 Year Average'!G126</f>
        <v>1</v>
      </c>
      <c r="Q126" s="292">
        <f>+'10 Year Average'!H126</f>
        <v>91057619.030233324</v>
      </c>
      <c r="S126" s="287">
        <f>+'20 Year Trend'!A126</f>
        <v>41365</v>
      </c>
      <c r="T126" s="293">
        <f>+'20 Year Trend'!B126</f>
        <v>87330008.333333343</v>
      </c>
      <c r="U126" s="289">
        <f>+'20 Year Trend'!C126</f>
        <v>366.49999999999994</v>
      </c>
      <c r="V126" s="289">
        <f>+'20 Year Trend'!D126</f>
        <v>0</v>
      </c>
      <c r="W126" s="290">
        <f>+'20 Year Trend'!E126</f>
        <v>7.400000000000001E-2</v>
      </c>
      <c r="X126" s="291">
        <f>+'20 Year Trend'!F126</f>
        <v>30</v>
      </c>
      <c r="Y126" s="291">
        <f>+'20 Year Trend'!G126</f>
        <v>1</v>
      </c>
      <c r="Z126" s="292">
        <f>+'20 Year Trend'!H126</f>
        <v>91057619.030233324</v>
      </c>
    </row>
    <row r="127" spans="1:26" x14ac:dyDescent="0.2">
      <c r="A127" s="287">
        <f>+'Purchased Power Model '!A127</f>
        <v>41395</v>
      </c>
      <c r="B127" s="293">
        <f>+'Purchased Power Model '!B127</f>
        <v>81913958.333333343</v>
      </c>
      <c r="C127" s="289">
        <f>+'Purchased Power Model '!C127</f>
        <v>133.4</v>
      </c>
      <c r="D127" s="289">
        <f>+'Purchased Power Model '!D127</f>
        <v>3</v>
      </c>
      <c r="E127" s="290">
        <f>+'Purchased Power Model '!E127</f>
        <v>7.400000000000001E-2</v>
      </c>
      <c r="F127" s="291">
        <f>+'Purchased Power Model '!F127</f>
        <v>31</v>
      </c>
      <c r="G127" s="291">
        <f>+'Purchased Power Model '!G127</f>
        <v>1</v>
      </c>
      <c r="H127" s="292">
        <f>+'Purchased Power Model '!H127</f>
        <v>85282418.034397855</v>
      </c>
      <c r="J127" s="287">
        <f>+'10 Year Average'!A127</f>
        <v>41395</v>
      </c>
      <c r="K127" s="293">
        <f>+'10 Year Average'!B127</f>
        <v>81913958.333333343</v>
      </c>
      <c r="L127" s="289">
        <f>+'10 Year Average'!C127</f>
        <v>133.4</v>
      </c>
      <c r="M127" s="289">
        <f>+'10 Year Average'!D127</f>
        <v>3</v>
      </c>
      <c r="N127" s="290">
        <f>+'10 Year Average'!E127</f>
        <v>7.400000000000001E-2</v>
      </c>
      <c r="O127" s="291">
        <f>+'10 Year Average'!F127</f>
        <v>31</v>
      </c>
      <c r="P127" s="291">
        <f>+'10 Year Average'!G127</f>
        <v>1</v>
      </c>
      <c r="Q127" s="292">
        <f>+'10 Year Average'!H127</f>
        <v>85282418.034397855</v>
      </c>
      <c r="S127" s="287">
        <f>+'20 Year Trend'!A127</f>
        <v>41395</v>
      </c>
      <c r="T127" s="293">
        <f>+'20 Year Trend'!B127</f>
        <v>81913958.333333343</v>
      </c>
      <c r="U127" s="289">
        <f>+'20 Year Trend'!C127</f>
        <v>133.4</v>
      </c>
      <c r="V127" s="289">
        <f>+'20 Year Trend'!D127</f>
        <v>3</v>
      </c>
      <c r="W127" s="290">
        <f>+'20 Year Trend'!E127</f>
        <v>7.400000000000001E-2</v>
      </c>
      <c r="X127" s="291">
        <f>+'20 Year Trend'!F127</f>
        <v>31</v>
      </c>
      <c r="Y127" s="291">
        <f>+'20 Year Trend'!G127</f>
        <v>1</v>
      </c>
      <c r="Z127" s="292">
        <f>+'20 Year Trend'!H127</f>
        <v>85282418.034397855</v>
      </c>
    </row>
    <row r="128" spans="1:26" x14ac:dyDescent="0.2">
      <c r="A128" s="287">
        <f>+'Purchased Power Model '!A128</f>
        <v>41426</v>
      </c>
      <c r="B128" s="293">
        <f>+'Purchased Power Model '!B128</f>
        <v>86391933.333333343</v>
      </c>
      <c r="C128" s="289">
        <f>+'Purchased Power Model '!C128</f>
        <v>42.900000000000006</v>
      </c>
      <c r="D128" s="289">
        <f>+'Purchased Power Model '!D128</f>
        <v>32.200000000000003</v>
      </c>
      <c r="E128" s="290">
        <f>+'Purchased Power Model '!E128</f>
        <v>7.400000000000001E-2</v>
      </c>
      <c r="F128" s="291">
        <f>+'Purchased Power Model '!F128</f>
        <v>30</v>
      </c>
      <c r="G128" s="291">
        <f>+'Purchased Power Model '!G128</f>
        <v>0</v>
      </c>
      <c r="H128" s="292">
        <f>+'Purchased Power Model '!H128</f>
        <v>90310986.585164011</v>
      </c>
      <c r="J128" s="287">
        <f>+'10 Year Average'!A128</f>
        <v>41426</v>
      </c>
      <c r="K128" s="293">
        <f>+'10 Year Average'!B128</f>
        <v>86391933.333333343</v>
      </c>
      <c r="L128" s="289">
        <f>+'10 Year Average'!C128</f>
        <v>42.900000000000006</v>
      </c>
      <c r="M128" s="289">
        <f>+'10 Year Average'!D128</f>
        <v>32.200000000000003</v>
      </c>
      <c r="N128" s="290">
        <f>+'10 Year Average'!E128</f>
        <v>7.400000000000001E-2</v>
      </c>
      <c r="O128" s="291">
        <f>+'10 Year Average'!F128</f>
        <v>30</v>
      </c>
      <c r="P128" s="291">
        <f>+'10 Year Average'!G128</f>
        <v>0</v>
      </c>
      <c r="Q128" s="292">
        <f>+'10 Year Average'!H128</f>
        <v>90310986.585164011</v>
      </c>
      <c r="S128" s="287">
        <f>+'20 Year Trend'!A128</f>
        <v>41426</v>
      </c>
      <c r="T128" s="293">
        <f>+'20 Year Trend'!B128</f>
        <v>86391933.333333343</v>
      </c>
      <c r="U128" s="289">
        <f>+'20 Year Trend'!C128</f>
        <v>42.900000000000006</v>
      </c>
      <c r="V128" s="289">
        <f>+'20 Year Trend'!D128</f>
        <v>32.200000000000003</v>
      </c>
      <c r="W128" s="290">
        <f>+'20 Year Trend'!E128</f>
        <v>7.400000000000001E-2</v>
      </c>
      <c r="X128" s="291">
        <f>+'20 Year Trend'!F128</f>
        <v>30</v>
      </c>
      <c r="Y128" s="291">
        <f>+'20 Year Trend'!G128</f>
        <v>0</v>
      </c>
      <c r="Z128" s="292">
        <f>+'20 Year Trend'!H128</f>
        <v>90310986.585164011</v>
      </c>
    </row>
    <row r="129" spans="1:26" x14ac:dyDescent="0.2">
      <c r="A129" s="287">
        <f>+'Purchased Power Model '!A129</f>
        <v>41456</v>
      </c>
      <c r="B129" s="293">
        <f>+'Purchased Power Model '!B129</f>
        <v>104037066.66666667</v>
      </c>
      <c r="C129" s="289">
        <f>+'Purchased Power Model '!C129</f>
        <v>4.4000000000000004</v>
      </c>
      <c r="D129" s="289">
        <f>+'Purchased Power Model '!D129</f>
        <v>109.99999999999999</v>
      </c>
      <c r="E129" s="290">
        <f>+'Purchased Power Model '!E129</f>
        <v>6.2E-2</v>
      </c>
      <c r="F129" s="291">
        <f>+'Purchased Power Model '!F129</f>
        <v>31</v>
      </c>
      <c r="G129" s="291">
        <f>+'Purchased Power Model '!G129</f>
        <v>0</v>
      </c>
      <c r="H129" s="292">
        <f>+'Purchased Power Model '!H129</f>
        <v>104403543.73203087</v>
      </c>
      <c r="J129" s="287">
        <f>+'10 Year Average'!A129</f>
        <v>41456</v>
      </c>
      <c r="K129" s="293">
        <f>+'10 Year Average'!B129</f>
        <v>104037066.66666667</v>
      </c>
      <c r="L129" s="289">
        <f>+'10 Year Average'!C129</f>
        <v>4.4000000000000004</v>
      </c>
      <c r="M129" s="289">
        <f>+'10 Year Average'!D129</f>
        <v>109.99999999999999</v>
      </c>
      <c r="N129" s="290">
        <f>+'10 Year Average'!E129</f>
        <v>6.2E-2</v>
      </c>
      <c r="O129" s="291">
        <f>+'10 Year Average'!F129</f>
        <v>31</v>
      </c>
      <c r="P129" s="291">
        <f>+'10 Year Average'!G129</f>
        <v>0</v>
      </c>
      <c r="Q129" s="292">
        <f>+'10 Year Average'!H129</f>
        <v>104403543.73203087</v>
      </c>
      <c r="S129" s="287">
        <f>+'20 Year Trend'!A129</f>
        <v>41456</v>
      </c>
      <c r="T129" s="293">
        <f>+'20 Year Trend'!B129</f>
        <v>104037066.66666667</v>
      </c>
      <c r="U129" s="289">
        <f>+'20 Year Trend'!C129</f>
        <v>4.4000000000000004</v>
      </c>
      <c r="V129" s="289">
        <f>+'20 Year Trend'!D129</f>
        <v>109.99999999999999</v>
      </c>
      <c r="W129" s="290">
        <f>+'20 Year Trend'!E129</f>
        <v>6.2E-2</v>
      </c>
      <c r="X129" s="291">
        <f>+'20 Year Trend'!F129</f>
        <v>31</v>
      </c>
      <c r="Y129" s="291">
        <f>+'20 Year Trend'!G129</f>
        <v>0</v>
      </c>
      <c r="Z129" s="292">
        <f>+'20 Year Trend'!H129</f>
        <v>104403543.73203087</v>
      </c>
    </row>
    <row r="130" spans="1:26" x14ac:dyDescent="0.2">
      <c r="A130" s="287">
        <f>+'Purchased Power Model '!A130</f>
        <v>41487</v>
      </c>
      <c r="B130" s="293">
        <f>+'Purchased Power Model '!B130</f>
        <v>95663441.666666672</v>
      </c>
      <c r="C130" s="289">
        <f>+'Purchased Power Model '!C130</f>
        <v>11</v>
      </c>
      <c r="D130" s="289">
        <f>+'Purchased Power Model '!D130</f>
        <v>57.899999999999991</v>
      </c>
      <c r="E130" s="290">
        <f>+'Purchased Power Model '!E130</f>
        <v>6.2E-2</v>
      </c>
      <c r="F130" s="291">
        <f>+'Purchased Power Model '!F130</f>
        <v>31</v>
      </c>
      <c r="G130" s="291">
        <f>+'Purchased Power Model '!G130</f>
        <v>0</v>
      </c>
      <c r="H130" s="292">
        <f>+'Purchased Power Model '!H130</f>
        <v>96670558.392871693</v>
      </c>
      <c r="J130" s="287">
        <f>+'10 Year Average'!A130</f>
        <v>41487</v>
      </c>
      <c r="K130" s="293">
        <f>+'10 Year Average'!B130</f>
        <v>95663441.666666672</v>
      </c>
      <c r="L130" s="289">
        <f>+'10 Year Average'!C130</f>
        <v>11</v>
      </c>
      <c r="M130" s="289">
        <f>+'10 Year Average'!D130</f>
        <v>57.899999999999991</v>
      </c>
      <c r="N130" s="290">
        <f>+'10 Year Average'!E130</f>
        <v>6.2E-2</v>
      </c>
      <c r="O130" s="291">
        <f>+'10 Year Average'!F130</f>
        <v>31</v>
      </c>
      <c r="P130" s="291">
        <f>+'10 Year Average'!G130</f>
        <v>0</v>
      </c>
      <c r="Q130" s="292">
        <f>+'10 Year Average'!H130</f>
        <v>96670558.392871693</v>
      </c>
      <c r="S130" s="287">
        <f>+'20 Year Trend'!A130</f>
        <v>41487</v>
      </c>
      <c r="T130" s="293">
        <f>+'20 Year Trend'!B130</f>
        <v>95663441.666666672</v>
      </c>
      <c r="U130" s="289">
        <f>+'20 Year Trend'!C130</f>
        <v>11</v>
      </c>
      <c r="V130" s="289">
        <f>+'20 Year Trend'!D130</f>
        <v>57.899999999999991</v>
      </c>
      <c r="W130" s="290">
        <f>+'20 Year Trend'!E130</f>
        <v>6.2E-2</v>
      </c>
      <c r="X130" s="291">
        <f>+'20 Year Trend'!F130</f>
        <v>31</v>
      </c>
      <c r="Y130" s="291">
        <f>+'20 Year Trend'!G130</f>
        <v>0</v>
      </c>
      <c r="Z130" s="292">
        <f>+'20 Year Trend'!H130</f>
        <v>96670558.392871693</v>
      </c>
    </row>
    <row r="131" spans="1:26" x14ac:dyDescent="0.2">
      <c r="A131" s="287">
        <f>+'Purchased Power Model '!A131</f>
        <v>41518</v>
      </c>
      <c r="B131" s="293">
        <f>+'Purchased Power Model '!B131</f>
        <v>83012108.333333343</v>
      </c>
      <c r="C131" s="289">
        <f>+'Purchased Power Model '!C131</f>
        <v>96.600000000000009</v>
      </c>
      <c r="D131" s="289">
        <f>+'Purchased Power Model '!D131</f>
        <v>15.700000000000001</v>
      </c>
      <c r="E131" s="290">
        <f>+'Purchased Power Model '!E131</f>
        <v>6.2E-2</v>
      </c>
      <c r="F131" s="291">
        <f>+'Purchased Power Model '!F131</f>
        <v>30</v>
      </c>
      <c r="G131" s="291">
        <f>+'Purchased Power Model '!G131</f>
        <v>1</v>
      </c>
      <c r="H131" s="292">
        <f>+'Purchased Power Model '!H131</f>
        <v>84024075.324613675</v>
      </c>
      <c r="J131" s="287">
        <f>+'10 Year Average'!A131</f>
        <v>41518</v>
      </c>
      <c r="K131" s="293">
        <f>+'10 Year Average'!B131</f>
        <v>83012108.333333343</v>
      </c>
      <c r="L131" s="289">
        <f>+'10 Year Average'!C131</f>
        <v>96.600000000000009</v>
      </c>
      <c r="M131" s="289">
        <f>+'10 Year Average'!D131</f>
        <v>15.700000000000001</v>
      </c>
      <c r="N131" s="290">
        <f>+'10 Year Average'!E131</f>
        <v>6.2E-2</v>
      </c>
      <c r="O131" s="291">
        <f>+'10 Year Average'!F131</f>
        <v>30</v>
      </c>
      <c r="P131" s="291">
        <f>+'10 Year Average'!G131</f>
        <v>1</v>
      </c>
      <c r="Q131" s="292">
        <f>+'10 Year Average'!H131</f>
        <v>84024075.324613675</v>
      </c>
      <c r="S131" s="287">
        <f>+'20 Year Trend'!A131</f>
        <v>41518</v>
      </c>
      <c r="T131" s="293">
        <f>+'20 Year Trend'!B131</f>
        <v>83012108.333333343</v>
      </c>
      <c r="U131" s="289">
        <f>+'20 Year Trend'!C131</f>
        <v>96.600000000000009</v>
      </c>
      <c r="V131" s="289">
        <f>+'20 Year Trend'!D131</f>
        <v>15.700000000000001</v>
      </c>
      <c r="W131" s="290">
        <f>+'20 Year Trend'!E131</f>
        <v>6.2E-2</v>
      </c>
      <c r="X131" s="291">
        <f>+'20 Year Trend'!F131</f>
        <v>30</v>
      </c>
      <c r="Y131" s="291">
        <f>+'20 Year Trend'!G131</f>
        <v>1</v>
      </c>
      <c r="Z131" s="292">
        <f>+'20 Year Trend'!H131</f>
        <v>84024075.324613675</v>
      </c>
    </row>
    <row r="132" spans="1:26" x14ac:dyDescent="0.2">
      <c r="A132" s="287">
        <f>+'Purchased Power Model '!A132</f>
        <v>41548</v>
      </c>
      <c r="B132" s="293">
        <f>+'Purchased Power Model '!B132</f>
        <v>84463400.000000015</v>
      </c>
      <c r="C132" s="289">
        <f>+'Purchased Power Model '!C132</f>
        <v>221</v>
      </c>
      <c r="D132" s="289">
        <f>+'Purchased Power Model '!D132</f>
        <v>3</v>
      </c>
      <c r="E132" s="290">
        <f>+'Purchased Power Model '!E132</f>
        <v>7.5999999999999998E-2</v>
      </c>
      <c r="F132" s="291">
        <f>+'Purchased Power Model '!F132</f>
        <v>31</v>
      </c>
      <c r="G132" s="291">
        <f>+'Purchased Power Model '!G132</f>
        <v>1</v>
      </c>
      <c r="H132" s="292">
        <f>+'Purchased Power Model '!H132</f>
        <v>88492723.976857156</v>
      </c>
      <c r="J132" s="287">
        <f>+'10 Year Average'!A132</f>
        <v>41548</v>
      </c>
      <c r="K132" s="293">
        <f>+'10 Year Average'!B132</f>
        <v>84463400.000000015</v>
      </c>
      <c r="L132" s="289">
        <f>+'10 Year Average'!C132</f>
        <v>221</v>
      </c>
      <c r="M132" s="289">
        <f>+'10 Year Average'!D132</f>
        <v>3</v>
      </c>
      <c r="N132" s="290">
        <f>+'10 Year Average'!E132</f>
        <v>7.5999999999999998E-2</v>
      </c>
      <c r="O132" s="291">
        <f>+'10 Year Average'!F132</f>
        <v>31</v>
      </c>
      <c r="P132" s="291">
        <f>+'10 Year Average'!G132</f>
        <v>1</v>
      </c>
      <c r="Q132" s="292">
        <f>+'10 Year Average'!H132</f>
        <v>88492723.976857156</v>
      </c>
      <c r="S132" s="287">
        <f>+'20 Year Trend'!A132</f>
        <v>41548</v>
      </c>
      <c r="T132" s="293">
        <f>+'20 Year Trend'!B132</f>
        <v>84463400.000000015</v>
      </c>
      <c r="U132" s="289">
        <f>+'20 Year Trend'!C132</f>
        <v>221</v>
      </c>
      <c r="V132" s="289">
        <f>+'20 Year Trend'!D132</f>
        <v>3</v>
      </c>
      <c r="W132" s="290">
        <f>+'20 Year Trend'!E132</f>
        <v>7.5999999999999998E-2</v>
      </c>
      <c r="X132" s="291">
        <f>+'20 Year Trend'!F132</f>
        <v>31</v>
      </c>
      <c r="Y132" s="291">
        <f>+'20 Year Trend'!G132</f>
        <v>1</v>
      </c>
      <c r="Z132" s="292">
        <f>+'20 Year Trend'!H132</f>
        <v>88492723.976857156</v>
      </c>
    </row>
    <row r="133" spans="1:26" x14ac:dyDescent="0.2">
      <c r="A133" s="287">
        <f>+'Purchased Power Model '!A133</f>
        <v>41579</v>
      </c>
      <c r="B133" s="293">
        <f>+'Purchased Power Model '!B133</f>
        <v>94249183.333333343</v>
      </c>
      <c r="C133" s="289">
        <f>+'Purchased Power Model '!C133</f>
        <v>458.6</v>
      </c>
      <c r="D133" s="289">
        <f>+'Purchased Power Model '!D133</f>
        <v>0</v>
      </c>
      <c r="E133" s="290">
        <f>+'Purchased Power Model '!E133</f>
        <v>7.5999999999999998E-2</v>
      </c>
      <c r="F133" s="291">
        <f>+'Purchased Power Model '!F133</f>
        <v>30</v>
      </c>
      <c r="G133" s="291">
        <f>+'Purchased Power Model '!G133</f>
        <v>1</v>
      </c>
      <c r="H133" s="292">
        <f>+'Purchased Power Model '!H133</f>
        <v>94440773.066017643</v>
      </c>
      <c r="J133" s="287">
        <f>+'10 Year Average'!A133</f>
        <v>41579</v>
      </c>
      <c r="K133" s="293">
        <f>+'10 Year Average'!B133</f>
        <v>94249183.333333343</v>
      </c>
      <c r="L133" s="289">
        <f>+'10 Year Average'!C133</f>
        <v>458.6</v>
      </c>
      <c r="M133" s="289">
        <f>+'10 Year Average'!D133</f>
        <v>0</v>
      </c>
      <c r="N133" s="290">
        <f>+'10 Year Average'!E133</f>
        <v>7.5999999999999998E-2</v>
      </c>
      <c r="O133" s="291">
        <f>+'10 Year Average'!F133</f>
        <v>30</v>
      </c>
      <c r="P133" s="291">
        <f>+'10 Year Average'!G133</f>
        <v>1</v>
      </c>
      <c r="Q133" s="292">
        <f>+'10 Year Average'!H133</f>
        <v>94440773.066017643</v>
      </c>
      <c r="S133" s="287">
        <f>+'20 Year Trend'!A133</f>
        <v>41579</v>
      </c>
      <c r="T133" s="293">
        <f>+'20 Year Trend'!B133</f>
        <v>94249183.333333343</v>
      </c>
      <c r="U133" s="289">
        <f>+'20 Year Trend'!C133</f>
        <v>458.6</v>
      </c>
      <c r="V133" s="289">
        <f>+'20 Year Trend'!D133</f>
        <v>0</v>
      </c>
      <c r="W133" s="290">
        <f>+'20 Year Trend'!E133</f>
        <v>7.5999999999999998E-2</v>
      </c>
      <c r="X133" s="291">
        <f>+'20 Year Trend'!F133</f>
        <v>30</v>
      </c>
      <c r="Y133" s="291">
        <f>+'20 Year Trend'!G133</f>
        <v>1</v>
      </c>
      <c r="Z133" s="292">
        <f>+'20 Year Trend'!H133</f>
        <v>94440773.066017643</v>
      </c>
    </row>
    <row r="134" spans="1:26" x14ac:dyDescent="0.2">
      <c r="A134" s="287">
        <f>+'Purchased Power Model '!A134</f>
        <v>41609</v>
      </c>
      <c r="B134" s="293">
        <f>+'Purchased Power Model '!B134</f>
        <v>108415583.33333334</v>
      </c>
      <c r="C134" s="289">
        <f>+'Purchased Power Model '!C134</f>
        <v>472.8</v>
      </c>
      <c r="D134" s="289">
        <f ca="1">+'Purchased Power Model '!D134</f>
        <v>0</v>
      </c>
      <c r="E134" s="290">
        <f>+'Purchased Power Model '!E134</f>
        <v>7.5999999999999998E-2</v>
      </c>
      <c r="F134" s="291">
        <f>+'Purchased Power Model '!F134</f>
        <v>31</v>
      </c>
      <c r="G134" s="291">
        <f>+'Purchased Power Model '!G134</f>
        <v>0</v>
      </c>
      <c r="H134" s="292">
        <f ca="1">+'Purchased Power Model '!H134</f>
        <v>104451734.36942889</v>
      </c>
      <c r="J134" s="287">
        <f>+'10 Year Average'!A134</f>
        <v>41609</v>
      </c>
      <c r="K134" s="293">
        <f>+'10 Year Average'!B134</f>
        <v>108415583.33333334</v>
      </c>
      <c r="L134" s="289">
        <f>+'10 Year Average'!C134</f>
        <v>472.8</v>
      </c>
      <c r="M134" s="289">
        <f ca="1">+'10 Year Average'!D134</f>
        <v>0</v>
      </c>
      <c r="N134" s="290">
        <f>+'10 Year Average'!E134</f>
        <v>7.5999999999999998E-2</v>
      </c>
      <c r="O134" s="291">
        <f>+'10 Year Average'!F134</f>
        <v>31</v>
      </c>
      <c r="P134" s="291">
        <f>+'10 Year Average'!G134</f>
        <v>0</v>
      </c>
      <c r="Q134" s="292">
        <f ca="1">+'10 Year Average'!H134</f>
        <v>104451734.36942889</v>
      </c>
      <c r="S134" s="287">
        <f>+'20 Year Trend'!A134</f>
        <v>41609</v>
      </c>
      <c r="T134" s="293">
        <f>+'20 Year Trend'!B134</f>
        <v>108415583.33333334</v>
      </c>
      <c r="U134" s="289">
        <f>+'20 Year Trend'!C134</f>
        <v>472.8</v>
      </c>
      <c r="V134" s="289">
        <f ca="1">+'20 Year Trend'!D134</f>
        <v>0</v>
      </c>
      <c r="W134" s="290">
        <f>+'20 Year Trend'!E134</f>
        <v>7.5999999999999998E-2</v>
      </c>
      <c r="X134" s="291">
        <f>+'20 Year Trend'!F134</f>
        <v>31</v>
      </c>
      <c r="Y134" s="291">
        <f>+'20 Year Trend'!G134</f>
        <v>0</v>
      </c>
      <c r="Z134" s="292">
        <f ca="1">+'20 Year Trend'!H134</f>
        <v>104451734.36942889</v>
      </c>
    </row>
    <row r="135" spans="1:26" x14ac:dyDescent="0.2">
      <c r="A135" s="287">
        <f>+'Purchased Power Model '!A135</f>
        <v>41640</v>
      </c>
      <c r="B135" s="293">
        <f>+'Purchased Power Model '!B135</f>
        <v>117702582.33333334</v>
      </c>
      <c r="C135" s="289">
        <f>+'Purchased Power Model '!C135</f>
        <v>771.3</v>
      </c>
      <c r="D135" s="289">
        <f>+'Purchased Power Model '!D135</f>
        <v>0</v>
      </c>
      <c r="E135" s="290">
        <f>+'Purchased Power Model '!E135</f>
        <v>7.6999999999999999E-2</v>
      </c>
      <c r="F135" s="291">
        <f>+'Purchased Power Model '!F135</f>
        <v>31</v>
      </c>
      <c r="G135" s="291">
        <f>+'Purchased Power Model '!G135</f>
        <v>0</v>
      </c>
      <c r="H135" s="292">
        <f>+'Purchased Power Model '!H135</f>
        <v>115840089.42285436</v>
      </c>
      <c r="J135" s="287">
        <f>+'10 Year Average'!A135</f>
        <v>41640</v>
      </c>
      <c r="K135" s="293">
        <f>+'10 Year Average'!B135</f>
        <v>117702582.33333334</v>
      </c>
      <c r="L135" s="289">
        <f>+'10 Year Average'!C135</f>
        <v>771.3</v>
      </c>
      <c r="M135" s="289">
        <f>+'10 Year Average'!D135</f>
        <v>0</v>
      </c>
      <c r="N135" s="290">
        <f>+'10 Year Average'!E135</f>
        <v>7.6999999999999999E-2</v>
      </c>
      <c r="O135" s="291">
        <f>+'10 Year Average'!F135</f>
        <v>31</v>
      </c>
      <c r="P135" s="291">
        <f>+'10 Year Average'!G135</f>
        <v>0</v>
      </c>
      <c r="Q135" s="292">
        <f>+'10 Year Average'!H135</f>
        <v>115840089.42285436</v>
      </c>
      <c r="S135" s="287">
        <f>+'20 Year Trend'!A135</f>
        <v>41640</v>
      </c>
      <c r="T135" s="293">
        <f>+'20 Year Trend'!B135</f>
        <v>117702582.33333334</v>
      </c>
      <c r="U135" s="289">
        <f>+'20 Year Trend'!C135</f>
        <v>771.3</v>
      </c>
      <c r="V135" s="289">
        <f>+'20 Year Trend'!D135</f>
        <v>0</v>
      </c>
      <c r="W135" s="290">
        <f>+'20 Year Trend'!E135</f>
        <v>7.6999999999999999E-2</v>
      </c>
      <c r="X135" s="291">
        <f>+'20 Year Trend'!F135</f>
        <v>31</v>
      </c>
      <c r="Y135" s="291">
        <f>+'20 Year Trend'!G135</f>
        <v>0</v>
      </c>
      <c r="Z135" s="292">
        <f>+'20 Year Trend'!H135</f>
        <v>115840089.42285436</v>
      </c>
    </row>
    <row r="136" spans="1:26" x14ac:dyDescent="0.2">
      <c r="A136" s="287">
        <f>+'Purchased Power Model '!A136</f>
        <v>41671</v>
      </c>
      <c r="B136" s="293">
        <f>+'Purchased Power Model '!B136</f>
        <v>101945538.33333334</v>
      </c>
      <c r="C136" s="289">
        <f>+'Purchased Power Model '!C136</f>
        <v>690.84999999999991</v>
      </c>
      <c r="D136" s="289">
        <f>+'Purchased Power Model '!D136</f>
        <v>0</v>
      </c>
      <c r="E136" s="290">
        <f>+'Purchased Power Model '!E136</f>
        <v>7.6999999999999999E-2</v>
      </c>
      <c r="F136" s="291">
        <f>+'Purchased Power Model '!F136</f>
        <v>28</v>
      </c>
      <c r="G136" s="291">
        <f>+'Purchased Power Model '!G136</f>
        <v>0</v>
      </c>
      <c r="H136" s="292">
        <f>+'Purchased Power Model '!H136</f>
        <v>104594583.91325292</v>
      </c>
      <c r="J136" s="287">
        <f>+'10 Year Average'!A136</f>
        <v>41671</v>
      </c>
      <c r="K136" s="293">
        <f>+'10 Year Average'!B136</f>
        <v>101945538.33333334</v>
      </c>
      <c r="L136" s="289">
        <f>+'10 Year Average'!C136</f>
        <v>690.84999999999991</v>
      </c>
      <c r="M136" s="289">
        <f>+'10 Year Average'!D136</f>
        <v>0</v>
      </c>
      <c r="N136" s="290">
        <f>+'10 Year Average'!E136</f>
        <v>7.6999999999999999E-2</v>
      </c>
      <c r="O136" s="291">
        <f>+'10 Year Average'!F136</f>
        <v>28</v>
      </c>
      <c r="P136" s="291">
        <f>+'10 Year Average'!G136</f>
        <v>0</v>
      </c>
      <c r="Q136" s="292">
        <f>+'10 Year Average'!H136</f>
        <v>104594583.91325292</v>
      </c>
      <c r="S136" s="287">
        <f>+'20 Year Trend'!A136</f>
        <v>41671</v>
      </c>
      <c r="T136" s="293">
        <f>+'20 Year Trend'!B136</f>
        <v>101945538.33333334</v>
      </c>
      <c r="U136" s="289">
        <f>+'20 Year Trend'!C136</f>
        <v>690.84999999999991</v>
      </c>
      <c r="V136" s="289">
        <f>+'20 Year Trend'!D136</f>
        <v>0</v>
      </c>
      <c r="W136" s="290">
        <f>+'20 Year Trend'!E136</f>
        <v>7.6999999999999999E-2</v>
      </c>
      <c r="X136" s="291">
        <f>+'20 Year Trend'!F136</f>
        <v>28</v>
      </c>
      <c r="Y136" s="291">
        <f>+'20 Year Trend'!G136</f>
        <v>0</v>
      </c>
      <c r="Z136" s="292">
        <f>+'20 Year Trend'!H136</f>
        <v>104594583.91325292</v>
      </c>
    </row>
    <row r="137" spans="1:26" x14ac:dyDescent="0.2">
      <c r="A137" s="287">
        <f>+'Purchased Power Model '!A137</f>
        <v>41699</v>
      </c>
      <c r="B137" s="293">
        <f>+'Purchased Power Model '!B137</f>
        <v>106417935.35000001</v>
      </c>
      <c r="C137" s="289">
        <f>+'Purchased Power Model '!C137</f>
        <v>677.95</v>
      </c>
      <c r="D137" s="289">
        <f>+'Purchased Power Model '!D137</f>
        <v>0</v>
      </c>
      <c r="E137" s="290">
        <f>+'Purchased Power Model '!E137</f>
        <v>7.6999999999999999E-2</v>
      </c>
      <c r="F137" s="291">
        <f>+'Purchased Power Model '!F137</f>
        <v>31</v>
      </c>
      <c r="G137" s="291">
        <f>+'Purchased Power Model '!G137</f>
        <v>1</v>
      </c>
      <c r="H137" s="292">
        <f>+'Purchased Power Model '!H137</f>
        <v>105507377.44723457</v>
      </c>
      <c r="J137" s="287">
        <f>+'10 Year Average'!A137</f>
        <v>41699</v>
      </c>
      <c r="K137" s="293">
        <f>+'10 Year Average'!B137</f>
        <v>106417935.35000001</v>
      </c>
      <c r="L137" s="289">
        <f>+'10 Year Average'!C137</f>
        <v>677.95</v>
      </c>
      <c r="M137" s="289">
        <f>+'10 Year Average'!D137</f>
        <v>0</v>
      </c>
      <c r="N137" s="290">
        <f>+'10 Year Average'!E137</f>
        <v>7.6999999999999999E-2</v>
      </c>
      <c r="O137" s="291">
        <f>+'10 Year Average'!F137</f>
        <v>31</v>
      </c>
      <c r="P137" s="291">
        <f>+'10 Year Average'!G137</f>
        <v>1</v>
      </c>
      <c r="Q137" s="292">
        <f>+'10 Year Average'!H137</f>
        <v>105507377.44723457</v>
      </c>
      <c r="S137" s="287">
        <f>+'20 Year Trend'!A137</f>
        <v>41699</v>
      </c>
      <c r="T137" s="293">
        <f>+'20 Year Trend'!B137</f>
        <v>106417935.35000001</v>
      </c>
      <c r="U137" s="289">
        <f>+'20 Year Trend'!C137</f>
        <v>677.95</v>
      </c>
      <c r="V137" s="289">
        <f>+'20 Year Trend'!D137</f>
        <v>0</v>
      </c>
      <c r="W137" s="290">
        <f>+'20 Year Trend'!E137</f>
        <v>7.6999999999999999E-2</v>
      </c>
      <c r="X137" s="291">
        <f>+'20 Year Trend'!F137</f>
        <v>31</v>
      </c>
      <c r="Y137" s="291">
        <f>+'20 Year Trend'!G137</f>
        <v>1</v>
      </c>
      <c r="Z137" s="292">
        <f>+'20 Year Trend'!H137</f>
        <v>105507377.44723457</v>
      </c>
    </row>
    <row r="138" spans="1:26" x14ac:dyDescent="0.2">
      <c r="A138" s="287">
        <f>+'Purchased Power Model '!A138</f>
        <v>41730</v>
      </c>
      <c r="B138" s="293">
        <f>+'Purchased Power Model '!B138</f>
        <v>86925100.333333343</v>
      </c>
      <c r="C138" s="289">
        <f>+'Purchased Power Model '!C138</f>
        <v>371.2999999999999</v>
      </c>
      <c r="D138" s="289">
        <f>+'Purchased Power Model '!D138</f>
        <v>0</v>
      </c>
      <c r="E138" s="290">
        <f>+'Purchased Power Model '!E138</f>
        <v>6.7000000000000004E-2</v>
      </c>
      <c r="F138" s="291">
        <f>+'Purchased Power Model '!F138</f>
        <v>30</v>
      </c>
      <c r="G138" s="291">
        <f>+'Purchased Power Model '!G138</f>
        <v>1</v>
      </c>
      <c r="H138" s="292">
        <f>+'Purchased Power Model '!H138</f>
        <v>91782636.289716765</v>
      </c>
      <c r="J138" s="287">
        <f>+'10 Year Average'!A138</f>
        <v>41730</v>
      </c>
      <c r="K138" s="293">
        <f>+'10 Year Average'!B138</f>
        <v>86925100.333333343</v>
      </c>
      <c r="L138" s="289">
        <f>+'10 Year Average'!C138</f>
        <v>371.2999999999999</v>
      </c>
      <c r="M138" s="289">
        <f>+'10 Year Average'!D138</f>
        <v>0</v>
      </c>
      <c r="N138" s="290">
        <f>+'10 Year Average'!E138</f>
        <v>6.7000000000000004E-2</v>
      </c>
      <c r="O138" s="291">
        <f>+'10 Year Average'!F138</f>
        <v>30</v>
      </c>
      <c r="P138" s="291">
        <f>+'10 Year Average'!G138</f>
        <v>1</v>
      </c>
      <c r="Q138" s="292">
        <f>+'10 Year Average'!H138</f>
        <v>91782636.289716765</v>
      </c>
      <c r="S138" s="287">
        <f>+'20 Year Trend'!A138</f>
        <v>41730</v>
      </c>
      <c r="T138" s="293">
        <f>+'20 Year Trend'!B138</f>
        <v>86925100.333333343</v>
      </c>
      <c r="U138" s="289">
        <f>+'20 Year Trend'!C138</f>
        <v>371.2999999999999</v>
      </c>
      <c r="V138" s="289">
        <f>+'20 Year Trend'!D138</f>
        <v>0</v>
      </c>
      <c r="W138" s="290">
        <f>+'20 Year Trend'!E138</f>
        <v>6.7000000000000004E-2</v>
      </c>
      <c r="X138" s="291">
        <f>+'20 Year Trend'!F138</f>
        <v>30</v>
      </c>
      <c r="Y138" s="291">
        <f>+'20 Year Trend'!G138</f>
        <v>1</v>
      </c>
      <c r="Z138" s="292">
        <f>+'20 Year Trend'!H138</f>
        <v>91782636.289716765</v>
      </c>
    </row>
    <row r="139" spans="1:26" x14ac:dyDescent="0.2">
      <c r="A139" s="287">
        <f>+'Purchased Power Model '!A139</f>
        <v>41760</v>
      </c>
      <c r="B139" s="293">
        <f>+'Purchased Power Model '!B139</f>
        <v>81755065.176384613</v>
      </c>
      <c r="C139" s="289">
        <f>+'Purchased Power Model '!C139</f>
        <v>160.49999999999994</v>
      </c>
      <c r="D139" s="289">
        <f>+'Purchased Power Model '!D139</f>
        <v>1.3</v>
      </c>
      <c r="E139" s="290">
        <f>+'Purchased Power Model '!E139</f>
        <v>6.7000000000000004E-2</v>
      </c>
      <c r="F139" s="291">
        <f>+'Purchased Power Model '!F139</f>
        <v>31</v>
      </c>
      <c r="G139" s="291">
        <f>+'Purchased Power Model '!G139</f>
        <v>1</v>
      </c>
      <c r="H139" s="292">
        <f>+'Purchased Power Model '!H139</f>
        <v>86603397.788298562</v>
      </c>
      <c r="J139" s="287">
        <f>+'10 Year Average'!A139</f>
        <v>41760</v>
      </c>
      <c r="K139" s="293">
        <f>+'10 Year Average'!B139</f>
        <v>81755065.176384613</v>
      </c>
      <c r="L139" s="289">
        <f>+'10 Year Average'!C139</f>
        <v>160.49999999999994</v>
      </c>
      <c r="M139" s="289">
        <f>+'10 Year Average'!D139</f>
        <v>1.3</v>
      </c>
      <c r="N139" s="290">
        <f>+'10 Year Average'!E139</f>
        <v>6.7000000000000004E-2</v>
      </c>
      <c r="O139" s="291">
        <f>+'10 Year Average'!F139</f>
        <v>31</v>
      </c>
      <c r="P139" s="291">
        <f>+'10 Year Average'!G139</f>
        <v>1</v>
      </c>
      <c r="Q139" s="292">
        <f>+'10 Year Average'!H139</f>
        <v>86603397.788298562</v>
      </c>
      <c r="S139" s="287">
        <f>+'20 Year Trend'!A139</f>
        <v>41760</v>
      </c>
      <c r="T139" s="293">
        <f>+'20 Year Trend'!B139</f>
        <v>81755065.176384613</v>
      </c>
      <c r="U139" s="289">
        <f>+'20 Year Trend'!C139</f>
        <v>160.49999999999994</v>
      </c>
      <c r="V139" s="289">
        <f>+'20 Year Trend'!D139</f>
        <v>1.3</v>
      </c>
      <c r="W139" s="290">
        <f>+'20 Year Trend'!E139</f>
        <v>6.7000000000000004E-2</v>
      </c>
      <c r="X139" s="291">
        <f>+'20 Year Trend'!F139</f>
        <v>31</v>
      </c>
      <c r="Y139" s="291">
        <f>+'20 Year Trend'!G139</f>
        <v>1</v>
      </c>
      <c r="Z139" s="292">
        <f>+'20 Year Trend'!H139</f>
        <v>86603397.788298562</v>
      </c>
    </row>
    <row r="140" spans="1:26" x14ac:dyDescent="0.2">
      <c r="A140" s="287">
        <f>+'Purchased Power Model '!A140</f>
        <v>41791</v>
      </c>
      <c r="B140" s="293">
        <f>+'Purchased Power Model '!B140</f>
        <v>88119245.461538464</v>
      </c>
      <c r="C140" s="289">
        <f>+'Purchased Power Model '!C140</f>
        <v>26.9</v>
      </c>
      <c r="D140" s="289">
        <f>+'Purchased Power Model '!D140</f>
        <v>40.1</v>
      </c>
      <c r="E140" s="290">
        <f>+'Purchased Power Model '!E140</f>
        <v>6.7000000000000004E-2</v>
      </c>
      <c r="F140" s="291">
        <f>+'Purchased Power Model '!F140</f>
        <v>30</v>
      </c>
      <c r="G140" s="291">
        <f>+'Purchased Power Model '!G140</f>
        <v>0</v>
      </c>
      <c r="H140" s="292">
        <f>+'Purchased Power Model '!H140</f>
        <v>91448065.719753549</v>
      </c>
      <c r="J140" s="287">
        <f>+'10 Year Average'!A140</f>
        <v>41791</v>
      </c>
      <c r="K140" s="293">
        <f>+'10 Year Average'!B140</f>
        <v>88119245.461538464</v>
      </c>
      <c r="L140" s="289">
        <f>+'10 Year Average'!C140</f>
        <v>26.9</v>
      </c>
      <c r="M140" s="289">
        <f>+'10 Year Average'!D140</f>
        <v>40.1</v>
      </c>
      <c r="N140" s="290">
        <f>+'10 Year Average'!E140</f>
        <v>6.7000000000000004E-2</v>
      </c>
      <c r="O140" s="291">
        <f>+'10 Year Average'!F140</f>
        <v>30</v>
      </c>
      <c r="P140" s="291">
        <f>+'10 Year Average'!G140</f>
        <v>0</v>
      </c>
      <c r="Q140" s="292">
        <f>+'10 Year Average'!H140</f>
        <v>91448065.719753549</v>
      </c>
      <c r="S140" s="287">
        <f>+'20 Year Trend'!A140</f>
        <v>41791</v>
      </c>
      <c r="T140" s="293">
        <f>+'20 Year Trend'!B140</f>
        <v>88119245.461538464</v>
      </c>
      <c r="U140" s="289">
        <f>+'20 Year Trend'!C140</f>
        <v>26.9</v>
      </c>
      <c r="V140" s="289">
        <f>+'20 Year Trend'!D140</f>
        <v>40.1</v>
      </c>
      <c r="W140" s="290">
        <f>+'20 Year Trend'!E140</f>
        <v>6.7000000000000004E-2</v>
      </c>
      <c r="X140" s="291">
        <f>+'20 Year Trend'!F140</f>
        <v>30</v>
      </c>
      <c r="Y140" s="291">
        <f>+'20 Year Trend'!G140</f>
        <v>0</v>
      </c>
      <c r="Z140" s="292">
        <f>+'20 Year Trend'!H140</f>
        <v>91448065.719753549</v>
      </c>
    </row>
    <row r="141" spans="1:26" x14ac:dyDescent="0.2">
      <c r="A141" s="287">
        <f>+'Purchased Power Model '!A141</f>
        <v>41821</v>
      </c>
      <c r="B141" s="293">
        <f>+'Purchased Power Model '!B141</f>
        <v>93045474.15384616</v>
      </c>
      <c r="C141" s="289">
        <f>+'Purchased Power Model '!C141</f>
        <v>9.5999999999999979</v>
      </c>
      <c r="D141" s="289">
        <f>+'Purchased Power Model '!D141</f>
        <v>54.599999999999994</v>
      </c>
      <c r="E141" s="290">
        <f>+'Purchased Power Model '!E141</f>
        <v>7.5999999999999998E-2</v>
      </c>
      <c r="F141" s="291">
        <f>+'Purchased Power Model '!F141</f>
        <v>31</v>
      </c>
      <c r="G141" s="291">
        <f>+'Purchased Power Model '!G141</f>
        <v>0</v>
      </c>
      <c r="H141" s="292">
        <f>+'Purchased Power Model '!H141</f>
        <v>95029629.00792563</v>
      </c>
      <c r="J141" s="287">
        <f>+'10 Year Average'!A141</f>
        <v>41821</v>
      </c>
      <c r="K141" s="293">
        <f>+'10 Year Average'!B141</f>
        <v>93045474.15384616</v>
      </c>
      <c r="L141" s="289">
        <f>+'10 Year Average'!C141</f>
        <v>9.5999999999999979</v>
      </c>
      <c r="M141" s="289">
        <f>+'10 Year Average'!D141</f>
        <v>54.599999999999994</v>
      </c>
      <c r="N141" s="290">
        <f>+'10 Year Average'!E141</f>
        <v>7.5999999999999998E-2</v>
      </c>
      <c r="O141" s="291">
        <f>+'10 Year Average'!F141</f>
        <v>31</v>
      </c>
      <c r="P141" s="291">
        <f>+'10 Year Average'!G141</f>
        <v>0</v>
      </c>
      <c r="Q141" s="292">
        <f>+'10 Year Average'!H141</f>
        <v>95029629.00792563</v>
      </c>
      <c r="S141" s="287">
        <f>+'20 Year Trend'!A141</f>
        <v>41821</v>
      </c>
      <c r="T141" s="293">
        <f>+'20 Year Trend'!B141</f>
        <v>93045474.15384616</v>
      </c>
      <c r="U141" s="289">
        <f>+'20 Year Trend'!C141</f>
        <v>9.5999999999999979</v>
      </c>
      <c r="V141" s="289">
        <f>+'20 Year Trend'!D141</f>
        <v>54.599999999999994</v>
      </c>
      <c r="W141" s="290">
        <f>+'20 Year Trend'!E141</f>
        <v>7.5999999999999998E-2</v>
      </c>
      <c r="X141" s="291">
        <f>+'20 Year Trend'!F141</f>
        <v>31</v>
      </c>
      <c r="Y141" s="291">
        <f>+'20 Year Trend'!G141</f>
        <v>0</v>
      </c>
      <c r="Z141" s="292">
        <f>+'20 Year Trend'!H141</f>
        <v>95029629.00792563</v>
      </c>
    </row>
    <row r="142" spans="1:26" x14ac:dyDescent="0.2">
      <c r="A142" s="287">
        <f>+'Purchased Power Model '!A142</f>
        <v>41852</v>
      </c>
      <c r="B142" s="293">
        <f>+'Purchased Power Model '!B142</f>
        <v>92680248.923076928</v>
      </c>
      <c r="C142" s="289">
        <f>+'Purchased Power Model '!C142</f>
        <v>12.7</v>
      </c>
      <c r="D142" s="289">
        <f>+'Purchased Power Model '!D142</f>
        <v>58</v>
      </c>
      <c r="E142" s="290">
        <f>+'Purchased Power Model '!E142</f>
        <v>7.5999999999999998E-2</v>
      </c>
      <c r="F142" s="291">
        <f>+'Purchased Power Model '!F142</f>
        <v>31</v>
      </c>
      <c r="G142" s="291">
        <f>+'Purchased Power Model '!G142</f>
        <v>0</v>
      </c>
      <c r="H142" s="292">
        <f>+'Purchased Power Model '!H142</f>
        <v>95669893.808336258</v>
      </c>
      <c r="J142" s="287">
        <f>+'10 Year Average'!A142</f>
        <v>41852</v>
      </c>
      <c r="K142" s="293">
        <f>+'10 Year Average'!B142</f>
        <v>92680248.923076928</v>
      </c>
      <c r="L142" s="289">
        <f>+'10 Year Average'!C142</f>
        <v>12.7</v>
      </c>
      <c r="M142" s="289">
        <f>+'10 Year Average'!D142</f>
        <v>58</v>
      </c>
      <c r="N142" s="290">
        <f>+'10 Year Average'!E142</f>
        <v>7.5999999999999998E-2</v>
      </c>
      <c r="O142" s="291">
        <f>+'10 Year Average'!F142</f>
        <v>31</v>
      </c>
      <c r="P142" s="291">
        <f>+'10 Year Average'!G142</f>
        <v>0</v>
      </c>
      <c r="Q142" s="292">
        <f>+'10 Year Average'!H142</f>
        <v>95669893.808336258</v>
      </c>
      <c r="S142" s="287">
        <f>+'20 Year Trend'!A142</f>
        <v>41852</v>
      </c>
      <c r="T142" s="293">
        <f>+'20 Year Trend'!B142</f>
        <v>92680248.923076928</v>
      </c>
      <c r="U142" s="289">
        <f>+'20 Year Trend'!C142</f>
        <v>12.7</v>
      </c>
      <c r="V142" s="289">
        <f>+'20 Year Trend'!D142</f>
        <v>58</v>
      </c>
      <c r="W142" s="290">
        <f>+'20 Year Trend'!E142</f>
        <v>7.5999999999999998E-2</v>
      </c>
      <c r="X142" s="291">
        <f>+'20 Year Trend'!F142</f>
        <v>31</v>
      </c>
      <c r="Y142" s="291">
        <f>+'20 Year Trend'!G142</f>
        <v>0</v>
      </c>
      <c r="Z142" s="292">
        <f>+'20 Year Trend'!H142</f>
        <v>95669893.808336258</v>
      </c>
    </row>
    <row r="143" spans="1:26" x14ac:dyDescent="0.2">
      <c r="A143" s="287">
        <f>+'Purchased Power Model '!A143</f>
        <v>41883</v>
      </c>
      <c r="B143" s="293">
        <f>+'Purchased Power Model '!B143</f>
        <v>84852396.923076928</v>
      </c>
      <c r="C143" s="289">
        <f>+'Purchased Power Model '!C143</f>
        <v>77.400000000000006</v>
      </c>
      <c r="D143" s="289">
        <f>+'Purchased Power Model '!D143</f>
        <v>22.5</v>
      </c>
      <c r="E143" s="290">
        <f>+'Purchased Power Model '!E143</f>
        <v>7.5999999999999998E-2</v>
      </c>
      <c r="F143" s="291">
        <f>+'Purchased Power Model '!F143</f>
        <v>30</v>
      </c>
      <c r="G143" s="291">
        <f>+'Purchased Power Model '!G143</f>
        <v>1</v>
      </c>
      <c r="H143" s="292">
        <f>+'Purchased Power Model '!H143</f>
        <v>83247681.545460209</v>
      </c>
      <c r="J143" s="287">
        <f>+'10 Year Average'!A143</f>
        <v>41883</v>
      </c>
      <c r="K143" s="293">
        <f>+'10 Year Average'!B143</f>
        <v>84852396.923076928</v>
      </c>
      <c r="L143" s="289">
        <f>+'10 Year Average'!C143</f>
        <v>77.400000000000006</v>
      </c>
      <c r="M143" s="289">
        <f>+'10 Year Average'!D143</f>
        <v>22.5</v>
      </c>
      <c r="N143" s="290">
        <f>+'10 Year Average'!E143</f>
        <v>7.5999999999999998E-2</v>
      </c>
      <c r="O143" s="291">
        <f>+'10 Year Average'!F143</f>
        <v>30</v>
      </c>
      <c r="P143" s="291">
        <f>+'10 Year Average'!G143</f>
        <v>1</v>
      </c>
      <c r="Q143" s="292">
        <f>+'10 Year Average'!H143</f>
        <v>83247681.545460209</v>
      </c>
      <c r="S143" s="287">
        <f>+'20 Year Trend'!A143</f>
        <v>41883</v>
      </c>
      <c r="T143" s="293">
        <f>+'20 Year Trend'!B143</f>
        <v>84852396.923076928</v>
      </c>
      <c r="U143" s="289">
        <f>+'20 Year Trend'!C143</f>
        <v>77.400000000000006</v>
      </c>
      <c r="V143" s="289">
        <f>+'20 Year Trend'!D143</f>
        <v>22.5</v>
      </c>
      <c r="W143" s="290">
        <f>+'20 Year Trend'!E143</f>
        <v>7.5999999999999998E-2</v>
      </c>
      <c r="X143" s="291">
        <f>+'20 Year Trend'!F143</f>
        <v>30</v>
      </c>
      <c r="Y143" s="291">
        <f>+'20 Year Trend'!G143</f>
        <v>1</v>
      </c>
      <c r="Z143" s="292">
        <f>+'20 Year Trend'!H143</f>
        <v>83247681.545460209</v>
      </c>
    </row>
    <row r="144" spans="1:26" x14ac:dyDescent="0.2">
      <c r="A144" s="287">
        <f>+'Purchased Power Model '!A144</f>
        <v>41913</v>
      </c>
      <c r="B144" s="293">
        <f>+'Purchased Power Model '!B144</f>
        <v>84720129.461538464</v>
      </c>
      <c r="C144" s="289">
        <f>+'Purchased Power Model '!C144</f>
        <v>216.29999999999998</v>
      </c>
      <c r="D144" s="289">
        <f>+'Purchased Power Model '!D144</f>
        <v>0.5</v>
      </c>
      <c r="E144" s="290">
        <f>+'Purchased Power Model '!E144</f>
        <v>7.400000000000001E-2</v>
      </c>
      <c r="F144" s="291">
        <f>+'Purchased Power Model '!F144</f>
        <v>31</v>
      </c>
      <c r="G144" s="291">
        <f>+'Purchased Power Model '!G144</f>
        <v>1</v>
      </c>
      <c r="H144" s="292">
        <f>+'Purchased Power Model '!H144</f>
        <v>88083434.851602942</v>
      </c>
      <c r="J144" s="287">
        <f>+'10 Year Average'!A144</f>
        <v>41913</v>
      </c>
      <c r="K144" s="293">
        <f>+'10 Year Average'!B144</f>
        <v>84720129.461538464</v>
      </c>
      <c r="L144" s="289">
        <f>+'10 Year Average'!C144</f>
        <v>216.29999999999998</v>
      </c>
      <c r="M144" s="289">
        <f>+'10 Year Average'!D144</f>
        <v>0.5</v>
      </c>
      <c r="N144" s="290">
        <f>+'10 Year Average'!E144</f>
        <v>7.400000000000001E-2</v>
      </c>
      <c r="O144" s="291">
        <f>+'10 Year Average'!F144</f>
        <v>31</v>
      </c>
      <c r="P144" s="291">
        <f>+'10 Year Average'!G144</f>
        <v>1</v>
      </c>
      <c r="Q144" s="292">
        <f>+'10 Year Average'!H144</f>
        <v>88083434.851602942</v>
      </c>
      <c r="S144" s="287">
        <f>+'20 Year Trend'!A144</f>
        <v>41913</v>
      </c>
      <c r="T144" s="293">
        <f>+'20 Year Trend'!B144</f>
        <v>84720129.461538464</v>
      </c>
      <c r="U144" s="289">
        <f>+'20 Year Trend'!C144</f>
        <v>216.29999999999998</v>
      </c>
      <c r="V144" s="289">
        <f>+'20 Year Trend'!D144</f>
        <v>0.5</v>
      </c>
      <c r="W144" s="290">
        <f>+'20 Year Trend'!E144</f>
        <v>7.400000000000001E-2</v>
      </c>
      <c r="X144" s="291">
        <f>+'20 Year Trend'!F144</f>
        <v>31</v>
      </c>
      <c r="Y144" s="291">
        <f>+'20 Year Trend'!G144</f>
        <v>1</v>
      </c>
      <c r="Z144" s="292">
        <f>+'20 Year Trend'!H144</f>
        <v>88083434.851602942</v>
      </c>
    </row>
    <row r="145" spans="1:26" x14ac:dyDescent="0.2">
      <c r="A145" s="287">
        <f>+'Purchased Power Model '!A145</f>
        <v>41944</v>
      </c>
      <c r="B145" s="293">
        <f>+'Purchased Power Model '!B145</f>
        <v>94073964.750000015</v>
      </c>
      <c r="C145" s="289">
        <f>+'Purchased Power Model '!C145</f>
        <v>407.30000000000013</v>
      </c>
      <c r="D145" s="289">
        <f>+'Purchased Power Model '!D145</f>
        <v>0</v>
      </c>
      <c r="E145" s="290">
        <f>+'Purchased Power Model '!E145</f>
        <v>6.8000000000000005E-2</v>
      </c>
      <c r="F145" s="291">
        <f>+'Purchased Power Model '!F145</f>
        <v>30</v>
      </c>
      <c r="G145" s="291">
        <f>+'Purchased Power Model '!G145</f>
        <v>1</v>
      </c>
      <c r="H145" s="292">
        <f>+'Purchased Power Model '!H145</f>
        <v>93088185.899183065</v>
      </c>
      <c r="J145" s="287">
        <f>+'10 Year Average'!A145</f>
        <v>41944</v>
      </c>
      <c r="K145" s="293">
        <f>+'10 Year Average'!B145</f>
        <v>94073964.750000015</v>
      </c>
      <c r="L145" s="289">
        <f>+'10 Year Average'!C145</f>
        <v>407.30000000000013</v>
      </c>
      <c r="M145" s="289">
        <f>+'10 Year Average'!D145</f>
        <v>0</v>
      </c>
      <c r="N145" s="290">
        <f>+'10 Year Average'!E145</f>
        <v>6.8000000000000005E-2</v>
      </c>
      <c r="O145" s="291">
        <f>+'10 Year Average'!F145</f>
        <v>30</v>
      </c>
      <c r="P145" s="291">
        <f>+'10 Year Average'!G145</f>
        <v>1</v>
      </c>
      <c r="Q145" s="292">
        <f>+'10 Year Average'!H145</f>
        <v>93088185.899183065</v>
      </c>
      <c r="S145" s="287">
        <f>+'20 Year Trend'!A145</f>
        <v>41944</v>
      </c>
      <c r="T145" s="293">
        <f>+'20 Year Trend'!B145</f>
        <v>94073964.750000015</v>
      </c>
      <c r="U145" s="289">
        <f>+'20 Year Trend'!C145</f>
        <v>407.30000000000013</v>
      </c>
      <c r="V145" s="289">
        <f>+'20 Year Trend'!D145</f>
        <v>0</v>
      </c>
      <c r="W145" s="290">
        <f>+'20 Year Trend'!E145</f>
        <v>6.8000000000000005E-2</v>
      </c>
      <c r="X145" s="291">
        <f>+'20 Year Trend'!F145</f>
        <v>30</v>
      </c>
      <c r="Y145" s="291">
        <f>+'20 Year Trend'!G145</f>
        <v>1</v>
      </c>
      <c r="Z145" s="292">
        <f>+'20 Year Trend'!H145</f>
        <v>93088185.899183065</v>
      </c>
    </row>
    <row r="146" spans="1:26" x14ac:dyDescent="0.2">
      <c r="A146" s="287">
        <f>+'Purchased Power Model '!A146</f>
        <v>41974</v>
      </c>
      <c r="B146" s="293">
        <f>+'Purchased Power Model '!B146</f>
        <v>102732461.57384616</v>
      </c>
      <c r="C146" s="289">
        <f>+'Purchased Power Model '!C146</f>
        <v>551.79999999999995</v>
      </c>
      <c r="D146" s="289">
        <f>+'Purchased Power Model '!D146</f>
        <v>0</v>
      </c>
      <c r="E146" s="290">
        <f>+'Purchased Power Model '!E146</f>
        <v>6.6000000000000003E-2</v>
      </c>
      <c r="F146" s="291">
        <f>+'Purchased Power Model '!F146</f>
        <v>31</v>
      </c>
      <c r="G146" s="291">
        <f>+'Purchased Power Model '!G146</f>
        <v>0</v>
      </c>
      <c r="H146" s="292">
        <f>+'Purchased Power Model '!H146</f>
        <v>108258530.04580626</v>
      </c>
      <c r="J146" s="287">
        <f>+'10 Year Average'!A146</f>
        <v>41974</v>
      </c>
      <c r="K146" s="293">
        <f>+'10 Year Average'!B146</f>
        <v>102732461.57384616</v>
      </c>
      <c r="L146" s="289">
        <f>+'10 Year Average'!C146</f>
        <v>551.79999999999995</v>
      </c>
      <c r="M146" s="289">
        <f>+'10 Year Average'!D146</f>
        <v>0</v>
      </c>
      <c r="N146" s="290">
        <f>+'10 Year Average'!E146</f>
        <v>6.6000000000000003E-2</v>
      </c>
      <c r="O146" s="291">
        <f>+'10 Year Average'!F146</f>
        <v>31</v>
      </c>
      <c r="P146" s="291">
        <f>+'10 Year Average'!G146</f>
        <v>0</v>
      </c>
      <c r="Q146" s="292">
        <f>+'10 Year Average'!H146</f>
        <v>108258530.04580626</v>
      </c>
      <c r="S146" s="287">
        <f>+'20 Year Trend'!A146</f>
        <v>41974</v>
      </c>
      <c r="T146" s="293">
        <f>+'20 Year Trend'!B146</f>
        <v>102732461.57384616</v>
      </c>
      <c r="U146" s="289">
        <f>+'20 Year Trend'!C146</f>
        <v>551.79999999999995</v>
      </c>
      <c r="V146" s="289">
        <f>+'20 Year Trend'!D146</f>
        <v>0</v>
      </c>
      <c r="W146" s="290">
        <f>+'20 Year Trend'!E146</f>
        <v>6.6000000000000003E-2</v>
      </c>
      <c r="X146" s="291">
        <f>+'20 Year Trend'!F146</f>
        <v>31</v>
      </c>
      <c r="Y146" s="291">
        <f>+'20 Year Trend'!G146</f>
        <v>0</v>
      </c>
      <c r="Z146" s="292">
        <f>+'20 Year Trend'!H146</f>
        <v>108258530.04580626</v>
      </c>
    </row>
    <row r="147" spans="1:26" x14ac:dyDescent="0.2">
      <c r="A147" s="287">
        <f>+'Purchased Power Model '!A147</f>
        <v>42005</v>
      </c>
      <c r="B147" s="293">
        <f>+'Purchased Power Model '!B147</f>
        <v>113173667.85769232</v>
      </c>
      <c r="C147" s="289">
        <f>+'Purchased Power Model '!C147</f>
        <v>775.6</v>
      </c>
      <c r="D147" s="289">
        <f>+'Purchased Power Model '!D147</f>
        <v>0</v>
      </c>
      <c r="E147" s="290">
        <f>+'Purchased Power Model '!E147</f>
        <v>6.7000000000000004E-2</v>
      </c>
      <c r="F147" s="291">
        <f>+'Purchased Power Model '!F147</f>
        <v>31</v>
      </c>
      <c r="G147" s="291">
        <f>+'Purchased Power Model '!G147</f>
        <v>0</v>
      </c>
      <c r="H147" s="292">
        <f>+'Purchased Power Model '!H147</f>
        <v>116777606.75003651</v>
      </c>
      <c r="J147" s="287">
        <f>+'10 Year Average'!A147</f>
        <v>42005</v>
      </c>
      <c r="K147" s="293">
        <f>+'10 Year Average'!B147</f>
        <v>113173667.85769232</v>
      </c>
      <c r="L147" s="289">
        <f>+'10 Year Average'!C147</f>
        <v>775.6</v>
      </c>
      <c r="M147" s="289">
        <f>+'10 Year Average'!D147</f>
        <v>0</v>
      </c>
      <c r="N147" s="290">
        <f>+'10 Year Average'!E147</f>
        <v>6.7000000000000004E-2</v>
      </c>
      <c r="O147" s="291">
        <f>+'10 Year Average'!F147</f>
        <v>31</v>
      </c>
      <c r="P147" s="291">
        <f>+'10 Year Average'!G147</f>
        <v>0</v>
      </c>
      <c r="Q147" s="292">
        <f>+'10 Year Average'!H147</f>
        <v>116777606.75003651</v>
      </c>
      <c r="S147" s="287">
        <f>+'20 Year Trend'!A147</f>
        <v>42005</v>
      </c>
      <c r="T147" s="293">
        <f>+'20 Year Trend'!B147</f>
        <v>113173667.85769232</v>
      </c>
      <c r="U147" s="289">
        <f>+'20 Year Trend'!C147</f>
        <v>775.6</v>
      </c>
      <c r="V147" s="289">
        <f>+'20 Year Trend'!D147</f>
        <v>0</v>
      </c>
      <c r="W147" s="290">
        <f>+'20 Year Trend'!E147</f>
        <v>6.7000000000000004E-2</v>
      </c>
      <c r="X147" s="291">
        <f>+'20 Year Trend'!F147</f>
        <v>31</v>
      </c>
      <c r="Y147" s="291">
        <f>+'20 Year Trend'!G147</f>
        <v>0</v>
      </c>
      <c r="Z147" s="292">
        <f>+'20 Year Trend'!H147</f>
        <v>116777606.75003651</v>
      </c>
    </row>
    <row r="148" spans="1:26" x14ac:dyDescent="0.2">
      <c r="A148" s="287">
        <f>+'Purchased Power Model '!A148</f>
        <v>42036</v>
      </c>
      <c r="B148" s="293">
        <f>+'Purchased Power Model '!B148</f>
        <v>107355854.70923078</v>
      </c>
      <c r="C148" s="289">
        <f>+'Purchased Power Model '!C148</f>
        <v>809.4</v>
      </c>
      <c r="D148" s="289">
        <f>+'Purchased Power Model '!D148</f>
        <v>0</v>
      </c>
      <c r="E148" s="290">
        <f>+'Purchased Power Model '!E148</f>
        <v>6.8000000000000005E-2</v>
      </c>
      <c r="F148" s="291">
        <f>+'Purchased Power Model '!F148</f>
        <v>28</v>
      </c>
      <c r="G148" s="291">
        <f>+'Purchased Power Model '!G148</f>
        <v>0</v>
      </c>
      <c r="H148" s="292">
        <f>+'Purchased Power Model '!H148</f>
        <v>109843287.13938633</v>
      </c>
      <c r="J148" s="287">
        <f>+'10 Year Average'!A148</f>
        <v>42036</v>
      </c>
      <c r="K148" s="293">
        <f>+'10 Year Average'!B148</f>
        <v>107355854.70923078</v>
      </c>
      <c r="L148" s="289">
        <f>+'10 Year Average'!C148</f>
        <v>809.4</v>
      </c>
      <c r="M148" s="289">
        <f>+'10 Year Average'!D148</f>
        <v>0</v>
      </c>
      <c r="N148" s="290">
        <f>+'10 Year Average'!E148</f>
        <v>6.8000000000000005E-2</v>
      </c>
      <c r="O148" s="291">
        <f>+'10 Year Average'!F148</f>
        <v>28</v>
      </c>
      <c r="P148" s="291">
        <f>+'10 Year Average'!G148</f>
        <v>0</v>
      </c>
      <c r="Q148" s="292">
        <f>+'10 Year Average'!H148</f>
        <v>109843287.13938633</v>
      </c>
      <c r="S148" s="287">
        <f>+'20 Year Trend'!A148</f>
        <v>42036</v>
      </c>
      <c r="T148" s="293">
        <f>+'20 Year Trend'!B148</f>
        <v>107355854.70923078</v>
      </c>
      <c r="U148" s="289">
        <f>+'20 Year Trend'!C148</f>
        <v>809.4</v>
      </c>
      <c r="V148" s="289">
        <f>+'20 Year Trend'!D148</f>
        <v>0</v>
      </c>
      <c r="W148" s="290">
        <f>+'20 Year Trend'!E148</f>
        <v>6.8000000000000005E-2</v>
      </c>
      <c r="X148" s="291">
        <f>+'20 Year Trend'!F148</f>
        <v>28</v>
      </c>
      <c r="Y148" s="291">
        <f>+'20 Year Trend'!G148</f>
        <v>0</v>
      </c>
      <c r="Z148" s="292">
        <f>+'20 Year Trend'!H148</f>
        <v>109843287.13938633</v>
      </c>
    </row>
    <row r="149" spans="1:26" x14ac:dyDescent="0.2">
      <c r="A149" s="287">
        <f>+'Purchased Power Model '!A149</f>
        <v>42064</v>
      </c>
      <c r="B149" s="293">
        <f>+'Purchased Power Model '!B149</f>
        <v>101615899.94538462</v>
      </c>
      <c r="C149" s="289">
        <f>+'Purchased Power Model '!C149</f>
        <v>611.6</v>
      </c>
      <c r="D149" s="289">
        <f>+'Purchased Power Model '!D149</f>
        <v>0</v>
      </c>
      <c r="E149" s="290">
        <f>+'Purchased Power Model '!E149</f>
        <v>7.2000000000000008E-2</v>
      </c>
      <c r="F149" s="291">
        <f>+'Purchased Power Model '!F149</f>
        <v>31</v>
      </c>
      <c r="G149" s="291">
        <f>+'Purchased Power Model '!G149</f>
        <v>1</v>
      </c>
      <c r="H149" s="292">
        <f>+'Purchased Power Model '!H149</f>
        <v>103345004.02354485</v>
      </c>
      <c r="J149" s="287">
        <f>+'10 Year Average'!A149</f>
        <v>42064</v>
      </c>
      <c r="K149" s="293">
        <f>+'10 Year Average'!B149</f>
        <v>101615899.94538462</v>
      </c>
      <c r="L149" s="289">
        <f>+'10 Year Average'!C149</f>
        <v>611.6</v>
      </c>
      <c r="M149" s="289">
        <f>+'10 Year Average'!D149</f>
        <v>0</v>
      </c>
      <c r="N149" s="290">
        <f>+'10 Year Average'!E149</f>
        <v>7.2000000000000008E-2</v>
      </c>
      <c r="O149" s="291">
        <f>+'10 Year Average'!F149</f>
        <v>31</v>
      </c>
      <c r="P149" s="291">
        <f>+'10 Year Average'!G149</f>
        <v>1</v>
      </c>
      <c r="Q149" s="292">
        <f>+'10 Year Average'!H149</f>
        <v>103345004.02354485</v>
      </c>
      <c r="S149" s="287">
        <f>+'20 Year Trend'!A149</f>
        <v>42064</v>
      </c>
      <c r="T149" s="293">
        <f>+'20 Year Trend'!B149</f>
        <v>101615899.94538462</v>
      </c>
      <c r="U149" s="289">
        <f>+'20 Year Trend'!C149</f>
        <v>611.6</v>
      </c>
      <c r="V149" s="289">
        <f>+'20 Year Trend'!D149</f>
        <v>0</v>
      </c>
      <c r="W149" s="290">
        <f>+'20 Year Trend'!E149</f>
        <v>7.2000000000000008E-2</v>
      </c>
      <c r="X149" s="291">
        <f>+'20 Year Trend'!F149</f>
        <v>31</v>
      </c>
      <c r="Y149" s="291">
        <f>+'20 Year Trend'!G149</f>
        <v>1</v>
      </c>
      <c r="Z149" s="292">
        <f>+'20 Year Trend'!H149</f>
        <v>103345004.02354485</v>
      </c>
    </row>
    <row r="150" spans="1:26" x14ac:dyDescent="0.2">
      <c r="A150" s="287">
        <f>+'Purchased Power Model '!A150</f>
        <v>42095</v>
      </c>
      <c r="B150" s="293">
        <f>+'Purchased Power Model '!B150</f>
        <v>84454597.615384623</v>
      </c>
      <c r="C150" s="289">
        <f>+'Purchased Power Model '!C150</f>
        <v>335.6</v>
      </c>
      <c r="D150" s="289">
        <f>+'Purchased Power Model '!D150</f>
        <v>0</v>
      </c>
      <c r="E150" s="290">
        <f>+'Purchased Power Model '!E150</f>
        <v>7.5999999999999998E-2</v>
      </c>
      <c r="F150" s="291">
        <f>+'Purchased Power Model '!F150</f>
        <v>30</v>
      </c>
      <c r="G150" s="291">
        <f>+'Purchased Power Model '!G150</f>
        <v>1</v>
      </c>
      <c r="H150" s="292">
        <f>+'Purchased Power Model '!H150</f>
        <v>89716258.515133917</v>
      </c>
      <c r="J150" s="287">
        <f>+'10 Year Average'!A150</f>
        <v>42095</v>
      </c>
      <c r="K150" s="293">
        <f>+'10 Year Average'!B150</f>
        <v>84454597.615384623</v>
      </c>
      <c r="L150" s="289">
        <f>+'10 Year Average'!C150</f>
        <v>335.6</v>
      </c>
      <c r="M150" s="289">
        <f>+'10 Year Average'!D150</f>
        <v>0</v>
      </c>
      <c r="N150" s="290">
        <f>+'10 Year Average'!E150</f>
        <v>7.5999999999999998E-2</v>
      </c>
      <c r="O150" s="291">
        <f>+'10 Year Average'!F150</f>
        <v>30</v>
      </c>
      <c r="P150" s="291">
        <f>+'10 Year Average'!G150</f>
        <v>1</v>
      </c>
      <c r="Q150" s="292">
        <f>+'10 Year Average'!H150</f>
        <v>89716258.515133917</v>
      </c>
      <c r="S150" s="287">
        <f>+'20 Year Trend'!A150</f>
        <v>42095</v>
      </c>
      <c r="T150" s="293">
        <f>+'20 Year Trend'!B150</f>
        <v>84454597.615384623</v>
      </c>
      <c r="U150" s="289">
        <f>+'20 Year Trend'!C150</f>
        <v>335.6</v>
      </c>
      <c r="V150" s="289">
        <f>+'20 Year Trend'!D150</f>
        <v>0</v>
      </c>
      <c r="W150" s="290">
        <f>+'20 Year Trend'!E150</f>
        <v>7.5999999999999998E-2</v>
      </c>
      <c r="X150" s="291">
        <f>+'20 Year Trend'!F150</f>
        <v>30</v>
      </c>
      <c r="Y150" s="291">
        <f>+'20 Year Trend'!G150</f>
        <v>1</v>
      </c>
      <c r="Z150" s="292">
        <f>+'20 Year Trend'!H150</f>
        <v>89716258.515133917</v>
      </c>
    </row>
    <row r="151" spans="1:26" x14ac:dyDescent="0.2">
      <c r="A151" s="287">
        <f>+'Purchased Power Model '!A151</f>
        <v>42125</v>
      </c>
      <c r="B151" s="293">
        <f>+'Purchased Power Model '!B151</f>
        <v>81506281.84615384</v>
      </c>
      <c r="C151" s="289">
        <f>+'Purchased Power Model '!C151</f>
        <v>120.5</v>
      </c>
      <c r="D151" s="289">
        <f>+'Purchased Power Model '!D151</f>
        <v>1.8</v>
      </c>
      <c r="E151" s="290">
        <f>+'Purchased Power Model '!E151</f>
        <v>7.8E-2</v>
      </c>
      <c r="F151" s="291">
        <f>+'Purchased Power Model '!F151</f>
        <v>31</v>
      </c>
      <c r="G151" s="291">
        <f>+'Purchased Power Model '!G151</f>
        <v>1</v>
      </c>
      <c r="H151" s="292">
        <f>+'Purchased Power Model '!H151</f>
        <v>84294029.6173473</v>
      </c>
      <c r="J151" s="287">
        <f>+'10 Year Average'!A151</f>
        <v>42125</v>
      </c>
      <c r="K151" s="293">
        <f>+'10 Year Average'!B151</f>
        <v>81506281.84615384</v>
      </c>
      <c r="L151" s="289">
        <f>+'10 Year Average'!C151</f>
        <v>120.5</v>
      </c>
      <c r="M151" s="289">
        <f>+'10 Year Average'!D151</f>
        <v>1.8</v>
      </c>
      <c r="N151" s="290">
        <f>+'10 Year Average'!E151</f>
        <v>7.8E-2</v>
      </c>
      <c r="O151" s="291">
        <f>+'10 Year Average'!F151</f>
        <v>31</v>
      </c>
      <c r="P151" s="291">
        <f>+'10 Year Average'!G151</f>
        <v>1</v>
      </c>
      <c r="Q151" s="292">
        <f>+'10 Year Average'!H151</f>
        <v>84294029.6173473</v>
      </c>
      <c r="S151" s="287">
        <f>+'20 Year Trend'!A151</f>
        <v>42125</v>
      </c>
      <c r="T151" s="293">
        <f>+'20 Year Trend'!B151</f>
        <v>81506281.84615384</v>
      </c>
      <c r="U151" s="289">
        <f>+'20 Year Trend'!C151</f>
        <v>120.5</v>
      </c>
      <c r="V151" s="289">
        <f>+'20 Year Trend'!D151</f>
        <v>1.8</v>
      </c>
      <c r="W151" s="290">
        <f>+'20 Year Trend'!E151</f>
        <v>7.8E-2</v>
      </c>
      <c r="X151" s="291">
        <f>+'20 Year Trend'!F151</f>
        <v>31</v>
      </c>
      <c r="Y151" s="291">
        <f>+'20 Year Trend'!G151</f>
        <v>1</v>
      </c>
      <c r="Z151" s="292">
        <f>+'20 Year Trend'!H151</f>
        <v>84294029.6173473</v>
      </c>
    </row>
    <row r="152" spans="1:26" x14ac:dyDescent="0.2">
      <c r="A152" s="287">
        <f>+'Purchased Power Model '!A152</f>
        <v>42156</v>
      </c>
      <c r="B152" s="293">
        <f>+'Purchased Power Model '!B152</f>
        <v>83276943.692307696</v>
      </c>
      <c r="C152" s="289">
        <f>+'Purchased Power Model '!C152</f>
        <v>50.2</v>
      </c>
      <c r="D152" s="289">
        <f>+'Purchased Power Model '!D152</f>
        <v>13.1</v>
      </c>
      <c r="E152" s="290">
        <f>+'Purchased Power Model '!E152</f>
        <v>7.8E-2</v>
      </c>
      <c r="F152" s="291">
        <f>+'Purchased Power Model '!F152</f>
        <v>30</v>
      </c>
      <c r="G152" s="291">
        <f>+'Purchased Power Model '!G152</f>
        <v>0</v>
      </c>
      <c r="H152" s="292">
        <f>+'Purchased Power Model '!H152</f>
        <v>87354573.205701098</v>
      </c>
      <c r="J152" s="287">
        <f>+'10 Year Average'!A152</f>
        <v>42156</v>
      </c>
      <c r="K152" s="293">
        <f>+'10 Year Average'!B152</f>
        <v>83276943.692307696</v>
      </c>
      <c r="L152" s="289">
        <f>+'10 Year Average'!C152</f>
        <v>50.2</v>
      </c>
      <c r="M152" s="289">
        <f>+'10 Year Average'!D152</f>
        <v>13.1</v>
      </c>
      <c r="N152" s="290">
        <f>+'10 Year Average'!E152</f>
        <v>7.8E-2</v>
      </c>
      <c r="O152" s="291">
        <f>+'10 Year Average'!F152</f>
        <v>30</v>
      </c>
      <c r="P152" s="291">
        <f>+'10 Year Average'!G152</f>
        <v>0</v>
      </c>
      <c r="Q152" s="292">
        <f>+'10 Year Average'!H152</f>
        <v>87354573.205701098</v>
      </c>
      <c r="S152" s="287">
        <f>+'20 Year Trend'!A152</f>
        <v>42156</v>
      </c>
      <c r="T152" s="293">
        <f>+'20 Year Trend'!B152</f>
        <v>83276943.692307696</v>
      </c>
      <c r="U152" s="289">
        <f>+'20 Year Trend'!C152</f>
        <v>50.2</v>
      </c>
      <c r="V152" s="289">
        <f>+'20 Year Trend'!D152</f>
        <v>13.1</v>
      </c>
      <c r="W152" s="290">
        <f>+'20 Year Trend'!E152</f>
        <v>7.8E-2</v>
      </c>
      <c r="X152" s="291">
        <f>+'20 Year Trend'!F152</f>
        <v>30</v>
      </c>
      <c r="Y152" s="291">
        <f>+'20 Year Trend'!G152</f>
        <v>0</v>
      </c>
      <c r="Z152" s="292">
        <f>+'20 Year Trend'!H152</f>
        <v>87354573.205701098</v>
      </c>
    </row>
    <row r="153" spans="1:26" x14ac:dyDescent="0.2">
      <c r="A153" s="287">
        <f>+'Purchased Power Model '!A153</f>
        <v>42186</v>
      </c>
      <c r="B153" s="293">
        <f>+'Purchased Power Model '!B153</f>
        <v>99414180.230769232</v>
      </c>
      <c r="C153" s="289">
        <f>+'Purchased Power Model '!C153</f>
        <v>6.8</v>
      </c>
      <c r="D153" s="289">
        <f>+'Purchased Power Model '!D153</f>
        <v>71.5</v>
      </c>
      <c r="E153" s="290">
        <f>+'Purchased Power Model '!E153</f>
        <v>7.8E-2</v>
      </c>
      <c r="F153" s="291">
        <f>+'Purchased Power Model '!F153</f>
        <v>31</v>
      </c>
      <c r="G153" s="291">
        <f>+'Purchased Power Model '!G153</f>
        <v>0</v>
      </c>
      <c r="H153" s="292">
        <f>+'Purchased Power Model '!H153</f>
        <v>97358237.989440769</v>
      </c>
      <c r="J153" s="287">
        <f>+'10 Year Average'!A153</f>
        <v>42186</v>
      </c>
      <c r="K153" s="293">
        <f>+'10 Year Average'!B153</f>
        <v>99414180.230769232</v>
      </c>
      <c r="L153" s="289">
        <f>+'10 Year Average'!C153</f>
        <v>6.8</v>
      </c>
      <c r="M153" s="289">
        <f>+'10 Year Average'!D153</f>
        <v>71.5</v>
      </c>
      <c r="N153" s="290">
        <f>+'10 Year Average'!E153</f>
        <v>7.8E-2</v>
      </c>
      <c r="O153" s="291">
        <f>+'10 Year Average'!F153</f>
        <v>31</v>
      </c>
      <c r="P153" s="291">
        <f>+'10 Year Average'!G153</f>
        <v>0</v>
      </c>
      <c r="Q153" s="292">
        <f>+'10 Year Average'!H153</f>
        <v>97358237.989440769</v>
      </c>
      <c r="S153" s="287">
        <f>+'20 Year Trend'!A153</f>
        <v>42186</v>
      </c>
      <c r="T153" s="293">
        <f>+'20 Year Trend'!B153</f>
        <v>99414180.230769232</v>
      </c>
      <c r="U153" s="289">
        <f>+'20 Year Trend'!C153</f>
        <v>6.8</v>
      </c>
      <c r="V153" s="289">
        <f>+'20 Year Trend'!D153</f>
        <v>71.5</v>
      </c>
      <c r="W153" s="290">
        <f>+'20 Year Trend'!E153</f>
        <v>7.8E-2</v>
      </c>
      <c r="X153" s="291">
        <f>+'20 Year Trend'!F153</f>
        <v>31</v>
      </c>
      <c r="Y153" s="291">
        <f>+'20 Year Trend'!G153</f>
        <v>0</v>
      </c>
      <c r="Z153" s="292">
        <f>+'20 Year Trend'!H153</f>
        <v>97358237.989440769</v>
      </c>
    </row>
    <row r="154" spans="1:26" x14ac:dyDescent="0.2">
      <c r="A154" s="287">
        <f>+'Purchased Power Model '!A154</f>
        <v>42217</v>
      </c>
      <c r="B154" s="293">
        <f>+'Purchased Power Model '!B154</f>
        <v>95068872.238461539</v>
      </c>
      <c r="C154" s="289">
        <f>+'Purchased Power Model '!C154</f>
        <v>4.9000000000000004</v>
      </c>
      <c r="D154" s="289">
        <f>+'Purchased Power Model '!D154</f>
        <v>62</v>
      </c>
      <c r="E154" s="290">
        <f>+'Purchased Power Model '!E154</f>
        <v>0.08</v>
      </c>
      <c r="F154" s="291">
        <f>+'Purchased Power Model '!F154</f>
        <v>31</v>
      </c>
      <c r="G154" s="291">
        <f>+'Purchased Power Model '!G154</f>
        <v>0</v>
      </c>
      <c r="H154" s="292">
        <f>+'Purchased Power Model '!H154</f>
        <v>95674516.567982763</v>
      </c>
      <c r="J154" s="287">
        <f>+'10 Year Average'!A154</f>
        <v>42217</v>
      </c>
      <c r="K154" s="293">
        <f>+'10 Year Average'!B154</f>
        <v>95068872.238461539</v>
      </c>
      <c r="L154" s="289">
        <f>+'10 Year Average'!C154</f>
        <v>4.9000000000000004</v>
      </c>
      <c r="M154" s="289">
        <f>+'10 Year Average'!D154</f>
        <v>62</v>
      </c>
      <c r="N154" s="290">
        <f>+'10 Year Average'!E154</f>
        <v>0.08</v>
      </c>
      <c r="O154" s="291">
        <f>+'10 Year Average'!F154</f>
        <v>31</v>
      </c>
      <c r="P154" s="291">
        <f>+'10 Year Average'!G154</f>
        <v>0</v>
      </c>
      <c r="Q154" s="292">
        <f>+'10 Year Average'!H154</f>
        <v>95674516.567982763</v>
      </c>
      <c r="S154" s="287">
        <f>+'20 Year Trend'!A154</f>
        <v>42217</v>
      </c>
      <c r="T154" s="293">
        <f>+'20 Year Trend'!B154</f>
        <v>95068872.238461539</v>
      </c>
      <c r="U154" s="289">
        <f>+'20 Year Trend'!C154</f>
        <v>4.9000000000000004</v>
      </c>
      <c r="V154" s="289">
        <f>+'20 Year Trend'!D154</f>
        <v>62</v>
      </c>
      <c r="W154" s="290">
        <f>+'20 Year Trend'!E154</f>
        <v>0.08</v>
      </c>
      <c r="X154" s="291">
        <f>+'20 Year Trend'!F154</f>
        <v>31</v>
      </c>
      <c r="Y154" s="291">
        <f>+'20 Year Trend'!G154</f>
        <v>0</v>
      </c>
      <c r="Z154" s="292">
        <f>+'20 Year Trend'!H154</f>
        <v>95674516.567982763</v>
      </c>
    </row>
    <row r="155" spans="1:26" x14ac:dyDescent="0.2">
      <c r="A155" s="287">
        <f>+'Purchased Power Model '!A155</f>
        <v>42248</v>
      </c>
      <c r="B155" s="293">
        <f>+'Purchased Power Model '!B155</f>
        <v>91662129.461538464</v>
      </c>
      <c r="C155" s="289">
        <f>+'Purchased Power Model '!C155</f>
        <v>37</v>
      </c>
      <c r="D155" s="289">
        <f>+'Purchased Power Model '!D155</f>
        <v>48.6</v>
      </c>
      <c r="E155" s="290">
        <f>+'Purchased Power Model '!E155</f>
        <v>8.3000000000000004E-2</v>
      </c>
      <c r="F155" s="291">
        <f>+'Purchased Power Model '!F155</f>
        <v>30</v>
      </c>
      <c r="G155" s="291">
        <f>+'Purchased Power Model '!G155</f>
        <v>1</v>
      </c>
      <c r="H155" s="292">
        <f>+'Purchased Power Model '!H155</f>
        <v>85156156.335731119</v>
      </c>
      <c r="J155" s="287">
        <f>+'10 Year Average'!A155</f>
        <v>42248</v>
      </c>
      <c r="K155" s="293">
        <f>+'10 Year Average'!B155</f>
        <v>91662129.461538464</v>
      </c>
      <c r="L155" s="289">
        <f>+'10 Year Average'!C155</f>
        <v>37</v>
      </c>
      <c r="M155" s="289">
        <f>+'10 Year Average'!D155</f>
        <v>48.6</v>
      </c>
      <c r="N155" s="290">
        <f>+'10 Year Average'!E155</f>
        <v>8.3000000000000004E-2</v>
      </c>
      <c r="O155" s="291">
        <f>+'10 Year Average'!F155</f>
        <v>30</v>
      </c>
      <c r="P155" s="291">
        <f>+'10 Year Average'!G155</f>
        <v>1</v>
      </c>
      <c r="Q155" s="292">
        <f>+'10 Year Average'!H155</f>
        <v>85156156.335731119</v>
      </c>
      <c r="S155" s="287">
        <f>+'20 Year Trend'!A155</f>
        <v>42248</v>
      </c>
      <c r="T155" s="293">
        <f>+'20 Year Trend'!B155</f>
        <v>91662129.461538464</v>
      </c>
      <c r="U155" s="289">
        <f>+'20 Year Trend'!C155</f>
        <v>37</v>
      </c>
      <c r="V155" s="289">
        <f>+'20 Year Trend'!D155</f>
        <v>48.6</v>
      </c>
      <c r="W155" s="290">
        <f>+'20 Year Trend'!E155</f>
        <v>8.3000000000000004E-2</v>
      </c>
      <c r="X155" s="291">
        <f>+'20 Year Trend'!F155</f>
        <v>30</v>
      </c>
      <c r="Y155" s="291">
        <f>+'20 Year Trend'!G155</f>
        <v>1</v>
      </c>
      <c r="Z155" s="292">
        <f>+'20 Year Trend'!H155</f>
        <v>85156156.335731119</v>
      </c>
    </row>
    <row r="156" spans="1:26" x14ac:dyDescent="0.2">
      <c r="A156" s="287">
        <f>+'Purchased Power Model '!A156</f>
        <v>42278</v>
      </c>
      <c r="B156" s="293">
        <f>+'Purchased Power Model '!B156</f>
        <v>83968946.230769232</v>
      </c>
      <c r="C156" s="289">
        <f>+'Purchased Power Model '!C156</f>
        <v>248.1</v>
      </c>
      <c r="D156" s="289">
        <f>+'Purchased Power Model '!D156</f>
        <v>0</v>
      </c>
      <c r="E156" s="290">
        <f>+'Purchased Power Model '!E156</f>
        <v>8.1000000000000003E-2</v>
      </c>
      <c r="F156" s="291">
        <f>+'Purchased Power Model '!F156</f>
        <v>31</v>
      </c>
      <c r="G156" s="291">
        <f>+'Purchased Power Model '!G156</f>
        <v>1</v>
      </c>
      <c r="H156" s="292">
        <f>+'Purchased Power Model '!H156</f>
        <v>88687602.917419806</v>
      </c>
      <c r="J156" s="287">
        <f>+'10 Year Average'!A156</f>
        <v>42278</v>
      </c>
      <c r="K156" s="293">
        <f>+'10 Year Average'!B156</f>
        <v>83968946.230769232</v>
      </c>
      <c r="L156" s="289">
        <f>+'10 Year Average'!C156</f>
        <v>248.1</v>
      </c>
      <c r="M156" s="289">
        <f>+'10 Year Average'!D156</f>
        <v>0</v>
      </c>
      <c r="N156" s="290">
        <f>+'10 Year Average'!E156</f>
        <v>8.1000000000000003E-2</v>
      </c>
      <c r="O156" s="291">
        <f>+'10 Year Average'!F156</f>
        <v>31</v>
      </c>
      <c r="P156" s="291">
        <f>+'10 Year Average'!G156</f>
        <v>1</v>
      </c>
      <c r="Q156" s="292">
        <f>+'10 Year Average'!H156</f>
        <v>88687602.917419806</v>
      </c>
      <c r="S156" s="287">
        <f>+'20 Year Trend'!A156</f>
        <v>42278</v>
      </c>
      <c r="T156" s="293">
        <f>+'20 Year Trend'!B156</f>
        <v>83968946.230769232</v>
      </c>
      <c r="U156" s="289">
        <f>+'20 Year Trend'!C156</f>
        <v>248.1</v>
      </c>
      <c r="V156" s="289">
        <f>+'20 Year Trend'!D156</f>
        <v>0</v>
      </c>
      <c r="W156" s="290">
        <f>+'20 Year Trend'!E156</f>
        <v>8.1000000000000003E-2</v>
      </c>
      <c r="X156" s="291">
        <f>+'20 Year Trend'!F156</f>
        <v>31</v>
      </c>
      <c r="Y156" s="291">
        <f>+'20 Year Trend'!G156</f>
        <v>1</v>
      </c>
      <c r="Z156" s="292">
        <f>+'20 Year Trend'!H156</f>
        <v>88687602.917419806</v>
      </c>
    </row>
    <row r="157" spans="1:26" x14ac:dyDescent="0.2">
      <c r="A157" s="287">
        <f>+'Purchased Power Model '!A157</f>
        <v>42309</v>
      </c>
      <c r="B157" s="293">
        <f>+'Purchased Power Model '!B157</f>
        <v>87046492.692307696</v>
      </c>
      <c r="C157" s="289">
        <f>+'Purchased Power Model '!C157</f>
        <v>345.6</v>
      </c>
      <c r="D157" s="289">
        <f>+'Purchased Power Model '!D157</f>
        <v>0</v>
      </c>
      <c r="E157" s="290">
        <f>+'Purchased Power Model '!E157</f>
        <v>7.8E-2</v>
      </c>
      <c r="F157" s="291">
        <f>+'Purchased Power Model '!F157</f>
        <v>30</v>
      </c>
      <c r="G157" s="291">
        <f>+'Purchased Power Model '!G157</f>
        <v>1</v>
      </c>
      <c r="H157" s="292">
        <f>+'Purchased Power Model '!H157</f>
        <v>89945895.114921853</v>
      </c>
      <c r="J157" s="287">
        <f>+'10 Year Average'!A157</f>
        <v>42309</v>
      </c>
      <c r="K157" s="293">
        <f>+'10 Year Average'!B157</f>
        <v>87046492.692307696</v>
      </c>
      <c r="L157" s="289">
        <f>+'10 Year Average'!C157</f>
        <v>345.6</v>
      </c>
      <c r="M157" s="289">
        <f>+'10 Year Average'!D157</f>
        <v>0</v>
      </c>
      <c r="N157" s="290">
        <f>+'10 Year Average'!E157</f>
        <v>7.8E-2</v>
      </c>
      <c r="O157" s="291">
        <f>+'10 Year Average'!F157</f>
        <v>30</v>
      </c>
      <c r="P157" s="291">
        <f>+'10 Year Average'!G157</f>
        <v>1</v>
      </c>
      <c r="Q157" s="292">
        <f>+'10 Year Average'!H157</f>
        <v>89945895.114921853</v>
      </c>
      <c r="S157" s="287">
        <f>+'20 Year Trend'!A157</f>
        <v>42309</v>
      </c>
      <c r="T157" s="293">
        <f>+'20 Year Trend'!B157</f>
        <v>87046492.692307696</v>
      </c>
      <c r="U157" s="289">
        <f>+'20 Year Trend'!C157</f>
        <v>345.6</v>
      </c>
      <c r="V157" s="289">
        <f>+'20 Year Trend'!D157</f>
        <v>0</v>
      </c>
      <c r="W157" s="290">
        <f>+'20 Year Trend'!E157</f>
        <v>7.8E-2</v>
      </c>
      <c r="X157" s="291">
        <f>+'20 Year Trend'!F157</f>
        <v>30</v>
      </c>
      <c r="Y157" s="291">
        <f>+'20 Year Trend'!G157</f>
        <v>1</v>
      </c>
      <c r="Z157" s="292">
        <f>+'20 Year Trend'!H157</f>
        <v>89945895.114921853</v>
      </c>
    </row>
    <row r="158" spans="1:26" x14ac:dyDescent="0.2">
      <c r="A158" s="287">
        <f>+'Purchased Power Model '!A158</f>
        <v>42339</v>
      </c>
      <c r="B158" s="293">
        <f>+'Purchased Power Model '!B158</f>
        <v>94797164.692307696</v>
      </c>
      <c r="C158" s="289">
        <f>+'Purchased Power Model '!C158</f>
        <v>415</v>
      </c>
      <c r="D158" s="289">
        <f>+'Purchased Power Model '!D158</f>
        <v>0</v>
      </c>
      <c r="E158" s="290">
        <f>+'Purchased Power Model '!E158</f>
        <v>7.0000000000000007E-2</v>
      </c>
      <c r="F158" s="291">
        <f>+'Purchased Power Model '!F158</f>
        <v>31</v>
      </c>
      <c r="G158" s="291">
        <f>+'Purchased Power Model '!G158</f>
        <v>0</v>
      </c>
      <c r="H158" s="292">
        <f>+'Purchased Power Model '!H158</f>
        <v>102695007.46019053</v>
      </c>
      <c r="J158" s="287">
        <f>+'10 Year Average'!A158</f>
        <v>42339</v>
      </c>
      <c r="K158" s="293">
        <f>+'10 Year Average'!B158</f>
        <v>94797164.692307696</v>
      </c>
      <c r="L158" s="289">
        <f>+'10 Year Average'!C158</f>
        <v>415</v>
      </c>
      <c r="M158" s="289">
        <f>+'10 Year Average'!D158</f>
        <v>0</v>
      </c>
      <c r="N158" s="290">
        <f>+'10 Year Average'!E158</f>
        <v>7.0000000000000007E-2</v>
      </c>
      <c r="O158" s="291">
        <f>+'10 Year Average'!F158</f>
        <v>31</v>
      </c>
      <c r="P158" s="291">
        <f>+'10 Year Average'!G158</f>
        <v>0</v>
      </c>
      <c r="Q158" s="292">
        <f>+'10 Year Average'!H158</f>
        <v>102695007.46019053</v>
      </c>
      <c r="S158" s="287">
        <f>+'20 Year Trend'!A158</f>
        <v>42339</v>
      </c>
      <c r="T158" s="293">
        <f>+'20 Year Trend'!B158</f>
        <v>94797164.692307696</v>
      </c>
      <c r="U158" s="289">
        <f>+'20 Year Trend'!C158</f>
        <v>415</v>
      </c>
      <c r="V158" s="289">
        <f>+'20 Year Trend'!D158</f>
        <v>0</v>
      </c>
      <c r="W158" s="290">
        <f>+'20 Year Trend'!E158</f>
        <v>7.0000000000000007E-2</v>
      </c>
      <c r="X158" s="291">
        <f>+'20 Year Trend'!F158</f>
        <v>31</v>
      </c>
      <c r="Y158" s="291">
        <f>+'20 Year Trend'!G158</f>
        <v>0</v>
      </c>
      <c r="Z158" s="292">
        <f>+'20 Year Trend'!H158</f>
        <v>102695007.46019053</v>
      </c>
    </row>
    <row r="159" spans="1:26" x14ac:dyDescent="0.2">
      <c r="A159" s="287">
        <f>+'Purchased Power Model '!A159</f>
        <v>42370</v>
      </c>
      <c r="B159" s="293">
        <f>+'Purchased Power Model '!B159</f>
        <v>105036543.53846155</v>
      </c>
      <c r="C159" s="289">
        <f>+'Purchased Power Model '!C159</f>
        <v>689.4</v>
      </c>
      <c r="D159" s="289">
        <f>+'Purchased Power Model '!D159</f>
        <v>0</v>
      </c>
      <c r="E159" s="290">
        <f>+'Purchased Power Model '!E159</f>
        <v>6.4000000000000001E-2</v>
      </c>
      <c r="F159" s="291">
        <f>+'Purchased Power Model '!F159</f>
        <v>31</v>
      </c>
      <c r="G159" s="291">
        <f>+'Purchased Power Model '!G159</f>
        <v>0</v>
      </c>
      <c r="H159" s="292">
        <f>+'Purchased Power Model '!H159</f>
        <v>113698310.9070788</v>
      </c>
      <c r="J159" s="287">
        <f>+'10 Year Average'!A159</f>
        <v>42370</v>
      </c>
      <c r="K159" s="293">
        <f>+'10 Year Average'!B159</f>
        <v>105036543.53846155</v>
      </c>
      <c r="L159" s="289">
        <f>+'10 Year Average'!C159</f>
        <v>689.4</v>
      </c>
      <c r="M159" s="289">
        <f>+'10 Year Average'!D159</f>
        <v>0</v>
      </c>
      <c r="N159" s="290">
        <f>+'10 Year Average'!E159</f>
        <v>6.4000000000000001E-2</v>
      </c>
      <c r="O159" s="291">
        <f>+'10 Year Average'!F159</f>
        <v>31</v>
      </c>
      <c r="P159" s="291">
        <f>+'10 Year Average'!G159</f>
        <v>0</v>
      </c>
      <c r="Q159" s="292">
        <f>+'10 Year Average'!H159</f>
        <v>113698310.9070788</v>
      </c>
      <c r="S159" s="287">
        <f>+'20 Year Trend'!A159</f>
        <v>42370</v>
      </c>
      <c r="T159" s="293">
        <f>+'20 Year Trend'!B159</f>
        <v>105036543.53846155</v>
      </c>
      <c r="U159" s="289">
        <f>+'20 Year Trend'!C159</f>
        <v>689.4</v>
      </c>
      <c r="V159" s="289">
        <f>+'20 Year Trend'!D159</f>
        <v>0</v>
      </c>
      <c r="W159" s="290">
        <f>+'20 Year Trend'!E159</f>
        <v>6.4000000000000001E-2</v>
      </c>
      <c r="X159" s="291">
        <f>+'20 Year Trend'!F159</f>
        <v>31</v>
      </c>
      <c r="Y159" s="291">
        <f>+'20 Year Trend'!G159</f>
        <v>0</v>
      </c>
      <c r="Z159" s="292">
        <f>+'20 Year Trend'!H159</f>
        <v>113698310.9070788</v>
      </c>
    </row>
    <row r="160" spans="1:26" x14ac:dyDescent="0.2">
      <c r="A160" s="287">
        <f>+'Purchased Power Model '!A160</f>
        <v>42401</v>
      </c>
      <c r="B160" s="293">
        <f>+'Purchased Power Model '!B160</f>
        <v>96391484.384615391</v>
      </c>
      <c r="C160" s="289">
        <f>+'Purchased Power Model '!C160</f>
        <v>623.20000000000005</v>
      </c>
      <c r="D160" s="289">
        <f>+'Purchased Power Model '!D160</f>
        <v>0</v>
      </c>
      <c r="E160" s="290">
        <f>+'Purchased Power Model '!E160</f>
        <v>6.0999999999999999E-2</v>
      </c>
      <c r="F160" s="291">
        <f>+'Purchased Power Model '!F160</f>
        <v>29</v>
      </c>
      <c r="G160" s="291">
        <f>+'Purchased Power Model '!G160</f>
        <v>0</v>
      </c>
      <c r="H160" s="292">
        <f>+'Purchased Power Model '!H160</f>
        <v>105950318.34034945</v>
      </c>
      <c r="J160" s="287">
        <f>+'10 Year Average'!A160</f>
        <v>42401</v>
      </c>
      <c r="K160" s="293">
        <f>+'10 Year Average'!B160</f>
        <v>96391484.384615391</v>
      </c>
      <c r="L160" s="289">
        <f>+'10 Year Average'!C160</f>
        <v>623.20000000000005</v>
      </c>
      <c r="M160" s="289">
        <f>+'10 Year Average'!D160</f>
        <v>0</v>
      </c>
      <c r="N160" s="290">
        <f>+'10 Year Average'!E160</f>
        <v>6.0999999999999999E-2</v>
      </c>
      <c r="O160" s="291">
        <f>+'10 Year Average'!F160</f>
        <v>29</v>
      </c>
      <c r="P160" s="291">
        <f>+'10 Year Average'!G160</f>
        <v>0</v>
      </c>
      <c r="Q160" s="292">
        <f>+'10 Year Average'!H160</f>
        <v>105950318.34034945</v>
      </c>
      <c r="S160" s="287">
        <f>+'20 Year Trend'!A160</f>
        <v>42401</v>
      </c>
      <c r="T160" s="293">
        <f>+'20 Year Trend'!B160</f>
        <v>96391484.384615391</v>
      </c>
      <c r="U160" s="289">
        <f>+'20 Year Trend'!C160</f>
        <v>623.20000000000005</v>
      </c>
      <c r="V160" s="289">
        <f>+'20 Year Trend'!D160</f>
        <v>0</v>
      </c>
      <c r="W160" s="290">
        <f>+'20 Year Trend'!E160</f>
        <v>6.0999999999999999E-2</v>
      </c>
      <c r="X160" s="291">
        <f>+'20 Year Trend'!F160</f>
        <v>29</v>
      </c>
      <c r="Y160" s="291">
        <f>+'20 Year Trend'!G160</f>
        <v>0</v>
      </c>
      <c r="Z160" s="292">
        <f>+'20 Year Trend'!H160</f>
        <v>105950318.34034945</v>
      </c>
    </row>
    <row r="161" spans="1:26" x14ac:dyDescent="0.2">
      <c r="A161" s="287">
        <f>+'Purchased Power Model '!A161</f>
        <v>42430</v>
      </c>
      <c r="B161" s="293">
        <f>+'Purchased Power Model '!B161</f>
        <v>93754132.461538464</v>
      </c>
      <c r="C161" s="289">
        <f>+'Purchased Power Model '!C161</f>
        <v>531.20000000000005</v>
      </c>
      <c r="D161" s="289">
        <f>+'Purchased Power Model '!D161</f>
        <v>0</v>
      </c>
      <c r="E161" s="290">
        <f>+'Purchased Power Model '!E161</f>
        <v>6.0999999999999999E-2</v>
      </c>
      <c r="F161" s="291">
        <f>+'Purchased Power Model '!F161</f>
        <v>31</v>
      </c>
      <c r="G161" s="291">
        <f>+'Purchased Power Model '!G161</f>
        <v>1</v>
      </c>
      <c r="H161" s="292">
        <f>+'Purchased Power Model '!H161</f>
        <v>101106371.26460999</v>
      </c>
      <c r="J161" s="287">
        <f>+'10 Year Average'!A161</f>
        <v>42430</v>
      </c>
      <c r="K161" s="293">
        <f>+'10 Year Average'!B161</f>
        <v>93754132.461538464</v>
      </c>
      <c r="L161" s="289">
        <f>+'10 Year Average'!C161</f>
        <v>531.20000000000005</v>
      </c>
      <c r="M161" s="289">
        <f>+'10 Year Average'!D161</f>
        <v>0</v>
      </c>
      <c r="N161" s="290">
        <f>+'10 Year Average'!E161</f>
        <v>6.0999999999999999E-2</v>
      </c>
      <c r="O161" s="291">
        <f>+'10 Year Average'!F161</f>
        <v>31</v>
      </c>
      <c r="P161" s="291">
        <f>+'10 Year Average'!G161</f>
        <v>1</v>
      </c>
      <c r="Q161" s="292">
        <f>+'10 Year Average'!H161</f>
        <v>101106371.26460999</v>
      </c>
      <c r="S161" s="287">
        <f>+'20 Year Trend'!A161</f>
        <v>42430</v>
      </c>
      <c r="T161" s="293">
        <f>+'20 Year Trend'!B161</f>
        <v>93754132.461538464</v>
      </c>
      <c r="U161" s="289">
        <f>+'20 Year Trend'!C161</f>
        <v>531.20000000000005</v>
      </c>
      <c r="V161" s="289">
        <f>+'20 Year Trend'!D161</f>
        <v>0</v>
      </c>
      <c r="W161" s="290">
        <f>+'20 Year Trend'!E161</f>
        <v>6.0999999999999999E-2</v>
      </c>
      <c r="X161" s="291">
        <f>+'20 Year Trend'!F161</f>
        <v>31</v>
      </c>
      <c r="Y161" s="291">
        <f>+'20 Year Trend'!G161</f>
        <v>1</v>
      </c>
      <c r="Z161" s="292">
        <f>+'20 Year Trend'!H161</f>
        <v>101106371.26460999</v>
      </c>
    </row>
    <row r="162" spans="1:26" x14ac:dyDescent="0.2">
      <c r="A162" s="287">
        <f>+'Purchased Power Model '!A162</f>
        <v>42461</v>
      </c>
      <c r="B162" s="293">
        <f>+'Purchased Power Model '!B162</f>
        <v>84646746.000000015</v>
      </c>
      <c r="C162" s="289">
        <f>+'Purchased Power Model '!C162</f>
        <v>421.9</v>
      </c>
      <c r="D162" s="289">
        <f>+'Purchased Power Model '!D162</f>
        <v>0</v>
      </c>
      <c r="E162" s="290">
        <f>+'Purchased Power Model '!E162</f>
        <v>6.0999999999999999E-2</v>
      </c>
      <c r="F162" s="291">
        <f>+'Purchased Power Model '!F162</f>
        <v>30</v>
      </c>
      <c r="G162" s="291">
        <f>+'Purchased Power Model '!G162</f>
        <v>1</v>
      </c>
      <c r="H162" s="292">
        <f>+'Purchased Power Model '!H162</f>
        <v>94189627.895240992</v>
      </c>
      <c r="J162" s="287">
        <f>+'10 Year Average'!A162</f>
        <v>42461</v>
      </c>
      <c r="K162" s="293">
        <f>+'10 Year Average'!B162</f>
        <v>84646746.000000015</v>
      </c>
      <c r="L162" s="289">
        <f>+'10 Year Average'!C162</f>
        <v>421.9</v>
      </c>
      <c r="M162" s="289">
        <f>+'10 Year Average'!D162</f>
        <v>0</v>
      </c>
      <c r="N162" s="290">
        <f>+'10 Year Average'!E162</f>
        <v>6.0999999999999999E-2</v>
      </c>
      <c r="O162" s="291">
        <f>+'10 Year Average'!F162</f>
        <v>30</v>
      </c>
      <c r="P162" s="291">
        <f>+'10 Year Average'!G162</f>
        <v>1</v>
      </c>
      <c r="Q162" s="292">
        <f>+'10 Year Average'!H162</f>
        <v>94189627.895240992</v>
      </c>
      <c r="S162" s="287">
        <f>+'20 Year Trend'!A162</f>
        <v>42461</v>
      </c>
      <c r="T162" s="293">
        <f>+'20 Year Trend'!B162</f>
        <v>84646746.000000015</v>
      </c>
      <c r="U162" s="289">
        <f>+'20 Year Trend'!C162</f>
        <v>421.9</v>
      </c>
      <c r="V162" s="289">
        <f>+'20 Year Trend'!D162</f>
        <v>0</v>
      </c>
      <c r="W162" s="290">
        <f>+'20 Year Trend'!E162</f>
        <v>6.0999999999999999E-2</v>
      </c>
      <c r="X162" s="291">
        <f>+'20 Year Trend'!F162</f>
        <v>30</v>
      </c>
      <c r="Y162" s="291">
        <f>+'20 Year Trend'!G162</f>
        <v>1</v>
      </c>
      <c r="Z162" s="292">
        <f>+'20 Year Trend'!H162</f>
        <v>94189627.895240992</v>
      </c>
    </row>
    <row r="163" spans="1:26" x14ac:dyDescent="0.2">
      <c r="A163" s="287">
        <f>+'Purchased Power Model '!A163</f>
        <v>42491</v>
      </c>
      <c r="B163" s="293">
        <f>+'Purchased Power Model '!B163</f>
        <v>82523654.769230768</v>
      </c>
      <c r="C163" s="289">
        <f>+'Purchased Power Model '!C163</f>
        <v>164.3</v>
      </c>
      <c r="D163" s="289">
        <f>+'Purchased Power Model '!D163</f>
        <v>19.399999999999999</v>
      </c>
      <c r="E163" s="290">
        <f>+'Purchased Power Model '!E163</f>
        <v>5.7999999999999996E-2</v>
      </c>
      <c r="F163" s="291">
        <f>+'Purchased Power Model '!F163</f>
        <v>31</v>
      </c>
      <c r="G163" s="291">
        <f>+'Purchased Power Model '!G163</f>
        <v>1</v>
      </c>
      <c r="H163" s="292">
        <f>+'Purchased Power Model '!H163</f>
        <v>90219053.816146001</v>
      </c>
      <c r="J163" s="287">
        <f>+'10 Year Average'!A163</f>
        <v>42491</v>
      </c>
      <c r="K163" s="293">
        <f>+'10 Year Average'!B163</f>
        <v>82523654.769230768</v>
      </c>
      <c r="L163" s="289">
        <f>+'10 Year Average'!C163</f>
        <v>164.3</v>
      </c>
      <c r="M163" s="289">
        <f>+'10 Year Average'!D163</f>
        <v>19.399999999999999</v>
      </c>
      <c r="N163" s="290">
        <f>+'10 Year Average'!E163</f>
        <v>5.7999999999999996E-2</v>
      </c>
      <c r="O163" s="291">
        <f>+'10 Year Average'!F163</f>
        <v>31</v>
      </c>
      <c r="P163" s="291">
        <f>+'10 Year Average'!G163</f>
        <v>1</v>
      </c>
      <c r="Q163" s="292">
        <f>+'10 Year Average'!H163</f>
        <v>90219053.816146001</v>
      </c>
      <c r="S163" s="287">
        <f>+'20 Year Trend'!A163</f>
        <v>42491</v>
      </c>
      <c r="T163" s="293">
        <f>+'20 Year Trend'!B163</f>
        <v>82523654.769230768</v>
      </c>
      <c r="U163" s="289">
        <f>+'20 Year Trend'!C163</f>
        <v>164.3</v>
      </c>
      <c r="V163" s="289">
        <f>+'20 Year Trend'!D163</f>
        <v>19.399999999999999</v>
      </c>
      <c r="W163" s="290">
        <f>+'20 Year Trend'!E163</f>
        <v>5.7999999999999996E-2</v>
      </c>
      <c r="X163" s="291">
        <f>+'20 Year Trend'!F163</f>
        <v>31</v>
      </c>
      <c r="Y163" s="291">
        <f>+'20 Year Trend'!G163</f>
        <v>1</v>
      </c>
      <c r="Z163" s="292">
        <f>+'20 Year Trend'!H163</f>
        <v>90219053.816146001</v>
      </c>
    </row>
    <row r="164" spans="1:26" x14ac:dyDescent="0.2">
      <c r="A164" s="287">
        <f>+'Purchased Power Model '!A164</f>
        <v>42522</v>
      </c>
      <c r="B164" s="293">
        <f>+'Purchased Power Model '!B164</f>
        <v>88597407.692307696</v>
      </c>
      <c r="C164" s="289">
        <f>+'Purchased Power Model '!C164</f>
        <v>39.1</v>
      </c>
      <c r="D164" s="289">
        <f>+'Purchased Power Model '!D164</f>
        <v>43.8</v>
      </c>
      <c r="E164" s="290">
        <f>+'Purchased Power Model '!E164</f>
        <v>6.5000000000000002E-2</v>
      </c>
      <c r="F164" s="291">
        <f>+'Purchased Power Model '!F164</f>
        <v>30</v>
      </c>
      <c r="G164" s="291">
        <f>+'Purchased Power Model '!G164</f>
        <v>0</v>
      </c>
      <c r="H164" s="292">
        <f>+'Purchased Power Model '!H164</f>
        <v>92638325.550068289</v>
      </c>
      <c r="J164" s="287">
        <f>+'10 Year Average'!A164</f>
        <v>42522</v>
      </c>
      <c r="K164" s="293">
        <f>+'10 Year Average'!B164</f>
        <v>88597407.692307696</v>
      </c>
      <c r="L164" s="289">
        <f>+'10 Year Average'!C164</f>
        <v>39.1</v>
      </c>
      <c r="M164" s="289">
        <f>+'10 Year Average'!D164</f>
        <v>43.8</v>
      </c>
      <c r="N164" s="290">
        <f>+'10 Year Average'!E164</f>
        <v>6.5000000000000002E-2</v>
      </c>
      <c r="O164" s="291">
        <f>+'10 Year Average'!F164</f>
        <v>30</v>
      </c>
      <c r="P164" s="291">
        <f>+'10 Year Average'!G164</f>
        <v>0</v>
      </c>
      <c r="Q164" s="292">
        <f>+'10 Year Average'!H164</f>
        <v>92638325.550068289</v>
      </c>
      <c r="S164" s="287">
        <f>+'20 Year Trend'!A164</f>
        <v>42522</v>
      </c>
      <c r="T164" s="293">
        <f>+'20 Year Trend'!B164</f>
        <v>88597407.692307696</v>
      </c>
      <c r="U164" s="289">
        <f>+'20 Year Trend'!C164</f>
        <v>39.1</v>
      </c>
      <c r="V164" s="289">
        <f>+'20 Year Trend'!D164</f>
        <v>43.8</v>
      </c>
      <c r="W164" s="290">
        <f>+'20 Year Trend'!E164</f>
        <v>6.5000000000000002E-2</v>
      </c>
      <c r="X164" s="291">
        <f>+'20 Year Trend'!F164</f>
        <v>30</v>
      </c>
      <c r="Y164" s="291">
        <f>+'20 Year Trend'!G164</f>
        <v>0</v>
      </c>
      <c r="Z164" s="292">
        <f>+'20 Year Trend'!H164</f>
        <v>92638325.550068289</v>
      </c>
    </row>
    <row r="165" spans="1:26" x14ac:dyDescent="0.2">
      <c r="A165" s="287">
        <f>+'Purchased Power Model '!A165</f>
        <v>42552</v>
      </c>
      <c r="B165" s="293">
        <f>+'Purchased Power Model '!B165</f>
        <v>105096208.07692309</v>
      </c>
      <c r="C165" s="289">
        <f>+'Purchased Power Model '!C165</f>
        <v>2.4</v>
      </c>
      <c r="D165" s="289">
        <f>+'Purchased Power Model '!D165</f>
        <v>120.7</v>
      </c>
      <c r="E165" s="290">
        <f>+'Purchased Power Model '!E165</f>
        <v>6.5000000000000002E-2</v>
      </c>
      <c r="F165" s="291">
        <f>+'Purchased Power Model '!F165</f>
        <v>31</v>
      </c>
      <c r="G165" s="291">
        <f>+'Purchased Power Model '!G165</f>
        <v>0</v>
      </c>
      <c r="H165" s="292">
        <f>+'Purchased Power Model '!H165</f>
        <v>105735237.78792161</v>
      </c>
      <c r="J165" s="287">
        <f>+'10 Year Average'!A165</f>
        <v>42552</v>
      </c>
      <c r="K165" s="293">
        <f>+'10 Year Average'!B165</f>
        <v>105096208.07692309</v>
      </c>
      <c r="L165" s="289">
        <f>+'10 Year Average'!C165</f>
        <v>2.4</v>
      </c>
      <c r="M165" s="289">
        <f>+'10 Year Average'!D165</f>
        <v>120.7</v>
      </c>
      <c r="N165" s="290">
        <f>+'10 Year Average'!E165</f>
        <v>6.5000000000000002E-2</v>
      </c>
      <c r="O165" s="291">
        <f>+'10 Year Average'!F165</f>
        <v>31</v>
      </c>
      <c r="P165" s="291">
        <f>+'10 Year Average'!G165</f>
        <v>0</v>
      </c>
      <c r="Q165" s="292">
        <f>+'10 Year Average'!H165</f>
        <v>105735237.78792161</v>
      </c>
      <c r="S165" s="287">
        <f>+'20 Year Trend'!A165</f>
        <v>42552</v>
      </c>
      <c r="T165" s="293">
        <f>+'20 Year Trend'!B165</f>
        <v>105096208.07692309</v>
      </c>
      <c r="U165" s="289">
        <f>+'20 Year Trend'!C165</f>
        <v>2.4</v>
      </c>
      <c r="V165" s="289">
        <f>+'20 Year Trend'!D165</f>
        <v>120.7</v>
      </c>
      <c r="W165" s="290">
        <f>+'20 Year Trend'!E165</f>
        <v>6.5000000000000002E-2</v>
      </c>
      <c r="X165" s="291">
        <f>+'20 Year Trend'!F165</f>
        <v>31</v>
      </c>
      <c r="Y165" s="291">
        <f>+'20 Year Trend'!G165</f>
        <v>0</v>
      </c>
      <c r="Z165" s="292">
        <f>+'20 Year Trend'!H165</f>
        <v>105735237.78792161</v>
      </c>
    </row>
    <row r="166" spans="1:26" x14ac:dyDescent="0.2">
      <c r="A166" s="287">
        <f>+'Purchased Power Model '!A166</f>
        <v>42583</v>
      </c>
      <c r="B166" s="293">
        <f>+'Purchased Power Model '!B166</f>
        <v>110653600</v>
      </c>
      <c r="C166" s="289">
        <f>+'Purchased Power Model '!C166</f>
        <v>1.4</v>
      </c>
      <c r="D166" s="289">
        <f>+'Purchased Power Model '!D166</f>
        <v>135.6</v>
      </c>
      <c r="E166" s="290">
        <f>+'Purchased Power Model '!E166</f>
        <v>6.9000000000000006E-2</v>
      </c>
      <c r="F166" s="291">
        <f>+'Purchased Power Model '!F166</f>
        <v>31</v>
      </c>
      <c r="G166" s="291">
        <f>+'Purchased Power Model '!G166</f>
        <v>0</v>
      </c>
      <c r="H166" s="292">
        <f>+'Purchased Power Model '!H166</f>
        <v>107671932.39752652</v>
      </c>
      <c r="J166" s="287">
        <f>+'10 Year Average'!A166</f>
        <v>42583</v>
      </c>
      <c r="K166" s="293">
        <f>+'10 Year Average'!B166</f>
        <v>110653600</v>
      </c>
      <c r="L166" s="289">
        <f>+'10 Year Average'!C166</f>
        <v>1.4</v>
      </c>
      <c r="M166" s="289">
        <f>+'10 Year Average'!D166</f>
        <v>135.6</v>
      </c>
      <c r="N166" s="290">
        <f>+'10 Year Average'!E166</f>
        <v>6.9000000000000006E-2</v>
      </c>
      <c r="O166" s="291">
        <f>+'10 Year Average'!F166</f>
        <v>31</v>
      </c>
      <c r="P166" s="291">
        <f>+'10 Year Average'!G166</f>
        <v>0</v>
      </c>
      <c r="Q166" s="292">
        <f>+'10 Year Average'!H166</f>
        <v>107671932.39752652</v>
      </c>
      <c r="S166" s="287">
        <f>+'20 Year Trend'!A166</f>
        <v>42583</v>
      </c>
      <c r="T166" s="293">
        <f>+'20 Year Trend'!B166</f>
        <v>110653600</v>
      </c>
      <c r="U166" s="289">
        <f>+'20 Year Trend'!C166</f>
        <v>1.4</v>
      </c>
      <c r="V166" s="289">
        <f>+'20 Year Trend'!D166</f>
        <v>135.6</v>
      </c>
      <c r="W166" s="290">
        <f>+'20 Year Trend'!E166</f>
        <v>6.9000000000000006E-2</v>
      </c>
      <c r="X166" s="291">
        <f>+'20 Year Trend'!F166</f>
        <v>31</v>
      </c>
      <c r="Y166" s="291">
        <f>+'20 Year Trend'!G166</f>
        <v>0</v>
      </c>
      <c r="Z166" s="292">
        <f>+'20 Year Trend'!H166</f>
        <v>107671932.39752652</v>
      </c>
    </row>
    <row r="167" spans="1:26" x14ac:dyDescent="0.2">
      <c r="A167" s="287">
        <f>+'Purchased Power Model '!A167</f>
        <v>42614</v>
      </c>
      <c r="B167" s="293">
        <f>+'Purchased Power Model '!B167</f>
        <v>88623306</v>
      </c>
      <c r="C167" s="289">
        <f>+'Purchased Power Model '!C167</f>
        <v>50.8</v>
      </c>
      <c r="D167" s="289">
        <f>+'Purchased Power Model '!D167</f>
        <v>35.299999999999997</v>
      </c>
      <c r="E167" s="290">
        <f>+'Purchased Power Model '!E167</f>
        <v>6.4000000000000001E-2</v>
      </c>
      <c r="F167" s="291">
        <f>+'Purchased Power Model '!F167</f>
        <v>30</v>
      </c>
      <c r="G167" s="291">
        <f>+'Purchased Power Model '!G167</f>
        <v>1</v>
      </c>
      <c r="H167" s="292">
        <f>+'Purchased Power Model '!H167</f>
        <v>85114912.24990277</v>
      </c>
      <c r="J167" s="287">
        <f>+'10 Year Average'!A167</f>
        <v>42614</v>
      </c>
      <c r="K167" s="293">
        <f>+'10 Year Average'!B167</f>
        <v>88623306</v>
      </c>
      <c r="L167" s="289">
        <f>+'10 Year Average'!C167</f>
        <v>50.8</v>
      </c>
      <c r="M167" s="289">
        <f>+'10 Year Average'!D167</f>
        <v>35.299999999999997</v>
      </c>
      <c r="N167" s="290">
        <f>+'10 Year Average'!E167</f>
        <v>6.4000000000000001E-2</v>
      </c>
      <c r="O167" s="291">
        <f>+'10 Year Average'!F167</f>
        <v>30</v>
      </c>
      <c r="P167" s="291">
        <f>+'10 Year Average'!G167</f>
        <v>1</v>
      </c>
      <c r="Q167" s="292">
        <f>+'10 Year Average'!H167</f>
        <v>85114912.24990277</v>
      </c>
      <c r="S167" s="287">
        <f>+'20 Year Trend'!A167</f>
        <v>42614</v>
      </c>
      <c r="T167" s="293">
        <f>+'20 Year Trend'!B167</f>
        <v>88623306</v>
      </c>
      <c r="U167" s="289">
        <f>+'20 Year Trend'!C167</f>
        <v>50.8</v>
      </c>
      <c r="V167" s="289">
        <f>+'20 Year Trend'!D167</f>
        <v>35.299999999999997</v>
      </c>
      <c r="W167" s="290">
        <f>+'20 Year Trend'!E167</f>
        <v>6.4000000000000001E-2</v>
      </c>
      <c r="X167" s="291">
        <f>+'20 Year Trend'!F167</f>
        <v>30</v>
      </c>
      <c r="Y167" s="291">
        <f>+'20 Year Trend'!G167</f>
        <v>1</v>
      </c>
      <c r="Z167" s="292">
        <f>+'20 Year Trend'!H167</f>
        <v>85114912.24990277</v>
      </c>
    </row>
    <row r="168" spans="1:26" x14ac:dyDescent="0.2">
      <c r="A168" s="287">
        <f>+'Purchased Power Model '!A168</f>
        <v>42644</v>
      </c>
      <c r="B168" s="293">
        <f>+'Purchased Power Model '!B168</f>
        <v>81876959.846153855</v>
      </c>
      <c r="C168" s="289">
        <f>+'Purchased Power Model '!C168</f>
        <v>204</v>
      </c>
      <c r="D168" s="289">
        <f>+'Purchased Power Model '!D168</f>
        <v>0.3</v>
      </c>
      <c r="E168" s="290">
        <f>+'Purchased Power Model '!E168</f>
        <v>0.06</v>
      </c>
      <c r="F168" s="291">
        <f>+'Purchased Power Model '!F168</f>
        <v>31</v>
      </c>
      <c r="G168" s="291">
        <f>+'Purchased Power Model '!G168</f>
        <v>1</v>
      </c>
      <c r="H168" s="292">
        <f>+'Purchased Power Model '!H168</f>
        <v>88661616.982890844</v>
      </c>
      <c r="J168" s="287">
        <f>+'10 Year Average'!A168</f>
        <v>42644</v>
      </c>
      <c r="K168" s="293">
        <f>+'10 Year Average'!B168</f>
        <v>81876959.846153855</v>
      </c>
      <c r="L168" s="289">
        <f>+'10 Year Average'!C168</f>
        <v>204</v>
      </c>
      <c r="M168" s="289">
        <f>+'10 Year Average'!D168</f>
        <v>0.3</v>
      </c>
      <c r="N168" s="290">
        <f>+'10 Year Average'!E168</f>
        <v>0.06</v>
      </c>
      <c r="O168" s="291">
        <f>+'10 Year Average'!F168</f>
        <v>31</v>
      </c>
      <c r="P168" s="291">
        <f>+'10 Year Average'!G168</f>
        <v>1</v>
      </c>
      <c r="Q168" s="292">
        <f>+'10 Year Average'!H168</f>
        <v>88661616.982890844</v>
      </c>
      <c r="S168" s="287">
        <f>+'20 Year Trend'!A168</f>
        <v>42644</v>
      </c>
      <c r="T168" s="293">
        <f>+'20 Year Trend'!B168</f>
        <v>81876959.846153855</v>
      </c>
      <c r="U168" s="289">
        <f>+'20 Year Trend'!C168</f>
        <v>204</v>
      </c>
      <c r="V168" s="289">
        <f>+'20 Year Trend'!D168</f>
        <v>0.3</v>
      </c>
      <c r="W168" s="290">
        <f>+'20 Year Trend'!E168</f>
        <v>0.06</v>
      </c>
      <c r="X168" s="291">
        <f>+'20 Year Trend'!F168</f>
        <v>31</v>
      </c>
      <c r="Y168" s="291">
        <f>+'20 Year Trend'!G168</f>
        <v>1</v>
      </c>
      <c r="Z168" s="292">
        <f>+'20 Year Trend'!H168</f>
        <v>88661616.982890844</v>
      </c>
    </row>
    <row r="169" spans="1:26" x14ac:dyDescent="0.2">
      <c r="A169" s="287">
        <f>+'Purchased Power Model '!A169</f>
        <v>42675</v>
      </c>
      <c r="B169" s="293">
        <f>+'Purchased Power Model '!B169</f>
        <v>84765722.742307693</v>
      </c>
      <c r="C169" s="289">
        <f>+'Purchased Power Model '!C169</f>
        <v>298.5</v>
      </c>
      <c r="D169" s="289">
        <f>+'Purchased Power Model '!D169</f>
        <v>0</v>
      </c>
      <c r="E169" s="290">
        <f>+'Purchased Power Model '!E169</f>
        <v>5.4000000000000006E-2</v>
      </c>
      <c r="F169" s="291">
        <f>+'Purchased Power Model '!F169</f>
        <v>30</v>
      </c>
      <c r="G169" s="291">
        <f>+'Purchased Power Model '!G169</f>
        <v>1</v>
      </c>
      <c r="H169" s="292">
        <f>+'Purchased Power Model '!H169</f>
        <v>89990395.029331803</v>
      </c>
      <c r="J169" s="287">
        <f>+'10 Year Average'!A169</f>
        <v>42675</v>
      </c>
      <c r="K169" s="293">
        <f>+'10 Year Average'!B169</f>
        <v>84765722.742307693</v>
      </c>
      <c r="L169" s="289">
        <f>+'10 Year Average'!C169</f>
        <v>298.5</v>
      </c>
      <c r="M169" s="289">
        <f>+'10 Year Average'!D169</f>
        <v>0</v>
      </c>
      <c r="N169" s="290">
        <f>+'10 Year Average'!E169</f>
        <v>5.4000000000000006E-2</v>
      </c>
      <c r="O169" s="291">
        <f>+'10 Year Average'!F169</f>
        <v>30</v>
      </c>
      <c r="P169" s="291">
        <f>+'10 Year Average'!G169</f>
        <v>1</v>
      </c>
      <c r="Q169" s="292">
        <f>+'10 Year Average'!H169</f>
        <v>89990395.029331803</v>
      </c>
      <c r="S169" s="287">
        <f>+'20 Year Trend'!A169</f>
        <v>42675</v>
      </c>
      <c r="T169" s="293">
        <f>+'20 Year Trend'!B169</f>
        <v>84765722.742307693</v>
      </c>
      <c r="U169" s="289">
        <f>+'20 Year Trend'!C169</f>
        <v>298.5</v>
      </c>
      <c r="V169" s="289">
        <f>+'20 Year Trend'!D169</f>
        <v>0</v>
      </c>
      <c r="W169" s="290">
        <f>+'20 Year Trend'!E169</f>
        <v>5.4000000000000006E-2</v>
      </c>
      <c r="X169" s="291">
        <f>+'20 Year Trend'!F169</f>
        <v>30</v>
      </c>
      <c r="Y169" s="291">
        <f>+'20 Year Trend'!G169</f>
        <v>1</v>
      </c>
      <c r="Z169" s="292">
        <f>+'20 Year Trend'!H169</f>
        <v>89990395.029331803</v>
      </c>
    </row>
    <row r="170" spans="1:26" x14ac:dyDescent="0.2">
      <c r="A170" s="287">
        <f>+'Purchased Power Model '!A170</f>
        <v>42705</v>
      </c>
      <c r="B170" s="293">
        <f>+'Purchased Power Model '!B170</f>
        <v>100061668.77</v>
      </c>
      <c r="C170" s="289">
        <f>+'Purchased Power Model '!C170</f>
        <v>483.4</v>
      </c>
      <c r="D170" s="289">
        <f>+'Purchased Power Model '!D170</f>
        <v>0</v>
      </c>
      <c r="E170" s="290">
        <f>+'Purchased Power Model '!E170</f>
        <v>5.2000000000000005E-2</v>
      </c>
      <c r="F170" s="291">
        <f>+'Purchased Power Model '!F170</f>
        <v>31</v>
      </c>
      <c r="G170" s="291">
        <f>+'Purchased Power Model '!G170</f>
        <v>0</v>
      </c>
      <c r="H170" s="292">
        <f>+'Purchased Power Model '!H170</f>
        <v>106712530.94713958</v>
      </c>
      <c r="J170" s="287">
        <f>+'10 Year Average'!A170</f>
        <v>42705</v>
      </c>
      <c r="K170" s="293">
        <f>+'10 Year Average'!B170</f>
        <v>100061668.77</v>
      </c>
      <c r="L170" s="289">
        <f>+'10 Year Average'!C170</f>
        <v>483.4</v>
      </c>
      <c r="M170" s="289">
        <f>+'10 Year Average'!D170</f>
        <v>0</v>
      </c>
      <c r="N170" s="290">
        <f>+'10 Year Average'!E170</f>
        <v>5.2000000000000005E-2</v>
      </c>
      <c r="O170" s="291">
        <f>+'10 Year Average'!F170</f>
        <v>31</v>
      </c>
      <c r="P170" s="291">
        <f>+'10 Year Average'!G170</f>
        <v>0</v>
      </c>
      <c r="Q170" s="292">
        <f>+'10 Year Average'!H170</f>
        <v>106712530.94713958</v>
      </c>
      <c r="S170" s="287">
        <f>+'20 Year Trend'!A170</f>
        <v>42705</v>
      </c>
      <c r="T170" s="293">
        <f>+'20 Year Trend'!B170</f>
        <v>100061668.77</v>
      </c>
      <c r="U170" s="289">
        <f>+'20 Year Trend'!C170</f>
        <v>483.4</v>
      </c>
      <c r="V170" s="289">
        <f>+'20 Year Trend'!D170</f>
        <v>0</v>
      </c>
      <c r="W170" s="290">
        <f>+'20 Year Trend'!E170</f>
        <v>5.2000000000000005E-2</v>
      </c>
      <c r="X170" s="291">
        <f>+'20 Year Trend'!F170</f>
        <v>31</v>
      </c>
      <c r="Y170" s="291">
        <f>+'20 Year Trend'!G170</f>
        <v>0</v>
      </c>
      <c r="Z170" s="292">
        <f>+'20 Year Trend'!H170</f>
        <v>106712530.94713958</v>
      </c>
    </row>
    <row r="171" spans="1:26" x14ac:dyDescent="0.2">
      <c r="A171" s="287">
        <f>+'Purchased Power Model '!A171</f>
        <v>42736</v>
      </c>
      <c r="B171" s="293">
        <f>+'Purchased Power Model '!B171</f>
        <v>100646849</v>
      </c>
      <c r="C171" s="289">
        <f>+'Purchased Power Model '!C171</f>
        <v>584</v>
      </c>
      <c r="D171" s="289">
        <f ca="1">+'Purchased Power Model '!D171</f>
        <v>0</v>
      </c>
      <c r="E171" s="290">
        <f>+'Purchased Power Model '!E171</f>
        <v>5.2999999999999999E-2</v>
      </c>
      <c r="F171" s="291">
        <f>+'Purchased Power Model '!F171</f>
        <v>31</v>
      </c>
      <c r="G171" s="291">
        <f>+'Purchased Power Model '!G171</f>
        <v>0</v>
      </c>
      <c r="H171" s="292">
        <f ca="1">+'Purchased Power Model '!H171</f>
        <v>110499410.96300498</v>
      </c>
      <c r="J171" s="287">
        <f>+'10 Year Average'!A171</f>
        <v>42736</v>
      </c>
      <c r="K171" s="293">
        <f>+'10 Year Average'!B171</f>
        <v>100646849</v>
      </c>
      <c r="L171" s="289">
        <f>+'10 Year Average'!C171</f>
        <v>584</v>
      </c>
      <c r="M171" s="289">
        <f ca="1">+'10 Year Average'!D171</f>
        <v>0</v>
      </c>
      <c r="N171" s="290">
        <f>+'10 Year Average'!E171</f>
        <v>5.2999999999999999E-2</v>
      </c>
      <c r="O171" s="291">
        <f>+'10 Year Average'!F171</f>
        <v>31</v>
      </c>
      <c r="P171" s="291">
        <f>+'10 Year Average'!G171</f>
        <v>0</v>
      </c>
      <c r="Q171" s="292">
        <f ca="1">+'10 Year Average'!H171</f>
        <v>110499410.96300498</v>
      </c>
      <c r="S171" s="287">
        <f>+'20 Year Trend'!A171</f>
        <v>42736</v>
      </c>
      <c r="T171" s="293">
        <f>+'20 Year Trend'!B171</f>
        <v>100646849</v>
      </c>
      <c r="U171" s="289">
        <f>+'20 Year Trend'!C171</f>
        <v>584</v>
      </c>
      <c r="V171" s="289">
        <f ca="1">+'20 Year Trend'!D171</f>
        <v>0</v>
      </c>
      <c r="W171" s="290">
        <f>+'20 Year Trend'!E171</f>
        <v>5.2999999999999999E-2</v>
      </c>
      <c r="X171" s="291">
        <f>+'20 Year Trend'!F171</f>
        <v>31</v>
      </c>
      <c r="Y171" s="291">
        <f>+'20 Year Trend'!G171</f>
        <v>0</v>
      </c>
      <c r="Z171" s="292">
        <f ca="1">+'20 Year Trend'!H171</f>
        <v>110499410.96300498</v>
      </c>
    </row>
    <row r="172" spans="1:26" x14ac:dyDescent="0.2">
      <c r="A172" s="287">
        <f>+'Purchased Power Model '!A172</f>
        <v>42767</v>
      </c>
      <c r="B172" s="293">
        <f>+'Purchased Power Model '!B172</f>
        <v>87854689</v>
      </c>
      <c r="C172" s="289">
        <f>+'Purchased Power Model '!C172</f>
        <v>506</v>
      </c>
      <c r="D172" s="289">
        <f ca="1">+'Purchased Power Model '!D172</f>
        <v>0</v>
      </c>
      <c r="E172" s="290">
        <f>+'Purchased Power Model '!E172</f>
        <v>5.9000000000000004E-2</v>
      </c>
      <c r="F172" s="291">
        <f>+'Purchased Power Model '!F172</f>
        <v>28</v>
      </c>
      <c r="G172" s="291">
        <f>+'Purchased Power Model '!G172</f>
        <v>0</v>
      </c>
      <c r="H172" s="292">
        <f ca="1">+'Purchased Power Model '!H172</f>
        <v>98884600.814744189</v>
      </c>
      <c r="J172" s="287">
        <f>+'10 Year Average'!A172</f>
        <v>42767</v>
      </c>
      <c r="K172" s="293">
        <f>+'10 Year Average'!B172</f>
        <v>87854689</v>
      </c>
      <c r="L172" s="289">
        <f>+'10 Year Average'!C172</f>
        <v>506</v>
      </c>
      <c r="M172" s="289">
        <f ca="1">+'10 Year Average'!D172</f>
        <v>0</v>
      </c>
      <c r="N172" s="290">
        <f>+'10 Year Average'!E172</f>
        <v>5.9000000000000004E-2</v>
      </c>
      <c r="O172" s="291">
        <f>+'10 Year Average'!F172</f>
        <v>28</v>
      </c>
      <c r="P172" s="291">
        <f>+'10 Year Average'!G172</f>
        <v>0</v>
      </c>
      <c r="Q172" s="292">
        <f ca="1">+'10 Year Average'!H172</f>
        <v>98884600.814744189</v>
      </c>
      <c r="S172" s="287">
        <f>+'20 Year Trend'!A172</f>
        <v>42767</v>
      </c>
      <c r="T172" s="293">
        <f>+'20 Year Trend'!B172</f>
        <v>87854689</v>
      </c>
      <c r="U172" s="289">
        <f>+'20 Year Trend'!C172</f>
        <v>506</v>
      </c>
      <c r="V172" s="289">
        <f ca="1">+'20 Year Trend'!D172</f>
        <v>0</v>
      </c>
      <c r="W172" s="290">
        <f>+'20 Year Trend'!E172</f>
        <v>5.9000000000000004E-2</v>
      </c>
      <c r="X172" s="291">
        <f>+'20 Year Trend'!F172</f>
        <v>28</v>
      </c>
      <c r="Y172" s="291">
        <f>+'20 Year Trend'!G172</f>
        <v>0</v>
      </c>
      <c r="Z172" s="292">
        <f ca="1">+'20 Year Trend'!H172</f>
        <v>98884600.814744189</v>
      </c>
    </row>
    <row r="173" spans="1:26" x14ac:dyDescent="0.2">
      <c r="A173" s="287">
        <f>+'Purchased Power Model '!A173</f>
        <v>42795</v>
      </c>
      <c r="B173" s="293">
        <f>+'Purchased Power Model '!B173</f>
        <v>87926013</v>
      </c>
      <c r="C173" s="289">
        <f>+'Purchased Power Model '!C173</f>
        <v>561</v>
      </c>
      <c r="D173" s="289">
        <f ca="1">+'Purchased Power Model '!D173</f>
        <v>0</v>
      </c>
      <c r="E173" s="290">
        <f>+'Purchased Power Model '!E173</f>
        <v>6.2E-2</v>
      </c>
      <c r="F173" s="291">
        <f>+'Purchased Power Model '!F173</f>
        <v>31</v>
      </c>
      <c r="G173" s="291">
        <f>+'Purchased Power Model '!G173</f>
        <v>1</v>
      </c>
      <c r="H173" s="292">
        <f ca="1">+'Purchased Power Model '!H173</f>
        <v>102173774.61216182</v>
      </c>
      <c r="J173" s="287">
        <f>+'10 Year Average'!A173</f>
        <v>42795</v>
      </c>
      <c r="K173" s="293">
        <f>+'10 Year Average'!B173</f>
        <v>87926013</v>
      </c>
      <c r="L173" s="289">
        <f>+'10 Year Average'!C173</f>
        <v>561</v>
      </c>
      <c r="M173" s="289">
        <f ca="1">+'10 Year Average'!D173</f>
        <v>0</v>
      </c>
      <c r="N173" s="290">
        <f>+'10 Year Average'!E173</f>
        <v>6.2E-2</v>
      </c>
      <c r="O173" s="291">
        <f>+'10 Year Average'!F173</f>
        <v>31</v>
      </c>
      <c r="P173" s="291">
        <f>+'10 Year Average'!G173</f>
        <v>1</v>
      </c>
      <c r="Q173" s="292">
        <f ca="1">+'10 Year Average'!H173</f>
        <v>102173774.61216182</v>
      </c>
      <c r="S173" s="287">
        <f>+'20 Year Trend'!A173</f>
        <v>42795</v>
      </c>
      <c r="T173" s="293">
        <f>+'20 Year Trend'!B173</f>
        <v>87926013</v>
      </c>
      <c r="U173" s="289">
        <f>+'20 Year Trend'!C173</f>
        <v>561</v>
      </c>
      <c r="V173" s="289">
        <f ca="1">+'20 Year Trend'!D173</f>
        <v>0</v>
      </c>
      <c r="W173" s="290">
        <f>+'20 Year Trend'!E173</f>
        <v>6.2E-2</v>
      </c>
      <c r="X173" s="291">
        <f>+'20 Year Trend'!F173</f>
        <v>31</v>
      </c>
      <c r="Y173" s="291">
        <f>+'20 Year Trend'!G173</f>
        <v>1</v>
      </c>
      <c r="Z173" s="292">
        <f ca="1">+'20 Year Trend'!H173</f>
        <v>102173774.61216182</v>
      </c>
    </row>
    <row r="174" spans="1:26" x14ac:dyDescent="0.2">
      <c r="A174" s="287">
        <f>+'Purchased Power Model '!A174</f>
        <v>42826</v>
      </c>
      <c r="B174" s="293">
        <f ca="1">+'Purchased Power Model '!B174</f>
        <v>93247444.991928399</v>
      </c>
      <c r="C174" s="289">
        <f>+'Purchased Power Model '!C174</f>
        <v>410.06381244743028</v>
      </c>
      <c r="D174" s="289">
        <f ca="1">+'Purchased Power Model '!D174</f>
        <v>0</v>
      </c>
      <c r="E174" s="290">
        <f>+'Purchased Power Model '!E174</f>
        <v>6.7312499999999997E-2</v>
      </c>
      <c r="F174" s="291">
        <f>+'Purchased Power Model '!F174</f>
        <v>30</v>
      </c>
      <c r="G174" s="291">
        <f>+'Purchased Power Model '!G174</f>
        <v>1</v>
      </c>
      <c r="H174" s="292">
        <f ca="1">+'Purchased Power Model '!H174</f>
        <v>93247444.991928399</v>
      </c>
      <c r="J174" s="287">
        <f>+'10 Year Average'!A174</f>
        <v>42826</v>
      </c>
      <c r="K174" s="293">
        <f>+'10 Year Average'!B174</f>
        <v>93183987.223823041</v>
      </c>
      <c r="L174" s="289">
        <f>+'10 Year Average'!C174</f>
        <v>408.41172620811477</v>
      </c>
      <c r="M174" s="289">
        <f>+'10 Year Average'!D174</f>
        <v>0</v>
      </c>
      <c r="N174" s="290">
        <f>+'10 Year Average'!E174</f>
        <v>6.7312499999999997E-2</v>
      </c>
      <c r="O174" s="291">
        <f>+'10 Year Average'!F174</f>
        <v>30</v>
      </c>
      <c r="P174" s="291">
        <f>+'10 Year Average'!G174</f>
        <v>1</v>
      </c>
      <c r="Q174" s="292">
        <f>+'10 Year Average'!H174</f>
        <v>93183987.223823041</v>
      </c>
      <c r="S174" s="287">
        <f>+'20 Year Trend'!A174</f>
        <v>42826</v>
      </c>
      <c r="T174" s="293">
        <f>+'20 Year Trend'!B174</f>
        <v>93469183.978211343</v>
      </c>
      <c r="U174" s="289">
        <f>+'20 Year Trend'!C174</f>
        <v>415.83665852908723</v>
      </c>
      <c r="V174" s="289">
        <f>+'20 Year Trend'!D174</f>
        <v>0</v>
      </c>
      <c r="W174" s="290">
        <f>+'20 Year Trend'!E174</f>
        <v>6.7312499999999997E-2</v>
      </c>
      <c r="X174" s="291">
        <f>+'20 Year Trend'!F174</f>
        <v>30</v>
      </c>
      <c r="Y174" s="291">
        <f>+'20 Year Trend'!G174</f>
        <v>1</v>
      </c>
      <c r="Z174" s="292">
        <f>+'20 Year Trend'!H174</f>
        <v>93469183.978211343</v>
      </c>
    </row>
    <row r="175" spans="1:26" x14ac:dyDescent="0.2">
      <c r="A175" s="287">
        <f>+'Purchased Power Model '!A175</f>
        <v>42856</v>
      </c>
      <c r="B175" s="293">
        <f ca="1">+'Purchased Power Model '!B175</f>
        <v>88495099.894857064</v>
      </c>
      <c r="C175" s="289">
        <f>+'Purchased Power Model '!C175</f>
        <v>159.69064798557193</v>
      </c>
      <c r="D175" s="289">
        <f ca="1">+'Purchased Power Model '!D175</f>
        <v>14.000793761762511</v>
      </c>
      <c r="E175" s="290">
        <f>+'Purchased Power Model '!E175</f>
        <v>6.7312499999999997E-2</v>
      </c>
      <c r="F175" s="291">
        <f>+'Purchased Power Model '!F175</f>
        <v>31</v>
      </c>
      <c r="G175" s="291">
        <f>+'Purchased Power Model '!G175</f>
        <v>1</v>
      </c>
      <c r="H175" s="292">
        <f ca="1">+'Purchased Power Model '!H175</f>
        <v>88495099.894857064</v>
      </c>
      <c r="J175" s="287">
        <f>+'10 Year Average'!A175</f>
        <v>42856</v>
      </c>
      <c r="K175" s="293">
        <f>+'10 Year Average'!B175</f>
        <v>88310830.51553005</v>
      </c>
      <c r="L175" s="289">
        <f>+'10 Year Average'!C175</f>
        <v>159.04727806587644</v>
      </c>
      <c r="M175" s="289">
        <f>+'10 Year Average'!D175</f>
        <v>12.959921148972116</v>
      </c>
      <c r="N175" s="290">
        <f>+'10 Year Average'!E175</f>
        <v>6.7312499999999997E-2</v>
      </c>
      <c r="O175" s="291">
        <f>+'10 Year Average'!F175</f>
        <v>31</v>
      </c>
      <c r="P175" s="291">
        <f>+'10 Year Average'!G175</f>
        <v>1</v>
      </c>
      <c r="Q175" s="292">
        <f>+'10 Year Average'!H175</f>
        <v>88310830.51553005</v>
      </c>
      <c r="S175" s="287">
        <f>+'20 Year Trend'!A175</f>
        <v>42856</v>
      </c>
      <c r="T175" s="293">
        <f>+'20 Year Trend'!B175</f>
        <v>88635325.942233145</v>
      </c>
      <c r="U175" s="289">
        <f>+'20 Year Trend'!C175</f>
        <v>161.93876036105485</v>
      </c>
      <c r="V175" s="289">
        <f>+'20 Year Trend'!D175</f>
        <v>14.352244734618845</v>
      </c>
      <c r="W175" s="290">
        <f>+'20 Year Trend'!E175</f>
        <v>6.7312499999999997E-2</v>
      </c>
      <c r="X175" s="291">
        <f>+'20 Year Trend'!F175</f>
        <v>31</v>
      </c>
      <c r="Y175" s="291">
        <f>+'20 Year Trend'!G175</f>
        <v>1</v>
      </c>
      <c r="Z175" s="292">
        <f>+'20 Year Trend'!H175</f>
        <v>88635325.942233145</v>
      </c>
    </row>
    <row r="176" spans="1:26" x14ac:dyDescent="0.2">
      <c r="A176" s="287">
        <f>+'Purchased Power Model '!A176</f>
        <v>42887</v>
      </c>
      <c r="B176" s="293">
        <f ca="1">+'Purchased Power Model '!B176</f>
        <v>90548966.077008516</v>
      </c>
      <c r="C176" s="289">
        <f>+'Purchased Power Model '!C176</f>
        <v>38.003069605817792</v>
      </c>
      <c r="D176" s="289">
        <f ca="1">+'Purchased Power Model '!D176</f>
        <v>31.610039523979275</v>
      </c>
      <c r="E176" s="290">
        <f>+'Purchased Power Model '!E176</f>
        <v>6.7312499999999997E-2</v>
      </c>
      <c r="F176" s="291">
        <f>+'Purchased Power Model '!F176</f>
        <v>30</v>
      </c>
      <c r="G176" s="291">
        <f>+'Purchased Power Model '!G176</f>
        <v>0</v>
      </c>
      <c r="H176" s="292">
        <f ca="1">+'Purchased Power Model '!H176</f>
        <v>90548966.077008516</v>
      </c>
      <c r="J176" s="287">
        <f>+'10 Year Average'!A176</f>
        <v>42887</v>
      </c>
      <c r="K176" s="293">
        <f>+'10 Year Average'!B176</f>
        <v>90182847.905123025</v>
      </c>
      <c r="L176" s="289">
        <f>+'10 Year Average'!C176</f>
        <v>37.849960878732617</v>
      </c>
      <c r="M176" s="289">
        <f>+'10 Year Average'!D176</f>
        <v>29.260028161081376</v>
      </c>
      <c r="N176" s="290">
        <f>+'10 Year Average'!E176</f>
        <v>6.7312499999999997E-2</v>
      </c>
      <c r="O176" s="291">
        <f>+'10 Year Average'!F176</f>
        <v>30</v>
      </c>
      <c r="P176" s="291">
        <f>+'10 Year Average'!G176</f>
        <v>0</v>
      </c>
      <c r="Q176" s="292">
        <f>+'10 Year Average'!H176</f>
        <v>90182847.905123025</v>
      </c>
      <c r="S176" s="287">
        <f>+'20 Year Trend'!A176</f>
        <v>42887</v>
      </c>
      <c r="T176" s="293">
        <f>+'20 Year Trend'!B176</f>
        <v>90691150.150199816</v>
      </c>
      <c r="U176" s="289">
        <f>+'20 Year Trend'!C176</f>
        <v>38.538073829076353</v>
      </c>
      <c r="V176" s="289">
        <f>+'20 Year Trend'!D176</f>
        <v>32.403521617335329</v>
      </c>
      <c r="W176" s="290">
        <f>+'20 Year Trend'!E176</f>
        <v>6.7312499999999997E-2</v>
      </c>
      <c r="X176" s="291">
        <f>+'20 Year Trend'!F176</f>
        <v>30</v>
      </c>
      <c r="Y176" s="291">
        <f>+'20 Year Trend'!G176</f>
        <v>0</v>
      </c>
      <c r="Z176" s="292">
        <f>+'20 Year Trend'!H176</f>
        <v>90691150.150199816</v>
      </c>
    </row>
    <row r="177" spans="1:26" x14ac:dyDescent="0.2">
      <c r="A177" s="287">
        <f>+'Purchased Power Model '!A177</f>
        <v>42917</v>
      </c>
      <c r="B177" s="293">
        <f ca="1">+'Purchased Power Model '!B177</f>
        <v>100462590.40997171</v>
      </c>
      <c r="C177" s="289">
        <f>+'Purchased Power Model '!C177</f>
        <v>2.3326692341166928</v>
      </c>
      <c r="D177" s="289">
        <f ca="1">+'Purchased Power Model '!D177</f>
        <v>87.108031290965727</v>
      </c>
      <c r="E177" s="290">
        <f>+'Purchased Power Model '!E177</f>
        <v>6.6562659999999996E-2</v>
      </c>
      <c r="F177" s="291">
        <f>+'Purchased Power Model '!F177</f>
        <v>31</v>
      </c>
      <c r="G177" s="291">
        <f>+'Purchased Power Model '!G177</f>
        <v>0</v>
      </c>
      <c r="H177" s="292">
        <f ca="1">+'Purchased Power Model '!H177</f>
        <v>100462590.40997171</v>
      </c>
      <c r="J177" s="287">
        <f>+'10 Year Average'!A177</f>
        <v>42917</v>
      </c>
      <c r="K177" s="293">
        <f>+'10 Year Average'!B177</f>
        <v>99469521.087811947</v>
      </c>
      <c r="L177" s="289">
        <f>+'10 Year Average'!C177</f>
        <v>2.3232712559835873</v>
      </c>
      <c r="M177" s="289">
        <f>+'10 Year Average'!D177</f>
        <v>80.632086736130645</v>
      </c>
      <c r="N177" s="290">
        <f>+'10 Year Average'!E177</f>
        <v>6.6562659999999996E-2</v>
      </c>
      <c r="O177" s="291">
        <f>+'10 Year Average'!F177</f>
        <v>31</v>
      </c>
      <c r="P177" s="291">
        <f>+'10 Year Average'!G177</f>
        <v>0</v>
      </c>
      <c r="Q177" s="292">
        <f>+'10 Year Average'!H177</f>
        <v>99469521.087811947</v>
      </c>
      <c r="S177" s="287">
        <f>+'20 Year Trend'!A177</f>
        <v>42917</v>
      </c>
      <c r="T177" s="293">
        <f>+'20 Year Trend'!B177</f>
        <v>100799040.07410304</v>
      </c>
      <c r="U177" s="289">
        <f>+'20 Year Trend'!C177</f>
        <v>2.3655083680251465</v>
      </c>
      <c r="V177" s="289">
        <f>+'20 Year Trend'!D177</f>
        <v>89.294636055077049</v>
      </c>
      <c r="W177" s="290">
        <f>+'20 Year Trend'!E177</f>
        <v>6.6562659999999996E-2</v>
      </c>
      <c r="X177" s="291">
        <f>+'20 Year Trend'!F177</f>
        <v>31</v>
      </c>
      <c r="Y177" s="291">
        <f>+'20 Year Trend'!G177</f>
        <v>0</v>
      </c>
      <c r="Z177" s="292">
        <f>+'20 Year Trend'!H177</f>
        <v>100799040.07410304</v>
      </c>
    </row>
    <row r="178" spans="1:26" x14ac:dyDescent="0.2">
      <c r="A178" s="287">
        <f>+'Purchased Power Model '!A178</f>
        <v>42948</v>
      </c>
      <c r="B178" s="293">
        <f ca="1">+'Purchased Power Model '!B178</f>
        <v>102073631.27474773</v>
      </c>
      <c r="C178" s="289">
        <f>+'Purchased Power Model '!C178</f>
        <v>1.3607237199014042</v>
      </c>
      <c r="D178" s="289">
        <f ca="1">+'Purchased Power Model '!D178</f>
        <v>97.861218252319404</v>
      </c>
      <c r="E178" s="290">
        <f>+'Purchased Power Model '!E178</f>
        <v>6.6562659999999996E-2</v>
      </c>
      <c r="F178" s="291">
        <f>+'Purchased Power Model '!F178</f>
        <v>31</v>
      </c>
      <c r="G178" s="291">
        <f>+'Purchased Power Model '!G178</f>
        <v>0</v>
      </c>
      <c r="H178" s="292">
        <f ca="1">+'Purchased Power Model '!H178</f>
        <v>102073631.27474773</v>
      </c>
      <c r="J178" s="287">
        <f>+'10 Year Average'!A178</f>
        <v>42948</v>
      </c>
      <c r="K178" s="293">
        <f>+'10 Year Average'!B178</f>
        <v>100958165.93080014</v>
      </c>
      <c r="L178" s="289">
        <f>+'10 Year Average'!C178</f>
        <v>1.355241565990426</v>
      </c>
      <c r="M178" s="289">
        <f>+'10 Year Average'!D178</f>
        <v>90.585840608279341</v>
      </c>
      <c r="N178" s="290">
        <f>+'10 Year Average'!E178</f>
        <v>6.6562659999999996E-2</v>
      </c>
      <c r="O178" s="291">
        <f>+'10 Year Average'!F178</f>
        <v>31</v>
      </c>
      <c r="P178" s="291">
        <f>+'10 Year Average'!G178</f>
        <v>0</v>
      </c>
      <c r="Q178" s="292">
        <f>+'10 Year Average'!H178</f>
        <v>100958165.93080014</v>
      </c>
      <c r="S178" s="287">
        <f>+'20 Year Trend'!A178</f>
        <v>42948</v>
      </c>
      <c r="T178" s="293">
        <f>+'20 Year Trend'!B178</f>
        <v>102450933.2084838</v>
      </c>
      <c r="U178" s="289">
        <f>+'20 Year Trend'!C178</f>
        <v>1.3798798813480022</v>
      </c>
      <c r="V178" s="289">
        <f>+'20 Year Trend'!D178</f>
        <v>100.31775185640802</v>
      </c>
      <c r="W178" s="290">
        <f>+'20 Year Trend'!E178</f>
        <v>6.6562659999999996E-2</v>
      </c>
      <c r="X178" s="291">
        <f>+'20 Year Trend'!F178</f>
        <v>31</v>
      </c>
      <c r="Y178" s="291">
        <f>+'20 Year Trend'!G178</f>
        <v>0</v>
      </c>
      <c r="Z178" s="292">
        <f>+'20 Year Trend'!H178</f>
        <v>102450933.2084838</v>
      </c>
    </row>
    <row r="179" spans="1:26" x14ac:dyDescent="0.2">
      <c r="A179" s="287">
        <f>+'Purchased Power Model '!A179</f>
        <v>42979</v>
      </c>
      <c r="B179" s="293">
        <f ca="1">+'Purchased Power Model '!B179</f>
        <v>83356255.420061022</v>
      </c>
      <c r="C179" s="289">
        <f>+'Purchased Power Model '!C179</f>
        <v>49.374832122136667</v>
      </c>
      <c r="D179" s="289">
        <f ca="1">+'Purchased Power Model '!D179</f>
        <v>25.475671123207043</v>
      </c>
      <c r="E179" s="290">
        <f>+'Purchased Power Model '!E179</f>
        <v>6.6562659999999996E-2</v>
      </c>
      <c r="F179" s="291">
        <f>+'Purchased Power Model '!F179</f>
        <v>30</v>
      </c>
      <c r="G179" s="291">
        <f>+'Purchased Power Model '!G179</f>
        <v>1</v>
      </c>
      <c r="H179" s="292">
        <f ca="1">+'Purchased Power Model '!H179</f>
        <v>83356255.420061022</v>
      </c>
      <c r="J179" s="287">
        <f>+'10 Year Average'!A179</f>
        <v>42979</v>
      </c>
      <c r="K179" s="293">
        <f>+'10 Year Average'!B179</f>
        <v>83058286.495007068</v>
      </c>
      <c r="L179" s="289">
        <f>+'10 Year Average'!C179</f>
        <v>49.175908251652601</v>
      </c>
      <c r="M179" s="289">
        <f>+'10 Year Average'!D179</f>
        <v>23.581712193748235</v>
      </c>
      <c r="N179" s="290">
        <f>+'10 Year Average'!E179</f>
        <v>6.6562659999999996E-2</v>
      </c>
      <c r="O179" s="291">
        <f>+'10 Year Average'!F179</f>
        <v>30</v>
      </c>
      <c r="P179" s="291">
        <f>+'10 Year Average'!G179</f>
        <v>1</v>
      </c>
      <c r="Q179" s="292">
        <f>+'10 Year Average'!H179</f>
        <v>83058286.495007068</v>
      </c>
      <c r="S179" s="287">
        <f>+'20 Year Trend'!A179</f>
        <v>42979</v>
      </c>
      <c r="T179" s="293">
        <f>+'20 Year Trend'!B179</f>
        <v>83480983.880890265</v>
      </c>
      <c r="U179" s="289">
        <f>+'20 Year Trend'!C179</f>
        <v>50.069927123198937</v>
      </c>
      <c r="V179" s="289">
        <f>+'20 Year Trend'!D179</f>
        <v>26.115166965569344</v>
      </c>
      <c r="W179" s="290">
        <f>+'20 Year Trend'!E179</f>
        <v>6.6562659999999996E-2</v>
      </c>
      <c r="X179" s="291">
        <f>+'20 Year Trend'!F179</f>
        <v>30</v>
      </c>
      <c r="Y179" s="291">
        <f>+'20 Year Trend'!G179</f>
        <v>1</v>
      </c>
      <c r="Z179" s="292">
        <f>+'20 Year Trend'!H179</f>
        <v>83480983.880890265</v>
      </c>
    </row>
    <row r="180" spans="1:26" x14ac:dyDescent="0.2">
      <c r="A180" s="287">
        <f>+'Purchased Power Model '!A180</f>
        <v>43009</v>
      </c>
      <c r="B180" s="293">
        <f ca="1">+'Purchased Power Model '!B180</f>
        <v>87970393.450647324</v>
      </c>
      <c r="C180" s="289">
        <f>+'Purchased Power Model '!C180</f>
        <v>198.27688489991891</v>
      </c>
      <c r="D180" s="289">
        <f ca="1">+'Purchased Power Model '!D180</f>
        <v>0.21650712002725533</v>
      </c>
      <c r="E180" s="290">
        <f>+'Purchased Power Model '!E180</f>
        <v>6.5937659999999995E-2</v>
      </c>
      <c r="F180" s="291">
        <f>+'Purchased Power Model '!F180</f>
        <v>31</v>
      </c>
      <c r="G180" s="291">
        <f>+'Purchased Power Model '!G180</f>
        <v>1</v>
      </c>
      <c r="H180" s="292">
        <f ca="1">+'Purchased Power Model '!H180</f>
        <v>87970393.450647324</v>
      </c>
      <c r="J180" s="287">
        <f>+'10 Year Average'!A180</f>
        <v>43009</v>
      </c>
      <c r="K180" s="293">
        <f>+'10 Year Average'!B180</f>
        <v>87937242.534809381</v>
      </c>
      <c r="L180" s="289">
        <f>+'10 Year Average'!C180</f>
        <v>197.47805675860496</v>
      </c>
      <c r="M180" s="289">
        <f>+'10 Year Average'!D180</f>
        <v>0.20041115178822863</v>
      </c>
      <c r="N180" s="290">
        <f>+'10 Year Average'!E180</f>
        <v>6.5937659999999995E-2</v>
      </c>
      <c r="O180" s="291">
        <f>+'10 Year Average'!F180</f>
        <v>31</v>
      </c>
      <c r="P180" s="291">
        <f>+'10 Year Average'!G180</f>
        <v>1</v>
      </c>
      <c r="Q180" s="292">
        <f>+'10 Year Average'!H180</f>
        <v>87937242.534809381</v>
      </c>
      <c r="S180" s="287">
        <f>+'20 Year Trend'!A180</f>
        <v>43009</v>
      </c>
      <c r="T180" s="293">
        <f>+'20 Year Trend'!B180</f>
        <v>88078443.326674014</v>
      </c>
      <c r="U180" s="289">
        <f>+'20 Year Trend'!C180</f>
        <v>201.06821128213747</v>
      </c>
      <c r="V180" s="289">
        <f>+'20 Year Trend'!D180</f>
        <v>0.22194192888585845</v>
      </c>
      <c r="W180" s="290">
        <f>+'20 Year Trend'!E180</f>
        <v>6.5937659999999995E-2</v>
      </c>
      <c r="X180" s="291">
        <f>+'20 Year Trend'!F180</f>
        <v>31</v>
      </c>
      <c r="Y180" s="291">
        <f>+'20 Year Trend'!G180</f>
        <v>1</v>
      </c>
      <c r="Z180" s="292">
        <f>+'20 Year Trend'!H180</f>
        <v>88078443.326674014</v>
      </c>
    </row>
    <row r="181" spans="1:26" x14ac:dyDescent="0.2">
      <c r="A181" s="287">
        <f>+'Purchased Power Model '!A181</f>
        <v>43040</v>
      </c>
      <c r="B181" s="293">
        <f ca="1">+'Purchased Power Model '!B181</f>
        <v>88746726.98516047</v>
      </c>
      <c r="C181" s="289">
        <f>+'Purchased Power Model '!C181</f>
        <v>290.12573599326367</v>
      </c>
      <c r="D181" s="289">
        <f ca="1">+'Purchased Power Model '!D181</f>
        <v>0</v>
      </c>
      <c r="E181" s="290">
        <f>+'Purchased Power Model '!E181</f>
        <v>6.5937659999999995E-2</v>
      </c>
      <c r="F181" s="291">
        <f>+'Purchased Power Model '!F181</f>
        <v>30</v>
      </c>
      <c r="G181" s="291">
        <f>+'Purchased Power Model '!G181</f>
        <v>1</v>
      </c>
      <c r="H181" s="292">
        <f ca="1">+'Purchased Power Model '!H181</f>
        <v>88746726.98516047</v>
      </c>
      <c r="J181" s="287">
        <f>+'10 Year Average'!A181</f>
        <v>43040</v>
      </c>
      <c r="K181" s="293">
        <f>+'10 Year Average'!B181</f>
        <v>88701829.74937129</v>
      </c>
      <c r="L181" s="289">
        <f>+'10 Year Average'!C181</f>
        <v>288.95686246295872</v>
      </c>
      <c r="M181" s="289">
        <f>+'10 Year Average'!D181</f>
        <v>0</v>
      </c>
      <c r="N181" s="290">
        <f>+'10 Year Average'!E181</f>
        <v>6.5937659999999995E-2</v>
      </c>
      <c r="O181" s="291">
        <f>+'10 Year Average'!F181</f>
        <v>30</v>
      </c>
      <c r="P181" s="291">
        <f>+'10 Year Average'!G181</f>
        <v>1</v>
      </c>
      <c r="Q181" s="292">
        <f>+'10 Year Average'!H181</f>
        <v>88701829.74937129</v>
      </c>
      <c r="S181" s="287">
        <f>+'20 Year Trend'!A181</f>
        <v>43040</v>
      </c>
      <c r="T181" s="293">
        <f>+'20 Year Trend'!B181</f>
        <v>88903610.339996815</v>
      </c>
      <c r="U181" s="289">
        <f>+'20 Year Trend'!C181</f>
        <v>294.21010327312763</v>
      </c>
      <c r="V181" s="289">
        <f>+'20 Year Trend'!D181</f>
        <v>0</v>
      </c>
      <c r="W181" s="290">
        <f>+'20 Year Trend'!E181</f>
        <v>6.5937659999999995E-2</v>
      </c>
      <c r="X181" s="291">
        <f>+'20 Year Trend'!F181</f>
        <v>30</v>
      </c>
      <c r="Y181" s="291">
        <f>+'20 Year Trend'!G181</f>
        <v>1</v>
      </c>
      <c r="Z181" s="292">
        <f>+'20 Year Trend'!H181</f>
        <v>88903610.339996815</v>
      </c>
    </row>
    <row r="182" spans="1:26" ht="13.5" thickBot="1" x14ac:dyDescent="0.25">
      <c r="A182" s="294">
        <f>+'Purchased Power Model '!A182</f>
        <v>43070</v>
      </c>
      <c r="B182" s="381">
        <f ca="1">+'Purchased Power Model '!B182</f>
        <v>105115145.85240594</v>
      </c>
      <c r="C182" s="295">
        <f>+'Purchased Power Model '!C182</f>
        <v>469.83846157167056</v>
      </c>
      <c r="D182" s="295">
        <f ca="1">+'Purchased Power Model '!D182</f>
        <v>0</v>
      </c>
      <c r="E182" s="296">
        <f>+'Purchased Power Model '!E182</f>
        <v>6.5937659999999995E-2</v>
      </c>
      <c r="F182" s="297">
        <f>+'Purchased Power Model '!F182</f>
        <v>31</v>
      </c>
      <c r="G182" s="297">
        <f>+'Purchased Power Model '!G182</f>
        <v>0</v>
      </c>
      <c r="H182" s="298">
        <f ca="1">+'Purchased Power Model '!H182</f>
        <v>105115145.85240594</v>
      </c>
      <c r="J182" s="294">
        <f>+'10 Year Average'!A182</f>
        <v>43070</v>
      </c>
      <c r="K182" s="381">
        <f>+'10 Year Average'!B182</f>
        <v>105042437.90004249</v>
      </c>
      <c r="L182" s="295">
        <f>+'10 Year Average'!C182</f>
        <v>467.94555214269428</v>
      </c>
      <c r="M182" s="295">
        <f>+'10 Year Average'!D182</f>
        <v>0</v>
      </c>
      <c r="N182" s="296">
        <f>+'10 Year Average'!E182</f>
        <v>6.5937659999999995E-2</v>
      </c>
      <c r="O182" s="297">
        <f>+'10 Year Average'!F182</f>
        <v>31</v>
      </c>
      <c r="P182" s="297">
        <f>+'10 Year Average'!G182</f>
        <v>0</v>
      </c>
      <c r="Q182" s="298">
        <f>+'10 Year Average'!H182</f>
        <v>105042437.90004249</v>
      </c>
      <c r="S182" s="294">
        <f>+'20 Year Trend'!A182</f>
        <v>43070</v>
      </c>
      <c r="T182" s="381">
        <f>+'20 Year Trend'!B182</f>
        <v>105369207.53993654</v>
      </c>
      <c r="U182" s="295">
        <f>+'20 Year Trend'!C182</f>
        <v>476.45281045973167</v>
      </c>
      <c r="V182" s="295">
        <f>+'20 Year Trend'!D182</f>
        <v>0</v>
      </c>
      <c r="W182" s="296">
        <f>+'20 Year Trend'!E182</f>
        <v>6.5937659999999995E-2</v>
      </c>
      <c r="X182" s="297">
        <f>+'20 Year Trend'!F182</f>
        <v>31</v>
      </c>
      <c r="Y182" s="297">
        <f>+'20 Year Trend'!G182</f>
        <v>0</v>
      </c>
      <c r="Z182" s="298">
        <f>+'20 Year Trend'!H182</f>
        <v>105369207.53993654</v>
      </c>
    </row>
    <row r="183" spans="1:26" x14ac:dyDescent="0.2">
      <c r="A183" s="287">
        <f>+'Purchased Power Model '!A183</f>
        <v>43101</v>
      </c>
      <c r="B183" s="293">
        <f ca="1">+'Purchased Power Model '!B183</f>
        <v>110389173.53422323</v>
      </c>
      <c r="C183" s="289">
        <f>+'Purchased Power Model '!C183</f>
        <v>607.71046849740094</v>
      </c>
      <c r="D183" s="289">
        <f ca="1">+'Purchased Power Model '!D183</f>
        <v>0</v>
      </c>
      <c r="E183" s="290">
        <f>+'Purchased Power Model '!E183</f>
        <v>6.6219020000000003E-2</v>
      </c>
      <c r="F183" s="291">
        <f>+'Purchased Power Model '!F183</f>
        <v>31</v>
      </c>
      <c r="G183" s="291">
        <f>+'Purchased Power Model '!G183</f>
        <v>0</v>
      </c>
      <c r="H183" s="292">
        <f ca="1">+'Purchased Power Model '!H183</f>
        <v>110389173.53422323</v>
      </c>
      <c r="J183" s="287">
        <f>+'10 Year Average'!A183</f>
        <v>43101</v>
      </c>
      <c r="K183" s="293">
        <f ca="1">+'10 Year Average'!B183</f>
        <v>108761285.21551423</v>
      </c>
      <c r="L183" s="289">
        <f>+'10 Year Average'!C183</f>
        <v>565.32933895600627</v>
      </c>
      <c r="M183" s="289">
        <f ca="1">+'10 Year Average'!D183</f>
        <v>0</v>
      </c>
      <c r="N183" s="290">
        <f>+'10 Year Average'!E183</f>
        <v>6.6219020000000003E-2</v>
      </c>
      <c r="O183" s="291">
        <f>+'10 Year Average'!F183</f>
        <v>31</v>
      </c>
      <c r="P183" s="291">
        <f>+'10 Year Average'!G183</f>
        <v>0</v>
      </c>
      <c r="Q183" s="292">
        <f ca="1">+'10 Year Average'!H183</f>
        <v>108761285.21551423</v>
      </c>
      <c r="S183" s="287">
        <f>+'20 Year Trend'!A183</f>
        <v>43101</v>
      </c>
      <c r="T183" s="293">
        <f ca="1">+'20 Year Trend'!B183</f>
        <v>110611330.44969776</v>
      </c>
      <c r="U183" s="289">
        <f>+'20 Year Trend'!C183</f>
        <v>613.49419512350607</v>
      </c>
      <c r="V183" s="289">
        <f ca="1">+'20 Year Trend'!D183</f>
        <v>0</v>
      </c>
      <c r="W183" s="290">
        <f>+'20 Year Trend'!E183</f>
        <v>6.6219020000000003E-2</v>
      </c>
      <c r="X183" s="291">
        <f>+'20 Year Trend'!F183</f>
        <v>31</v>
      </c>
      <c r="Y183" s="291">
        <f>+'20 Year Trend'!G183</f>
        <v>0</v>
      </c>
      <c r="Z183" s="292">
        <f ca="1">+'20 Year Trend'!H183</f>
        <v>110611330.44969776</v>
      </c>
    </row>
    <row r="184" spans="1:26" x14ac:dyDescent="0.2">
      <c r="A184" s="287">
        <f>+'Purchased Power Model '!A184</f>
        <v>43132</v>
      </c>
      <c r="B184" s="293">
        <f ca="1">+'Purchased Power Model '!B184</f>
        <v>99116134.892484486</v>
      </c>
      <c r="C184" s="289">
        <f>+'Purchased Power Model '!C184</f>
        <v>526.54365934877546</v>
      </c>
      <c r="D184" s="289">
        <f ca="1">+'Purchased Power Model '!D184</f>
        <v>0</v>
      </c>
      <c r="E184" s="290">
        <f>+'Purchased Power Model '!E184</f>
        <v>6.6219020000000003E-2</v>
      </c>
      <c r="F184" s="291">
        <f>+'Purchased Power Model '!F184</f>
        <v>28</v>
      </c>
      <c r="G184" s="291">
        <f>+'Purchased Power Model '!G184</f>
        <v>0</v>
      </c>
      <c r="H184" s="292">
        <f ca="1">+'Purchased Power Model '!H184</f>
        <v>99116134.892484486</v>
      </c>
      <c r="J184" s="287">
        <f>+'10 Year Average'!A184</f>
        <v>43132</v>
      </c>
      <c r="K184" s="293">
        <f ca="1">+'10 Year Average'!B184</f>
        <v>97705670.013603047</v>
      </c>
      <c r="L184" s="289">
        <f>+'10 Year Average'!C184</f>
        <v>489.82302313653969</v>
      </c>
      <c r="M184" s="289">
        <f ca="1">+'10 Year Average'!D184</f>
        <v>0</v>
      </c>
      <c r="N184" s="290">
        <f>+'10 Year Average'!E184</f>
        <v>6.6219020000000003E-2</v>
      </c>
      <c r="O184" s="291">
        <f>+'10 Year Average'!F184</f>
        <v>28</v>
      </c>
      <c r="P184" s="291">
        <f>+'10 Year Average'!G184</f>
        <v>0</v>
      </c>
      <c r="Q184" s="292">
        <f ca="1">+'10 Year Average'!H184</f>
        <v>97705670.013603047</v>
      </c>
      <c r="S184" s="287">
        <f>+'20 Year Trend'!A184</f>
        <v>43132</v>
      </c>
      <c r="T184" s="293">
        <f ca="1">+'20 Year Trend'!B184</f>
        <v>99308620.165138781</v>
      </c>
      <c r="U184" s="289">
        <f>+'20 Year Trend'!C184</f>
        <v>531.55490193920218</v>
      </c>
      <c r="V184" s="289">
        <f ca="1">+'20 Year Trend'!D184</f>
        <v>0</v>
      </c>
      <c r="W184" s="290">
        <f>+'20 Year Trend'!E184</f>
        <v>6.6219020000000003E-2</v>
      </c>
      <c r="X184" s="291">
        <f>+'20 Year Trend'!F184</f>
        <v>28</v>
      </c>
      <c r="Y184" s="291">
        <f>+'20 Year Trend'!G184</f>
        <v>0</v>
      </c>
      <c r="Z184" s="292">
        <f ca="1">+'20 Year Trend'!H184</f>
        <v>99308620.165138781</v>
      </c>
    </row>
    <row r="185" spans="1:26" x14ac:dyDescent="0.2">
      <c r="A185" s="287">
        <f>+'Purchased Power Model '!A185</f>
        <v>43160</v>
      </c>
      <c r="B185" s="293">
        <f ca="1">+'Purchased Power Model '!B185</f>
        <v>102722785.41406575</v>
      </c>
      <c r="C185" s="289">
        <f>+'Purchased Power Model '!C185</f>
        <v>583.77666579972936</v>
      </c>
      <c r="D185" s="289">
        <f ca="1">+'Purchased Power Model '!D185</f>
        <v>0</v>
      </c>
      <c r="E185" s="290">
        <f>+'Purchased Power Model '!E185</f>
        <v>6.6219020000000003E-2</v>
      </c>
      <c r="F185" s="291">
        <f>+'Purchased Power Model '!F185</f>
        <v>31</v>
      </c>
      <c r="G185" s="291">
        <f>+'Purchased Power Model '!G185</f>
        <v>1</v>
      </c>
      <c r="H185" s="292">
        <f ca="1">+'Purchased Power Model '!H185</f>
        <v>102722785.41406575</v>
      </c>
      <c r="J185" s="287">
        <f>+'10 Year Average'!A185</f>
        <v>43160</v>
      </c>
      <c r="K185" s="293">
        <f ca="1">+'10 Year Average'!B185</f>
        <v>101159009.13530591</v>
      </c>
      <c r="L185" s="289">
        <f>+'10 Year Average'!C185</f>
        <v>543.06465608616361</v>
      </c>
      <c r="M185" s="289">
        <f ca="1">+'10 Year Average'!D185</f>
        <v>0</v>
      </c>
      <c r="N185" s="290">
        <f>+'10 Year Average'!E185</f>
        <v>6.6219020000000003E-2</v>
      </c>
      <c r="O185" s="291">
        <f>+'10 Year Average'!F185</f>
        <v>31</v>
      </c>
      <c r="P185" s="291">
        <f>+'10 Year Average'!G185</f>
        <v>1</v>
      </c>
      <c r="Q185" s="292">
        <f ca="1">+'10 Year Average'!H185</f>
        <v>101159009.13530591</v>
      </c>
      <c r="S185" s="287">
        <f>+'20 Year Trend'!A185</f>
        <v>43160</v>
      </c>
      <c r="T185" s="293">
        <f ca="1">+'20 Year Trend'!B185</f>
        <v>102936192.99896508</v>
      </c>
      <c r="U185" s="289">
        <f>+'20 Year Trend'!C185</f>
        <v>589.33260867172407</v>
      </c>
      <c r="V185" s="289">
        <f ca="1">+'20 Year Trend'!D185</f>
        <v>0</v>
      </c>
      <c r="W185" s="290">
        <f>+'20 Year Trend'!E185</f>
        <v>6.6219020000000003E-2</v>
      </c>
      <c r="X185" s="291">
        <f>+'20 Year Trend'!F185</f>
        <v>31</v>
      </c>
      <c r="Y185" s="291">
        <f>+'20 Year Trend'!G185</f>
        <v>1</v>
      </c>
      <c r="Z185" s="292">
        <f ca="1">+'20 Year Trend'!H185</f>
        <v>102936192.99896508</v>
      </c>
    </row>
    <row r="186" spans="1:26" x14ac:dyDescent="0.2">
      <c r="A186" s="287">
        <f>+'Purchased Power Model '!A186</f>
        <v>43191</v>
      </c>
      <c r="B186" s="293">
        <f ca="1">+'Purchased Power Model '!B186</f>
        <v>94024521.963142872</v>
      </c>
      <c r="C186" s="289">
        <f>+'Purchased Power Model '!C186</f>
        <v>426.71245132920933</v>
      </c>
      <c r="D186" s="289">
        <f ca="1">+'Purchased Power Model '!D186</f>
        <v>0</v>
      </c>
      <c r="E186" s="290">
        <f>+'Purchased Power Model '!E186</f>
        <v>6.5531039999999999E-2</v>
      </c>
      <c r="F186" s="291">
        <f>+'Purchased Power Model '!F186</f>
        <v>30</v>
      </c>
      <c r="G186" s="291">
        <f>+'Purchased Power Model '!G186</f>
        <v>1</v>
      </c>
      <c r="H186" s="292">
        <f ca="1">+'Purchased Power Model '!H186</f>
        <v>94024521.963142872</v>
      </c>
      <c r="J186" s="287">
        <f>+'10 Year Average'!A186</f>
        <v>43191</v>
      </c>
      <c r="K186" s="293">
        <f>+'10 Year Average'!B186</f>
        <v>92820048.284541696</v>
      </c>
      <c r="L186" s="289">
        <f>+'10 Year Average'!C186</f>
        <v>395.35467671081329</v>
      </c>
      <c r="M186" s="289">
        <f>+'10 Year Average'!D186</f>
        <v>0</v>
      </c>
      <c r="N186" s="290">
        <f>+'10 Year Average'!E186</f>
        <v>6.5531039999999999E-2</v>
      </c>
      <c r="O186" s="291">
        <f>+'10 Year Average'!F186</f>
        <v>30</v>
      </c>
      <c r="P186" s="291">
        <f>+'10 Year Average'!G186</f>
        <v>1</v>
      </c>
      <c r="Q186" s="292">
        <f>+'10 Year Average'!H186</f>
        <v>92820048.284541696</v>
      </c>
      <c r="S186" s="287">
        <f>+'20 Year Trend'!A186</f>
        <v>43191</v>
      </c>
      <c r="T186" s="293">
        <f ca="1">+'20 Year Trend'!B186</f>
        <v>94413450.2039617</v>
      </c>
      <c r="U186" s="289">
        <f>+'20 Year Trend'!C186</f>
        <v>436.83797282046339</v>
      </c>
      <c r="V186" s="289">
        <f ca="1">+'20 Year Trend'!D186</f>
        <v>0</v>
      </c>
      <c r="W186" s="290">
        <f>+'20 Year Trend'!E186</f>
        <v>6.5531039999999999E-2</v>
      </c>
      <c r="X186" s="291">
        <f>+'20 Year Trend'!F186</f>
        <v>30</v>
      </c>
      <c r="Y186" s="291">
        <f>+'20 Year Trend'!G186</f>
        <v>1</v>
      </c>
      <c r="Z186" s="292">
        <f ca="1">+'20 Year Trend'!H186</f>
        <v>94413450.2039617</v>
      </c>
    </row>
    <row r="187" spans="1:26" x14ac:dyDescent="0.2">
      <c r="A187" s="287">
        <f>+'Purchased Power Model '!A187</f>
        <v>43221</v>
      </c>
      <c r="B187" s="293">
        <f ca="1">+'Purchased Power Model '!B187</f>
        <v>88902495.178944245</v>
      </c>
      <c r="C187" s="289">
        <f>+'Purchased Power Model '!C187</f>
        <v>166.17410702391345</v>
      </c>
      <c r="D187" s="289">
        <f ca="1">+'Purchased Power Model '!D187</f>
        <v>14.136286176978922</v>
      </c>
      <c r="E187" s="290">
        <f>+'Purchased Power Model '!E187</f>
        <v>6.5531039999999999E-2</v>
      </c>
      <c r="F187" s="291">
        <f>+'Purchased Power Model '!F187</f>
        <v>31</v>
      </c>
      <c r="G187" s="291">
        <f>+'Purchased Power Model '!G187</f>
        <v>1</v>
      </c>
      <c r="H187" s="292">
        <f ca="1">+'Purchased Power Model '!H187</f>
        <v>88902495.178944245</v>
      </c>
      <c r="J187" s="287">
        <f>+'10 Year Average'!A187</f>
        <v>43221</v>
      </c>
      <c r="K187" s="293">
        <f>+'10 Year Average'!B187</f>
        <v>87593618.251892298</v>
      </c>
      <c r="L187" s="289">
        <f>+'10 Year Average'!C187</f>
        <v>153.96248728036653</v>
      </c>
      <c r="M187" s="289">
        <f>+'10 Year Average'!D187</f>
        <v>8.6577090818337492</v>
      </c>
      <c r="N187" s="290">
        <f>+'10 Year Average'!E187</f>
        <v>6.5531039999999999E-2</v>
      </c>
      <c r="O187" s="291">
        <f>+'10 Year Average'!F187</f>
        <v>31</v>
      </c>
      <c r="P187" s="291">
        <f>+'10 Year Average'!G187</f>
        <v>1</v>
      </c>
      <c r="Q187" s="292">
        <f>+'10 Year Average'!H187</f>
        <v>87593618.251892298</v>
      </c>
      <c r="S187" s="287">
        <f>+'20 Year Trend'!A187</f>
        <v>43221</v>
      </c>
      <c r="T187" s="293">
        <f ca="1">+'20 Year Trend'!B187</f>
        <v>89087059.674578756</v>
      </c>
      <c r="U187" s="289">
        <f>+'20 Year Trend'!C187</f>
        <v>170.11727645034873</v>
      </c>
      <c r="V187" s="289">
        <f ca="1">+'20 Year Trend'!D187</f>
        <v>14.352244734618845</v>
      </c>
      <c r="W187" s="290">
        <f>+'20 Year Trend'!E187</f>
        <v>6.5531039999999999E-2</v>
      </c>
      <c r="X187" s="291">
        <f>+'20 Year Trend'!F187</f>
        <v>31</v>
      </c>
      <c r="Y187" s="291">
        <f>+'20 Year Trend'!G187</f>
        <v>1</v>
      </c>
      <c r="Z187" s="292">
        <f ca="1">+'20 Year Trend'!H187</f>
        <v>89087059.674578756</v>
      </c>
    </row>
    <row r="188" spans="1:26" x14ac:dyDescent="0.2">
      <c r="A188" s="287">
        <f>+'Purchased Power Model '!A188</f>
        <v>43252</v>
      </c>
      <c r="B188" s="293">
        <f ca="1">+'Purchased Power Model '!B188</f>
        <v>90792715.123890743</v>
      </c>
      <c r="C188" s="289">
        <f>+'Purchased Power Model '!C188</f>
        <v>39.545998689196693</v>
      </c>
      <c r="D188" s="289">
        <f ca="1">+'Purchased Power Model '!D188</f>
        <v>31.915945079983338</v>
      </c>
      <c r="E188" s="290">
        <f>+'Purchased Power Model '!E188</f>
        <v>6.5531039999999999E-2</v>
      </c>
      <c r="F188" s="291">
        <f>+'Purchased Power Model '!F188</f>
        <v>30</v>
      </c>
      <c r="G188" s="291">
        <f>+'Purchased Power Model '!G188</f>
        <v>0</v>
      </c>
      <c r="H188" s="292">
        <f ca="1">+'Purchased Power Model '!H188</f>
        <v>90792715.123890743</v>
      </c>
      <c r="J188" s="287">
        <f>+'10 Year Average'!A188</f>
        <v>43252</v>
      </c>
      <c r="K188" s="293">
        <f>+'10 Year Average'!B188</f>
        <v>88785000.387191728</v>
      </c>
      <c r="L188" s="289">
        <f>+'10 Year Average'!C188</f>
        <v>36.639885895692828</v>
      </c>
      <c r="M188" s="289">
        <f>+'10 Year Average'!D188</f>
        <v>19.546786483727747</v>
      </c>
      <c r="N188" s="290">
        <f>+'10 Year Average'!E188</f>
        <v>6.5531039999999999E-2</v>
      </c>
      <c r="O188" s="291">
        <f>+'10 Year Average'!F188</f>
        <v>30</v>
      </c>
      <c r="P188" s="291">
        <f>+'10 Year Average'!G188</f>
        <v>0</v>
      </c>
      <c r="Q188" s="292">
        <f>+'10 Year Average'!H188</f>
        <v>88785000.387191728</v>
      </c>
      <c r="S188" s="287">
        <f>+'20 Year Trend'!A188</f>
        <v>43252</v>
      </c>
      <c r="T188" s="293">
        <f ca="1">+'20 Year Trend'!B188</f>
        <v>90903500.853918612</v>
      </c>
      <c r="U188" s="289">
        <f>+'20 Year Trend'!C188</f>
        <v>40.484391413320978</v>
      </c>
      <c r="V188" s="289">
        <f ca="1">+'20 Year Trend'!D188</f>
        <v>32.403521617335329</v>
      </c>
      <c r="W188" s="290">
        <f>+'20 Year Trend'!E188</f>
        <v>6.5531039999999999E-2</v>
      </c>
      <c r="X188" s="291">
        <f>+'20 Year Trend'!F188</f>
        <v>30</v>
      </c>
      <c r="Y188" s="291">
        <f>+'20 Year Trend'!G188</f>
        <v>0</v>
      </c>
      <c r="Z188" s="292">
        <f ca="1">+'20 Year Trend'!H188</f>
        <v>90903500.853918612</v>
      </c>
    </row>
    <row r="189" spans="1:26" x14ac:dyDescent="0.2">
      <c r="A189" s="287">
        <f>+'Purchased Power Model '!A189</f>
        <v>43282</v>
      </c>
      <c r="B189" s="293">
        <f ca="1">+'Purchased Power Model '!B189</f>
        <v>100742689.68360569</v>
      </c>
      <c r="C189" s="289">
        <f>+'Purchased Power Model '!C189</f>
        <v>2.4273758786207686</v>
      </c>
      <c r="D189" s="289">
        <f ca="1">+'Purchased Power Model '!D189</f>
        <v>87.951017606255462</v>
      </c>
      <c r="E189" s="290">
        <f>+'Purchased Power Model '!E189</f>
        <v>6.4656290000000005E-2</v>
      </c>
      <c r="F189" s="291">
        <f>+'Purchased Power Model '!F189</f>
        <v>31</v>
      </c>
      <c r="G189" s="291">
        <f>+'Purchased Power Model '!G189</f>
        <v>0</v>
      </c>
      <c r="H189" s="292">
        <f ca="1">+'Purchased Power Model '!H189</f>
        <v>100742689.68360569</v>
      </c>
      <c r="J189" s="287">
        <f>+'10 Year Average'!A189</f>
        <v>43282</v>
      </c>
      <c r="K189" s="293">
        <f>+'10 Year Average'!B189</f>
        <v>95510770.943999738</v>
      </c>
      <c r="L189" s="289">
        <f>+'10 Year Average'!C189</f>
        <v>2.2489955536998147</v>
      </c>
      <c r="M189" s="289">
        <f>+'10 Year Average'!D189</f>
        <v>53.865231246254318</v>
      </c>
      <c r="N189" s="290">
        <f>+'10 Year Average'!E189</f>
        <v>6.4656290000000005E-2</v>
      </c>
      <c r="O189" s="291">
        <f>+'10 Year Average'!F189</f>
        <v>31</v>
      </c>
      <c r="P189" s="291">
        <f>+'10 Year Average'!G189</f>
        <v>0</v>
      </c>
      <c r="Q189" s="292">
        <f>+'10 Year Average'!H189</f>
        <v>95510770.943999738</v>
      </c>
      <c r="S189" s="287">
        <f>+'20 Year Trend'!A189</f>
        <v>43282</v>
      </c>
      <c r="T189" s="293">
        <f ca="1">+'20 Year Trend'!B189</f>
        <v>100950867.6345312</v>
      </c>
      <c r="U189" s="289">
        <f>+'20 Year Trend'!C189</f>
        <v>2.4849754320197013</v>
      </c>
      <c r="V189" s="289">
        <f ca="1">+'20 Year Trend'!D189</f>
        <v>89.294636055077049</v>
      </c>
      <c r="W189" s="290">
        <f>+'20 Year Trend'!E189</f>
        <v>6.4656290000000005E-2</v>
      </c>
      <c r="X189" s="291">
        <f>+'20 Year Trend'!F189</f>
        <v>31</v>
      </c>
      <c r="Y189" s="291">
        <f>+'20 Year Trend'!G189</f>
        <v>0</v>
      </c>
      <c r="Z189" s="292">
        <f ca="1">+'20 Year Trend'!H189</f>
        <v>100950867.6345312</v>
      </c>
    </row>
    <row r="190" spans="1:26" x14ac:dyDescent="0.2">
      <c r="A190" s="287">
        <f>+'Purchased Power Model '!A190</f>
        <v>43313</v>
      </c>
      <c r="B190" s="293">
        <f ca="1">+'Purchased Power Model '!B190</f>
        <v>102368166.92796573</v>
      </c>
      <c r="C190" s="289">
        <f>+'Purchased Power Model '!C190</f>
        <v>1.4159692625287819</v>
      </c>
      <c r="D190" s="289">
        <f ca="1">+'Purchased Power Model '!D190</f>
        <v>98.80826832981144</v>
      </c>
      <c r="E190" s="290">
        <f>+'Purchased Power Model '!E190</f>
        <v>6.4656290000000005E-2</v>
      </c>
      <c r="F190" s="291">
        <f>+'Purchased Power Model '!F190</f>
        <v>31</v>
      </c>
      <c r="G190" s="291">
        <f>+'Purchased Power Model '!G190</f>
        <v>0</v>
      </c>
      <c r="H190" s="292">
        <f ca="1">+'Purchased Power Model '!H190</f>
        <v>102368166.92796573</v>
      </c>
      <c r="J190" s="287">
        <f>+'10 Year Average'!A190</f>
        <v>43313</v>
      </c>
      <c r="K190" s="293">
        <f>+'10 Year Average'!B190</f>
        <v>96494086.508433923</v>
      </c>
      <c r="L190" s="289">
        <f>+'10 Year Average'!C190</f>
        <v>1.3119140729915588</v>
      </c>
      <c r="M190" s="289">
        <f>+'10 Year Average'!D190</f>
        <v>60.514708840033848</v>
      </c>
      <c r="N190" s="290">
        <f>+'10 Year Average'!E190</f>
        <v>6.4656290000000005E-2</v>
      </c>
      <c r="O190" s="291">
        <f>+'10 Year Average'!F190</f>
        <v>31</v>
      </c>
      <c r="P190" s="291">
        <f>+'10 Year Average'!G190</f>
        <v>0</v>
      </c>
      <c r="Q190" s="292">
        <f>+'10 Year Average'!H190</f>
        <v>96494086.508433923</v>
      </c>
      <c r="S190" s="287">
        <f>+'20 Year Trend'!A190</f>
        <v>43313</v>
      </c>
      <c r="T190" s="293">
        <f ca="1">+'20 Year Trend'!B190</f>
        <v>102600848.76389098</v>
      </c>
      <c r="U190" s="289">
        <f>+'20 Year Trend'!C190</f>
        <v>1.4495690020114926</v>
      </c>
      <c r="V190" s="289">
        <f ca="1">+'20 Year Trend'!D190</f>
        <v>100.31775185640802</v>
      </c>
      <c r="W190" s="290">
        <f>+'20 Year Trend'!E190</f>
        <v>6.4656290000000005E-2</v>
      </c>
      <c r="X190" s="291">
        <f>+'20 Year Trend'!F190</f>
        <v>31</v>
      </c>
      <c r="Y190" s="291">
        <f>+'20 Year Trend'!G190</f>
        <v>0</v>
      </c>
      <c r="Z190" s="292">
        <f ca="1">+'20 Year Trend'!H190</f>
        <v>102600848.76389098</v>
      </c>
    </row>
    <row r="191" spans="1:26" x14ac:dyDescent="0.2">
      <c r="A191" s="287">
        <f>+'Purchased Power Model '!A191</f>
        <v>43344</v>
      </c>
      <c r="B191" s="293">
        <f ca="1">+'Purchased Power Model '!B191</f>
        <v>83618285.730464846</v>
      </c>
      <c r="C191" s="289">
        <f>+'Purchased Power Model '!C191</f>
        <v>51.379456097472939</v>
      </c>
      <c r="D191" s="289">
        <f ca="1">+'Purchased Power Model '!D191</f>
        <v>25.722211445739998</v>
      </c>
      <c r="E191" s="290">
        <f>+'Purchased Power Model '!E191</f>
        <v>6.4656290000000005E-2</v>
      </c>
      <c r="F191" s="291">
        <f>+'Purchased Power Model '!F191</f>
        <v>30</v>
      </c>
      <c r="G191" s="291">
        <f>+'Purchased Power Model '!G191</f>
        <v>1</v>
      </c>
      <c r="H191" s="292">
        <f ca="1">+'Purchased Power Model '!H191</f>
        <v>83618285.730464846</v>
      </c>
      <c r="J191" s="287">
        <f>+'10 Year Average'!A191</f>
        <v>43344</v>
      </c>
      <c r="K191" s="293">
        <f>+'10 Year Average'!B191</f>
        <v>81945131.369939417</v>
      </c>
      <c r="L191" s="289">
        <f>+'10 Year Average'!C191</f>
        <v>47.603739219979417</v>
      </c>
      <c r="M191" s="289">
        <f>+'10 Year Average'!D191</f>
        <v>15.753460339625333</v>
      </c>
      <c r="N191" s="290">
        <f>+'10 Year Average'!E191</f>
        <v>6.4656290000000005E-2</v>
      </c>
      <c r="O191" s="291">
        <f>+'10 Year Average'!F191</f>
        <v>30</v>
      </c>
      <c r="P191" s="291">
        <f>+'10 Year Average'!G191</f>
        <v>1</v>
      </c>
      <c r="Q191" s="292">
        <f>+'10 Year Average'!H191</f>
        <v>81945131.369939417</v>
      </c>
      <c r="S191" s="287">
        <f>+'20 Year Trend'!A191</f>
        <v>43344</v>
      </c>
      <c r="T191" s="293">
        <f ca="1">+'20 Year Trend'!B191</f>
        <v>83725352.484333917</v>
      </c>
      <c r="U191" s="289">
        <f>+'20 Year Trend'!C191</f>
        <v>52.598646644417009</v>
      </c>
      <c r="V191" s="289">
        <f ca="1">+'20 Year Trend'!D191</f>
        <v>26.115166965569344</v>
      </c>
      <c r="W191" s="290">
        <f>+'20 Year Trend'!E191</f>
        <v>6.4656290000000005E-2</v>
      </c>
      <c r="X191" s="291">
        <f>+'20 Year Trend'!F191</f>
        <v>30</v>
      </c>
      <c r="Y191" s="291">
        <f>+'20 Year Trend'!G191</f>
        <v>1</v>
      </c>
      <c r="Z191" s="292">
        <f ca="1">+'20 Year Trend'!H191</f>
        <v>83725352.484333917</v>
      </c>
    </row>
    <row r="192" spans="1:26" x14ac:dyDescent="0.2">
      <c r="A192" s="287">
        <f>+'Purchased Power Model '!A192</f>
        <v>43374</v>
      </c>
      <c r="B192" s="293">
        <f ca="1">+'Purchased Power Model '!B192</f>
        <v>88460970.813297659</v>
      </c>
      <c r="C192" s="289">
        <f>+'Purchased Power Model '!C192</f>
        <v>206.32694968276536</v>
      </c>
      <c r="D192" s="289">
        <f ca="1">+'Purchased Power Model '!D192</f>
        <v>0.21860236356152973</v>
      </c>
      <c r="E192" s="290">
        <f>+'Purchased Power Model '!E192</f>
        <v>6.3593549999999999E-2</v>
      </c>
      <c r="F192" s="291">
        <f>+'Purchased Power Model '!F192</f>
        <v>31</v>
      </c>
      <c r="G192" s="291">
        <f>+'Purchased Power Model '!G192</f>
        <v>1</v>
      </c>
      <c r="H192" s="292">
        <f ca="1">+'Purchased Power Model '!H192</f>
        <v>88460970.813297659</v>
      </c>
      <c r="J192" s="287">
        <f>+'10 Year Average'!A192</f>
        <v>43374</v>
      </c>
      <c r="K192" s="293">
        <f>+'10 Year Average'!B192</f>
        <v>87865588.476217896</v>
      </c>
      <c r="L192" s="289">
        <f>+'10 Year Average'!C192</f>
        <v>191.16462206448432</v>
      </c>
      <c r="M192" s="289">
        <f>+'10 Year Average'!D192</f>
        <v>0.13388209920361471</v>
      </c>
      <c r="N192" s="290">
        <f>+'10 Year Average'!E192</f>
        <v>6.3593549999999999E-2</v>
      </c>
      <c r="O192" s="291">
        <f>+'10 Year Average'!F192</f>
        <v>31</v>
      </c>
      <c r="P192" s="291">
        <f>+'10 Year Average'!G192</f>
        <v>1</v>
      </c>
      <c r="Q192" s="292">
        <f>+'10 Year Average'!H192</f>
        <v>87865588.476217896</v>
      </c>
      <c r="S192" s="287">
        <f>+'20 Year Trend'!A192</f>
        <v>43374</v>
      </c>
      <c r="T192" s="293">
        <f ca="1">+'20 Year Trend'!B192</f>
        <v>88649540.008260936</v>
      </c>
      <c r="U192" s="289">
        <f>+'20 Year Trend'!C192</f>
        <v>211.22291172167462</v>
      </c>
      <c r="V192" s="289">
        <f ca="1">+'20 Year Trend'!D192</f>
        <v>0.22194192888585845</v>
      </c>
      <c r="W192" s="290">
        <f>+'20 Year Trend'!E192</f>
        <v>6.3593549999999999E-2</v>
      </c>
      <c r="X192" s="291">
        <f>+'20 Year Trend'!F192</f>
        <v>31</v>
      </c>
      <c r="Y192" s="291">
        <f>+'20 Year Trend'!G192</f>
        <v>1</v>
      </c>
      <c r="Z192" s="292">
        <f ca="1">+'20 Year Trend'!H192</f>
        <v>88649540.008260936</v>
      </c>
    </row>
    <row r="193" spans="1:26" x14ac:dyDescent="0.2">
      <c r="A193" s="287">
        <f>+'Purchased Power Model '!A193</f>
        <v>43405</v>
      </c>
      <c r="B193" s="293">
        <f ca="1">+'Purchased Power Model '!B193</f>
        <v>89380219.465053365</v>
      </c>
      <c r="C193" s="289">
        <f>+'Purchased Power Model '!C193</f>
        <v>301.90487490345811</v>
      </c>
      <c r="D193" s="289">
        <f ca="1">+'Purchased Power Model '!D193</f>
        <v>0</v>
      </c>
      <c r="E193" s="290">
        <f>+'Purchased Power Model '!E193</f>
        <v>6.3593549999999999E-2</v>
      </c>
      <c r="F193" s="291">
        <f>+'Purchased Power Model '!F193</f>
        <v>30</v>
      </c>
      <c r="G193" s="291">
        <f>+'Purchased Power Model '!G193</f>
        <v>1</v>
      </c>
      <c r="H193" s="292">
        <f ca="1">+'Purchased Power Model '!H193</f>
        <v>89380219.465053365</v>
      </c>
      <c r="J193" s="287">
        <f>+'10 Year Average'!A193</f>
        <v>43405</v>
      </c>
      <c r="K193" s="293">
        <f>+'10 Year Average'!B193</f>
        <v>88528037.921885669</v>
      </c>
      <c r="L193" s="289">
        <f>+'10 Year Average'!C193</f>
        <v>279.71882199141453</v>
      </c>
      <c r="M193" s="289">
        <f>+'10 Year Average'!D193</f>
        <v>0</v>
      </c>
      <c r="N193" s="290">
        <f>+'10 Year Average'!E193</f>
        <v>6.3593549999999999E-2</v>
      </c>
      <c r="O193" s="291">
        <f>+'10 Year Average'!F193</f>
        <v>30</v>
      </c>
      <c r="P193" s="291">
        <f>+'10 Year Average'!G193</f>
        <v>1</v>
      </c>
      <c r="Q193" s="292">
        <f>+'10 Year Average'!H193</f>
        <v>88528037.921885669</v>
      </c>
      <c r="S193" s="287">
        <f>+'20 Year Trend'!A193</f>
        <v>43405</v>
      </c>
      <c r="T193" s="293">
        <f ca="1">+'20 Year Trend'!B193</f>
        <v>89655391.496066451</v>
      </c>
      <c r="U193" s="289">
        <f>+'20 Year Trend'!C193</f>
        <v>309.06881935745037</v>
      </c>
      <c r="V193" s="289">
        <f ca="1">+'20 Year Trend'!D193</f>
        <v>0</v>
      </c>
      <c r="W193" s="290">
        <f>+'20 Year Trend'!E193</f>
        <v>6.3593549999999999E-2</v>
      </c>
      <c r="X193" s="291">
        <f>+'20 Year Trend'!F193</f>
        <v>30</v>
      </c>
      <c r="Y193" s="291">
        <f>+'20 Year Trend'!G193</f>
        <v>1</v>
      </c>
      <c r="Z193" s="292">
        <f ca="1">+'20 Year Trend'!H193</f>
        <v>89655391.496066451</v>
      </c>
    </row>
    <row r="194" spans="1:26" x14ac:dyDescent="0.2">
      <c r="A194" s="287">
        <f>+'Purchased Power Model '!A194</f>
        <v>43435</v>
      </c>
      <c r="B194" s="293">
        <f ca="1">+'Purchased Power Model '!B194</f>
        <v>106028896.44853392</v>
      </c>
      <c r="C194" s="289">
        <f>+'Purchased Power Model '!C194</f>
        <v>488.91395821886647</v>
      </c>
      <c r="D194" s="289">
        <f ca="1">+'Purchased Power Model '!D194</f>
        <v>0</v>
      </c>
      <c r="E194" s="290">
        <f>+'Purchased Power Model '!E194</f>
        <v>6.3593549999999999E-2</v>
      </c>
      <c r="F194" s="291">
        <f>+'Purchased Power Model '!F194</f>
        <v>31</v>
      </c>
      <c r="G194" s="291">
        <f>+'Purchased Power Model '!G194</f>
        <v>0</v>
      </c>
      <c r="H194" s="292">
        <f ca="1">+'Purchased Power Model '!H194</f>
        <v>106028896.44853392</v>
      </c>
      <c r="J194" s="287">
        <f>+'10 Year Average'!A194</f>
        <v>43435</v>
      </c>
      <c r="K194" s="293">
        <f>+'10 Year Average'!B194</f>
        <v>104648847.67812434</v>
      </c>
      <c r="L194" s="289">
        <f>+'10 Year Average'!C194</f>
        <v>452.98518777437113</v>
      </c>
      <c r="M194" s="289">
        <f>+'10 Year Average'!D194</f>
        <v>0</v>
      </c>
      <c r="N194" s="290">
        <f>+'10 Year Average'!E194</f>
        <v>6.3593549999999999E-2</v>
      </c>
      <c r="O194" s="291">
        <f>+'10 Year Average'!F194</f>
        <v>31</v>
      </c>
      <c r="P194" s="291">
        <f>+'10 Year Average'!G194</f>
        <v>0</v>
      </c>
      <c r="Q194" s="292">
        <f>+'10 Year Average'!H194</f>
        <v>104648847.67812434</v>
      </c>
      <c r="S194" s="287">
        <f>+'20 Year Trend'!A194</f>
        <v>43435</v>
      </c>
      <c r="T194" s="293">
        <f ca="1">+'20 Year Trend'!B194</f>
        <v>106474518.42438561</v>
      </c>
      <c r="U194" s="289">
        <f>+'20 Year Trend'!C194</f>
        <v>500.5154682659682</v>
      </c>
      <c r="V194" s="289">
        <f ca="1">+'20 Year Trend'!D194</f>
        <v>0</v>
      </c>
      <c r="W194" s="290">
        <f>+'20 Year Trend'!E194</f>
        <v>6.3593549999999999E-2</v>
      </c>
      <c r="X194" s="291">
        <f>+'20 Year Trend'!F194</f>
        <v>31</v>
      </c>
      <c r="Y194" s="291">
        <f>+'20 Year Trend'!G194</f>
        <v>0</v>
      </c>
      <c r="Z194" s="292">
        <f ca="1">+'20 Year Trend'!H194</f>
        <v>106474518.42438561</v>
      </c>
    </row>
    <row r="195" spans="1:26" x14ac:dyDescent="0.2">
      <c r="A195" s="287">
        <f>+'Purchased Power Model '!A195</f>
        <v>43466</v>
      </c>
      <c r="B195" s="293">
        <f ca="1">+'Purchased Power Model '!B195</f>
        <v>110631483.27331324</v>
      </c>
      <c r="C195" s="289">
        <f>+'Purchased Power Model '!C195</f>
        <v>606.22673842566678</v>
      </c>
      <c r="D195" s="289">
        <f ca="1">+'Purchased Power Model '!D195</f>
        <v>0</v>
      </c>
      <c r="E195" s="290">
        <f>+'Purchased Power Model '!E195</f>
        <v>6.2343830000000003E-2</v>
      </c>
      <c r="F195" s="291">
        <f>+'Purchased Power Model '!F195</f>
        <v>31</v>
      </c>
      <c r="G195" s="291">
        <f>+'Purchased Power Model '!G195</f>
        <v>0</v>
      </c>
      <c r="H195" s="292">
        <f ca="1">+'Purchased Power Model '!H195</f>
        <v>110631483.27331324</v>
      </c>
      <c r="J195" s="287">
        <f>+'10 Year Average'!A195</f>
        <v>43466</v>
      </c>
      <c r="K195" s="293">
        <f ca="1">+'10 Year Average'!B195</f>
        <v>108366360.72290294</v>
      </c>
      <c r="L195" s="289">
        <f>+'10 Year Average'!C195</f>
        <v>547.25558473362173</v>
      </c>
      <c r="M195" s="289">
        <f ca="1">+'10 Year Average'!D195</f>
        <v>0</v>
      </c>
      <c r="N195" s="290">
        <f>+'10 Year Average'!E195</f>
        <v>6.2343830000000003E-2</v>
      </c>
      <c r="O195" s="291">
        <f>+'10 Year Average'!F195</f>
        <v>31</v>
      </c>
      <c r="P195" s="291">
        <f>+'10 Year Average'!G195</f>
        <v>0</v>
      </c>
      <c r="Q195" s="292">
        <f ca="1">+'10 Year Average'!H195</f>
        <v>108366360.72290294</v>
      </c>
      <c r="S195" s="287">
        <f>+'20 Year Trend'!A195</f>
        <v>43466</v>
      </c>
      <c r="T195" s="293">
        <f ca="1">+'20 Year Trend'!B195</f>
        <v>110910631.28076738</v>
      </c>
      <c r="U195" s="289">
        <f>+'20 Year Trend'!C195</f>
        <v>613.49419512350596</v>
      </c>
      <c r="V195" s="289">
        <f ca="1">+'20 Year Trend'!D195</f>
        <v>0</v>
      </c>
      <c r="W195" s="290">
        <f>+'20 Year Trend'!E195</f>
        <v>6.2343830000000003E-2</v>
      </c>
      <c r="X195" s="291">
        <f>+'20 Year Trend'!F195</f>
        <v>31</v>
      </c>
      <c r="Y195" s="291">
        <f>+'20 Year Trend'!G195</f>
        <v>0</v>
      </c>
      <c r="Z195" s="292">
        <f ca="1">+'20 Year Trend'!H195</f>
        <v>110910631.28076738</v>
      </c>
    </row>
    <row r="196" spans="1:26" x14ac:dyDescent="0.2">
      <c r="A196" s="287">
        <f>+'Purchased Power Model '!A196</f>
        <v>43497</v>
      </c>
      <c r="B196" s="293">
        <f ca="1">+'Purchased Power Model '!B196</f>
        <v>99366056.455503285</v>
      </c>
      <c r="C196" s="289">
        <f>+'Purchased Power Model '!C196</f>
        <v>525.25809870443049</v>
      </c>
      <c r="D196" s="289">
        <f ca="1">+'Purchased Power Model '!D196</f>
        <v>0</v>
      </c>
      <c r="E196" s="290">
        <f>+'Purchased Power Model '!E196</f>
        <v>6.2343830000000003E-2</v>
      </c>
      <c r="F196" s="291">
        <f>+'Purchased Power Model '!F196</f>
        <v>28</v>
      </c>
      <c r="G196" s="291">
        <f>+'Purchased Power Model '!G196</f>
        <v>0</v>
      </c>
      <c r="H196" s="292">
        <f ca="1">+'Purchased Power Model '!H196</f>
        <v>99366056.455503285</v>
      </c>
      <c r="J196" s="287">
        <f>+'10 Year Average'!A196</f>
        <v>43497</v>
      </c>
      <c r="K196" s="293">
        <f ca="1">+'10 Year Average'!B196</f>
        <v>97403467.396414891</v>
      </c>
      <c r="L196" s="289">
        <f>+'10 Year Average'!C196</f>
        <v>474.16322923837765</v>
      </c>
      <c r="M196" s="289">
        <f ca="1">+'10 Year Average'!D196</f>
        <v>0</v>
      </c>
      <c r="N196" s="290">
        <f>+'10 Year Average'!E196</f>
        <v>6.2343830000000003E-2</v>
      </c>
      <c r="O196" s="291">
        <f>+'10 Year Average'!F196</f>
        <v>28</v>
      </c>
      <c r="P196" s="291">
        <f>+'10 Year Average'!G196</f>
        <v>0</v>
      </c>
      <c r="Q196" s="292">
        <f ca="1">+'10 Year Average'!H196</f>
        <v>97403467.396414891</v>
      </c>
      <c r="S196" s="287">
        <f>+'20 Year Trend'!A196</f>
        <v>43497</v>
      </c>
      <c r="T196" s="293">
        <f ca="1">+'20 Year Trend'!B196</f>
        <v>99607920.9962084</v>
      </c>
      <c r="U196" s="289">
        <f>+'20 Year Trend'!C196</f>
        <v>531.55490193920218</v>
      </c>
      <c r="V196" s="289">
        <f ca="1">+'20 Year Trend'!D196</f>
        <v>0</v>
      </c>
      <c r="W196" s="290">
        <f>+'20 Year Trend'!E196</f>
        <v>6.2343830000000003E-2</v>
      </c>
      <c r="X196" s="291">
        <f>+'20 Year Trend'!F196</f>
        <v>28</v>
      </c>
      <c r="Y196" s="291">
        <f>+'20 Year Trend'!G196</f>
        <v>0</v>
      </c>
      <c r="Z196" s="292">
        <f ca="1">+'20 Year Trend'!H196</f>
        <v>99607920.9962084</v>
      </c>
    </row>
    <row r="197" spans="1:26" x14ac:dyDescent="0.2">
      <c r="A197" s="287">
        <f>+'Purchased Power Model '!A197</f>
        <v>43525</v>
      </c>
      <c r="B197" s="293">
        <f ca="1">+'Purchased Power Model '!B197</f>
        <v>102967339.6653399</v>
      </c>
      <c r="C197" s="289">
        <f>+'Purchased Power Model '!C197</f>
        <v>582.35137030273825</v>
      </c>
      <c r="D197" s="289">
        <f ca="1">+'Purchased Power Model '!D197</f>
        <v>0</v>
      </c>
      <c r="E197" s="290">
        <f>+'Purchased Power Model '!E197</f>
        <v>6.2343830000000003E-2</v>
      </c>
      <c r="F197" s="291">
        <f>+'Purchased Power Model '!F197</f>
        <v>31</v>
      </c>
      <c r="G197" s="291">
        <f>+'Purchased Power Model '!G197</f>
        <v>1</v>
      </c>
      <c r="H197" s="292">
        <f ca="1">+'Purchased Power Model '!H197</f>
        <v>102967339.6653399</v>
      </c>
      <c r="J197" s="287">
        <f>+'10 Year Average'!A197</f>
        <v>43525</v>
      </c>
      <c r="K197" s="293">
        <f ca="1">+'10 Year Average'!B197</f>
        <v>100791425.70852451</v>
      </c>
      <c r="L197" s="289">
        <f>+'10 Year Average'!C197</f>
        <v>525.70271067733177</v>
      </c>
      <c r="M197" s="289">
        <f ca="1">+'10 Year Average'!D197</f>
        <v>0</v>
      </c>
      <c r="N197" s="290">
        <f>+'10 Year Average'!E197</f>
        <v>6.2343830000000003E-2</v>
      </c>
      <c r="O197" s="291">
        <f>+'10 Year Average'!F197</f>
        <v>31</v>
      </c>
      <c r="P197" s="291">
        <f>+'10 Year Average'!G197</f>
        <v>1</v>
      </c>
      <c r="Q197" s="292">
        <f ca="1">+'10 Year Average'!H197</f>
        <v>100791425.70852451</v>
      </c>
      <c r="S197" s="287">
        <f>+'20 Year Trend'!A197</f>
        <v>43525</v>
      </c>
      <c r="T197" s="293">
        <f ca="1">+'20 Year Trend'!B197</f>
        <v>103235493.8300347</v>
      </c>
      <c r="U197" s="289">
        <f>+'20 Year Trend'!C197</f>
        <v>589.33260867172407</v>
      </c>
      <c r="V197" s="289">
        <f ca="1">+'20 Year Trend'!D197</f>
        <v>0</v>
      </c>
      <c r="W197" s="290">
        <f>+'20 Year Trend'!E197</f>
        <v>6.2343830000000003E-2</v>
      </c>
      <c r="X197" s="291">
        <f>+'20 Year Trend'!F197</f>
        <v>31</v>
      </c>
      <c r="Y197" s="291">
        <f>+'20 Year Trend'!G197</f>
        <v>1</v>
      </c>
      <c r="Z197" s="292">
        <f ca="1">+'20 Year Trend'!H197</f>
        <v>103235493.8300347</v>
      </c>
    </row>
    <row r="198" spans="1:26" x14ac:dyDescent="0.2">
      <c r="A198" s="287">
        <f>+'Purchased Power Model '!A198</f>
        <v>43556</v>
      </c>
      <c r="B198" s="293">
        <f ca="1">+'Purchased Power Model '!B198</f>
        <v>94341693.432828724</v>
      </c>
      <c r="C198" s="289">
        <f>+'Purchased Power Model '!C198</f>
        <v>425.67062939452069</v>
      </c>
      <c r="D198" s="289">
        <f ca="1">+'Purchased Power Model '!D198</f>
        <v>0</v>
      </c>
      <c r="E198" s="290">
        <f>+'Purchased Power Model '!E198</f>
        <v>6.0906349999999998E-2</v>
      </c>
      <c r="F198" s="291">
        <f>+'Purchased Power Model '!F198</f>
        <v>30</v>
      </c>
      <c r="G198" s="291">
        <f>+'Purchased Power Model '!G198</f>
        <v>1</v>
      </c>
      <c r="H198" s="292">
        <f ca="1">+'Purchased Power Model '!H198</f>
        <v>94341693.432828724</v>
      </c>
      <c r="J198" s="287">
        <f>+'10 Year Average'!A198</f>
        <v>43556</v>
      </c>
      <c r="K198" s="293">
        <f>+'10 Year Average'!B198</f>
        <v>92691740.68167752</v>
      </c>
      <c r="L198" s="289">
        <f>+'10 Year Average'!C198</f>
        <v>382.7150651337152</v>
      </c>
      <c r="M198" s="289">
        <f>+'10 Year Average'!D198</f>
        <v>0</v>
      </c>
      <c r="N198" s="290">
        <f>+'10 Year Average'!E198</f>
        <v>6.0906349999999998E-2</v>
      </c>
      <c r="O198" s="291">
        <f>+'10 Year Average'!F198</f>
        <v>30</v>
      </c>
      <c r="P198" s="291">
        <f>+'10 Year Average'!G198</f>
        <v>1</v>
      </c>
      <c r="Q198" s="292">
        <f>+'10 Year Average'!H198</f>
        <v>92691740.68167752</v>
      </c>
      <c r="S198" s="287">
        <f>+'20 Year Trend'!A198</f>
        <v>43556</v>
      </c>
      <c r="T198" s="293">
        <f ca="1">+'20 Year Trend'!B198</f>
        <v>94770638.770313129</v>
      </c>
      <c r="U198" s="289">
        <f>+'20 Year Trend'!C198</f>
        <v>436.83797282046339</v>
      </c>
      <c r="V198" s="289">
        <f ca="1">+'20 Year Trend'!D198</f>
        <v>0</v>
      </c>
      <c r="W198" s="290">
        <f>+'20 Year Trend'!E198</f>
        <v>6.0906349999999998E-2</v>
      </c>
      <c r="X198" s="291">
        <f>+'20 Year Trend'!F198</f>
        <v>30</v>
      </c>
      <c r="Y198" s="291">
        <f>+'20 Year Trend'!G198</f>
        <v>1</v>
      </c>
      <c r="Z198" s="292">
        <f ca="1">+'20 Year Trend'!H198</f>
        <v>94770638.770313129</v>
      </c>
    </row>
    <row r="199" spans="1:26" x14ac:dyDescent="0.2">
      <c r="A199" s="287">
        <f>+'Purchased Power Model '!A199</f>
        <v>43586</v>
      </c>
      <c r="B199" s="293">
        <f ca="1">+'Purchased Power Model '!B199</f>
        <v>89264869.794638768</v>
      </c>
      <c r="C199" s="289">
        <f>+'Purchased Power Model '!C199</f>
        <v>165.76839158454547</v>
      </c>
      <c r="D199" s="289">
        <f ca="1">+'Purchased Power Model '!D199</f>
        <v>14.271778592195387</v>
      </c>
      <c r="E199" s="290">
        <f>+'Purchased Power Model '!E199</f>
        <v>6.0906349999999998E-2</v>
      </c>
      <c r="F199" s="291">
        <f>+'Purchased Power Model '!F199</f>
        <v>31</v>
      </c>
      <c r="G199" s="291">
        <f>+'Purchased Power Model '!G199</f>
        <v>1</v>
      </c>
      <c r="H199" s="292">
        <f ca="1">+'Purchased Power Model '!H199</f>
        <v>89264869.794638768</v>
      </c>
      <c r="J199" s="287">
        <f>+'10 Year Average'!A199</f>
        <v>43586</v>
      </c>
      <c r="K199" s="293">
        <f>+'10 Year Average'!B199</f>
        <v>87321174.626117021</v>
      </c>
      <c r="L199" s="289">
        <f>+'10 Year Average'!C199</f>
        <v>149.04025883258927</v>
      </c>
      <c r="M199" s="289">
        <f>+'10 Year Average'!D199</f>
        <v>5.7836714964590294</v>
      </c>
      <c r="N199" s="290">
        <f>+'10 Year Average'!E199</f>
        <v>6.0906349999999998E-2</v>
      </c>
      <c r="O199" s="291">
        <f>+'10 Year Average'!F199</f>
        <v>31</v>
      </c>
      <c r="P199" s="291">
        <f>+'10 Year Average'!G199</f>
        <v>1</v>
      </c>
      <c r="Q199" s="292">
        <f>+'10 Year Average'!H199</f>
        <v>87321174.626117021</v>
      </c>
      <c r="S199" s="287">
        <f>+'20 Year Trend'!A199</f>
        <v>43586</v>
      </c>
      <c r="T199" s="293">
        <f ca="1">+'20 Year Trend'!B199</f>
        <v>89444248.240930185</v>
      </c>
      <c r="U199" s="289">
        <f>+'20 Year Trend'!C199</f>
        <v>170.1172764503487</v>
      </c>
      <c r="V199" s="289">
        <f ca="1">+'20 Year Trend'!D199</f>
        <v>14.352244734618845</v>
      </c>
      <c r="W199" s="290">
        <f>+'20 Year Trend'!E199</f>
        <v>6.0906349999999998E-2</v>
      </c>
      <c r="X199" s="291">
        <f>+'20 Year Trend'!F199</f>
        <v>31</v>
      </c>
      <c r="Y199" s="291">
        <f>+'20 Year Trend'!G199</f>
        <v>1</v>
      </c>
      <c r="Z199" s="292">
        <f ca="1">+'20 Year Trend'!H199</f>
        <v>89444248.240930185</v>
      </c>
    </row>
    <row r="200" spans="1:26" x14ac:dyDescent="0.2">
      <c r="A200" s="287">
        <f>+'Purchased Power Model '!A200</f>
        <v>43617</v>
      </c>
      <c r="B200" s="293">
        <f ca="1">+'Purchased Power Model '!B200</f>
        <v>91193087.83898212</v>
      </c>
      <c r="C200" s="289">
        <f>+'Purchased Power Model '!C200</f>
        <v>39.449446810442659</v>
      </c>
      <c r="D200" s="289">
        <f ca="1">+'Purchased Power Model '!D200</f>
        <v>32.221850635987522</v>
      </c>
      <c r="E200" s="290">
        <f>+'Purchased Power Model '!E200</f>
        <v>6.0906349999999998E-2</v>
      </c>
      <c r="F200" s="291">
        <f>+'Purchased Power Model '!F200</f>
        <v>30</v>
      </c>
      <c r="G200" s="291">
        <f>+'Purchased Power Model '!G200</f>
        <v>0</v>
      </c>
      <c r="H200" s="292">
        <f ca="1">+'Purchased Power Model '!H200</f>
        <v>91193087.83898212</v>
      </c>
      <c r="J200" s="287">
        <f>+'10 Year Average'!A200</f>
        <v>43617</v>
      </c>
      <c r="K200" s="293">
        <f>+'10 Year Average'!B200</f>
        <v>88102515.146145687</v>
      </c>
      <c r="L200" s="289">
        <f>+'10 Year Average'!C200</f>
        <v>35.46849738499234</v>
      </c>
      <c r="M200" s="289">
        <f>+'10 Year Average'!D200</f>
        <v>13.057979976541523</v>
      </c>
      <c r="N200" s="290">
        <f>+'10 Year Average'!E200</f>
        <v>6.0906349999999998E-2</v>
      </c>
      <c r="O200" s="291">
        <f>+'10 Year Average'!F200</f>
        <v>30</v>
      </c>
      <c r="P200" s="291">
        <f>+'10 Year Average'!G200</f>
        <v>0</v>
      </c>
      <c r="Q200" s="292">
        <f>+'10 Year Average'!H200</f>
        <v>88102515.146145687</v>
      </c>
      <c r="S200" s="287">
        <f>+'20 Year Trend'!A200</f>
        <v>43617</v>
      </c>
      <c r="T200" s="293">
        <f ca="1">+'20 Year Trend'!B200</f>
        <v>91260689.420270026</v>
      </c>
      <c r="U200" s="289">
        <f>+'20 Year Trend'!C200</f>
        <v>40.484391413320971</v>
      </c>
      <c r="V200" s="289">
        <f ca="1">+'20 Year Trend'!D200</f>
        <v>32.403521617335329</v>
      </c>
      <c r="W200" s="290">
        <f>+'20 Year Trend'!E200</f>
        <v>6.0906349999999998E-2</v>
      </c>
      <c r="X200" s="291">
        <f>+'20 Year Trend'!F200</f>
        <v>30</v>
      </c>
      <c r="Y200" s="291">
        <f>+'20 Year Trend'!G200</f>
        <v>0</v>
      </c>
      <c r="Z200" s="292">
        <f ca="1">+'20 Year Trend'!H200</f>
        <v>91260689.420270026</v>
      </c>
    </row>
    <row r="201" spans="1:26" x14ac:dyDescent="0.2">
      <c r="A201" s="287">
        <f>+'Purchased Power Model '!A201</f>
        <v>43647</v>
      </c>
      <c r="B201" s="293">
        <f ca="1">+'Purchased Power Model '!B201</f>
        <v>101286823.68431208</v>
      </c>
      <c r="C201" s="289">
        <f>+'Purchased Power Model '!C201</f>
        <v>2.4214494205898305</v>
      </c>
      <c r="D201" s="289">
        <f ca="1">+'Purchased Power Model '!D201</f>
        <v>88.794003921545524</v>
      </c>
      <c r="E201" s="290">
        <f>+'Purchased Power Model '!E201</f>
        <v>5.928129E-2</v>
      </c>
      <c r="F201" s="291">
        <f>+'Purchased Power Model '!F201</f>
        <v>31</v>
      </c>
      <c r="G201" s="291">
        <f>+'Purchased Power Model '!G201</f>
        <v>0</v>
      </c>
      <c r="H201" s="292">
        <f ca="1">+'Purchased Power Model '!H201</f>
        <v>101286823.68431208</v>
      </c>
      <c r="J201" s="287">
        <f>+'10 Year Average'!A201</f>
        <v>43647</v>
      </c>
      <c r="K201" s="293">
        <f>+'10 Year Average'!B201</f>
        <v>93182100.722828925</v>
      </c>
      <c r="L201" s="289">
        <f>+'10 Year Average'!C201</f>
        <v>2.1770944686440306</v>
      </c>
      <c r="M201" s="289">
        <f>+'10 Year Average'!D201</f>
        <v>35.983976784670361</v>
      </c>
      <c r="N201" s="290">
        <f>+'10 Year Average'!E201</f>
        <v>5.928129E-2</v>
      </c>
      <c r="O201" s="291">
        <f>+'10 Year Average'!F201</f>
        <v>31</v>
      </c>
      <c r="P201" s="291">
        <f>+'10 Year Average'!G201</f>
        <v>0</v>
      </c>
      <c r="Q201" s="292">
        <f>+'10 Year Average'!H201</f>
        <v>93182100.722828925</v>
      </c>
      <c r="S201" s="287">
        <f>+'20 Year Trend'!A201</f>
        <v>43647</v>
      </c>
      <c r="T201" s="293">
        <f ca="1">+'20 Year Trend'!B201</f>
        <v>101366006.49662551</v>
      </c>
      <c r="U201" s="289">
        <f>+'20 Year Trend'!C201</f>
        <v>2.4849754320197008</v>
      </c>
      <c r="V201" s="289">
        <f ca="1">+'20 Year Trend'!D201</f>
        <v>89.294636055077049</v>
      </c>
      <c r="W201" s="290">
        <f>+'20 Year Trend'!E201</f>
        <v>5.928129E-2</v>
      </c>
      <c r="X201" s="291">
        <f>+'20 Year Trend'!F201</f>
        <v>31</v>
      </c>
      <c r="Y201" s="291">
        <f>+'20 Year Trend'!G201</f>
        <v>0</v>
      </c>
      <c r="Z201" s="292">
        <f ca="1">+'20 Year Trend'!H201</f>
        <v>101366006.49662551</v>
      </c>
    </row>
    <row r="202" spans="1:26" x14ac:dyDescent="0.2">
      <c r="A202" s="287">
        <f>+'Purchased Power Model '!A202</f>
        <v>43678</v>
      </c>
      <c r="B202" s="293">
        <f ca="1">+'Purchased Power Model '!B202</f>
        <v>102928347.88602453</v>
      </c>
      <c r="C202" s="289">
        <f>+'Purchased Power Model '!C202</f>
        <v>1.4125121620107346</v>
      </c>
      <c r="D202" s="289">
        <f ca="1">+'Purchased Power Model '!D202</f>
        <v>99.755318407303832</v>
      </c>
      <c r="E202" s="290">
        <f>+'Purchased Power Model '!E202</f>
        <v>5.928129E-2</v>
      </c>
      <c r="F202" s="291">
        <f>+'Purchased Power Model '!F202</f>
        <v>31</v>
      </c>
      <c r="G202" s="291">
        <f>+'Purchased Power Model '!G202</f>
        <v>0</v>
      </c>
      <c r="H202" s="292">
        <f ca="1">+'Purchased Power Model '!H202</f>
        <v>102928347.88602453</v>
      </c>
      <c r="J202" s="287">
        <f>+'10 Year Average'!A202</f>
        <v>43678</v>
      </c>
      <c r="K202" s="293">
        <f>+'10 Year Average'!B202</f>
        <v>93828194.158474892</v>
      </c>
      <c r="L202" s="289">
        <f>+'10 Year Average'!C202</f>
        <v>1.2699717733756846</v>
      </c>
      <c r="M202" s="289">
        <f>+'10 Year Average'!D202</f>
        <v>40.426074995868284</v>
      </c>
      <c r="N202" s="290">
        <f>+'10 Year Average'!E202</f>
        <v>5.928129E-2</v>
      </c>
      <c r="O202" s="291">
        <f>+'10 Year Average'!F202</f>
        <v>31</v>
      </c>
      <c r="P202" s="291">
        <f>+'10 Year Average'!G202</f>
        <v>0</v>
      </c>
      <c r="Q202" s="292">
        <f>+'10 Year Average'!H202</f>
        <v>93828194.158474892</v>
      </c>
      <c r="S202" s="287">
        <f>+'20 Year Trend'!A202</f>
        <v>43678</v>
      </c>
      <c r="T202" s="293">
        <f ca="1">+'20 Year Trend'!B202</f>
        <v>103015987.62598528</v>
      </c>
      <c r="U202" s="289">
        <f>+'20 Year Trend'!C202</f>
        <v>1.4495690020114924</v>
      </c>
      <c r="V202" s="289">
        <f ca="1">+'20 Year Trend'!D202</f>
        <v>100.31775185640802</v>
      </c>
      <c r="W202" s="290">
        <f>+'20 Year Trend'!E202</f>
        <v>5.928129E-2</v>
      </c>
      <c r="X202" s="291">
        <f>+'20 Year Trend'!F202</f>
        <v>31</v>
      </c>
      <c r="Y202" s="291">
        <f>+'20 Year Trend'!G202</f>
        <v>0</v>
      </c>
      <c r="Z202" s="292">
        <f ca="1">+'20 Year Trend'!H202</f>
        <v>103015987.62598528</v>
      </c>
    </row>
    <row r="203" spans="1:26" x14ac:dyDescent="0.2">
      <c r="A203" s="287">
        <f>+'Purchased Power Model '!A203</f>
        <v>43709</v>
      </c>
      <c r="B203" s="293">
        <f ca="1">+'Purchased Power Model '!B203</f>
        <v>84066398.803951234</v>
      </c>
      <c r="C203" s="289">
        <f>+'Purchased Power Model '!C203</f>
        <v>51.254012735818087</v>
      </c>
      <c r="D203" s="289">
        <f ca="1">+'Purchased Power Model '!D203</f>
        <v>25.968751768273048</v>
      </c>
      <c r="E203" s="290">
        <f>+'Purchased Power Model '!E203</f>
        <v>5.928129E-2</v>
      </c>
      <c r="F203" s="291">
        <f>+'Purchased Power Model '!F203</f>
        <v>30</v>
      </c>
      <c r="G203" s="291">
        <f>+'Purchased Power Model '!G203</f>
        <v>1</v>
      </c>
      <c r="H203" s="292">
        <f ca="1">+'Purchased Power Model '!H203</f>
        <v>84066398.803951234</v>
      </c>
      <c r="J203" s="287">
        <f>+'10 Year Average'!A203</f>
        <v>43709</v>
      </c>
      <c r="K203" s="293">
        <f>+'10 Year Average'!B203</f>
        <v>81500164.296314999</v>
      </c>
      <c r="L203" s="289">
        <f>+'10 Year Average'!C203</f>
        <v>46.081832919631978</v>
      </c>
      <c r="M203" s="289">
        <f>+'10 Year Average'!D203</f>
        <v>10.523897104381641</v>
      </c>
      <c r="N203" s="290">
        <f>+'10 Year Average'!E203</f>
        <v>5.928129E-2</v>
      </c>
      <c r="O203" s="291">
        <f>+'10 Year Average'!F203</f>
        <v>30</v>
      </c>
      <c r="P203" s="291">
        <f>+'10 Year Average'!G203</f>
        <v>1</v>
      </c>
      <c r="Q203" s="292">
        <f>+'10 Year Average'!H203</f>
        <v>81500164.296314999</v>
      </c>
      <c r="S203" s="287">
        <f>+'20 Year Trend'!A203</f>
        <v>43709</v>
      </c>
      <c r="T203" s="293">
        <f ca="1">+'20 Year Trend'!B203</f>
        <v>84140491.346428216</v>
      </c>
      <c r="U203" s="289">
        <f>+'20 Year Trend'!C203</f>
        <v>52.598646644417002</v>
      </c>
      <c r="V203" s="289">
        <f ca="1">+'20 Year Trend'!D203</f>
        <v>26.115166965569344</v>
      </c>
      <c r="W203" s="290">
        <f>+'20 Year Trend'!E203</f>
        <v>5.928129E-2</v>
      </c>
      <c r="X203" s="291">
        <f>+'20 Year Trend'!F203</f>
        <v>30</v>
      </c>
      <c r="Y203" s="291">
        <f>+'20 Year Trend'!G203</f>
        <v>1</v>
      </c>
      <c r="Z203" s="292">
        <f ca="1">+'20 Year Trend'!H203</f>
        <v>84140491.346428216</v>
      </c>
    </row>
    <row r="204" spans="1:26" x14ac:dyDescent="0.2">
      <c r="A204" s="287">
        <f>+'Purchased Power Model '!A204</f>
        <v>43739</v>
      </c>
      <c r="B204" s="293">
        <f ca="1">+'Purchased Power Model '!B204</f>
        <v>88915005.551781252</v>
      </c>
      <c r="C204" s="289">
        <f>+'Purchased Power Model '!C204</f>
        <v>205.82320075013561</v>
      </c>
      <c r="D204" s="289">
        <f ca="1">+'Purchased Power Model '!D204</f>
        <v>0.22069760709580494</v>
      </c>
      <c r="E204" s="290">
        <f>+'Purchased Power Model '!E204</f>
        <v>5.7468579999999998E-2</v>
      </c>
      <c r="F204" s="291">
        <f>+'Purchased Power Model '!F204</f>
        <v>31</v>
      </c>
      <c r="G204" s="291">
        <f>+'Purchased Power Model '!G204</f>
        <v>1</v>
      </c>
      <c r="H204" s="292">
        <f ca="1">+'Purchased Power Model '!H204</f>
        <v>88915005.551781252</v>
      </c>
      <c r="J204" s="287">
        <f>+'10 Year Average'!A204</f>
        <v>43739</v>
      </c>
      <c r="K204" s="293">
        <f>+'10 Year Average'!B204</f>
        <v>88097088.038918287</v>
      </c>
      <c r="L204" s="289">
        <f>+'10 Year Average'!C204</f>
        <v>185.05302983474263</v>
      </c>
      <c r="M204" s="289">
        <f>+'10 Year Average'!D204</f>
        <v>8.94382190174077E-2</v>
      </c>
      <c r="N204" s="290">
        <f>+'10 Year Average'!E204</f>
        <v>5.7468579999999998E-2</v>
      </c>
      <c r="O204" s="291">
        <f>+'10 Year Average'!F204</f>
        <v>31</v>
      </c>
      <c r="P204" s="291">
        <f>+'10 Year Average'!G204</f>
        <v>1</v>
      </c>
      <c r="Q204" s="292">
        <f>+'10 Year Average'!H204</f>
        <v>88097088.038918287</v>
      </c>
      <c r="S204" s="287">
        <f>+'20 Year Trend'!A204</f>
        <v>43739</v>
      </c>
      <c r="T204" s="293">
        <f ca="1">+'20 Year Trend'!B204</f>
        <v>89122602.906151488</v>
      </c>
      <c r="U204" s="289">
        <f>+'20 Year Trend'!C204</f>
        <v>211.22291172167459</v>
      </c>
      <c r="V204" s="289">
        <f ca="1">+'20 Year Trend'!D204</f>
        <v>0.22194192888585845</v>
      </c>
      <c r="W204" s="290">
        <f>+'20 Year Trend'!E204</f>
        <v>5.7468579999999998E-2</v>
      </c>
      <c r="X204" s="291">
        <f>+'20 Year Trend'!F204</f>
        <v>31</v>
      </c>
      <c r="Y204" s="291">
        <f>+'20 Year Trend'!G204</f>
        <v>1</v>
      </c>
      <c r="Z204" s="292">
        <f ca="1">+'20 Year Trend'!H204</f>
        <v>89122602.906151488</v>
      </c>
    </row>
    <row r="205" spans="1:26" x14ac:dyDescent="0.2">
      <c r="A205" s="287">
        <f>+'Purchased Power Model '!A205</f>
        <v>43770</v>
      </c>
      <c r="B205" s="293">
        <f ca="1">+'Purchased Power Model '!B205</f>
        <v>89824969.721667141</v>
      </c>
      <c r="C205" s="289">
        <f>+'Purchased Power Model '!C205</f>
        <v>301.1677716858602</v>
      </c>
      <c r="D205" s="289">
        <f ca="1">+'Purchased Power Model '!D205</f>
        <v>0</v>
      </c>
      <c r="E205" s="290">
        <f>+'Purchased Power Model '!E205</f>
        <v>5.7468579999999998E-2</v>
      </c>
      <c r="F205" s="291">
        <f>+'Purchased Power Model '!F205</f>
        <v>30</v>
      </c>
      <c r="G205" s="291">
        <f>+'Purchased Power Model '!G205</f>
        <v>1</v>
      </c>
      <c r="H205" s="292">
        <f ca="1">+'Purchased Power Model '!H205</f>
        <v>89824969.721667141</v>
      </c>
      <c r="J205" s="287">
        <f>+'10 Year Average'!A205</f>
        <v>43770</v>
      </c>
      <c r="K205" s="293">
        <f>+'10 Year Average'!B205</f>
        <v>88657605.663315326</v>
      </c>
      <c r="L205" s="289">
        <f>+'10 Year Average'!C205</f>
        <v>270.77612453760133</v>
      </c>
      <c r="M205" s="289">
        <f>+'10 Year Average'!D205</f>
        <v>0</v>
      </c>
      <c r="N205" s="290">
        <f>+'10 Year Average'!E205</f>
        <v>5.7468579999999998E-2</v>
      </c>
      <c r="O205" s="291">
        <f>+'10 Year Average'!F205</f>
        <v>30</v>
      </c>
      <c r="P205" s="291">
        <f>+'10 Year Average'!G205</f>
        <v>1</v>
      </c>
      <c r="Q205" s="292">
        <f>+'10 Year Average'!H205</f>
        <v>88657605.663315326</v>
      </c>
      <c r="S205" s="287">
        <f>+'20 Year Trend'!A205</f>
        <v>43770</v>
      </c>
      <c r="T205" s="293">
        <f ca="1">+'20 Year Trend'!B205</f>
        <v>90128454.393957004</v>
      </c>
      <c r="U205" s="289">
        <f>+'20 Year Trend'!C205</f>
        <v>309.06881935745031</v>
      </c>
      <c r="V205" s="289">
        <f ca="1">+'20 Year Trend'!D205</f>
        <v>0</v>
      </c>
      <c r="W205" s="290">
        <f>+'20 Year Trend'!E205</f>
        <v>5.7468579999999998E-2</v>
      </c>
      <c r="X205" s="291">
        <f>+'20 Year Trend'!F205</f>
        <v>30</v>
      </c>
      <c r="Y205" s="291">
        <f>+'20 Year Trend'!G205</f>
        <v>1</v>
      </c>
      <c r="Z205" s="292">
        <f ca="1">+'20 Year Trend'!H205</f>
        <v>90128454.393957004</v>
      </c>
    </row>
    <row r="206" spans="1:26" ht="13.5" thickBot="1" x14ac:dyDescent="0.25">
      <c r="A206" s="294">
        <f>+'Purchased Power Model '!A206</f>
        <v>43800</v>
      </c>
      <c r="B206" s="381">
        <f ca="1">+'Purchased Power Model '!B206</f>
        <v>106456108.9920084</v>
      </c>
      <c r="C206" s="295">
        <f>+'Purchased Power Model '!C206</f>
        <v>487.72027079713502</v>
      </c>
      <c r="D206" s="295">
        <f ca="1">+'Purchased Power Model '!D206</f>
        <v>0</v>
      </c>
      <c r="E206" s="296">
        <f>+'Purchased Power Model '!E206</f>
        <v>5.7468579999999998E-2</v>
      </c>
      <c r="F206" s="297">
        <f>+'Purchased Power Model '!F206</f>
        <v>31</v>
      </c>
      <c r="G206" s="297">
        <f>+'Purchased Power Model '!G206</f>
        <v>0</v>
      </c>
      <c r="H206" s="298">
        <f ca="1">+'Purchased Power Model '!H206</f>
        <v>106456108.9920084</v>
      </c>
      <c r="J206" s="294">
        <f>+'10 Year Average'!A206</f>
        <v>43800</v>
      </c>
      <c r="K206" s="381">
        <f>+'10 Year Average'!B206</f>
        <v>104565644.04793046</v>
      </c>
      <c r="L206" s="295">
        <f>+'10 Year Average'!C206</f>
        <v>438.5031108927185</v>
      </c>
      <c r="M206" s="295">
        <f>+'10 Year Average'!D206</f>
        <v>0</v>
      </c>
      <c r="N206" s="296">
        <f>+'10 Year Average'!E206</f>
        <v>5.7468579999999998E-2</v>
      </c>
      <c r="O206" s="297">
        <f>+'10 Year Average'!F206</f>
        <v>31</v>
      </c>
      <c r="P206" s="297">
        <f>+'10 Year Average'!G206</f>
        <v>0</v>
      </c>
      <c r="Q206" s="298">
        <f>+'10 Year Average'!H206</f>
        <v>104565644.04793046</v>
      </c>
      <c r="S206" s="294">
        <f>+'20 Year Trend'!A206</f>
        <v>43800</v>
      </c>
      <c r="T206" s="381">
        <f ca="1">+'20 Year Trend'!B206</f>
        <v>106947581.32227615</v>
      </c>
      <c r="U206" s="295">
        <f>+'20 Year Trend'!C206</f>
        <v>500.51546826596808</v>
      </c>
      <c r="V206" s="295">
        <f ca="1">+'20 Year Trend'!D206</f>
        <v>0</v>
      </c>
      <c r="W206" s="296">
        <f>+'20 Year Trend'!E206</f>
        <v>5.7468579999999998E-2</v>
      </c>
      <c r="X206" s="297">
        <f>+'20 Year Trend'!F206</f>
        <v>31</v>
      </c>
      <c r="Y206" s="297">
        <f>+'20 Year Trend'!G206</f>
        <v>0</v>
      </c>
      <c r="Z206" s="298">
        <f ca="1">+'20 Year Trend'!H206</f>
        <v>106947581.32227615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0"/>
  <sheetViews>
    <sheetView workbookViewId="0"/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9" max="9" width="10.140625" customWidth="1"/>
    <col min="10" max="10" width="10.5703125" customWidth="1"/>
  </cols>
  <sheetData>
    <row r="1" spans="1:10" ht="24.75" thickBot="1" x14ac:dyDescent="0.25">
      <c r="A1" s="224" t="s">
        <v>112</v>
      </c>
      <c r="B1" s="217" t="s">
        <v>71</v>
      </c>
      <c r="C1" s="217" t="s">
        <v>235</v>
      </c>
      <c r="D1" s="217" t="s">
        <v>234</v>
      </c>
      <c r="E1" s="217" t="s">
        <v>74</v>
      </c>
      <c r="F1" s="217" t="s">
        <v>236</v>
      </c>
      <c r="G1" s="217" t="s">
        <v>237</v>
      </c>
      <c r="H1" s="217" t="s">
        <v>238</v>
      </c>
      <c r="I1" s="217" t="s">
        <v>76</v>
      </c>
      <c r="J1" s="218" t="s">
        <v>9</v>
      </c>
    </row>
    <row r="2" spans="1:10" x14ac:dyDescent="0.2">
      <c r="A2" s="244" t="s">
        <v>241</v>
      </c>
      <c r="B2" s="245"/>
      <c r="C2" s="245"/>
      <c r="D2" s="245"/>
      <c r="E2" s="245"/>
      <c r="F2" s="245"/>
      <c r="G2" s="245"/>
      <c r="H2" s="245"/>
      <c r="I2" s="245"/>
      <c r="J2" s="246"/>
    </row>
    <row r="3" spans="1:10" x14ac:dyDescent="0.2">
      <c r="A3" s="247" t="s">
        <v>114</v>
      </c>
      <c r="B3" s="222">
        <v>47243</v>
      </c>
      <c r="C3" s="222">
        <v>3845</v>
      </c>
      <c r="D3" s="222">
        <v>522</v>
      </c>
      <c r="E3" s="222">
        <v>2</v>
      </c>
      <c r="F3" s="222">
        <v>9</v>
      </c>
      <c r="G3" s="222">
        <v>11650</v>
      </c>
      <c r="H3" s="222">
        <v>77</v>
      </c>
      <c r="I3" s="222">
        <v>305</v>
      </c>
      <c r="J3" s="229">
        <f>SUM(B3:I3)</f>
        <v>63653</v>
      </c>
    </row>
    <row r="4" spans="1:10" x14ac:dyDescent="0.2">
      <c r="A4" s="247" t="s">
        <v>226</v>
      </c>
      <c r="B4" s="222">
        <v>49919.725406979574</v>
      </c>
      <c r="C4" s="222">
        <v>3961</v>
      </c>
      <c r="D4" s="222">
        <v>518</v>
      </c>
      <c r="E4" s="222">
        <v>1</v>
      </c>
      <c r="F4" s="222">
        <v>10</v>
      </c>
      <c r="G4" s="222">
        <v>12761.899782618997</v>
      </c>
      <c r="H4" s="222">
        <v>22.307657589073369</v>
      </c>
      <c r="I4" s="222">
        <v>313.0793844964528</v>
      </c>
      <c r="J4" s="229">
        <f>SUM(B4:I4)</f>
        <v>67507.012231684101</v>
      </c>
    </row>
    <row r="5" spans="1:10" x14ac:dyDescent="0.2">
      <c r="A5" s="241"/>
      <c r="B5" s="221"/>
      <c r="C5" s="248"/>
      <c r="D5" s="248"/>
      <c r="E5" s="248"/>
      <c r="F5" s="248"/>
      <c r="G5" s="248"/>
      <c r="H5" s="248"/>
      <c r="I5" s="248"/>
      <c r="J5" s="249"/>
    </row>
    <row r="6" spans="1:10" x14ac:dyDescent="0.2">
      <c r="A6" s="241">
        <v>2002</v>
      </c>
      <c r="B6" s="219">
        <v>42960</v>
      </c>
      <c r="C6" s="219">
        <v>3701</v>
      </c>
      <c r="D6" s="219">
        <v>573</v>
      </c>
      <c r="E6" s="219">
        <v>2</v>
      </c>
      <c r="F6" s="219">
        <v>5</v>
      </c>
      <c r="G6" s="219">
        <v>9967</v>
      </c>
      <c r="H6" s="219">
        <v>38</v>
      </c>
      <c r="I6" s="219">
        <v>291</v>
      </c>
      <c r="J6" s="250">
        <f t="shared" ref="J6:J17" si="0">SUM(B6:I6)</f>
        <v>57537</v>
      </c>
    </row>
    <row r="7" spans="1:10" x14ac:dyDescent="0.2">
      <c r="A7" s="241">
        <v>2003</v>
      </c>
      <c r="B7" s="219">
        <v>43679</v>
      </c>
      <c r="C7" s="219">
        <f>3970-293</f>
        <v>3677</v>
      </c>
      <c r="D7" s="219">
        <v>545</v>
      </c>
      <c r="E7" s="219">
        <v>3</v>
      </c>
      <c r="F7" s="219">
        <v>5</v>
      </c>
      <c r="G7" s="219">
        <v>10151</v>
      </c>
      <c r="H7" s="219">
        <v>31</v>
      </c>
      <c r="I7" s="219">
        <v>293</v>
      </c>
      <c r="J7" s="250">
        <f t="shared" si="0"/>
        <v>58384</v>
      </c>
    </row>
    <row r="8" spans="1:10" x14ac:dyDescent="0.2">
      <c r="A8" s="242">
        <v>2004</v>
      </c>
      <c r="B8" s="219">
        <v>44280</v>
      </c>
      <c r="C8" s="219">
        <f>3871-295</f>
        <v>3576</v>
      </c>
      <c r="D8" s="219">
        <v>515</v>
      </c>
      <c r="E8" s="219">
        <v>2</v>
      </c>
      <c r="F8" s="219">
        <v>7</v>
      </c>
      <c r="G8" s="219">
        <v>10373</v>
      </c>
      <c r="H8" s="219">
        <v>29</v>
      </c>
      <c r="I8" s="219">
        <v>295</v>
      </c>
      <c r="J8" s="250">
        <f t="shared" si="0"/>
        <v>59077</v>
      </c>
    </row>
    <row r="9" spans="1:10" x14ac:dyDescent="0.2">
      <c r="A9" s="241">
        <v>2005</v>
      </c>
      <c r="B9" s="219">
        <v>44917</v>
      </c>
      <c r="C9" s="219">
        <f>4043-295</f>
        <v>3748</v>
      </c>
      <c r="D9" s="219">
        <v>528</v>
      </c>
      <c r="E9" s="219">
        <v>2</v>
      </c>
      <c r="F9" s="219">
        <v>8</v>
      </c>
      <c r="G9" s="219">
        <v>10624</v>
      </c>
      <c r="H9" s="219">
        <v>30</v>
      </c>
      <c r="I9" s="219">
        <v>295</v>
      </c>
      <c r="J9" s="250">
        <f t="shared" si="0"/>
        <v>60152</v>
      </c>
    </row>
    <row r="10" spans="1:10" x14ac:dyDescent="0.2">
      <c r="A10" s="242">
        <v>2006</v>
      </c>
      <c r="B10" s="219">
        <v>45961</v>
      </c>
      <c r="C10" s="219">
        <v>3733</v>
      </c>
      <c r="D10" s="219">
        <v>522</v>
      </c>
      <c r="E10" s="219">
        <v>2</v>
      </c>
      <c r="F10" s="219">
        <v>9</v>
      </c>
      <c r="G10" s="219">
        <v>11038</v>
      </c>
      <c r="H10" s="219">
        <v>27</v>
      </c>
      <c r="I10" s="219">
        <v>301</v>
      </c>
      <c r="J10" s="250">
        <f t="shared" si="0"/>
        <v>61593</v>
      </c>
    </row>
    <row r="11" spans="1:10" x14ac:dyDescent="0.2">
      <c r="A11" s="241">
        <v>2007</v>
      </c>
      <c r="B11" s="219">
        <v>46679</v>
      </c>
      <c r="C11" s="219">
        <v>3765</v>
      </c>
      <c r="D11" s="219">
        <v>524</v>
      </c>
      <c r="E11" s="219">
        <v>2</v>
      </c>
      <c r="F11" s="219">
        <v>9</v>
      </c>
      <c r="G11" s="219">
        <v>11523</v>
      </c>
      <c r="H11" s="219">
        <v>26</v>
      </c>
      <c r="I11" s="219">
        <v>301</v>
      </c>
      <c r="J11" s="250">
        <f t="shared" si="0"/>
        <v>62829</v>
      </c>
    </row>
    <row r="12" spans="1:10" x14ac:dyDescent="0.2">
      <c r="A12" s="242">
        <v>2008</v>
      </c>
      <c r="B12" s="219">
        <v>47436</v>
      </c>
      <c r="C12" s="219">
        <v>3822</v>
      </c>
      <c r="D12" s="219">
        <v>543</v>
      </c>
      <c r="E12" s="219">
        <v>3</v>
      </c>
      <c r="F12" s="219">
        <v>9</v>
      </c>
      <c r="G12" s="219">
        <v>11720</v>
      </c>
      <c r="H12" s="219">
        <v>26</v>
      </c>
      <c r="I12" s="219">
        <v>301</v>
      </c>
      <c r="J12" s="250">
        <f t="shared" si="0"/>
        <v>63860</v>
      </c>
    </row>
    <row r="13" spans="1:10" x14ac:dyDescent="0.2">
      <c r="A13" s="241">
        <v>2009</v>
      </c>
      <c r="B13" s="219">
        <v>47769</v>
      </c>
      <c r="C13" s="219">
        <v>3897</v>
      </c>
      <c r="D13" s="219">
        <v>507</v>
      </c>
      <c r="E13" s="219">
        <v>1</v>
      </c>
      <c r="F13" s="219">
        <v>10</v>
      </c>
      <c r="G13" s="219">
        <v>11882</v>
      </c>
      <c r="H13" s="219">
        <v>26</v>
      </c>
      <c r="I13" s="219">
        <v>304</v>
      </c>
      <c r="J13" s="250">
        <f t="shared" si="0"/>
        <v>64396</v>
      </c>
    </row>
    <row r="14" spans="1:10" x14ac:dyDescent="0.2">
      <c r="A14" s="242">
        <v>2010</v>
      </c>
      <c r="B14" s="219">
        <v>48460</v>
      </c>
      <c r="C14" s="219">
        <v>3961</v>
      </c>
      <c r="D14" s="219">
        <v>518</v>
      </c>
      <c r="E14" s="219">
        <v>1</v>
      </c>
      <c r="F14" s="219">
        <v>10</v>
      </c>
      <c r="G14" s="219">
        <v>12109</v>
      </c>
      <c r="H14" s="219">
        <v>24</v>
      </c>
      <c r="I14" s="219">
        <v>309</v>
      </c>
      <c r="J14" s="250">
        <f t="shared" si="0"/>
        <v>65392</v>
      </c>
    </row>
    <row r="15" spans="1:10" x14ac:dyDescent="0.2">
      <c r="A15" s="242">
        <v>2011</v>
      </c>
      <c r="B15" s="219">
        <v>48841</v>
      </c>
      <c r="C15" s="219">
        <v>3816</v>
      </c>
      <c r="D15" s="219">
        <v>523</v>
      </c>
      <c r="E15" s="219">
        <v>1</v>
      </c>
      <c r="F15" s="219">
        <v>10</v>
      </c>
      <c r="G15" s="219">
        <v>12146</v>
      </c>
      <c r="H15" s="219">
        <v>24</v>
      </c>
      <c r="I15" s="219">
        <v>296</v>
      </c>
      <c r="J15" s="250">
        <f t="shared" si="0"/>
        <v>65657</v>
      </c>
    </row>
    <row r="16" spans="1:10" x14ac:dyDescent="0.2">
      <c r="A16" s="242">
        <v>2012</v>
      </c>
      <c r="B16" s="219">
        <v>49201</v>
      </c>
      <c r="C16" s="219">
        <v>3885</v>
      </c>
      <c r="D16" s="219">
        <v>500</v>
      </c>
      <c r="E16" s="219">
        <v>1</v>
      </c>
      <c r="F16" s="219">
        <v>11</v>
      </c>
      <c r="G16" s="219">
        <v>12280</v>
      </c>
      <c r="H16" s="219">
        <v>24</v>
      </c>
      <c r="I16" s="219">
        <v>295</v>
      </c>
      <c r="J16" s="250">
        <f t="shared" si="0"/>
        <v>66197</v>
      </c>
    </row>
    <row r="17" spans="1:10" x14ac:dyDescent="0.2">
      <c r="A17" s="382">
        <v>2013</v>
      </c>
      <c r="B17" s="256">
        <v>49831</v>
      </c>
      <c r="C17" s="256">
        <v>3924</v>
      </c>
      <c r="D17" s="256">
        <v>500</v>
      </c>
      <c r="E17" s="256">
        <v>1</v>
      </c>
      <c r="F17" s="256">
        <v>11</v>
      </c>
      <c r="G17" s="256">
        <v>12385</v>
      </c>
      <c r="H17" s="256">
        <v>24</v>
      </c>
      <c r="I17" s="256">
        <v>295</v>
      </c>
      <c r="J17" s="257">
        <f t="shared" si="0"/>
        <v>66971</v>
      </c>
    </row>
    <row r="18" spans="1:10" x14ac:dyDescent="0.2">
      <c r="A18" s="382">
        <v>2014</v>
      </c>
      <c r="B18" s="256">
        <v>50574</v>
      </c>
      <c r="C18" s="256">
        <v>3981</v>
      </c>
      <c r="D18" s="256">
        <v>505</v>
      </c>
      <c r="E18" s="256">
        <v>1</v>
      </c>
      <c r="F18" s="256">
        <v>11</v>
      </c>
      <c r="G18" s="256">
        <v>12544</v>
      </c>
      <c r="H18" s="256">
        <v>24</v>
      </c>
      <c r="I18" s="256">
        <v>296</v>
      </c>
      <c r="J18" s="257">
        <f t="shared" ref="J18" si="1">SUM(B18:I18)</f>
        <v>67936</v>
      </c>
    </row>
    <row r="19" spans="1:10" x14ac:dyDescent="0.2">
      <c r="A19" s="242">
        <v>2015</v>
      </c>
      <c r="B19" s="219">
        <v>51731</v>
      </c>
      <c r="C19" s="219">
        <v>4074</v>
      </c>
      <c r="D19" s="219">
        <v>512</v>
      </c>
      <c r="E19" s="219">
        <v>1</v>
      </c>
      <c r="F19" s="219">
        <v>13</v>
      </c>
      <c r="G19" s="219">
        <v>12884</v>
      </c>
      <c r="H19" s="219">
        <v>24</v>
      </c>
      <c r="I19" s="219">
        <v>273</v>
      </c>
      <c r="J19" s="250">
        <f t="shared" ref="J19:J20" si="2">SUM(B19:I19)</f>
        <v>69512</v>
      </c>
    </row>
    <row r="20" spans="1:10" ht="13.5" thickBot="1" x14ac:dyDescent="0.25">
      <c r="A20" s="446">
        <v>2016</v>
      </c>
      <c r="B20" s="447">
        <v>52499</v>
      </c>
      <c r="C20" s="447">
        <v>4150</v>
      </c>
      <c r="D20" s="447">
        <v>521</v>
      </c>
      <c r="E20" s="447">
        <v>1</v>
      </c>
      <c r="F20" s="447">
        <v>13</v>
      </c>
      <c r="G20" s="447">
        <v>13031</v>
      </c>
      <c r="H20" s="447">
        <v>24</v>
      </c>
      <c r="I20" s="447">
        <v>274</v>
      </c>
      <c r="J20" s="448">
        <f t="shared" si="2"/>
        <v>70513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7"/>
  <sheetViews>
    <sheetView topLeftCell="A79" workbookViewId="0">
      <selection activeCell="C108" sqref="C108"/>
    </sheetView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8" max="8" width="14" bestFit="1" customWidth="1"/>
    <col min="9" max="9" width="10.140625" customWidth="1"/>
    <col min="10" max="10" width="10.5703125" customWidth="1"/>
    <col min="11" max="12" width="9.28515625" bestFit="1" customWidth="1"/>
    <col min="13" max="13" width="15" bestFit="1" customWidth="1"/>
  </cols>
  <sheetData>
    <row r="1" spans="1:10" ht="24.75" thickBot="1" x14ac:dyDescent="0.25">
      <c r="A1" s="224" t="s">
        <v>112</v>
      </c>
      <c r="B1" s="217" t="s">
        <v>71</v>
      </c>
      <c r="C1" s="217" t="s">
        <v>235</v>
      </c>
      <c r="D1" s="217" t="s">
        <v>234</v>
      </c>
      <c r="E1" s="217" t="s">
        <v>74</v>
      </c>
      <c r="F1" s="217" t="s">
        <v>236</v>
      </c>
      <c r="G1" s="217" t="s">
        <v>237</v>
      </c>
      <c r="H1" s="217" t="s">
        <v>238</v>
      </c>
      <c r="I1" s="217" t="s">
        <v>76</v>
      </c>
      <c r="J1" s="218" t="s">
        <v>9</v>
      </c>
    </row>
    <row r="2" spans="1:10" x14ac:dyDescent="0.2">
      <c r="A2" s="244" t="s">
        <v>241</v>
      </c>
      <c r="B2" s="245"/>
      <c r="C2" s="245"/>
      <c r="D2" s="245"/>
      <c r="E2" s="245"/>
      <c r="F2" s="245"/>
      <c r="G2" s="245"/>
      <c r="H2" s="245"/>
      <c r="I2" s="245"/>
      <c r="J2" s="246"/>
    </row>
    <row r="3" spans="1:10" x14ac:dyDescent="0.2">
      <c r="A3" s="247" t="s">
        <v>114</v>
      </c>
      <c r="B3" s="222">
        <f>+'Year End Customer'!B3</f>
        <v>47243</v>
      </c>
      <c r="C3" s="222">
        <f>+'Year End Customer'!C3</f>
        <v>3845</v>
      </c>
      <c r="D3" s="222">
        <f>+'Year End Customer'!D3</f>
        <v>522</v>
      </c>
      <c r="E3" s="222">
        <f>+'Year End Customer'!E3</f>
        <v>2</v>
      </c>
      <c r="F3" s="222">
        <f>+'Year End Customer'!F3</f>
        <v>9</v>
      </c>
      <c r="G3" s="222">
        <f>+'Year End Customer'!G3</f>
        <v>11650</v>
      </c>
      <c r="H3" s="222">
        <f>+'Year End Customer'!H3</f>
        <v>77</v>
      </c>
      <c r="I3" s="222">
        <f>+'Year End Customer'!I3</f>
        <v>305</v>
      </c>
      <c r="J3" s="229">
        <f>SUM(B3:I3)</f>
        <v>63653</v>
      </c>
    </row>
    <row r="4" spans="1:10" x14ac:dyDescent="0.2">
      <c r="A4" s="247" t="s">
        <v>226</v>
      </c>
      <c r="B4" s="222">
        <f>+'Year End Customer'!B4</f>
        <v>49919.725406979574</v>
      </c>
      <c r="C4" s="222">
        <f>+'Year End Customer'!C4</f>
        <v>3961</v>
      </c>
      <c r="D4" s="222">
        <f>+'Year End Customer'!D4</f>
        <v>518</v>
      </c>
      <c r="E4" s="222">
        <f>+'Year End Customer'!E4</f>
        <v>1</v>
      </c>
      <c r="F4" s="222">
        <f>+'Year End Customer'!F4</f>
        <v>10</v>
      </c>
      <c r="G4" s="222">
        <f>+'Year End Customer'!G4</f>
        <v>12761.899782618997</v>
      </c>
      <c r="H4" s="222">
        <f>+'Year End Customer'!H4</f>
        <v>22.307657589073369</v>
      </c>
      <c r="I4" s="222">
        <f>+'Year End Customer'!I4</f>
        <v>313.0793844964528</v>
      </c>
      <c r="J4" s="229">
        <f>SUM(B4:I4)</f>
        <v>67507.012231684101</v>
      </c>
    </row>
    <row r="5" spans="1:10" x14ac:dyDescent="0.2">
      <c r="A5" s="241"/>
      <c r="B5" s="221"/>
      <c r="C5" s="248"/>
      <c r="D5" s="248"/>
      <c r="E5" s="248"/>
      <c r="F5" s="248"/>
      <c r="G5" s="248"/>
      <c r="H5" s="248"/>
      <c r="I5" s="248"/>
      <c r="J5" s="249"/>
    </row>
    <row r="6" spans="1:10" x14ac:dyDescent="0.2">
      <c r="A6" s="241">
        <v>2002</v>
      </c>
      <c r="B6" s="219">
        <f>+'Year End Customer'!B6</f>
        <v>42960</v>
      </c>
      <c r="C6" s="219">
        <f>+'Year End Customer'!C6</f>
        <v>3701</v>
      </c>
      <c r="D6" s="219">
        <f>+'Year End Customer'!D6</f>
        <v>573</v>
      </c>
      <c r="E6" s="219">
        <f>+'Year End Customer'!E6</f>
        <v>2</v>
      </c>
      <c r="F6" s="219">
        <f>+'Year End Customer'!F6</f>
        <v>5</v>
      </c>
      <c r="G6" s="219">
        <f>+'Year End Customer'!G6</f>
        <v>9967</v>
      </c>
      <c r="H6" s="219">
        <f>+'Year End Customer'!H6</f>
        <v>38</v>
      </c>
      <c r="I6" s="219">
        <f>+'Year End Customer'!I6</f>
        <v>291</v>
      </c>
      <c r="J6" s="250">
        <f t="shared" ref="J6:J19" si="0">SUM(B6:I6)</f>
        <v>57537</v>
      </c>
    </row>
    <row r="7" spans="1:10" x14ac:dyDescent="0.2">
      <c r="A7" s="241">
        <v>2003</v>
      </c>
      <c r="B7" s="219">
        <f>+'Year End Customer'!B7</f>
        <v>43679</v>
      </c>
      <c r="C7" s="219">
        <f>+'Year End Customer'!C7</f>
        <v>3677</v>
      </c>
      <c r="D7" s="219">
        <f>+'Year End Customer'!D7</f>
        <v>545</v>
      </c>
      <c r="E7" s="219">
        <f>+'Year End Customer'!E7</f>
        <v>3</v>
      </c>
      <c r="F7" s="219">
        <f>+'Year End Customer'!F7</f>
        <v>5</v>
      </c>
      <c r="G7" s="219">
        <f>+'Year End Customer'!G7</f>
        <v>10151</v>
      </c>
      <c r="H7" s="219">
        <f>+'Year End Customer'!H7</f>
        <v>31</v>
      </c>
      <c r="I7" s="219">
        <f>+'Year End Customer'!I7</f>
        <v>293</v>
      </c>
      <c r="J7" s="250">
        <f t="shared" si="0"/>
        <v>58384</v>
      </c>
    </row>
    <row r="8" spans="1:10" x14ac:dyDescent="0.2">
      <c r="A8" s="242">
        <v>2004</v>
      </c>
      <c r="B8" s="219">
        <f>+'Year End Customer'!B8</f>
        <v>44280</v>
      </c>
      <c r="C8" s="219">
        <f>+'Year End Customer'!C8</f>
        <v>3576</v>
      </c>
      <c r="D8" s="219">
        <f>+'Year End Customer'!D8</f>
        <v>515</v>
      </c>
      <c r="E8" s="219">
        <f>+'Year End Customer'!E8</f>
        <v>2</v>
      </c>
      <c r="F8" s="219">
        <f>+'Year End Customer'!F8</f>
        <v>7</v>
      </c>
      <c r="G8" s="219">
        <f>+'Year End Customer'!G8</f>
        <v>10373</v>
      </c>
      <c r="H8" s="219">
        <f>+'Year End Customer'!H8</f>
        <v>29</v>
      </c>
      <c r="I8" s="219">
        <f>+'Year End Customer'!I8</f>
        <v>295</v>
      </c>
      <c r="J8" s="250">
        <f t="shared" si="0"/>
        <v>59077</v>
      </c>
    </row>
    <row r="9" spans="1:10" x14ac:dyDescent="0.2">
      <c r="A9" s="241">
        <v>2005</v>
      </c>
      <c r="B9" s="219">
        <f>+'Year End Customer'!B9</f>
        <v>44917</v>
      </c>
      <c r="C9" s="219">
        <f>+'Year End Customer'!C9</f>
        <v>3748</v>
      </c>
      <c r="D9" s="219">
        <f>+'Year End Customer'!D9</f>
        <v>528</v>
      </c>
      <c r="E9" s="219">
        <f>+'Year End Customer'!E9</f>
        <v>2</v>
      </c>
      <c r="F9" s="219">
        <f>+'Year End Customer'!F9</f>
        <v>8</v>
      </c>
      <c r="G9" s="219">
        <f>+'Year End Customer'!G9</f>
        <v>10624</v>
      </c>
      <c r="H9" s="219">
        <f>+'Year End Customer'!H9</f>
        <v>30</v>
      </c>
      <c r="I9" s="219">
        <f>+'Year End Customer'!I9</f>
        <v>295</v>
      </c>
      <c r="J9" s="250">
        <f t="shared" si="0"/>
        <v>60152</v>
      </c>
    </row>
    <row r="10" spans="1:10" x14ac:dyDescent="0.2">
      <c r="A10" s="242">
        <v>2006</v>
      </c>
      <c r="B10" s="219">
        <f>+'Year End Customer'!B10</f>
        <v>45961</v>
      </c>
      <c r="C10" s="219">
        <f>+'Year End Customer'!C10</f>
        <v>3733</v>
      </c>
      <c r="D10" s="219">
        <f>+'Year End Customer'!D10</f>
        <v>522</v>
      </c>
      <c r="E10" s="219">
        <f>+'Year End Customer'!E10</f>
        <v>2</v>
      </c>
      <c r="F10" s="219">
        <f>+'Year End Customer'!F10</f>
        <v>9</v>
      </c>
      <c r="G10" s="219">
        <f>+'Year End Customer'!G10</f>
        <v>11038</v>
      </c>
      <c r="H10" s="219">
        <f>+'Year End Customer'!H10</f>
        <v>27</v>
      </c>
      <c r="I10" s="219">
        <f>+'Year End Customer'!I10</f>
        <v>301</v>
      </c>
      <c r="J10" s="250">
        <f t="shared" si="0"/>
        <v>61593</v>
      </c>
    </row>
    <row r="11" spans="1:10" x14ac:dyDescent="0.2">
      <c r="A11" s="241">
        <v>2007</v>
      </c>
      <c r="B11" s="219">
        <f>+'Year End Customer'!B11</f>
        <v>46679</v>
      </c>
      <c r="C11" s="219">
        <f>+'Year End Customer'!C11</f>
        <v>3765</v>
      </c>
      <c r="D11" s="219">
        <f>+'Year End Customer'!D11</f>
        <v>524</v>
      </c>
      <c r="E11" s="219">
        <f>+'Year End Customer'!E11</f>
        <v>2</v>
      </c>
      <c r="F11" s="219">
        <f>+'Year End Customer'!F11</f>
        <v>9</v>
      </c>
      <c r="G11" s="219">
        <f>+'Year End Customer'!G11</f>
        <v>11523</v>
      </c>
      <c r="H11" s="219">
        <f>+'Year End Customer'!H11</f>
        <v>26</v>
      </c>
      <c r="I11" s="219">
        <f>+'Year End Customer'!I11</f>
        <v>301</v>
      </c>
      <c r="J11" s="250">
        <f t="shared" si="0"/>
        <v>62829</v>
      </c>
    </row>
    <row r="12" spans="1:10" x14ac:dyDescent="0.2">
      <c r="A12" s="242">
        <v>2008</v>
      </c>
      <c r="B12" s="219">
        <f>+'Year End Customer'!B12</f>
        <v>47436</v>
      </c>
      <c r="C12" s="219">
        <f>+'Year End Customer'!C12</f>
        <v>3822</v>
      </c>
      <c r="D12" s="219">
        <f>+'Year End Customer'!D12</f>
        <v>543</v>
      </c>
      <c r="E12" s="219">
        <f>+'Year End Customer'!E12</f>
        <v>3</v>
      </c>
      <c r="F12" s="219">
        <f>+'Year End Customer'!F12</f>
        <v>9</v>
      </c>
      <c r="G12" s="219">
        <f>+'Year End Customer'!G12</f>
        <v>11720</v>
      </c>
      <c r="H12" s="219">
        <f>+'Year End Customer'!H12</f>
        <v>26</v>
      </c>
      <c r="I12" s="219">
        <f>+'Year End Customer'!I12</f>
        <v>301</v>
      </c>
      <c r="J12" s="250">
        <f t="shared" si="0"/>
        <v>63860</v>
      </c>
    </row>
    <row r="13" spans="1:10" x14ac:dyDescent="0.2">
      <c r="A13" s="241">
        <v>2009</v>
      </c>
      <c r="B13" s="219">
        <f>+'Year End Customer'!B13</f>
        <v>47769</v>
      </c>
      <c r="C13" s="219">
        <f>+'Year End Customer'!C13</f>
        <v>3897</v>
      </c>
      <c r="D13" s="219">
        <f>+'Year End Customer'!D13</f>
        <v>507</v>
      </c>
      <c r="E13" s="219">
        <f>+'Year End Customer'!E13</f>
        <v>1</v>
      </c>
      <c r="F13" s="219">
        <f>+'Year End Customer'!F13</f>
        <v>10</v>
      </c>
      <c r="G13" s="219">
        <f>+'Year End Customer'!G13</f>
        <v>11882</v>
      </c>
      <c r="H13" s="219">
        <f>+'Year End Customer'!H13</f>
        <v>26</v>
      </c>
      <c r="I13" s="219">
        <f>+'Year End Customer'!I13</f>
        <v>304</v>
      </c>
      <c r="J13" s="250">
        <f t="shared" si="0"/>
        <v>64396</v>
      </c>
    </row>
    <row r="14" spans="1:10" x14ac:dyDescent="0.2">
      <c r="A14" s="242">
        <v>2010</v>
      </c>
      <c r="B14" s="219">
        <f>+'Year End Customer'!B14</f>
        <v>48460</v>
      </c>
      <c r="C14" s="219">
        <f>+'Year End Customer'!C14</f>
        <v>3961</v>
      </c>
      <c r="D14" s="219">
        <f>+'Year End Customer'!D14</f>
        <v>518</v>
      </c>
      <c r="E14" s="219">
        <f>+'Year End Customer'!E14</f>
        <v>1</v>
      </c>
      <c r="F14" s="219">
        <f>+'Year End Customer'!F14</f>
        <v>10</v>
      </c>
      <c r="G14" s="219">
        <f>+'Year End Customer'!G14</f>
        <v>12109</v>
      </c>
      <c r="H14" s="219">
        <f>+'Year End Customer'!H14</f>
        <v>24</v>
      </c>
      <c r="I14" s="219">
        <f>+'Year End Customer'!I14</f>
        <v>309</v>
      </c>
      <c r="J14" s="250">
        <f t="shared" si="0"/>
        <v>65392</v>
      </c>
    </row>
    <row r="15" spans="1:10" x14ac:dyDescent="0.2">
      <c r="A15" s="242">
        <v>2011</v>
      </c>
      <c r="B15" s="219">
        <f>+'Year End Customer'!B15</f>
        <v>48841</v>
      </c>
      <c r="C15" s="219">
        <f>+'Year End Customer'!C15</f>
        <v>3816</v>
      </c>
      <c r="D15" s="219">
        <f>+'Year End Customer'!D15</f>
        <v>523</v>
      </c>
      <c r="E15" s="219">
        <f>+'Year End Customer'!E15</f>
        <v>1</v>
      </c>
      <c r="F15" s="219">
        <f>+'Year End Customer'!F15</f>
        <v>10</v>
      </c>
      <c r="G15" s="219">
        <f>+'Year End Customer'!G15</f>
        <v>12146</v>
      </c>
      <c r="H15" s="219">
        <f>+'Year End Customer'!H15</f>
        <v>24</v>
      </c>
      <c r="I15" s="219">
        <f>+'Year End Customer'!I15</f>
        <v>296</v>
      </c>
      <c r="J15" s="250">
        <f t="shared" si="0"/>
        <v>65657</v>
      </c>
    </row>
    <row r="16" spans="1:10" x14ac:dyDescent="0.2">
      <c r="A16" s="242">
        <v>2012</v>
      </c>
      <c r="B16" s="219">
        <f>+'Year End Customer'!B16</f>
        <v>49201</v>
      </c>
      <c r="C16" s="219">
        <f>+'Year End Customer'!C16</f>
        <v>3885</v>
      </c>
      <c r="D16" s="219">
        <f>+'Year End Customer'!D16</f>
        <v>500</v>
      </c>
      <c r="E16" s="219">
        <f>+'Year End Customer'!E16</f>
        <v>1</v>
      </c>
      <c r="F16" s="219">
        <f>+'Year End Customer'!F16</f>
        <v>11</v>
      </c>
      <c r="G16" s="219">
        <f>+'Year End Customer'!G16</f>
        <v>12280</v>
      </c>
      <c r="H16" s="219">
        <f>+'Year End Customer'!H16</f>
        <v>24</v>
      </c>
      <c r="I16" s="219">
        <f>+'Year End Customer'!I16</f>
        <v>295</v>
      </c>
      <c r="J16" s="250">
        <f t="shared" si="0"/>
        <v>66197</v>
      </c>
    </row>
    <row r="17" spans="1:10" x14ac:dyDescent="0.2">
      <c r="A17" s="382">
        <v>2013</v>
      </c>
      <c r="B17" s="256">
        <f>+'Year End Customer'!B17</f>
        <v>49831</v>
      </c>
      <c r="C17" s="256">
        <f>+'Year End Customer'!C17</f>
        <v>3924</v>
      </c>
      <c r="D17" s="256">
        <f>+'Year End Customer'!D17</f>
        <v>500</v>
      </c>
      <c r="E17" s="256">
        <f>+'Year End Customer'!E17</f>
        <v>1</v>
      </c>
      <c r="F17" s="256">
        <f>+'Year End Customer'!F17</f>
        <v>11</v>
      </c>
      <c r="G17" s="256">
        <f>+'Year End Customer'!G17</f>
        <v>12385</v>
      </c>
      <c r="H17" s="256">
        <f>+'Year End Customer'!H17</f>
        <v>24</v>
      </c>
      <c r="I17" s="256">
        <f>+'Year End Customer'!I17</f>
        <v>295</v>
      </c>
      <c r="J17" s="257">
        <f t="shared" si="0"/>
        <v>66971</v>
      </c>
    </row>
    <row r="18" spans="1:10" x14ac:dyDescent="0.2">
      <c r="A18" s="382">
        <v>2014</v>
      </c>
      <c r="B18" s="256">
        <f>+'Year End Customer'!B18</f>
        <v>50574</v>
      </c>
      <c r="C18" s="256">
        <f>+'Year End Customer'!C18</f>
        <v>3981</v>
      </c>
      <c r="D18" s="256">
        <f>+'Year End Customer'!D18</f>
        <v>505</v>
      </c>
      <c r="E18" s="256">
        <f>+'Year End Customer'!E18</f>
        <v>1</v>
      </c>
      <c r="F18" s="256">
        <f>+'Year End Customer'!F18</f>
        <v>11</v>
      </c>
      <c r="G18" s="256">
        <f>+'Year End Customer'!G18</f>
        <v>12544</v>
      </c>
      <c r="H18" s="256">
        <f>+'Year End Customer'!H18</f>
        <v>24</v>
      </c>
      <c r="I18" s="256">
        <f>+'Year End Customer'!I18</f>
        <v>296</v>
      </c>
      <c r="J18" s="257">
        <f t="shared" si="0"/>
        <v>67936</v>
      </c>
    </row>
    <row r="19" spans="1:10" x14ac:dyDescent="0.2">
      <c r="A19" s="382">
        <v>2015</v>
      </c>
      <c r="B19" s="256">
        <f>+'Year End Customer'!B19</f>
        <v>51731</v>
      </c>
      <c r="C19" s="256">
        <f>+'Year End Customer'!C19</f>
        <v>4074</v>
      </c>
      <c r="D19" s="256">
        <f>+'Year End Customer'!D19</f>
        <v>512</v>
      </c>
      <c r="E19" s="256">
        <f>+'Year End Customer'!E19</f>
        <v>1</v>
      </c>
      <c r="F19" s="256">
        <f>+'Year End Customer'!F19</f>
        <v>13</v>
      </c>
      <c r="G19" s="256">
        <f>+'Year End Customer'!G19</f>
        <v>12884</v>
      </c>
      <c r="H19" s="256">
        <f>+'Year End Customer'!H19</f>
        <v>24</v>
      </c>
      <c r="I19" s="256">
        <f>+'Year End Customer'!I19</f>
        <v>273</v>
      </c>
      <c r="J19" s="257">
        <f t="shared" si="0"/>
        <v>69512</v>
      </c>
    </row>
    <row r="20" spans="1:10" ht="13.5" thickBot="1" x14ac:dyDescent="0.25">
      <c r="A20" s="446">
        <v>2016</v>
      </c>
      <c r="B20" s="447">
        <f>+'Year End Customer'!B20</f>
        <v>52499</v>
      </c>
      <c r="C20" s="447">
        <f>+'Year End Customer'!C20</f>
        <v>4150</v>
      </c>
      <c r="D20" s="447">
        <f>+'Year End Customer'!D20</f>
        <v>521</v>
      </c>
      <c r="E20" s="447">
        <f>+'Year End Customer'!E20</f>
        <v>1</v>
      </c>
      <c r="F20" s="447">
        <f>+'Year End Customer'!F20</f>
        <v>13</v>
      </c>
      <c r="G20" s="447">
        <f>+'Year End Customer'!G20</f>
        <v>13031</v>
      </c>
      <c r="H20" s="447">
        <f>+'Year End Customer'!H20</f>
        <v>24</v>
      </c>
      <c r="I20" s="447">
        <f>+'Year End Customer'!I20</f>
        <v>274</v>
      </c>
      <c r="J20" s="448">
        <f t="shared" ref="J20" si="1">SUM(B20:I20)</f>
        <v>70513</v>
      </c>
    </row>
    <row r="21" spans="1:10" ht="13.5" thickBot="1" x14ac:dyDescent="0.25"/>
    <row r="22" spans="1:10" ht="24.75" thickBot="1" x14ac:dyDescent="0.25">
      <c r="A22" s="224" t="s">
        <v>112</v>
      </c>
      <c r="B22" s="217" t="s">
        <v>71</v>
      </c>
      <c r="C22" s="217" t="s">
        <v>235</v>
      </c>
      <c r="D22" s="217" t="s">
        <v>234</v>
      </c>
      <c r="E22" s="217" t="s">
        <v>74</v>
      </c>
      <c r="F22" s="217" t="s">
        <v>236</v>
      </c>
      <c r="G22" s="217" t="s">
        <v>237</v>
      </c>
      <c r="H22" s="217" t="s">
        <v>238</v>
      </c>
      <c r="I22" s="217" t="s">
        <v>76</v>
      </c>
      <c r="J22" s="218" t="s">
        <v>9</v>
      </c>
    </row>
    <row r="23" spans="1:10" x14ac:dyDescent="0.2">
      <c r="A23" s="244" t="s">
        <v>267</v>
      </c>
      <c r="B23" s="245"/>
      <c r="C23" s="245"/>
      <c r="D23" s="245"/>
      <c r="E23" s="245"/>
      <c r="F23" s="245"/>
      <c r="G23" s="245"/>
      <c r="H23" s="245"/>
      <c r="I23" s="245"/>
      <c r="J23" s="246"/>
    </row>
    <row r="24" spans="1:10" x14ac:dyDescent="0.2">
      <c r="A24" s="247" t="s">
        <v>114</v>
      </c>
      <c r="B24" s="222">
        <f>+B3</f>
        <v>47243</v>
      </c>
      <c r="C24" s="222">
        <f t="shared" ref="C24:I24" si="2">+C3</f>
        <v>3845</v>
      </c>
      <c r="D24" s="222">
        <f t="shared" si="2"/>
        <v>522</v>
      </c>
      <c r="E24" s="222">
        <f t="shared" si="2"/>
        <v>2</v>
      </c>
      <c r="F24" s="222">
        <f t="shared" si="2"/>
        <v>9</v>
      </c>
      <c r="G24" s="222">
        <f t="shared" si="2"/>
        <v>11650</v>
      </c>
      <c r="H24" s="222">
        <f t="shared" si="2"/>
        <v>77</v>
      </c>
      <c r="I24" s="222">
        <f t="shared" si="2"/>
        <v>305</v>
      </c>
      <c r="J24" s="229">
        <f>SUM(B24:I24)</f>
        <v>63653</v>
      </c>
    </row>
    <row r="25" spans="1:10" x14ac:dyDescent="0.2">
      <c r="A25" s="247" t="s">
        <v>226</v>
      </c>
      <c r="B25" s="222">
        <f t="shared" ref="B25:I25" si="3">+B4</f>
        <v>49919.725406979574</v>
      </c>
      <c r="C25" s="222">
        <f t="shared" si="3"/>
        <v>3961</v>
      </c>
      <c r="D25" s="222">
        <f t="shared" si="3"/>
        <v>518</v>
      </c>
      <c r="E25" s="222">
        <f t="shared" si="3"/>
        <v>1</v>
      </c>
      <c r="F25" s="222">
        <f t="shared" si="3"/>
        <v>10</v>
      </c>
      <c r="G25" s="222">
        <f t="shared" si="3"/>
        <v>12761.899782618997</v>
      </c>
      <c r="H25" s="222">
        <f t="shared" si="3"/>
        <v>22.307657589073369</v>
      </c>
      <c r="I25" s="222">
        <f t="shared" si="3"/>
        <v>313.0793844964528</v>
      </c>
      <c r="J25" s="229">
        <f>SUM(B25:I25)</f>
        <v>67507.012231684101</v>
      </c>
    </row>
    <row r="26" spans="1:10" x14ac:dyDescent="0.2">
      <c r="A26" s="241"/>
      <c r="B26" s="221"/>
      <c r="C26" s="248"/>
      <c r="D26" s="248"/>
      <c r="E26" s="248"/>
      <c r="F26" s="248"/>
      <c r="G26" s="248"/>
      <c r="H26" s="248"/>
      <c r="I26" s="248"/>
      <c r="J26" s="249"/>
    </row>
    <row r="27" spans="1:10" x14ac:dyDescent="0.2">
      <c r="A27" s="241">
        <v>2003</v>
      </c>
      <c r="B27" s="219">
        <f t="shared" ref="B27:B37" si="4">AVERAGE(B6:B7)</f>
        <v>43319.5</v>
      </c>
      <c r="C27" s="219">
        <f t="shared" ref="C27:I27" si="5">AVERAGE(C6:C7)</f>
        <v>3689</v>
      </c>
      <c r="D27" s="219">
        <f t="shared" si="5"/>
        <v>559</v>
      </c>
      <c r="E27" s="219">
        <f t="shared" si="5"/>
        <v>2.5</v>
      </c>
      <c r="F27" s="219">
        <f t="shared" si="5"/>
        <v>5</v>
      </c>
      <c r="G27" s="219">
        <f t="shared" si="5"/>
        <v>10059</v>
      </c>
      <c r="H27" s="219">
        <f t="shared" si="5"/>
        <v>34.5</v>
      </c>
      <c r="I27" s="219">
        <f t="shared" si="5"/>
        <v>292</v>
      </c>
      <c r="J27" s="250">
        <f t="shared" ref="J27:J37" si="6">SUM(B27:I27)</f>
        <v>57960.5</v>
      </c>
    </row>
    <row r="28" spans="1:10" x14ac:dyDescent="0.2">
      <c r="A28" s="242">
        <v>2004</v>
      </c>
      <c r="B28" s="219">
        <f t="shared" si="4"/>
        <v>43979.5</v>
      </c>
      <c r="C28" s="219">
        <f t="shared" ref="C28:I28" si="7">AVERAGE(C7:C8)</f>
        <v>3626.5</v>
      </c>
      <c r="D28" s="219">
        <f t="shared" si="7"/>
        <v>530</v>
      </c>
      <c r="E28" s="219">
        <f t="shared" si="7"/>
        <v>2.5</v>
      </c>
      <c r="F28" s="219">
        <f t="shared" si="7"/>
        <v>6</v>
      </c>
      <c r="G28" s="219">
        <f t="shared" si="7"/>
        <v>10262</v>
      </c>
      <c r="H28" s="219">
        <f t="shared" si="7"/>
        <v>30</v>
      </c>
      <c r="I28" s="219">
        <f t="shared" si="7"/>
        <v>294</v>
      </c>
      <c r="J28" s="250">
        <f t="shared" si="6"/>
        <v>58730.5</v>
      </c>
    </row>
    <row r="29" spans="1:10" x14ac:dyDescent="0.2">
      <c r="A29" s="241">
        <v>2005</v>
      </c>
      <c r="B29" s="219">
        <f t="shared" si="4"/>
        <v>44598.5</v>
      </c>
      <c r="C29" s="219">
        <f t="shared" ref="C29:I29" si="8">AVERAGE(C8:C9)</f>
        <v>3662</v>
      </c>
      <c r="D29" s="219">
        <f t="shared" si="8"/>
        <v>521.5</v>
      </c>
      <c r="E29" s="219">
        <f t="shared" si="8"/>
        <v>2</v>
      </c>
      <c r="F29" s="219">
        <f t="shared" si="8"/>
        <v>7.5</v>
      </c>
      <c r="G29" s="219">
        <f t="shared" si="8"/>
        <v>10498.5</v>
      </c>
      <c r="H29" s="219">
        <f t="shared" si="8"/>
        <v>29.5</v>
      </c>
      <c r="I29" s="219">
        <f t="shared" si="8"/>
        <v>295</v>
      </c>
      <c r="J29" s="250">
        <f t="shared" si="6"/>
        <v>59614.5</v>
      </c>
    </row>
    <row r="30" spans="1:10" x14ac:dyDescent="0.2">
      <c r="A30" s="242">
        <v>2006</v>
      </c>
      <c r="B30" s="219">
        <f t="shared" si="4"/>
        <v>45439</v>
      </c>
      <c r="C30" s="219">
        <f t="shared" ref="C30:I30" si="9">AVERAGE(C9:C10)</f>
        <v>3740.5</v>
      </c>
      <c r="D30" s="219">
        <f t="shared" si="9"/>
        <v>525</v>
      </c>
      <c r="E30" s="219">
        <f t="shared" si="9"/>
        <v>2</v>
      </c>
      <c r="F30" s="219">
        <f t="shared" si="9"/>
        <v>8.5</v>
      </c>
      <c r="G30" s="219">
        <f t="shared" si="9"/>
        <v>10831</v>
      </c>
      <c r="H30" s="219">
        <f t="shared" si="9"/>
        <v>28.5</v>
      </c>
      <c r="I30" s="219">
        <f t="shared" si="9"/>
        <v>298</v>
      </c>
      <c r="J30" s="250">
        <f t="shared" si="6"/>
        <v>60872.5</v>
      </c>
    </row>
    <row r="31" spans="1:10" x14ac:dyDescent="0.2">
      <c r="A31" s="241">
        <v>2007</v>
      </c>
      <c r="B31" s="219">
        <f t="shared" si="4"/>
        <v>46320</v>
      </c>
      <c r="C31" s="219">
        <f t="shared" ref="C31:I31" si="10">AVERAGE(C10:C11)</f>
        <v>3749</v>
      </c>
      <c r="D31" s="219">
        <f t="shared" si="10"/>
        <v>523</v>
      </c>
      <c r="E31" s="219">
        <f t="shared" si="10"/>
        <v>2</v>
      </c>
      <c r="F31" s="219">
        <f t="shared" si="10"/>
        <v>9</v>
      </c>
      <c r="G31" s="219">
        <f t="shared" si="10"/>
        <v>11280.5</v>
      </c>
      <c r="H31" s="219">
        <f t="shared" si="10"/>
        <v>26.5</v>
      </c>
      <c r="I31" s="219">
        <f t="shared" si="10"/>
        <v>301</v>
      </c>
      <c r="J31" s="250">
        <f t="shared" si="6"/>
        <v>62211</v>
      </c>
    </row>
    <row r="32" spans="1:10" x14ac:dyDescent="0.2">
      <c r="A32" s="242">
        <v>2008</v>
      </c>
      <c r="B32" s="219">
        <f t="shared" si="4"/>
        <v>47057.5</v>
      </c>
      <c r="C32" s="219">
        <f t="shared" ref="C32:I32" si="11">AVERAGE(C11:C12)</f>
        <v>3793.5</v>
      </c>
      <c r="D32" s="219">
        <f t="shared" si="11"/>
        <v>533.5</v>
      </c>
      <c r="E32" s="219">
        <f t="shared" si="11"/>
        <v>2.5</v>
      </c>
      <c r="F32" s="219">
        <f t="shared" si="11"/>
        <v>9</v>
      </c>
      <c r="G32" s="219">
        <f t="shared" si="11"/>
        <v>11621.5</v>
      </c>
      <c r="H32" s="219">
        <f t="shared" si="11"/>
        <v>26</v>
      </c>
      <c r="I32" s="219">
        <f t="shared" si="11"/>
        <v>301</v>
      </c>
      <c r="J32" s="250">
        <f t="shared" si="6"/>
        <v>63344.5</v>
      </c>
    </row>
    <row r="33" spans="1:10" x14ac:dyDescent="0.2">
      <c r="A33" s="241">
        <v>2009</v>
      </c>
      <c r="B33" s="219">
        <f t="shared" si="4"/>
        <v>47602.5</v>
      </c>
      <c r="C33" s="219">
        <f t="shared" ref="C33:I33" si="12">AVERAGE(C12:C13)</f>
        <v>3859.5</v>
      </c>
      <c r="D33" s="219">
        <f t="shared" si="12"/>
        <v>525</v>
      </c>
      <c r="E33" s="219">
        <f t="shared" si="12"/>
        <v>2</v>
      </c>
      <c r="F33" s="219">
        <f t="shared" si="12"/>
        <v>9.5</v>
      </c>
      <c r="G33" s="219">
        <f t="shared" si="12"/>
        <v>11801</v>
      </c>
      <c r="H33" s="219">
        <f t="shared" si="12"/>
        <v>26</v>
      </c>
      <c r="I33" s="219">
        <f t="shared" si="12"/>
        <v>302.5</v>
      </c>
      <c r="J33" s="250">
        <f t="shared" si="6"/>
        <v>64128</v>
      </c>
    </row>
    <row r="34" spans="1:10" x14ac:dyDescent="0.2">
      <c r="A34" s="242">
        <v>2010</v>
      </c>
      <c r="B34" s="219">
        <f t="shared" si="4"/>
        <v>48114.5</v>
      </c>
      <c r="C34" s="219">
        <f t="shared" ref="C34:I34" si="13">AVERAGE(C13:C14)</f>
        <v>3929</v>
      </c>
      <c r="D34" s="219">
        <f t="shared" si="13"/>
        <v>512.5</v>
      </c>
      <c r="E34" s="219">
        <f t="shared" si="13"/>
        <v>1</v>
      </c>
      <c r="F34" s="219">
        <f t="shared" si="13"/>
        <v>10</v>
      </c>
      <c r="G34" s="219">
        <f t="shared" si="13"/>
        <v>11995.5</v>
      </c>
      <c r="H34" s="219">
        <f t="shared" si="13"/>
        <v>25</v>
      </c>
      <c r="I34" s="219">
        <f t="shared" si="13"/>
        <v>306.5</v>
      </c>
      <c r="J34" s="250">
        <f t="shared" si="6"/>
        <v>64894</v>
      </c>
    </row>
    <row r="35" spans="1:10" x14ac:dyDescent="0.2">
      <c r="A35" s="242">
        <v>2011</v>
      </c>
      <c r="B35" s="219">
        <f t="shared" si="4"/>
        <v>48650.5</v>
      </c>
      <c r="C35" s="219">
        <f t="shared" ref="C35:I35" si="14">AVERAGE(C14:C15)</f>
        <v>3888.5</v>
      </c>
      <c r="D35" s="219">
        <f t="shared" si="14"/>
        <v>520.5</v>
      </c>
      <c r="E35" s="219">
        <f t="shared" si="14"/>
        <v>1</v>
      </c>
      <c r="F35" s="219">
        <f t="shared" si="14"/>
        <v>10</v>
      </c>
      <c r="G35" s="219">
        <f t="shared" si="14"/>
        <v>12127.5</v>
      </c>
      <c r="H35" s="219">
        <f t="shared" si="14"/>
        <v>24</v>
      </c>
      <c r="I35" s="219">
        <f t="shared" si="14"/>
        <v>302.5</v>
      </c>
      <c r="J35" s="250">
        <f t="shared" si="6"/>
        <v>65524.5</v>
      </c>
    </row>
    <row r="36" spans="1:10" x14ac:dyDescent="0.2">
      <c r="A36" s="242">
        <v>2012</v>
      </c>
      <c r="B36" s="219">
        <f t="shared" si="4"/>
        <v>49021</v>
      </c>
      <c r="C36" s="219">
        <f t="shared" ref="C36:I36" si="15">AVERAGE(C15:C16)</f>
        <v>3850.5</v>
      </c>
      <c r="D36" s="219">
        <f t="shared" si="15"/>
        <v>511.5</v>
      </c>
      <c r="E36" s="219">
        <f t="shared" si="15"/>
        <v>1</v>
      </c>
      <c r="F36" s="219">
        <f t="shared" si="15"/>
        <v>10.5</v>
      </c>
      <c r="G36" s="219">
        <f t="shared" si="15"/>
        <v>12213</v>
      </c>
      <c r="H36" s="219">
        <f t="shared" si="15"/>
        <v>24</v>
      </c>
      <c r="I36" s="219">
        <f t="shared" si="15"/>
        <v>295.5</v>
      </c>
      <c r="J36" s="250">
        <f t="shared" si="6"/>
        <v>65927</v>
      </c>
    </row>
    <row r="37" spans="1:10" x14ac:dyDescent="0.2">
      <c r="A37" s="382">
        <v>2013</v>
      </c>
      <c r="B37" s="256">
        <f t="shared" si="4"/>
        <v>49516</v>
      </c>
      <c r="C37" s="256">
        <f t="shared" ref="C37:I37" si="16">AVERAGE(C16:C17)</f>
        <v>3904.5</v>
      </c>
      <c r="D37" s="256">
        <f t="shared" si="16"/>
        <v>500</v>
      </c>
      <c r="E37" s="256">
        <f t="shared" si="16"/>
        <v>1</v>
      </c>
      <c r="F37" s="256">
        <f t="shared" si="16"/>
        <v>11</v>
      </c>
      <c r="G37" s="256">
        <f t="shared" si="16"/>
        <v>12332.5</v>
      </c>
      <c r="H37" s="256">
        <f t="shared" si="16"/>
        <v>24</v>
      </c>
      <c r="I37" s="256">
        <f t="shared" si="16"/>
        <v>295</v>
      </c>
      <c r="J37" s="257">
        <f t="shared" si="6"/>
        <v>66584</v>
      </c>
    </row>
    <row r="38" spans="1:10" x14ac:dyDescent="0.2">
      <c r="A38" s="382">
        <v>2014</v>
      </c>
      <c r="B38" s="256">
        <f t="shared" ref="B38:I38" si="17">AVERAGE(B17:B18)</f>
        <v>50202.5</v>
      </c>
      <c r="C38" s="256">
        <f t="shared" si="17"/>
        <v>3952.5</v>
      </c>
      <c r="D38" s="256">
        <f t="shared" si="17"/>
        <v>502.5</v>
      </c>
      <c r="E38" s="256">
        <f t="shared" si="17"/>
        <v>1</v>
      </c>
      <c r="F38" s="256">
        <f t="shared" si="17"/>
        <v>11</v>
      </c>
      <c r="G38" s="256">
        <f t="shared" si="17"/>
        <v>12464.5</v>
      </c>
      <c r="H38" s="256">
        <f t="shared" si="17"/>
        <v>24</v>
      </c>
      <c r="I38" s="256">
        <f t="shared" si="17"/>
        <v>295.5</v>
      </c>
      <c r="J38" s="257">
        <f t="shared" ref="J38:J39" si="18">SUM(B38:I38)</f>
        <v>67453.5</v>
      </c>
    </row>
    <row r="39" spans="1:10" x14ac:dyDescent="0.2">
      <c r="A39" s="382">
        <v>2015</v>
      </c>
      <c r="B39" s="256">
        <f t="shared" ref="B39:I40" si="19">AVERAGE(B18:B19)</f>
        <v>51152.5</v>
      </c>
      <c r="C39" s="256">
        <f t="shared" si="19"/>
        <v>4027.5</v>
      </c>
      <c r="D39" s="256">
        <f t="shared" si="19"/>
        <v>508.5</v>
      </c>
      <c r="E39" s="256">
        <f t="shared" si="19"/>
        <v>1</v>
      </c>
      <c r="F39" s="256">
        <f t="shared" si="19"/>
        <v>12</v>
      </c>
      <c r="G39" s="256">
        <f t="shared" si="19"/>
        <v>12714</v>
      </c>
      <c r="H39" s="256">
        <f t="shared" si="19"/>
        <v>24</v>
      </c>
      <c r="I39" s="256">
        <f t="shared" si="19"/>
        <v>284.5</v>
      </c>
      <c r="J39" s="257">
        <f t="shared" si="18"/>
        <v>68724</v>
      </c>
    </row>
    <row r="40" spans="1:10" ht="13.5" thickBot="1" x14ac:dyDescent="0.25">
      <c r="A40" s="243">
        <v>2016</v>
      </c>
      <c r="B40" s="232">
        <f t="shared" si="19"/>
        <v>52115</v>
      </c>
      <c r="C40" s="232">
        <f t="shared" si="19"/>
        <v>4112</v>
      </c>
      <c r="D40" s="232">
        <f t="shared" si="19"/>
        <v>516.5</v>
      </c>
      <c r="E40" s="232">
        <f t="shared" si="19"/>
        <v>1</v>
      </c>
      <c r="F40" s="232">
        <f t="shared" si="19"/>
        <v>13</v>
      </c>
      <c r="G40" s="232">
        <f t="shared" si="19"/>
        <v>12957.5</v>
      </c>
      <c r="H40" s="232">
        <f t="shared" si="19"/>
        <v>24</v>
      </c>
      <c r="I40" s="232">
        <f t="shared" si="19"/>
        <v>273.5</v>
      </c>
      <c r="J40" s="251">
        <f t="shared" ref="J40" si="20">SUM(B40:I40)</f>
        <v>70012.5</v>
      </c>
    </row>
    <row r="41" spans="1:10" ht="13.5" thickBot="1" x14ac:dyDescent="0.25"/>
    <row r="42" spans="1:10" ht="24.75" thickBot="1" x14ac:dyDescent="0.25">
      <c r="A42" s="224" t="s">
        <v>112</v>
      </c>
      <c r="B42" s="217" t="s">
        <v>71</v>
      </c>
      <c r="C42" s="217" t="s">
        <v>235</v>
      </c>
      <c r="D42" s="217" t="s">
        <v>234</v>
      </c>
      <c r="E42" s="217" t="s">
        <v>74</v>
      </c>
      <c r="F42" s="217" t="s">
        <v>236</v>
      </c>
      <c r="G42" s="217" t="s">
        <v>237</v>
      </c>
      <c r="H42" s="217" t="s">
        <v>238</v>
      </c>
      <c r="I42" s="217" t="s">
        <v>76</v>
      </c>
      <c r="J42" s="218" t="s">
        <v>9</v>
      </c>
    </row>
    <row r="43" spans="1:10" x14ac:dyDescent="0.2">
      <c r="A43" s="252" t="s">
        <v>242</v>
      </c>
      <c r="B43" s="223">
        <f>+'Rate Class Customer Model'!B40</f>
        <v>1.014320799834534</v>
      </c>
      <c r="C43" s="223">
        <f>+'Rate Class Customer Model'!C40</f>
        <v>1.0083852772523911</v>
      </c>
      <c r="D43" s="223">
        <f>+'Rate Class Customer Model'!D40</f>
        <v>1</v>
      </c>
      <c r="E43" s="223">
        <f>+'Rate Class Customer Model'!E40</f>
        <v>1</v>
      </c>
      <c r="F43" s="223">
        <f>+'Rate Class Customer Model'!F40</f>
        <v>1</v>
      </c>
      <c r="G43" s="223">
        <f>+'Rate Class Customer Model'!G40</f>
        <v>1.0196683860160085</v>
      </c>
      <c r="H43" s="223">
        <f>+'Rate Class Customer Model'!H40</f>
        <v>0.972470238340299</v>
      </c>
      <c r="I43" s="223">
        <f>+'Rate Class Customer Model'!I40</f>
        <v>0.99497787016789352</v>
      </c>
      <c r="J43" s="253">
        <f>+'Rate Class Customer Model'!J40</f>
        <v>1.0146377948290994</v>
      </c>
    </row>
    <row r="44" spans="1:10" ht="13.5" thickBot="1" x14ac:dyDescent="0.25">
      <c r="A44" s="254" t="s">
        <v>240</v>
      </c>
      <c r="B44" s="240">
        <f>+'Rate Class Customer Model'!B42</f>
        <v>1.014320799834534</v>
      </c>
      <c r="C44" s="240">
        <f>+'Rate Class Customer Model'!C42</f>
        <v>1.0083852772523911</v>
      </c>
      <c r="D44" s="240">
        <f>+'Rate Class Customer Model'!D42</f>
        <v>0.99393583215612558</v>
      </c>
      <c r="E44" s="240">
        <f>+'Rate Class Customer Model'!E42</f>
        <v>0.93194274139819844</v>
      </c>
      <c r="F44" s="240">
        <f>+'Rate Class Customer Model'!F42</f>
        <v>1.0762694842048421</v>
      </c>
      <c r="G44" s="240">
        <f>+'Rate Class Customer Model'!G42</f>
        <v>1.0196683860160085</v>
      </c>
      <c r="H44" s="240">
        <f>+'Rate Class Customer Model'!H42</f>
        <v>0.972470238340299</v>
      </c>
      <c r="I44" s="240">
        <f>+'Rate Class Customer Model'!I42</f>
        <v>0.99497787016789352</v>
      </c>
      <c r="J44" s="255">
        <f>+'Rate Class Customer Model'!J42</f>
        <v>1.0146377948290994</v>
      </c>
    </row>
    <row r="45" spans="1:10" ht="13.5" thickBot="1" x14ac:dyDescent="0.25"/>
    <row r="46" spans="1:10" ht="24.75" thickBot="1" x14ac:dyDescent="0.25">
      <c r="A46" s="224" t="s">
        <v>112</v>
      </c>
      <c r="B46" s="217" t="s">
        <v>71</v>
      </c>
      <c r="C46" s="217" t="s">
        <v>235</v>
      </c>
      <c r="D46" s="217" t="s">
        <v>234</v>
      </c>
      <c r="E46" s="217" t="s">
        <v>74</v>
      </c>
      <c r="F46" s="217" t="s">
        <v>236</v>
      </c>
      <c r="G46" s="217" t="s">
        <v>237</v>
      </c>
      <c r="H46" s="217" t="s">
        <v>238</v>
      </c>
      <c r="I46" s="217" t="s">
        <v>76</v>
      </c>
      <c r="J46" s="218" t="s">
        <v>9</v>
      </c>
    </row>
    <row r="47" spans="1:10" x14ac:dyDescent="0.2">
      <c r="A47" s="244" t="s">
        <v>243</v>
      </c>
      <c r="B47" s="245"/>
      <c r="C47" s="245"/>
      <c r="D47" s="245"/>
      <c r="E47" s="245"/>
      <c r="F47" s="245"/>
      <c r="G47" s="245"/>
      <c r="H47" s="245"/>
      <c r="I47" s="245"/>
      <c r="J47" s="246"/>
    </row>
    <row r="48" spans="1:10" x14ac:dyDescent="0.2">
      <c r="A48" s="247" t="s">
        <v>114</v>
      </c>
      <c r="B48" s="222">
        <f>+B24</f>
        <v>47243</v>
      </c>
      <c r="C48" s="222">
        <f t="shared" ref="C48:I48" si="21">+C24</f>
        <v>3845</v>
      </c>
      <c r="D48" s="222">
        <f t="shared" si="21"/>
        <v>522</v>
      </c>
      <c r="E48" s="222">
        <f t="shared" si="21"/>
        <v>2</v>
      </c>
      <c r="F48" s="222">
        <f t="shared" si="21"/>
        <v>9</v>
      </c>
      <c r="G48" s="222">
        <f t="shared" si="21"/>
        <v>11650</v>
      </c>
      <c r="H48" s="222">
        <f t="shared" si="21"/>
        <v>77</v>
      </c>
      <c r="I48" s="222">
        <f t="shared" si="21"/>
        <v>305</v>
      </c>
      <c r="J48" s="229">
        <f>SUM(B48:I48)</f>
        <v>63653</v>
      </c>
    </row>
    <row r="49" spans="1:12" x14ac:dyDescent="0.2">
      <c r="A49" s="247" t="s">
        <v>226</v>
      </c>
      <c r="B49" s="222">
        <f>+B25</f>
        <v>49919.725406979574</v>
      </c>
      <c r="C49" s="222">
        <f t="shared" ref="C49:I49" si="22">+C25</f>
        <v>3961</v>
      </c>
      <c r="D49" s="222">
        <f t="shared" si="22"/>
        <v>518</v>
      </c>
      <c r="E49" s="222">
        <f t="shared" si="22"/>
        <v>1</v>
      </c>
      <c r="F49" s="222">
        <f t="shared" si="22"/>
        <v>10</v>
      </c>
      <c r="G49" s="222">
        <f t="shared" si="22"/>
        <v>12761.899782618997</v>
      </c>
      <c r="H49" s="222">
        <f t="shared" si="22"/>
        <v>22.307657589073369</v>
      </c>
      <c r="I49" s="222">
        <f t="shared" si="22"/>
        <v>313.0793844964528</v>
      </c>
      <c r="J49" s="229">
        <f>SUM(B49:I49)</f>
        <v>67507.012231684101</v>
      </c>
    </row>
    <row r="50" spans="1:12" x14ac:dyDescent="0.2">
      <c r="A50" s="241"/>
      <c r="B50" s="221"/>
      <c r="C50" s="248"/>
      <c r="D50" s="248"/>
      <c r="E50" s="248"/>
      <c r="F50" s="248"/>
      <c r="G50" s="248"/>
      <c r="H50" s="248"/>
      <c r="I50" s="248"/>
      <c r="J50" s="249"/>
    </row>
    <row r="51" spans="1:12" x14ac:dyDescent="0.2">
      <c r="A51" s="242">
        <v>2014</v>
      </c>
      <c r="B51" s="219">
        <f>+B38</f>
        <v>50202.5</v>
      </c>
      <c r="C51" s="219">
        <f t="shared" ref="C51:I51" si="23">+C38</f>
        <v>3952.5</v>
      </c>
      <c r="D51" s="219">
        <f t="shared" si="23"/>
        <v>502.5</v>
      </c>
      <c r="E51" s="219">
        <f t="shared" si="23"/>
        <v>1</v>
      </c>
      <c r="F51" s="219">
        <f t="shared" si="23"/>
        <v>11</v>
      </c>
      <c r="G51" s="219">
        <f t="shared" si="23"/>
        <v>12464.5</v>
      </c>
      <c r="H51" s="219">
        <f t="shared" si="23"/>
        <v>24</v>
      </c>
      <c r="I51" s="219">
        <f t="shared" si="23"/>
        <v>295.5</v>
      </c>
      <c r="J51" s="250">
        <f>SUM(B51:I51)</f>
        <v>67453.5</v>
      </c>
    </row>
    <row r="52" spans="1:12" x14ac:dyDescent="0.2">
      <c r="A52" s="242">
        <v>2015</v>
      </c>
      <c r="B52" s="219">
        <f t="shared" ref="B52:B53" si="24">+B39</f>
        <v>51152.5</v>
      </c>
      <c r="C52" s="219">
        <f t="shared" ref="C52:I52" si="25">+C39</f>
        <v>4027.5</v>
      </c>
      <c r="D52" s="219">
        <f t="shared" si="25"/>
        <v>508.5</v>
      </c>
      <c r="E52" s="219">
        <f t="shared" si="25"/>
        <v>1</v>
      </c>
      <c r="F52" s="219">
        <f t="shared" si="25"/>
        <v>12</v>
      </c>
      <c r="G52" s="219">
        <f t="shared" si="25"/>
        <v>12714</v>
      </c>
      <c r="H52" s="219">
        <f t="shared" si="25"/>
        <v>24</v>
      </c>
      <c r="I52" s="219">
        <f t="shared" si="25"/>
        <v>284.5</v>
      </c>
      <c r="J52" s="250">
        <f t="shared" ref="J52:J56" si="26">SUM(B52:I52)</f>
        <v>68724</v>
      </c>
    </row>
    <row r="53" spans="1:12" x14ac:dyDescent="0.2">
      <c r="A53" s="242">
        <v>2016</v>
      </c>
      <c r="B53" s="219">
        <f t="shared" si="24"/>
        <v>52115</v>
      </c>
      <c r="C53" s="219">
        <f t="shared" ref="C53:I53" si="27">+C40</f>
        <v>4112</v>
      </c>
      <c r="D53" s="219">
        <f t="shared" si="27"/>
        <v>516.5</v>
      </c>
      <c r="E53" s="219">
        <f t="shared" si="27"/>
        <v>1</v>
      </c>
      <c r="F53" s="219">
        <f t="shared" si="27"/>
        <v>13</v>
      </c>
      <c r="G53" s="219">
        <f t="shared" si="27"/>
        <v>12957.5</v>
      </c>
      <c r="H53" s="219">
        <f t="shared" si="27"/>
        <v>24</v>
      </c>
      <c r="I53" s="219">
        <f t="shared" si="27"/>
        <v>273.5</v>
      </c>
      <c r="J53" s="250">
        <f t="shared" si="26"/>
        <v>70012.5</v>
      </c>
    </row>
    <row r="54" spans="1:12" x14ac:dyDescent="0.2">
      <c r="A54" s="242" t="s">
        <v>348</v>
      </c>
      <c r="B54" s="219">
        <f t="shared" ref="B54:B56" si="28">+B53*B$43</f>
        <v>52861.328483376739</v>
      </c>
      <c r="C54" s="219">
        <f t="shared" ref="C54:I56" si="29">+C53*C$43</f>
        <v>4146.4802600618323</v>
      </c>
      <c r="D54" s="219">
        <f t="shared" si="29"/>
        <v>516.5</v>
      </c>
      <c r="E54" s="219">
        <f t="shared" si="29"/>
        <v>1</v>
      </c>
      <c r="F54" s="219">
        <f t="shared" si="29"/>
        <v>13</v>
      </c>
      <c r="G54" s="219">
        <f t="shared" si="29"/>
        <v>13212.353111802431</v>
      </c>
      <c r="H54" s="219">
        <f t="shared" si="29"/>
        <v>23.339285720167176</v>
      </c>
      <c r="I54" s="219">
        <f t="shared" si="29"/>
        <v>272.12644749091885</v>
      </c>
      <c r="J54" s="250">
        <f t="shared" si="26"/>
        <v>71046.127588452102</v>
      </c>
    </row>
    <row r="55" spans="1:12" x14ac:dyDescent="0.2">
      <c r="A55" s="242" t="s">
        <v>295</v>
      </c>
      <c r="B55" s="219">
        <f t="shared" si="28"/>
        <v>53618.344987574732</v>
      </c>
      <c r="C55" s="219">
        <f t="shared" si="29"/>
        <v>4181.2496466640177</v>
      </c>
      <c r="D55" s="219">
        <f t="shared" si="29"/>
        <v>516.5</v>
      </c>
      <c r="E55" s="219">
        <f t="shared" si="29"/>
        <v>1</v>
      </c>
      <c r="F55" s="219">
        <f t="shared" si="29"/>
        <v>13</v>
      </c>
      <c r="G55" s="219">
        <f>+G54*G$43</f>
        <v>13472.218772985172</v>
      </c>
      <c r="H55" s="219">
        <f t="shared" si="29"/>
        <v>22.696760746983312</v>
      </c>
      <c r="I55" s="219">
        <f t="shared" si="29"/>
        <v>270.75979314086953</v>
      </c>
      <c r="J55" s="250">
        <f t="shared" si="26"/>
        <v>72095.769961111771</v>
      </c>
      <c r="L55" s="31"/>
    </row>
    <row r="56" spans="1:12" ht="13.5" thickBot="1" x14ac:dyDescent="0.25">
      <c r="A56" s="243" t="s">
        <v>296</v>
      </c>
      <c r="B56" s="232">
        <f t="shared" si="28"/>
        <v>54386.202573600778</v>
      </c>
      <c r="C56" s="232">
        <f t="shared" si="29"/>
        <v>4216.3105842127579</v>
      </c>
      <c r="D56" s="232">
        <f t="shared" si="29"/>
        <v>516.5</v>
      </c>
      <c r="E56" s="232">
        <f t="shared" si="29"/>
        <v>1</v>
      </c>
      <c r="F56" s="232">
        <f t="shared" si="29"/>
        <v>13</v>
      </c>
      <c r="G56" s="232">
        <f t="shared" si="29"/>
        <v>13737.195572304361</v>
      </c>
      <c r="H56" s="232">
        <f t="shared" si="29"/>
        <v>22.071924333171605</v>
      </c>
      <c r="I56" s="232">
        <f t="shared" si="29"/>
        <v>269.4000023064018</v>
      </c>
      <c r="J56" s="251">
        <f t="shared" si="26"/>
        <v>73161.680656757468</v>
      </c>
      <c r="L56" s="31"/>
    </row>
    <row r="57" spans="1:12" ht="13.5" thickBot="1" x14ac:dyDescent="0.25"/>
    <row r="58" spans="1:12" ht="24.75" thickBot="1" x14ac:dyDescent="0.25">
      <c r="A58" s="423" t="s">
        <v>112</v>
      </c>
      <c r="B58" s="424" t="s">
        <v>71</v>
      </c>
      <c r="C58" s="424" t="s">
        <v>235</v>
      </c>
      <c r="D58" s="424" t="s">
        <v>234</v>
      </c>
      <c r="E58" s="424" t="s">
        <v>74</v>
      </c>
      <c r="F58" s="424" t="s">
        <v>236</v>
      </c>
      <c r="G58" s="424" t="s">
        <v>237</v>
      </c>
      <c r="H58" s="424" t="s">
        <v>238</v>
      </c>
      <c r="I58" s="424" t="s">
        <v>76</v>
      </c>
      <c r="J58" s="425" t="s">
        <v>9</v>
      </c>
      <c r="K58" s="45" t="s">
        <v>335</v>
      </c>
      <c r="L58" s="31"/>
    </row>
    <row r="59" spans="1:12" x14ac:dyDescent="0.2">
      <c r="A59" s="426" t="s">
        <v>330</v>
      </c>
      <c r="B59" s="427"/>
      <c r="C59" s="427"/>
      <c r="D59" s="427"/>
      <c r="E59" s="427"/>
      <c r="F59" s="427"/>
      <c r="G59" s="427"/>
      <c r="H59" s="427"/>
      <c r="I59" s="427"/>
      <c r="J59" s="428"/>
      <c r="K59" s="45" t="s">
        <v>336</v>
      </c>
      <c r="L59" s="31"/>
    </row>
    <row r="60" spans="1:12" x14ac:dyDescent="0.2">
      <c r="A60" s="429">
        <v>2014</v>
      </c>
      <c r="B60" s="430">
        <f>+B51</f>
        <v>50202.5</v>
      </c>
      <c r="C60" s="430">
        <f t="shared" ref="C60:I60" si="30">+C51</f>
        <v>3952.5</v>
      </c>
      <c r="D60" s="430">
        <f t="shared" si="30"/>
        <v>502.5</v>
      </c>
      <c r="E60" s="430">
        <f t="shared" si="30"/>
        <v>1</v>
      </c>
      <c r="F60" s="430">
        <f t="shared" si="30"/>
        <v>11</v>
      </c>
      <c r="G60" s="430">
        <f t="shared" si="30"/>
        <v>12464.5</v>
      </c>
      <c r="H60" s="430">
        <f t="shared" si="30"/>
        <v>24</v>
      </c>
      <c r="I60" s="430">
        <f t="shared" si="30"/>
        <v>295.5</v>
      </c>
      <c r="J60" s="431">
        <f t="shared" ref="J60:J65" si="31">SUM(B60:I60)</f>
        <v>67453.5</v>
      </c>
      <c r="K60" s="31"/>
      <c r="L60" s="31"/>
    </row>
    <row r="61" spans="1:12" x14ac:dyDescent="0.2">
      <c r="A61" s="429">
        <v>2015</v>
      </c>
      <c r="B61" s="430">
        <f>+B52</f>
        <v>51152.5</v>
      </c>
      <c r="C61" s="430">
        <f t="shared" ref="C61:I61" si="32">+C52</f>
        <v>4027.5</v>
      </c>
      <c r="D61" s="430">
        <f t="shared" si="32"/>
        <v>508.5</v>
      </c>
      <c r="E61" s="430">
        <f t="shared" si="32"/>
        <v>1</v>
      </c>
      <c r="F61" s="430">
        <f t="shared" si="32"/>
        <v>12</v>
      </c>
      <c r="G61" s="430">
        <f t="shared" si="32"/>
        <v>12714</v>
      </c>
      <c r="H61" s="430">
        <f t="shared" si="32"/>
        <v>24</v>
      </c>
      <c r="I61" s="430">
        <f t="shared" si="32"/>
        <v>284.5</v>
      </c>
      <c r="J61" s="431">
        <f t="shared" si="31"/>
        <v>68724</v>
      </c>
      <c r="K61" s="31"/>
      <c r="L61" s="31"/>
    </row>
    <row r="62" spans="1:12" x14ac:dyDescent="0.2">
      <c r="A62" s="429">
        <v>2016</v>
      </c>
      <c r="B62" s="430">
        <f t="shared" ref="B62:I65" si="33">+B53</f>
        <v>52115</v>
      </c>
      <c r="C62" s="430">
        <f t="shared" si="33"/>
        <v>4112</v>
      </c>
      <c r="D62" s="430">
        <f t="shared" si="33"/>
        <v>516.5</v>
      </c>
      <c r="E62" s="430">
        <f t="shared" si="33"/>
        <v>1</v>
      </c>
      <c r="F62" s="430">
        <f t="shared" si="33"/>
        <v>13</v>
      </c>
      <c r="G62" s="430">
        <f t="shared" si="33"/>
        <v>12957.5</v>
      </c>
      <c r="H62" s="430">
        <f t="shared" si="33"/>
        <v>24</v>
      </c>
      <c r="I62" s="430">
        <f t="shared" si="33"/>
        <v>273.5</v>
      </c>
      <c r="J62" s="431">
        <f t="shared" si="31"/>
        <v>70012.5</v>
      </c>
      <c r="K62" s="31"/>
      <c r="L62" s="31"/>
    </row>
    <row r="63" spans="1:12" x14ac:dyDescent="0.2">
      <c r="A63" s="429" t="s">
        <v>348</v>
      </c>
      <c r="B63" s="430">
        <f t="shared" si="33"/>
        <v>52861.328483376739</v>
      </c>
      <c r="C63" s="430">
        <f t="shared" si="33"/>
        <v>4146.4802600618323</v>
      </c>
      <c r="D63" s="430">
        <f t="shared" si="33"/>
        <v>516.5</v>
      </c>
      <c r="E63" s="430">
        <f t="shared" si="33"/>
        <v>1</v>
      </c>
      <c r="F63" s="430">
        <f t="shared" si="33"/>
        <v>13</v>
      </c>
      <c r="G63" s="430">
        <f t="shared" si="33"/>
        <v>13212.353111802431</v>
      </c>
      <c r="H63" s="430">
        <f t="shared" si="33"/>
        <v>23.339285720167176</v>
      </c>
      <c r="I63" s="430">
        <f t="shared" si="33"/>
        <v>272.12644749091885</v>
      </c>
      <c r="J63" s="431">
        <f t="shared" si="31"/>
        <v>71046.127588452102</v>
      </c>
      <c r="K63" s="31"/>
      <c r="L63" s="31"/>
    </row>
    <row r="64" spans="1:12" x14ac:dyDescent="0.2">
      <c r="A64" s="429" t="s">
        <v>349</v>
      </c>
      <c r="B64" s="430">
        <f t="shared" ref="B64:D65" si="34">+B63*1.018</f>
        <v>53812.832396077523</v>
      </c>
      <c r="C64" s="430">
        <f t="shared" si="34"/>
        <v>4221.1169047429457</v>
      </c>
      <c r="D64" s="430">
        <f t="shared" si="34"/>
        <v>525.79700000000003</v>
      </c>
      <c r="E64" s="430">
        <f t="shared" si="33"/>
        <v>1</v>
      </c>
      <c r="F64" s="430">
        <f>+F63*1.018</f>
        <v>13.234</v>
      </c>
      <c r="G64" s="430">
        <f>+G55</f>
        <v>13472.218772985172</v>
      </c>
      <c r="H64" s="430">
        <f t="shared" si="33"/>
        <v>22.696760746983312</v>
      </c>
      <c r="I64" s="430">
        <f t="shared" si="33"/>
        <v>270.75979314086953</v>
      </c>
      <c r="J64" s="431">
        <f t="shared" si="31"/>
        <v>72339.655627693486</v>
      </c>
      <c r="K64" s="31"/>
      <c r="L64" s="31"/>
    </row>
    <row r="65" spans="1:12" ht="13.5" thickBot="1" x14ac:dyDescent="0.25">
      <c r="A65" s="432" t="s">
        <v>350</v>
      </c>
      <c r="B65" s="433">
        <f t="shared" si="34"/>
        <v>54781.463379206922</v>
      </c>
      <c r="C65" s="433">
        <f t="shared" si="34"/>
        <v>4297.097009028319</v>
      </c>
      <c r="D65" s="433">
        <f t="shared" si="34"/>
        <v>535.261346</v>
      </c>
      <c r="E65" s="433">
        <f t="shared" si="33"/>
        <v>1</v>
      </c>
      <c r="F65" s="433">
        <f>+F64+1</f>
        <v>14.234</v>
      </c>
      <c r="G65" s="433">
        <f>+G56</f>
        <v>13737.195572304361</v>
      </c>
      <c r="H65" s="433">
        <f t="shared" si="33"/>
        <v>22.071924333171605</v>
      </c>
      <c r="I65" s="433">
        <f t="shared" si="33"/>
        <v>269.4000023064018</v>
      </c>
      <c r="J65" s="434">
        <f t="shared" si="31"/>
        <v>73657.723233179175</v>
      </c>
      <c r="K65" s="31"/>
      <c r="L65" s="31"/>
    </row>
    <row r="66" spans="1:12" ht="13.5" thickBot="1" x14ac:dyDescent="0.25"/>
    <row r="67" spans="1:12" ht="24.75" thickBot="1" x14ac:dyDescent="0.25">
      <c r="A67" s="224" t="s">
        <v>112</v>
      </c>
      <c r="B67" s="217" t="s">
        <v>71</v>
      </c>
      <c r="C67" s="217" t="s">
        <v>235</v>
      </c>
      <c r="D67" s="217" t="s">
        <v>234</v>
      </c>
      <c r="E67" s="217" t="s">
        <v>74</v>
      </c>
      <c r="F67" s="217" t="s">
        <v>236</v>
      </c>
      <c r="G67" s="217" t="s">
        <v>237</v>
      </c>
      <c r="H67" s="217" t="s">
        <v>238</v>
      </c>
      <c r="I67" s="217" t="s">
        <v>76</v>
      </c>
      <c r="J67" s="218" t="s">
        <v>9</v>
      </c>
    </row>
    <row r="68" spans="1:12" x14ac:dyDescent="0.2">
      <c r="A68" s="244" t="s">
        <v>330</v>
      </c>
      <c r="B68" s="245"/>
      <c r="C68" s="245"/>
      <c r="D68" s="245"/>
      <c r="E68" s="245"/>
      <c r="F68" s="245"/>
      <c r="G68" s="245"/>
      <c r="H68" s="245"/>
      <c r="I68" s="245"/>
      <c r="J68" s="246"/>
    </row>
    <row r="69" spans="1:12" x14ac:dyDescent="0.2">
      <c r="A69" s="242" t="s">
        <v>291</v>
      </c>
      <c r="B69" s="219">
        <f t="shared" ref="B69:I74" si="35">ROUND(+B60-B51,1)</f>
        <v>0</v>
      </c>
      <c r="C69" s="219">
        <f t="shared" si="35"/>
        <v>0</v>
      </c>
      <c r="D69" s="219">
        <f t="shared" si="35"/>
        <v>0</v>
      </c>
      <c r="E69" s="219">
        <f t="shared" si="35"/>
        <v>0</v>
      </c>
      <c r="F69" s="219">
        <f t="shared" si="35"/>
        <v>0</v>
      </c>
      <c r="G69" s="219">
        <f t="shared" si="35"/>
        <v>0</v>
      </c>
      <c r="H69" s="219">
        <f t="shared" si="35"/>
        <v>0</v>
      </c>
      <c r="I69" s="219">
        <f t="shared" si="35"/>
        <v>0</v>
      </c>
      <c r="J69" s="250">
        <f t="shared" ref="J69:J74" si="36">SUM(B69:I69)</f>
        <v>0</v>
      </c>
    </row>
    <row r="70" spans="1:12" x14ac:dyDescent="0.2">
      <c r="A70" s="242" t="s">
        <v>292</v>
      </c>
      <c r="B70" s="219">
        <f t="shared" si="35"/>
        <v>0</v>
      </c>
      <c r="C70" s="219">
        <f t="shared" si="35"/>
        <v>0</v>
      </c>
      <c r="D70" s="219">
        <f t="shared" si="35"/>
        <v>0</v>
      </c>
      <c r="E70" s="219">
        <f t="shared" si="35"/>
        <v>0</v>
      </c>
      <c r="F70" s="219">
        <f t="shared" si="35"/>
        <v>0</v>
      </c>
      <c r="G70" s="219">
        <f t="shared" si="35"/>
        <v>0</v>
      </c>
      <c r="H70" s="219">
        <f t="shared" si="35"/>
        <v>0</v>
      </c>
      <c r="I70" s="219">
        <f t="shared" si="35"/>
        <v>0</v>
      </c>
      <c r="J70" s="250">
        <f t="shared" si="36"/>
        <v>0</v>
      </c>
    </row>
    <row r="71" spans="1:12" x14ac:dyDescent="0.2">
      <c r="A71" s="242" t="s">
        <v>293</v>
      </c>
      <c r="B71" s="219">
        <f t="shared" si="35"/>
        <v>0</v>
      </c>
      <c r="C71" s="219">
        <f t="shared" si="35"/>
        <v>0</v>
      </c>
      <c r="D71" s="219">
        <f t="shared" si="35"/>
        <v>0</v>
      </c>
      <c r="E71" s="219">
        <f t="shared" si="35"/>
        <v>0</v>
      </c>
      <c r="F71" s="219">
        <f t="shared" si="35"/>
        <v>0</v>
      </c>
      <c r="G71" s="219">
        <f t="shared" si="35"/>
        <v>0</v>
      </c>
      <c r="H71" s="219">
        <f t="shared" si="35"/>
        <v>0</v>
      </c>
      <c r="I71" s="219">
        <f t="shared" si="35"/>
        <v>0</v>
      </c>
      <c r="J71" s="250">
        <f t="shared" si="36"/>
        <v>0</v>
      </c>
    </row>
    <row r="72" spans="1:12" x14ac:dyDescent="0.2">
      <c r="A72" s="242" t="s">
        <v>294</v>
      </c>
      <c r="B72" s="219">
        <f t="shared" si="35"/>
        <v>0</v>
      </c>
      <c r="C72" s="219">
        <f t="shared" si="35"/>
        <v>0</v>
      </c>
      <c r="D72" s="219">
        <f t="shared" si="35"/>
        <v>0</v>
      </c>
      <c r="E72" s="219">
        <f t="shared" si="35"/>
        <v>0</v>
      </c>
      <c r="F72" s="219">
        <f t="shared" si="35"/>
        <v>0</v>
      </c>
      <c r="G72" s="219">
        <f t="shared" si="35"/>
        <v>0</v>
      </c>
      <c r="H72" s="219">
        <f t="shared" si="35"/>
        <v>0</v>
      </c>
      <c r="I72" s="219">
        <f t="shared" si="35"/>
        <v>0</v>
      </c>
      <c r="J72" s="250">
        <f t="shared" si="36"/>
        <v>0</v>
      </c>
    </row>
    <row r="73" spans="1:12" x14ac:dyDescent="0.2">
      <c r="A73" s="242" t="s">
        <v>295</v>
      </c>
      <c r="B73" s="219">
        <f t="shared" si="35"/>
        <v>194.5</v>
      </c>
      <c r="C73" s="219">
        <f t="shared" si="35"/>
        <v>39.9</v>
      </c>
      <c r="D73" s="219">
        <f t="shared" si="35"/>
        <v>9.3000000000000007</v>
      </c>
      <c r="E73" s="219">
        <f t="shared" si="35"/>
        <v>0</v>
      </c>
      <c r="F73" s="219">
        <f t="shared" si="35"/>
        <v>0.2</v>
      </c>
      <c r="G73" s="219">
        <f t="shared" si="35"/>
        <v>0</v>
      </c>
      <c r="H73" s="219">
        <f t="shared" si="35"/>
        <v>0</v>
      </c>
      <c r="I73" s="219">
        <f t="shared" si="35"/>
        <v>0</v>
      </c>
      <c r="J73" s="250">
        <f t="shared" si="36"/>
        <v>243.9</v>
      </c>
    </row>
    <row r="74" spans="1:12" ht="13.5" thickBot="1" x14ac:dyDescent="0.25">
      <c r="A74" s="243" t="s">
        <v>296</v>
      </c>
      <c r="B74" s="232">
        <f t="shared" si="35"/>
        <v>395.3</v>
      </c>
      <c r="C74" s="232">
        <f t="shared" si="35"/>
        <v>80.8</v>
      </c>
      <c r="D74" s="232">
        <f t="shared" si="35"/>
        <v>18.8</v>
      </c>
      <c r="E74" s="232">
        <f t="shared" si="35"/>
        <v>0</v>
      </c>
      <c r="F74" s="232">
        <f t="shared" si="35"/>
        <v>1.2</v>
      </c>
      <c r="G74" s="232">
        <f t="shared" si="35"/>
        <v>0</v>
      </c>
      <c r="H74" s="232">
        <f t="shared" si="35"/>
        <v>0</v>
      </c>
      <c r="I74" s="232">
        <f t="shared" si="35"/>
        <v>0</v>
      </c>
      <c r="J74" s="251">
        <f t="shared" si="36"/>
        <v>496.1</v>
      </c>
    </row>
    <row r="75" spans="1:12" ht="13.5" thickBot="1" x14ac:dyDescent="0.25"/>
    <row r="76" spans="1:12" ht="24.75" thickBot="1" x14ac:dyDescent="0.25">
      <c r="A76" s="224" t="s">
        <v>112</v>
      </c>
      <c r="B76" s="217" t="s">
        <v>71</v>
      </c>
      <c r="C76" s="217" t="s">
        <v>235</v>
      </c>
      <c r="D76" s="217" t="s">
        <v>234</v>
      </c>
      <c r="E76" s="217" t="s">
        <v>74</v>
      </c>
      <c r="F76" s="217" t="s">
        <v>236</v>
      </c>
      <c r="G76" s="217" t="s">
        <v>237</v>
      </c>
      <c r="H76" s="217" t="s">
        <v>238</v>
      </c>
      <c r="I76" s="217" t="s">
        <v>76</v>
      </c>
      <c r="J76" s="218" t="s">
        <v>9</v>
      </c>
    </row>
    <row r="77" spans="1:12" x14ac:dyDescent="0.2">
      <c r="A77" s="244" t="s">
        <v>278</v>
      </c>
      <c r="B77" s="245"/>
      <c r="C77" s="245"/>
      <c r="D77" s="245"/>
      <c r="E77" s="245"/>
      <c r="F77" s="245"/>
      <c r="G77" s="245"/>
      <c r="H77" s="245"/>
      <c r="I77" s="245"/>
      <c r="J77" s="246"/>
    </row>
    <row r="78" spans="1:12" x14ac:dyDescent="0.2">
      <c r="A78" s="242" t="s">
        <v>228</v>
      </c>
      <c r="B78" s="219">
        <f>+'Rate Class Energy Model'!H42</f>
        <v>9367.6330971115785</v>
      </c>
      <c r="C78" s="219">
        <f>+'Rate Class Energy Model'!I42</f>
        <v>32823.788950962138</v>
      </c>
      <c r="D78" s="219">
        <f>+'Rate Class Energy Model'!J42</f>
        <v>655557.16420845629</v>
      </c>
      <c r="E78" s="219">
        <f>+'Rate Class Energy Model'!K42</f>
        <v>41948976</v>
      </c>
      <c r="F78" s="219">
        <f>+'Rate Class Energy Model'!L42</f>
        <v>6769517.25</v>
      </c>
      <c r="G78" s="219">
        <f>+'Rate Class Energy Model'!M42</f>
        <v>731.69443133553568</v>
      </c>
      <c r="H78" s="219">
        <f>+'Rate Class Energy Model'!N42</f>
        <v>1492.2083333333333</v>
      </c>
      <c r="I78" s="219">
        <f>+'Rate Class Energy Model'!O42</f>
        <v>8830.3339191564155</v>
      </c>
      <c r="J78" s="250">
        <f>+'Rate Class Energy Model'!P42</f>
        <v>15711.548643850765</v>
      </c>
    </row>
    <row r="79" spans="1:12" x14ac:dyDescent="0.2">
      <c r="A79" s="242" t="s">
        <v>229</v>
      </c>
      <c r="B79" s="219">
        <f>+'Rate Class Energy Model'!H43</f>
        <v>9161.5687038280721</v>
      </c>
      <c r="C79" s="219">
        <f>+'Rate Class Energy Model'!I43</f>
        <v>31626.831225680933</v>
      </c>
      <c r="D79" s="219">
        <f>+'Rate Class Energy Model'!J43</f>
        <v>639241.43078412395</v>
      </c>
      <c r="E79" s="219">
        <f>+'Rate Class Energy Model'!K43</f>
        <v>41438246</v>
      </c>
      <c r="F79" s="219">
        <f>+'Rate Class Energy Model'!L43</f>
        <v>6407365</v>
      </c>
      <c r="G79" s="219">
        <f>+'Rate Class Energy Model'!M43</f>
        <v>732.44460737024895</v>
      </c>
      <c r="H79" s="219">
        <f>+'Rate Class Energy Model'!N43</f>
        <v>1492.25</v>
      </c>
      <c r="I79" s="219">
        <f>+'Rate Class Energy Model'!O43</f>
        <v>9142.8957952468008</v>
      </c>
      <c r="J79" s="250">
        <f>+'Rate Class Energy Model'!P43</f>
        <v>15346.315586502411</v>
      </c>
    </row>
    <row r="80" spans="1:12" x14ac:dyDescent="0.2">
      <c r="A80" s="242" t="s">
        <v>230</v>
      </c>
      <c r="B80" s="219">
        <f>+'Rate Class Energy Model'!H44</f>
        <v>9080.7238759225183</v>
      </c>
      <c r="C80" s="219">
        <f>+'Rate Class Energy Model'!I44</f>
        <v>31298.445568162133</v>
      </c>
      <c r="D80" s="219">
        <f>+'Rate Class Energy Model'!J44</f>
        <v>635923.13830832217</v>
      </c>
      <c r="E80" s="219">
        <f>+'Rate Class Energy Model'!K44</f>
        <v>40933734.152569443</v>
      </c>
      <c r="F80" s="219">
        <f>+'Rate Class Energy Model'!L44</f>
        <v>6064586.9900434921</v>
      </c>
      <c r="G80" s="219">
        <f>+'Rate Class Energy Model'!M44</f>
        <v>733.19555252942041</v>
      </c>
      <c r="H80" s="219">
        <f>+'Rate Class Energy Model'!N44</f>
        <v>1492.2916678301178</v>
      </c>
      <c r="I80" s="219">
        <f>+'Rate Class Energy Model'!O44</f>
        <v>9466.5212310258194</v>
      </c>
      <c r="J80" s="250">
        <f>+'Rate Class Energy Model'!P44</f>
        <v>15065.188984046363</v>
      </c>
    </row>
    <row r="81" spans="1:10" x14ac:dyDescent="0.2">
      <c r="A81" s="242" t="s">
        <v>231</v>
      </c>
      <c r="B81" s="219">
        <f>+'Rate Class Energy Model'!H45</f>
        <v>9000.592450536813</v>
      </c>
      <c r="C81" s="219">
        <f>+'Rate Class Energy Model'!I45</f>
        <v>30973.469583249942</v>
      </c>
      <c r="D81" s="219">
        <f>+'Rate Class Energy Model'!J45</f>
        <v>632622.07103793521</v>
      </c>
      <c r="E81" s="219">
        <f>+'Rate Class Energy Model'!K45</f>
        <v>40435364.751520373</v>
      </c>
      <c r="F81" s="219">
        <f>+'Rate Class Energy Model'!L45</f>
        <v>5740146.7467211224</v>
      </c>
      <c r="G81" s="219">
        <f>+'Rate Class Energy Model'!M45</f>
        <v>733.94726760160154</v>
      </c>
      <c r="H81" s="219">
        <f>+'Rate Class Energy Model'!N45</f>
        <v>1492.333336823719</v>
      </c>
      <c r="I81" s="219">
        <f>+'Rate Class Energy Model'!O45</f>
        <v>9801.6018364828742</v>
      </c>
      <c r="J81" s="250">
        <f>+'Rate Class Energy Model'!P45</f>
        <v>14792.64180904058</v>
      </c>
    </row>
    <row r="82" spans="1:10" ht="13.5" thickBot="1" x14ac:dyDescent="0.25">
      <c r="A82" s="243" t="s">
        <v>232</v>
      </c>
      <c r="B82" s="232">
        <f>+'Rate Class Energy Model'!H46</f>
        <v>8921.1681323621724</v>
      </c>
      <c r="C82" s="232">
        <f>+'Rate Class Energy Model'!I46</f>
        <v>30651.867867853456</v>
      </c>
      <c r="D82" s="232">
        <f>+'Rate Class Energy Model'!J46</f>
        <v>629338.1395571857</v>
      </c>
      <c r="E82" s="232">
        <f>+'Rate Class Energy Model'!K46</f>
        <v>39943063.012389861</v>
      </c>
      <c r="F82" s="232">
        <f>+'Rate Class Energy Model'!L46</f>
        <v>5433063.2453598939</v>
      </c>
      <c r="G82" s="232">
        <f>+'Rate Class Energy Model'!M46</f>
        <v>734.69975337615233</v>
      </c>
      <c r="H82" s="232">
        <f>+'Rate Class Energy Model'!N46</f>
        <v>1492.3750069808361</v>
      </c>
      <c r="I82" s="232">
        <f>+'Rate Class Energy Model'!O46</f>
        <v>10148.543083184306</v>
      </c>
      <c r="J82" s="251">
        <f>+'Rate Class Energy Model'!P46</f>
        <v>14528.260534969029</v>
      </c>
    </row>
    <row r="83" spans="1:10" ht="13.5" thickBot="1" x14ac:dyDescent="0.25"/>
    <row r="84" spans="1:10" ht="24.75" thickBot="1" x14ac:dyDescent="0.25">
      <c r="A84" s="224" t="s">
        <v>112</v>
      </c>
      <c r="B84" s="217" t="s">
        <v>71</v>
      </c>
      <c r="C84" s="217" t="s">
        <v>235</v>
      </c>
      <c r="D84" s="217" t="s">
        <v>234</v>
      </c>
      <c r="E84" s="217" t="s">
        <v>74</v>
      </c>
      <c r="F84" s="217" t="s">
        <v>236</v>
      </c>
      <c r="G84" s="217" t="s">
        <v>237</v>
      </c>
      <c r="H84" s="217" t="s">
        <v>238</v>
      </c>
      <c r="I84" s="217" t="s">
        <v>76</v>
      </c>
      <c r="J84" s="218" t="s">
        <v>9</v>
      </c>
    </row>
    <row r="85" spans="1:10" x14ac:dyDescent="0.2">
      <c r="A85" s="244" t="s">
        <v>269</v>
      </c>
      <c r="B85" s="245"/>
      <c r="C85" s="245"/>
      <c r="D85" s="245"/>
      <c r="E85" s="245"/>
      <c r="F85" s="245"/>
      <c r="G85" s="245"/>
      <c r="H85" s="245"/>
      <c r="I85" s="245"/>
      <c r="J85" s="246"/>
    </row>
    <row r="86" spans="1:10" x14ac:dyDescent="0.2">
      <c r="A86" s="247" t="s">
        <v>114</v>
      </c>
      <c r="B86" s="222">
        <f>+'Chart II'!B89</f>
        <v>10312.478017907415</v>
      </c>
      <c r="C86" s="222">
        <f>+'Chart II'!C89</f>
        <v>36436.199739921976</v>
      </c>
      <c r="D86" s="222">
        <f>+'Chart II'!D89</f>
        <v>687468.15134099615</v>
      </c>
      <c r="E86" s="222">
        <f>+'Chart II'!E89</f>
        <v>30069991</v>
      </c>
      <c r="F86" s="222">
        <f>+'Chart II'!F89</f>
        <v>8995177.8888888881</v>
      </c>
      <c r="G86" s="222">
        <f>+'Chart II'!G89</f>
        <v>864.62257510729614</v>
      </c>
      <c r="H86" s="222">
        <f>+'Chart II'!H89</f>
        <v>530.03896103896102</v>
      </c>
      <c r="I86" s="222">
        <f>+'Chart II'!I89</f>
        <v>12596.537704918033</v>
      </c>
      <c r="J86" s="229">
        <f>+'Chart II'!J89</f>
        <v>17928.45828162066</v>
      </c>
    </row>
    <row r="87" spans="1:10" x14ac:dyDescent="0.2">
      <c r="A87" s="247" t="s">
        <v>226</v>
      </c>
      <c r="B87" s="222">
        <f>+'Chart II'!B90</f>
        <v>9944.9139784448562</v>
      </c>
      <c r="C87" s="222">
        <f>+'Chart II'!C90</f>
        <v>33405.607674829589</v>
      </c>
      <c r="D87" s="222">
        <f>+'Chart II'!D90</f>
        <v>693751.11969111965</v>
      </c>
      <c r="E87" s="222">
        <f>+'Chart II'!E90</f>
        <v>33402763</v>
      </c>
      <c r="F87" s="222">
        <f>+'Chart II'!F90</f>
        <v>7817530.5999999996</v>
      </c>
      <c r="G87" s="222">
        <f>+'Chart II'!G90</f>
        <v>865.45077050694306</v>
      </c>
      <c r="H87" s="222">
        <f>+'Chart II'!H90</f>
        <v>1728.868207968671</v>
      </c>
      <c r="I87" s="222">
        <f>+'Chart II'!I90</f>
        <v>10248.202720726738</v>
      </c>
      <c r="J87" s="229">
        <f>+'Chart II'!J90</f>
        <v>16501.989395957142</v>
      </c>
    </row>
    <row r="88" spans="1:10" x14ac:dyDescent="0.2">
      <c r="A88" s="241"/>
      <c r="B88" s="221"/>
      <c r="C88" s="248"/>
      <c r="D88" s="248"/>
      <c r="E88" s="248"/>
      <c r="F88" s="248"/>
      <c r="G88" s="248"/>
      <c r="H88" s="248"/>
      <c r="I88" s="248"/>
      <c r="J88" s="249"/>
    </row>
    <row r="89" spans="1:10" x14ac:dyDescent="0.2">
      <c r="A89" s="242" t="s">
        <v>228</v>
      </c>
      <c r="B89" s="219">
        <f>+'Rate Class Energy Model'!H78/'Rate Class Customer Model'!B15</f>
        <v>9367.6330971115785</v>
      </c>
      <c r="C89" s="219">
        <f>+'Rate Class Energy Model'!I78/'Rate Class Customer Model'!C15</f>
        <v>32823.788950962138</v>
      </c>
      <c r="D89" s="219">
        <f>+'Rate Class Energy Model'!J78/'Rate Class Customer Model'!D15</f>
        <v>655557.16420845629</v>
      </c>
      <c r="E89" s="219">
        <f>+'Rate Class Energy Model'!K78/'Rate Class Customer Model'!E15</f>
        <v>41948976</v>
      </c>
      <c r="F89" s="219">
        <f>+'Rate Class Energy Model'!L78/'Rate Class Customer Model'!F15</f>
        <v>6769517.25</v>
      </c>
      <c r="G89" s="219">
        <f>+'Rate Class Energy Model'!M78/'Rate Class Customer Model'!G15</f>
        <v>731.69443133553568</v>
      </c>
      <c r="H89" s="219">
        <f>+'Rate Class Energy Model'!N78/'Rate Class Customer Model'!H15</f>
        <v>1492.2083333333333</v>
      </c>
      <c r="I89" s="219">
        <f>+'Rate Class Energy Model'!O78/'Rate Class Customer Model'!I15</f>
        <v>8830.3339191564155</v>
      </c>
      <c r="J89" s="250">
        <f>+'Rate Class Energy Model'!G78/'Rate Class Customer Model'!J15</f>
        <v>15711.548643850765</v>
      </c>
    </row>
    <row r="90" spans="1:10" x14ac:dyDescent="0.2">
      <c r="A90" s="242" t="s">
        <v>229</v>
      </c>
      <c r="B90" s="219">
        <f>+'Rate Class Energy Model'!H79/'Rate Class Customer Model'!B16</f>
        <v>9161.5687038280721</v>
      </c>
      <c r="C90" s="219">
        <f>+'Rate Class Energy Model'!I79/'Rate Class Customer Model'!C16</f>
        <v>31626.831225680933</v>
      </c>
      <c r="D90" s="219">
        <f>+'Rate Class Energy Model'!J79/'Rate Class Customer Model'!D16</f>
        <v>639241.43078412395</v>
      </c>
      <c r="E90" s="219">
        <f>+'Rate Class Energy Model'!K79/'Rate Class Customer Model'!E16</f>
        <v>41438246</v>
      </c>
      <c r="F90" s="219">
        <f>+'Rate Class Energy Model'!L79/'Rate Class Customer Model'!F16</f>
        <v>6407365</v>
      </c>
      <c r="G90" s="219">
        <f>+'Rate Class Energy Model'!M79/'Rate Class Customer Model'!G16</f>
        <v>732.44460737024895</v>
      </c>
      <c r="H90" s="219">
        <f>+'Rate Class Energy Model'!N79/'Rate Class Customer Model'!H16</f>
        <v>1492.25</v>
      </c>
      <c r="I90" s="219">
        <f>+'Rate Class Energy Model'!O79/'Rate Class Customer Model'!I16</f>
        <v>9142.8957952468008</v>
      </c>
      <c r="J90" s="250">
        <f>+'Rate Class Energy Model'!G79/'Rate Class Customer Model'!J16</f>
        <v>15346.315586502411</v>
      </c>
    </row>
    <row r="91" spans="1:10" x14ac:dyDescent="0.2">
      <c r="A91" s="242" t="s">
        <v>230</v>
      </c>
      <c r="B91" s="219">
        <f>+'Rate Class Energy Model'!H80/'Rate Class Customer Model'!B17</f>
        <v>9144.7065686878286</v>
      </c>
      <c r="C91" s="219">
        <f>+'Rate Class Energy Model'!I80/'Rate Class Customer Model'!C17</f>
        <v>31518.974113483204</v>
      </c>
      <c r="D91" s="219">
        <f>+'Rate Class Energy Model'!J80/'Rate Class Customer Model'!D17</f>
        <v>640130.03428644093</v>
      </c>
      <c r="E91" s="219">
        <f>+'Rate Class Energy Model'!K80/'Rate Class Customer Model'!E17</f>
        <v>40933734.152569443</v>
      </c>
      <c r="F91" s="219">
        <f>+'Rate Class Energy Model'!L80/'Rate Class Customer Model'!F17</f>
        <v>6101532.1356670689</v>
      </c>
      <c r="G91" s="219">
        <f>+'Rate Class Energy Model'!M80/'Rate Class Customer Model'!G17</f>
        <v>733.19555252942041</v>
      </c>
      <c r="H91" s="219">
        <f>+'Rate Class Energy Model'!N80/'Rate Class Customer Model'!H17</f>
        <v>1492.2916678301176</v>
      </c>
      <c r="I91" s="219">
        <f>+'Rate Class Energy Model'!O80/'Rate Class Customer Model'!I17</f>
        <v>9466.5212310258194</v>
      </c>
      <c r="J91" s="250">
        <f>+'Rate Class Energy Model'!G80/'Rate Class Customer Model'!J17</f>
        <v>15163.00960145615</v>
      </c>
    </row>
    <row r="92" spans="1:10" x14ac:dyDescent="0.2">
      <c r="A92" s="242" t="s">
        <v>231</v>
      </c>
      <c r="B92" s="219">
        <f>+'Rate Class Energy Model'!H81/'Rate Class Customer Model'!B18</f>
        <v>9059.3207374688518</v>
      </c>
      <c r="C92" s="219">
        <f>+'Rate Class Energy Model'!I81/'Rate Class Customer Model'!C18</f>
        <v>31175.569480446971</v>
      </c>
      <c r="D92" s="219">
        <f>+'Rate Class Energy Model'!J81/'Rate Class Customer Model'!D18</f>
        <v>636497.64186250209</v>
      </c>
      <c r="E92" s="219">
        <f>+'Rate Class Energy Model'!K81/'Rate Class Customer Model'!E18</f>
        <v>40435364.751520373</v>
      </c>
      <c r="F92" s="219">
        <f>+'Rate Class Energy Model'!L81/'Rate Class Customer Model'!F18</f>
        <v>5772529.4678635458</v>
      </c>
      <c r="G92" s="219">
        <f>+'Rate Class Energy Model'!M81/'Rate Class Customer Model'!G18</f>
        <v>733.94726760160154</v>
      </c>
      <c r="H92" s="219">
        <f>+'Rate Class Energy Model'!N81/'Rate Class Customer Model'!H18</f>
        <v>1492.3333368237193</v>
      </c>
      <c r="I92" s="219">
        <f>+'Rate Class Energy Model'!O81/'Rate Class Customer Model'!I18</f>
        <v>9801.6018364828742</v>
      </c>
      <c r="J92" s="250">
        <f>+'Rate Class Energy Model'!G81/'Rate Class Customer Model'!J18</f>
        <v>14881.643582406738</v>
      </c>
    </row>
    <row r="93" spans="1:10" ht="13.5" thickBot="1" x14ac:dyDescent="0.25">
      <c r="A93" s="243" t="s">
        <v>232</v>
      </c>
      <c r="B93" s="232">
        <f>+'Rate Class Energy Model'!H82/'Rate Class Customer Model'!B19</f>
        <v>8972.3112054606263</v>
      </c>
      <c r="C93" s="232">
        <f>+'Rate Class Energy Model'!I82/'Rate Class Customer Model'!C19</f>
        <v>30827.5882102695</v>
      </c>
      <c r="D93" s="232">
        <f>+'Rate Class Energy Model'!J82/'Rate Class Customer Model'!D19</f>
        <v>632725.52214327664</v>
      </c>
      <c r="E93" s="232">
        <f>+'Rate Class Energy Model'!K82/'Rate Class Customer Model'!E19</f>
        <v>39943063.012389861</v>
      </c>
      <c r="F93" s="232">
        <f>+'Rate Class Energy Model'!L82/'Rate Class Customer Model'!F19</f>
        <v>5459992.4772270862</v>
      </c>
      <c r="G93" s="232">
        <f>+'Rate Class Energy Model'!M82/'Rate Class Customer Model'!G19</f>
        <v>734.69975337615233</v>
      </c>
      <c r="H93" s="232">
        <f>+'Rate Class Energy Model'!N82/'Rate Class Customer Model'!H19</f>
        <v>1492.3750069808361</v>
      </c>
      <c r="I93" s="232">
        <f>+'Rate Class Energy Model'!O82/'Rate Class Customer Model'!I19</f>
        <v>10148.543083184306</v>
      </c>
      <c r="J93" s="251">
        <f>+'Rate Class Energy Model'!G82/'Rate Class Customer Model'!J19</f>
        <v>14605.104480363407</v>
      </c>
    </row>
    <row r="94" spans="1:10" ht="13.5" thickBot="1" x14ac:dyDescent="0.25"/>
    <row r="95" spans="1:10" ht="24.75" thickBot="1" x14ac:dyDescent="0.25">
      <c r="A95" s="224" t="s">
        <v>112</v>
      </c>
      <c r="B95" s="217" t="s">
        <v>71</v>
      </c>
      <c r="C95" s="217" t="s">
        <v>235</v>
      </c>
      <c r="D95" s="217" t="s">
        <v>234</v>
      </c>
      <c r="E95" s="217" t="s">
        <v>74</v>
      </c>
      <c r="F95" s="217" t="s">
        <v>236</v>
      </c>
      <c r="G95" s="217" t="s">
        <v>237</v>
      </c>
      <c r="H95" s="217" t="s">
        <v>238</v>
      </c>
      <c r="I95" s="217" t="s">
        <v>76</v>
      </c>
      <c r="J95" s="218" t="s">
        <v>9</v>
      </c>
    </row>
    <row r="96" spans="1:10" x14ac:dyDescent="0.2">
      <c r="A96" s="244" t="s">
        <v>268</v>
      </c>
      <c r="B96" s="245"/>
      <c r="C96" s="245"/>
      <c r="D96" s="245"/>
      <c r="E96" s="245"/>
      <c r="F96" s="245"/>
      <c r="G96" s="245"/>
      <c r="H96" s="245"/>
      <c r="I96" s="245"/>
      <c r="J96" s="246"/>
    </row>
    <row r="97" spans="1:13" x14ac:dyDescent="0.2">
      <c r="A97" s="242" t="s">
        <v>228</v>
      </c>
      <c r="B97" s="219">
        <f t="shared" ref="B97:I101" si="37">+B89*B70</f>
        <v>0</v>
      </c>
      <c r="C97" s="219">
        <f t="shared" si="37"/>
        <v>0</v>
      </c>
      <c r="D97" s="219">
        <f t="shared" si="37"/>
        <v>0</v>
      </c>
      <c r="E97" s="219">
        <f t="shared" si="37"/>
        <v>0</v>
      </c>
      <c r="F97" s="219">
        <f t="shared" si="37"/>
        <v>0</v>
      </c>
      <c r="G97" s="219">
        <f t="shared" si="37"/>
        <v>0</v>
      </c>
      <c r="H97" s="219">
        <f t="shared" si="37"/>
        <v>0</v>
      </c>
      <c r="I97" s="219">
        <f t="shared" si="37"/>
        <v>0</v>
      </c>
      <c r="J97" s="250">
        <f t="shared" ref="J97:J101" si="38">SUM(B97:I97)</f>
        <v>0</v>
      </c>
    </row>
    <row r="98" spans="1:13" x14ac:dyDescent="0.2">
      <c r="A98" s="242" t="s">
        <v>229</v>
      </c>
      <c r="B98" s="219">
        <f t="shared" si="37"/>
        <v>0</v>
      </c>
      <c r="C98" s="219">
        <f t="shared" si="37"/>
        <v>0</v>
      </c>
      <c r="D98" s="219">
        <f t="shared" si="37"/>
        <v>0</v>
      </c>
      <c r="E98" s="219">
        <f t="shared" si="37"/>
        <v>0</v>
      </c>
      <c r="F98" s="219">
        <f t="shared" si="37"/>
        <v>0</v>
      </c>
      <c r="G98" s="219">
        <f t="shared" si="37"/>
        <v>0</v>
      </c>
      <c r="H98" s="219">
        <f t="shared" si="37"/>
        <v>0</v>
      </c>
      <c r="I98" s="219">
        <f t="shared" si="37"/>
        <v>0</v>
      </c>
      <c r="J98" s="250">
        <f t="shared" si="38"/>
        <v>0</v>
      </c>
    </row>
    <row r="99" spans="1:13" x14ac:dyDescent="0.2">
      <c r="A99" s="242" t="s">
        <v>230</v>
      </c>
      <c r="B99" s="219">
        <f t="shared" si="37"/>
        <v>0</v>
      </c>
      <c r="C99" s="219">
        <f t="shared" si="37"/>
        <v>0</v>
      </c>
      <c r="D99" s="219">
        <f t="shared" si="37"/>
        <v>0</v>
      </c>
      <c r="E99" s="219">
        <f t="shared" si="37"/>
        <v>0</v>
      </c>
      <c r="F99" s="219">
        <f t="shared" si="37"/>
        <v>0</v>
      </c>
      <c r="G99" s="219">
        <f t="shared" si="37"/>
        <v>0</v>
      </c>
      <c r="H99" s="219">
        <f t="shared" si="37"/>
        <v>0</v>
      </c>
      <c r="I99" s="219">
        <f t="shared" si="37"/>
        <v>0</v>
      </c>
      <c r="J99" s="250">
        <f t="shared" si="38"/>
        <v>0</v>
      </c>
    </row>
    <row r="100" spans="1:13" x14ac:dyDescent="0.2">
      <c r="A100" s="242" t="s">
        <v>231</v>
      </c>
      <c r="B100" s="219">
        <f t="shared" si="37"/>
        <v>1762037.8834376917</v>
      </c>
      <c r="C100" s="219">
        <f t="shared" si="37"/>
        <v>1243905.222269834</v>
      </c>
      <c r="D100" s="219">
        <f t="shared" si="37"/>
        <v>5919428.0693212701</v>
      </c>
      <c r="E100" s="219">
        <f t="shared" si="37"/>
        <v>0</v>
      </c>
      <c r="F100" s="219">
        <f t="shared" si="37"/>
        <v>1154505.8935727093</v>
      </c>
      <c r="G100" s="219">
        <f t="shared" si="37"/>
        <v>0</v>
      </c>
      <c r="H100" s="219">
        <f t="shared" si="37"/>
        <v>0</v>
      </c>
      <c r="I100" s="219">
        <f t="shared" si="37"/>
        <v>0</v>
      </c>
      <c r="J100" s="250">
        <f t="shared" si="38"/>
        <v>10079877.068601504</v>
      </c>
    </row>
    <row r="101" spans="1:13" ht="13.5" thickBot="1" x14ac:dyDescent="0.25">
      <c r="A101" s="243" t="s">
        <v>232</v>
      </c>
      <c r="B101" s="232">
        <f t="shared" si="37"/>
        <v>3546754.6195185855</v>
      </c>
      <c r="C101" s="232">
        <f t="shared" si="37"/>
        <v>2490869.1273897756</v>
      </c>
      <c r="D101" s="232">
        <f t="shared" si="37"/>
        <v>11895239.816293601</v>
      </c>
      <c r="E101" s="232">
        <f t="shared" si="37"/>
        <v>0</v>
      </c>
      <c r="F101" s="232">
        <f t="shared" si="37"/>
        <v>6551990.9726725034</v>
      </c>
      <c r="G101" s="232">
        <f t="shared" si="37"/>
        <v>0</v>
      </c>
      <c r="H101" s="232">
        <f t="shared" si="37"/>
        <v>0</v>
      </c>
      <c r="I101" s="232">
        <f t="shared" si="37"/>
        <v>0</v>
      </c>
      <c r="J101" s="251">
        <f t="shared" si="38"/>
        <v>24484854.535874467</v>
      </c>
    </row>
    <row r="102" spans="1:13" ht="13.5" thickBot="1" x14ac:dyDescent="0.25"/>
    <row r="103" spans="1:13" ht="24.75" thickBot="1" x14ac:dyDescent="0.25">
      <c r="A103" s="224" t="s">
        <v>112</v>
      </c>
      <c r="B103" s="217" t="s">
        <v>2</v>
      </c>
      <c r="C103" s="218" t="s">
        <v>270</v>
      </c>
    </row>
    <row r="104" spans="1:13" x14ac:dyDescent="0.2">
      <c r="A104" s="244" t="s">
        <v>268</v>
      </c>
      <c r="B104" s="245"/>
      <c r="C104" s="246"/>
      <c r="E104" s="361"/>
      <c r="F104" s="361"/>
      <c r="G104" s="361"/>
      <c r="H104" s="361"/>
      <c r="I104" s="361"/>
      <c r="J104" s="361"/>
      <c r="K104" s="361"/>
      <c r="L104" s="361"/>
      <c r="M104" s="361"/>
    </row>
    <row r="105" spans="1:13" x14ac:dyDescent="0.2">
      <c r="A105" s="242" t="s">
        <v>228</v>
      </c>
      <c r="B105" s="219">
        <f>+J97</f>
        <v>0</v>
      </c>
      <c r="C105" s="230">
        <f>+B105*'Rate Class Energy Model'!$F$25</f>
        <v>0</v>
      </c>
      <c r="E105" s="361"/>
      <c r="F105" s="361"/>
      <c r="G105" s="361"/>
      <c r="H105" s="361"/>
      <c r="I105" s="361"/>
      <c r="J105" s="361"/>
      <c r="K105" s="361"/>
      <c r="L105" s="361"/>
      <c r="M105" s="361"/>
    </row>
    <row r="106" spans="1:13" x14ac:dyDescent="0.2">
      <c r="A106" s="242" t="s">
        <v>229</v>
      </c>
      <c r="B106" s="219">
        <f>+J98</f>
        <v>0</v>
      </c>
      <c r="C106" s="230">
        <f>+B106*'Rate Class Energy Model'!$F$25</f>
        <v>0</v>
      </c>
      <c r="E106" s="361"/>
      <c r="F106" s="361"/>
      <c r="G106" s="361"/>
      <c r="H106" s="361"/>
      <c r="I106" s="361"/>
      <c r="J106" s="361"/>
      <c r="K106" s="361"/>
      <c r="L106" s="361"/>
      <c r="M106" s="361"/>
    </row>
    <row r="107" spans="1:13" x14ac:dyDescent="0.2">
      <c r="A107" s="242" t="s">
        <v>230</v>
      </c>
      <c r="B107" s="219">
        <f>+J99</f>
        <v>0</v>
      </c>
      <c r="C107" s="230">
        <f>+B107*'Rate Class Energy Model'!$F$25</f>
        <v>0</v>
      </c>
      <c r="E107" s="361"/>
      <c r="F107" s="361"/>
      <c r="G107" s="361"/>
      <c r="H107" s="361"/>
      <c r="I107" s="361"/>
      <c r="J107" s="361"/>
      <c r="K107" s="361"/>
      <c r="L107" s="361"/>
      <c r="M107" s="361"/>
    </row>
    <row r="108" spans="1:13" x14ac:dyDescent="0.2">
      <c r="A108" s="242" t="s">
        <v>231</v>
      </c>
      <c r="B108" s="219">
        <f>+J100</f>
        <v>10079877.068601504</v>
      </c>
      <c r="C108" s="230">
        <f>+B108*'Rate Class Energy Model'!$F$25</f>
        <v>10441497.430416999</v>
      </c>
      <c r="E108" s="361"/>
      <c r="F108" s="361"/>
      <c r="G108" s="361"/>
      <c r="H108" s="361"/>
      <c r="I108" s="361"/>
      <c r="J108" s="361"/>
      <c r="K108" s="361"/>
      <c r="L108" s="361"/>
      <c r="M108" s="361"/>
    </row>
    <row r="109" spans="1:13" ht="13.5" thickBot="1" x14ac:dyDescent="0.25">
      <c r="A109" s="243" t="s">
        <v>232</v>
      </c>
      <c r="B109" s="232">
        <f>+J101</f>
        <v>24484854.535874467</v>
      </c>
      <c r="C109" s="300">
        <f>+B109*'Rate Class Energy Model'!$F$25</f>
        <v>25363260.283881385</v>
      </c>
      <c r="E109" s="361"/>
      <c r="F109" s="361"/>
      <c r="G109" s="361"/>
      <c r="H109" s="361"/>
      <c r="I109" s="361"/>
      <c r="J109" s="361"/>
      <c r="K109" s="361"/>
      <c r="L109" s="361"/>
      <c r="M109" s="361"/>
    </row>
    <row r="110" spans="1:13" x14ac:dyDescent="0.2">
      <c r="E110" s="361"/>
      <c r="F110" s="361"/>
      <c r="G110" s="361"/>
      <c r="H110" s="361"/>
      <c r="I110" s="361"/>
      <c r="J110" s="361"/>
      <c r="K110" s="361"/>
      <c r="L110" s="361"/>
      <c r="M110" s="361"/>
    </row>
    <row r="111" spans="1:13" x14ac:dyDescent="0.2">
      <c r="E111" s="361"/>
      <c r="F111" s="361"/>
      <c r="G111" s="361"/>
      <c r="H111" s="361"/>
      <c r="I111" s="361"/>
      <c r="J111" s="361"/>
      <c r="K111" s="361"/>
      <c r="L111" s="361"/>
      <c r="M111" s="361"/>
    </row>
    <row r="112" spans="1:13" x14ac:dyDescent="0.2">
      <c r="E112" s="361"/>
      <c r="F112" s="361"/>
      <c r="G112" s="361"/>
      <c r="H112" s="361"/>
      <c r="I112" s="361"/>
      <c r="J112" s="361"/>
      <c r="K112" s="361"/>
      <c r="L112" s="361"/>
      <c r="M112" s="361"/>
    </row>
    <row r="113" spans="5:13" x14ac:dyDescent="0.2">
      <c r="E113" s="361"/>
      <c r="F113" s="361"/>
      <c r="G113" s="361"/>
      <c r="H113" s="361"/>
      <c r="I113" s="361"/>
      <c r="J113" s="361"/>
      <c r="K113" s="361"/>
      <c r="L113" s="361"/>
      <c r="M113" s="361"/>
    </row>
    <row r="114" spans="5:13" x14ac:dyDescent="0.2">
      <c r="E114" s="361"/>
      <c r="F114" s="361"/>
      <c r="G114" s="361"/>
      <c r="H114" s="361"/>
      <c r="I114" s="361"/>
      <c r="J114" s="361"/>
      <c r="K114" s="361"/>
      <c r="L114" s="361"/>
      <c r="M114" s="361"/>
    </row>
    <row r="115" spans="5:13" x14ac:dyDescent="0.2">
      <c r="E115" s="361"/>
      <c r="F115" s="361"/>
      <c r="G115" s="361"/>
      <c r="H115" s="361"/>
      <c r="I115" s="361"/>
      <c r="J115" s="361"/>
      <c r="K115" s="361"/>
      <c r="L115" s="361"/>
      <c r="M115" s="361"/>
    </row>
    <row r="116" spans="5:13" x14ac:dyDescent="0.2">
      <c r="E116" s="361"/>
      <c r="F116" s="361"/>
      <c r="G116" s="361"/>
      <c r="H116" s="361"/>
      <c r="I116" s="361"/>
      <c r="J116" s="361"/>
      <c r="K116" s="361"/>
      <c r="L116" s="361"/>
      <c r="M116" s="361"/>
    </row>
    <row r="117" spans="5:13" x14ac:dyDescent="0.2">
      <c r="E117" s="361"/>
      <c r="F117" s="361"/>
      <c r="G117" s="361"/>
      <c r="H117" s="361"/>
      <c r="I117" s="361"/>
      <c r="J117" s="361"/>
      <c r="K117" s="361"/>
      <c r="L117" s="361"/>
      <c r="M117" s="361"/>
    </row>
    <row r="118" spans="5:13" x14ac:dyDescent="0.2">
      <c r="E118" s="361"/>
      <c r="F118" s="361"/>
      <c r="G118" s="361"/>
      <c r="H118" s="361"/>
      <c r="I118" s="361"/>
      <c r="J118" s="361"/>
      <c r="K118" s="361"/>
      <c r="L118" s="361"/>
      <c r="M118" s="361"/>
    </row>
    <row r="119" spans="5:13" x14ac:dyDescent="0.2">
      <c r="E119" s="361"/>
      <c r="F119" s="361"/>
      <c r="G119" s="361"/>
      <c r="H119" s="361"/>
      <c r="I119" s="361"/>
      <c r="J119" s="361"/>
      <c r="K119" s="361"/>
      <c r="L119" s="361"/>
      <c r="M119" s="361"/>
    </row>
    <row r="120" spans="5:13" x14ac:dyDescent="0.2">
      <c r="E120" s="361"/>
      <c r="F120" s="361"/>
      <c r="G120" s="361"/>
      <c r="H120" s="361"/>
      <c r="I120" s="361"/>
      <c r="J120" s="361"/>
      <c r="K120" s="361"/>
      <c r="L120" s="361"/>
      <c r="M120" s="361"/>
    </row>
    <row r="121" spans="5:13" x14ac:dyDescent="0.2">
      <c r="E121" s="361"/>
      <c r="F121" s="361"/>
      <c r="G121" s="361"/>
      <c r="H121" s="361"/>
      <c r="I121" s="361"/>
      <c r="J121" s="361"/>
      <c r="K121" s="361"/>
      <c r="L121" s="361"/>
      <c r="M121" s="361"/>
    </row>
    <row r="122" spans="5:13" x14ac:dyDescent="0.2">
      <c r="E122" s="361"/>
      <c r="F122" s="361"/>
      <c r="G122" s="361"/>
      <c r="H122" s="361"/>
      <c r="I122" s="361"/>
      <c r="J122" s="361"/>
      <c r="K122" s="361"/>
      <c r="L122" s="361"/>
      <c r="M122" s="361"/>
    </row>
    <row r="123" spans="5:13" x14ac:dyDescent="0.2">
      <c r="E123" s="361"/>
      <c r="F123" s="361"/>
      <c r="G123" s="361"/>
      <c r="H123" s="361"/>
      <c r="I123" s="361"/>
      <c r="J123" s="361"/>
      <c r="K123" s="361"/>
      <c r="L123" s="361"/>
      <c r="M123" s="361"/>
    </row>
    <row r="124" spans="5:13" x14ac:dyDescent="0.2">
      <c r="E124" s="361"/>
      <c r="F124" s="361"/>
      <c r="G124" s="361"/>
      <c r="H124" s="361"/>
      <c r="I124" s="361"/>
      <c r="J124" s="361"/>
      <c r="K124" s="361"/>
      <c r="L124" s="361"/>
      <c r="M124" s="361"/>
    </row>
    <row r="125" spans="5:13" x14ac:dyDescent="0.2">
      <c r="E125" s="361"/>
      <c r="F125" s="361"/>
      <c r="G125" s="361"/>
      <c r="H125" s="361"/>
      <c r="I125" s="361"/>
      <c r="J125" s="361"/>
      <c r="K125" s="361"/>
      <c r="L125" s="361"/>
      <c r="M125" s="361"/>
    </row>
    <row r="126" spans="5:13" x14ac:dyDescent="0.2">
      <c r="E126" s="361"/>
      <c r="F126" s="361"/>
      <c r="G126" s="361"/>
      <c r="H126" s="361"/>
      <c r="I126" s="361"/>
      <c r="J126" s="361"/>
      <c r="K126" s="361"/>
      <c r="L126" s="361"/>
      <c r="M126" s="361"/>
    </row>
    <row r="127" spans="5:13" x14ac:dyDescent="0.2">
      <c r="E127" s="361"/>
      <c r="F127" s="361"/>
      <c r="G127" s="361"/>
      <c r="H127" s="361"/>
      <c r="I127" s="361"/>
      <c r="J127" s="361"/>
      <c r="K127" s="361"/>
      <c r="L127" s="361"/>
      <c r="M127" s="361"/>
    </row>
    <row r="128" spans="5:13" x14ac:dyDescent="0.2">
      <c r="E128" s="361"/>
      <c r="F128" s="361"/>
      <c r="G128" s="361"/>
      <c r="H128" s="361"/>
      <c r="I128" s="361"/>
      <c r="J128" s="361"/>
      <c r="K128" s="361"/>
      <c r="L128" s="361"/>
      <c r="M128" s="361"/>
    </row>
    <row r="129" spans="5:13" x14ac:dyDescent="0.2">
      <c r="E129" s="361"/>
      <c r="F129" s="361"/>
      <c r="G129" s="361"/>
      <c r="H129" s="361"/>
      <c r="I129" s="361"/>
      <c r="J129" s="361"/>
      <c r="K129" s="361"/>
      <c r="L129" s="361"/>
      <c r="M129" s="361"/>
    </row>
    <row r="130" spans="5:13" x14ac:dyDescent="0.2">
      <c r="E130" s="361"/>
      <c r="F130" s="361"/>
      <c r="G130" s="361"/>
      <c r="H130" s="361"/>
      <c r="I130" s="361"/>
      <c r="J130" s="361"/>
      <c r="K130" s="361"/>
      <c r="L130" s="361"/>
      <c r="M130" s="361"/>
    </row>
    <row r="131" spans="5:13" x14ac:dyDescent="0.2">
      <c r="E131" s="361"/>
      <c r="F131" s="361"/>
      <c r="G131" s="361"/>
      <c r="H131" s="361"/>
      <c r="I131" s="361"/>
      <c r="J131" s="361"/>
      <c r="K131" s="361"/>
      <c r="L131" s="361"/>
      <c r="M131" s="361"/>
    </row>
    <row r="132" spans="5:13" x14ac:dyDescent="0.2">
      <c r="E132" s="361"/>
      <c r="F132" s="361"/>
      <c r="G132" s="361"/>
      <c r="H132" s="361"/>
      <c r="I132" s="361"/>
      <c r="J132" s="361"/>
      <c r="K132" s="361"/>
      <c r="L132" s="361"/>
      <c r="M132" s="361"/>
    </row>
    <row r="133" spans="5:13" x14ac:dyDescent="0.2">
      <c r="E133" s="361"/>
      <c r="F133" s="361"/>
      <c r="G133" s="361"/>
      <c r="H133" s="361"/>
      <c r="I133" s="361"/>
      <c r="J133" s="361"/>
      <c r="K133" s="361"/>
      <c r="L133" s="361"/>
      <c r="M133" s="361"/>
    </row>
    <row r="134" spans="5:13" x14ac:dyDescent="0.2">
      <c r="E134" s="361"/>
      <c r="F134" s="361"/>
      <c r="G134" s="361"/>
      <c r="H134" s="361"/>
      <c r="I134" s="361"/>
      <c r="J134" s="361"/>
      <c r="K134" s="361"/>
      <c r="L134" s="361"/>
      <c r="M134" s="361"/>
    </row>
    <row r="135" spans="5:13" x14ac:dyDescent="0.2">
      <c r="E135" s="361"/>
      <c r="F135" s="361"/>
      <c r="G135" s="361"/>
      <c r="H135" s="361"/>
      <c r="I135" s="361"/>
      <c r="J135" s="361"/>
      <c r="K135" s="361"/>
      <c r="L135" s="361"/>
      <c r="M135" s="361"/>
    </row>
    <row r="136" spans="5:13" x14ac:dyDescent="0.2">
      <c r="E136" s="361"/>
      <c r="F136" s="361"/>
      <c r="G136" s="361"/>
      <c r="H136" s="361"/>
      <c r="I136" s="361"/>
      <c r="J136" s="361"/>
      <c r="K136" s="361"/>
      <c r="L136" s="361"/>
      <c r="M136" s="361"/>
    </row>
    <row r="137" spans="5:13" x14ac:dyDescent="0.2">
      <c r="E137" s="361"/>
      <c r="F137" s="361"/>
      <c r="G137" s="361"/>
      <c r="H137" s="361"/>
      <c r="I137" s="361"/>
      <c r="J137" s="361"/>
      <c r="K137" s="361"/>
      <c r="L137" s="361"/>
      <c r="M137" s="361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4"/>
  <sheetViews>
    <sheetView workbookViewId="0">
      <selection activeCell="I8" sqref="I8"/>
    </sheetView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9" width="11.140625" customWidth="1"/>
  </cols>
  <sheetData>
    <row r="1" spans="1:11" x14ac:dyDescent="0.2">
      <c r="A1" s="388" t="s">
        <v>301</v>
      </c>
    </row>
    <row r="2" spans="1:11" ht="13.5" thickBot="1" x14ac:dyDescent="0.25"/>
    <row r="3" spans="1:11" ht="24.75" customHeight="1" thickBot="1" x14ac:dyDescent="0.25">
      <c r="A3" s="543" t="s">
        <v>333</v>
      </c>
      <c r="B3" s="547" t="s">
        <v>260</v>
      </c>
      <c r="C3" s="545" t="s">
        <v>331</v>
      </c>
      <c r="D3" s="546"/>
      <c r="E3" s="545" t="s">
        <v>332</v>
      </c>
      <c r="F3" s="546"/>
      <c r="G3" s="545" t="s">
        <v>298</v>
      </c>
      <c r="H3" s="550"/>
      <c r="I3" s="551"/>
    </row>
    <row r="4" spans="1:11" ht="13.5" thickBot="1" x14ac:dyDescent="0.25">
      <c r="A4" s="544"/>
      <c r="B4" s="542"/>
      <c r="C4" s="217" t="s">
        <v>105</v>
      </c>
      <c r="D4" s="217" t="s">
        <v>106</v>
      </c>
      <c r="E4" s="217" t="s">
        <v>105</v>
      </c>
      <c r="F4" s="217" t="s">
        <v>106</v>
      </c>
      <c r="G4" s="217" t="s">
        <v>299</v>
      </c>
      <c r="H4" s="217" t="s">
        <v>300</v>
      </c>
      <c r="I4" s="218" t="s">
        <v>247</v>
      </c>
    </row>
    <row r="5" spans="1:11" x14ac:dyDescent="0.2">
      <c r="A5" s="242" t="s">
        <v>227</v>
      </c>
      <c r="B5" s="219">
        <f>+'Rate Class Customer Model'!G14</f>
        <v>12464.5</v>
      </c>
      <c r="C5" s="219">
        <f t="shared" ref="C5:D10" si="0">+C14+C23</f>
        <v>9155875</v>
      </c>
      <c r="D5" s="219">
        <f t="shared" si="0"/>
        <v>25520</v>
      </c>
      <c r="E5" s="219">
        <f t="shared" ref="E5:F10" si="1">+E14+C23</f>
        <v>9155875</v>
      </c>
      <c r="F5" s="219">
        <f t="shared" si="1"/>
        <v>25520</v>
      </c>
      <c r="G5" s="219">
        <f>+C5*'Rate Class Energy Model'!$F$25</f>
        <v>9484346.3501666561</v>
      </c>
      <c r="H5" s="219">
        <f>+E5*'Rate Class Energy Model'!$F$25</f>
        <v>9484346.3501666561</v>
      </c>
      <c r="I5" s="230">
        <f>+G5-H5</f>
        <v>0</v>
      </c>
    </row>
    <row r="6" spans="1:11" x14ac:dyDescent="0.2">
      <c r="A6" s="242" t="s">
        <v>228</v>
      </c>
      <c r="B6" s="219">
        <f>+B$5+B24</f>
        <v>12714</v>
      </c>
      <c r="C6" s="219">
        <f t="shared" si="0"/>
        <v>9256541.0202239137</v>
      </c>
      <c r="D6" s="219">
        <f t="shared" si="0"/>
        <v>25146.871269016792</v>
      </c>
      <c r="E6" s="219">
        <f t="shared" si="1"/>
        <v>8580020.0280227065</v>
      </c>
      <c r="F6" s="219">
        <f t="shared" si="1"/>
        <v>23308.994003145857</v>
      </c>
      <c r="G6" s="219">
        <f>+C6*'Rate Class Energy Model'!$F$25</f>
        <v>9588623.8115230501</v>
      </c>
      <c r="H6" s="219">
        <f>+E6*'Rate Class Energy Model'!$F$25</f>
        <v>8887832.3084504716</v>
      </c>
      <c r="I6" s="230">
        <f t="shared" ref="I6:I10" si="2">+G6-H6</f>
        <v>700791.50307257846</v>
      </c>
      <c r="K6" s="159"/>
    </row>
    <row r="7" spans="1:11" x14ac:dyDescent="0.2">
      <c r="A7" s="242" t="s">
        <v>229</v>
      </c>
      <c r="B7" s="219">
        <f>+B$5+B25</f>
        <v>12957.5</v>
      </c>
      <c r="C7" s="219">
        <f t="shared" si="0"/>
        <v>9355206.4997926429</v>
      </c>
      <c r="D7" s="219">
        <f t="shared" si="0"/>
        <v>25414.911793872652</v>
      </c>
      <c r="E7" s="219">
        <f t="shared" si="1"/>
        <v>5236386.5134363808</v>
      </c>
      <c r="F7" s="219">
        <f t="shared" si="1"/>
        <v>14225.47982885891</v>
      </c>
      <c r="G7" s="219">
        <f>+C7*'Rate Class Energy Model'!$F$25</f>
        <v>9690828.9618811663</v>
      </c>
      <c r="H7" s="219">
        <f>+E7*'Rate Class Energy Model'!$F$25</f>
        <v>5424244.3585973196</v>
      </c>
      <c r="I7" s="230">
        <f t="shared" si="2"/>
        <v>4266584.6032838468</v>
      </c>
      <c r="K7" s="159"/>
    </row>
    <row r="8" spans="1:11" x14ac:dyDescent="0.2">
      <c r="A8" s="242" t="s">
        <v>230</v>
      </c>
      <c r="B8" s="219">
        <f>+B$5+B26</f>
        <v>13212.353111802431</v>
      </c>
      <c r="C8" s="219">
        <f t="shared" si="0"/>
        <v>9458226.5901099704</v>
      </c>
      <c r="D8" s="219">
        <f t="shared" si="0"/>
        <v>25694.782313937576</v>
      </c>
      <c r="E8" s="219">
        <f t="shared" si="1"/>
        <v>4852098.7877594149</v>
      </c>
      <c r="F8" s="219">
        <f t="shared" si="1"/>
        <v>13181.500879621979</v>
      </c>
      <c r="G8" s="219">
        <f>+C8*'Rate Class Energy Model'!$F$25</f>
        <v>9797544.9467100315</v>
      </c>
      <c r="H8" s="219">
        <f>+E8*'Rate Class Energy Model'!$F$25</f>
        <v>5026170.1288335696</v>
      </c>
      <c r="I8" s="230">
        <f t="shared" si="2"/>
        <v>4771374.8178764619</v>
      </c>
      <c r="K8" s="159"/>
    </row>
    <row r="9" spans="1:11" ht="13.5" customHeight="1" x14ac:dyDescent="0.2">
      <c r="A9" s="242" t="s">
        <v>231</v>
      </c>
      <c r="B9" s="219">
        <f>+B$5+B27</f>
        <v>13472.218772985172</v>
      </c>
      <c r="C9" s="219">
        <f t="shared" si="0"/>
        <v>9563287.5645879526</v>
      </c>
      <c r="D9" s="219">
        <f t="shared" si="0"/>
        <v>25980.197221603743</v>
      </c>
      <c r="E9" s="219">
        <f t="shared" si="1"/>
        <v>4947743.7199716531</v>
      </c>
      <c r="F9" s="219">
        <f t="shared" si="1"/>
        <v>13441.335605425073</v>
      </c>
      <c r="G9" s="219">
        <f>+C9*'Rate Class Energy Model'!$F$25</f>
        <v>9906375.033385003</v>
      </c>
      <c r="H9" s="219">
        <f>+E9*'Rate Class Energy Model'!$F$25</f>
        <v>5125246.3682688046</v>
      </c>
      <c r="I9" s="230">
        <f t="shared" si="2"/>
        <v>4781128.6651161984</v>
      </c>
      <c r="K9" s="159"/>
    </row>
    <row r="10" spans="1:11" ht="13.5" thickBot="1" x14ac:dyDescent="0.25">
      <c r="A10" s="243" t="s">
        <v>232</v>
      </c>
      <c r="B10" s="232">
        <f>+B$5+B28</f>
        <v>13737.195572304361</v>
      </c>
      <c r="C10" s="232">
        <f t="shared" si="0"/>
        <v>9670431.6023081616</v>
      </c>
      <c r="D10" s="232">
        <f t="shared" si="0"/>
        <v>26271.271103079132</v>
      </c>
      <c r="E10" s="232">
        <f t="shared" si="1"/>
        <v>5045462.0615474675</v>
      </c>
      <c r="F10" s="232">
        <f t="shared" si="1"/>
        <v>13706.803078735033</v>
      </c>
      <c r="G10" s="232">
        <f>+C10*'Rate Class Energy Model'!$F$25</f>
        <v>10017362.914182171</v>
      </c>
      <c r="H10" s="232">
        <f>+E10*'Rate Class Energy Model'!$F$25</f>
        <v>5226470.4016101193</v>
      </c>
      <c r="I10" s="300">
        <f t="shared" si="2"/>
        <v>4790892.512572052</v>
      </c>
      <c r="K10" s="159"/>
    </row>
    <row r="11" spans="1:11" ht="13.5" thickBot="1" x14ac:dyDescent="0.25">
      <c r="A11" s="386"/>
      <c r="B11" s="387"/>
      <c r="C11" s="387"/>
      <c r="D11" s="387"/>
      <c r="E11" s="387"/>
      <c r="F11" s="387"/>
      <c r="G11" s="387"/>
      <c r="H11" s="387"/>
      <c r="I11" s="387"/>
    </row>
    <row r="12" spans="1:11" ht="24.75" customHeight="1" thickBot="1" x14ac:dyDescent="0.25">
      <c r="A12" s="543" t="s">
        <v>303</v>
      </c>
      <c r="B12" s="547" t="s">
        <v>260</v>
      </c>
      <c r="C12" s="545" t="s">
        <v>331</v>
      </c>
      <c r="D12" s="546"/>
      <c r="E12" s="545" t="s">
        <v>332</v>
      </c>
      <c r="F12" s="546"/>
      <c r="G12" s="545" t="s">
        <v>298</v>
      </c>
      <c r="H12" s="550"/>
      <c r="I12" s="551"/>
    </row>
    <row r="13" spans="1:11" ht="13.5" thickBot="1" x14ac:dyDescent="0.25">
      <c r="A13" s="544"/>
      <c r="B13" s="542"/>
      <c r="C13" s="217" t="s">
        <v>105</v>
      </c>
      <c r="D13" s="217" t="s">
        <v>106</v>
      </c>
      <c r="E13" s="217" t="s">
        <v>105</v>
      </c>
      <c r="F13" s="217" t="s">
        <v>106</v>
      </c>
      <c r="G13" s="217" t="s">
        <v>299</v>
      </c>
      <c r="H13" s="217" t="s">
        <v>300</v>
      </c>
      <c r="I13" s="218" t="s">
        <v>247</v>
      </c>
    </row>
    <row r="14" spans="1:11" x14ac:dyDescent="0.2">
      <c r="A14" s="242" t="s">
        <v>227</v>
      </c>
      <c r="B14" s="219">
        <f>+B5</f>
        <v>12464.5</v>
      </c>
      <c r="C14" s="219">
        <f>+'Rate Class Energy Model'!M18</f>
        <v>9155875</v>
      </c>
      <c r="D14" s="219">
        <f>+'Rate Class Load Model'!E13</f>
        <v>25520</v>
      </c>
      <c r="E14" s="219">
        <f>+C14</f>
        <v>9155875</v>
      </c>
      <c r="F14" s="219">
        <f>+D14</f>
        <v>25520</v>
      </c>
      <c r="G14" s="482">
        <f>+C14*'Rate Class Energy Model'!$F$25</f>
        <v>9484346.3501666561</v>
      </c>
      <c r="H14" s="482">
        <f>+E14*'Rate Class Energy Model'!$F$25</f>
        <v>9484346.3501666561</v>
      </c>
      <c r="I14" s="230">
        <f>+G14-H14</f>
        <v>0</v>
      </c>
    </row>
    <row r="15" spans="1:11" x14ac:dyDescent="0.2">
      <c r="A15" s="242" t="s">
        <v>228</v>
      </c>
      <c r="B15" s="219">
        <f>+B14</f>
        <v>12464.5</v>
      </c>
      <c r="C15" s="219">
        <f>+C14*'Rate Class Energy Model'!$M$66</f>
        <v>9165262.1399148051</v>
      </c>
      <c r="D15" s="219">
        <f>+C15*'Rate Class Load Model'!$E$43</f>
        <v>24898.897620145348</v>
      </c>
      <c r="E15" s="219">
        <f>+F46</f>
        <v>8488741.1477135979</v>
      </c>
      <c r="F15" s="219">
        <f>+E15*'Rate Class Load Model'!$E$43</f>
        <v>23061.020354274413</v>
      </c>
      <c r="G15" s="482">
        <f>+C15*'Rate Class Energy Model'!$F$25</f>
        <v>9494070.2581699304</v>
      </c>
      <c r="H15" s="482">
        <f>+E15*'Rate Class Energy Model'!$F$25</f>
        <v>8793278.755097352</v>
      </c>
      <c r="I15" s="230">
        <f t="shared" ref="I15:I19" si="3">+G15-H15</f>
        <v>700791.50307257846</v>
      </c>
    </row>
    <row r="16" spans="1:11" x14ac:dyDescent="0.2">
      <c r="A16" s="242" t="s">
        <v>229</v>
      </c>
      <c r="B16" s="219">
        <f>+B15</f>
        <v>12464.5</v>
      </c>
      <c r="C16" s="219">
        <f>+C15*'Rate Class Energy Model'!$M$66</f>
        <v>9174658.9040758759</v>
      </c>
      <c r="D16" s="219">
        <f>+C16*'Rate Class Load Model'!$E$43</f>
        <v>24924.425429959778</v>
      </c>
      <c r="E16" s="219">
        <f>+F60</f>
        <v>5055838.9177196147</v>
      </c>
      <c r="F16" s="219">
        <f>+E16*'Rate Class Load Model'!$E$43</f>
        <v>13734.993464946034</v>
      </c>
      <c r="G16" s="482">
        <f>+C16*'Rate Class Energy Model'!$F$25</f>
        <v>9503804.135693863</v>
      </c>
      <c r="H16" s="482">
        <f>+E16*'Rate Class Energy Model'!$F$25</f>
        <v>5237219.5324100163</v>
      </c>
      <c r="I16" s="230">
        <f t="shared" si="3"/>
        <v>4266584.6032838468</v>
      </c>
    </row>
    <row r="17" spans="1:9" x14ac:dyDescent="0.2">
      <c r="A17" s="242" t="s">
        <v>230</v>
      </c>
      <c r="B17" s="219">
        <f>+B16</f>
        <v>12464.5</v>
      </c>
      <c r="C17" s="219">
        <f>+C16*'Rate Class Energy Model'!$M$66</f>
        <v>9184065.3023505546</v>
      </c>
      <c r="D17" s="219">
        <f>+C17*'Rate Class Load Model'!$E$43</f>
        <v>24949.979412381686</v>
      </c>
      <c r="E17" s="219">
        <f>+F74</f>
        <v>4577937.5</v>
      </c>
      <c r="F17" s="219">
        <f>+E17*'Rate Class Load Model'!$E$43</f>
        <v>12436.697978066089</v>
      </c>
      <c r="G17" s="482">
        <f>+C17*'Rate Class Energy Model'!$F$25</f>
        <v>9513547.9929597881</v>
      </c>
      <c r="H17" s="482">
        <f>+E17*'Rate Class Energy Model'!$F$25</f>
        <v>4742173.175083328</v>
      </c>
      <c r="I17" s="230">
        <f t="shared" si="3"/>
        <v>4771374.81787646</v>
      </c>
    </row>
    <row r="18" spans="1:9" x14ac:dyDescent="0.2">
      <c r="A18" s="242" t="s">
        <v>231</v>
      </c>
      <c r="B18" s="219">
        <f>+B17</f>
        <v>12464.5</v>
      </c>
      <c r="C18" s="219">
        <f>+C17*'Rate Class Energy Model'!$M$66</f>
        <v>9193481.3446162995</v>
      </c>
      <c r="D18" s="219">
        <f>+C18*'Rate Class Load Model'!$E$43</f>
        <v>24975.559594244758</v>
      </c>
      <c r="E18" s="219">
        <f>+E17</f>
        <v>4577937.5</v>
      </c>
      <c r="F18" s="219">
        <f>+E18*'Rate Class Load Model'!$E$43</f>
        <v>12436.697978066089</v>
      </c>
      <c r="G18" s="482">
        <f>+C18*'Rate Class Energy Model'!$F$25</f>
        <v>9523301.8401995264</v>
      </c>
      <c r="H18" s="482">
        <f>+E18*'Rate Class Energy Model'!$F$25</f>
        <v>4742173.175083328</v>
      </c>
      <c r="I18" s="230">
        <f t="shared" si="3"/>
        <v>4781128.6651161984</v>
      </c>
    </row>
    <row r="19" spans="1:9" ht="13.5" thickBot="1" x14ac:dyDescent="0.25">
      <c r="A19" s="243" t="s">
        <v>232</v>
      </c>
      <c r="B19" s="232">
        <f>+B18</f>
        <v>12464.5</v>
      </c>
      <c r="C19" s="232">
        <f>+C18*'Rate Class Energy Model'!$M$66</f>
        <v>9202907.0407606941</v>
      </c>
      <c r="D19" s="232">
        <f>+C19*'Rate Class Load Model'!$E$43</f>
        <v>25001.166002410191</v>
      </c>
      <c r="E19" s="232">
        <f>+E18</f>
        <v>4577937.5</v>
      </c>
      <c r="F19" s="232">
        <f>+E19*'Rate Class Load Model'!$E$43</f>
        <v>12436.697978066089</v>
      </c>
      <c r="G19" s="483">
        <f>+C19*'Rate Class Energy Model'!$F$25</f>
        <v>9533065.68765538</v>
      </c>
      <c r="H19" s="483">
        <f>+E19*'Rate Class Energy Model'!$F$25</f>
        <v>4742173.175083328</v>
      </c>
      <c r="I19" s="300">
        <f t="shared" si="3"/>
        <v>4790892.512572052</v>
      </c>
    </row>
    <row r="20" spans="1:9" ht="13.5" thickBot="1" x14ac:dyDescent="0.25"/>
    <row r="21" spans="1:9" ht="24.75" thickBot="1" x14ac:dyDescent="0.25">
      <c r="A21" s="543" t="s">
        <v>304</v>
      </c>
      <c r="B21" s="547" t="s">
        <v>260</v>
      </c>
      <c r="C21" s="545" t="s">
        <v>297</v>
      </c>
      <c r="D21" s="546"/>
      <c r="E21" s="218" t="s">
        <v>298</v>
      </c>
    </row>
    <row r="22" spans="1:9" ht="13.5" thickBot="1" x14ac:dyDescent="0.25">
      <c r="A22" s="544"/>
      <c r="B22" s="542"/>
      <c r="C22" s="217" t="s">
        <v>105</v>
      </c>
      <c r="D22" s="217" t="s">
        <v>106</v>
      </c>
      <c r="E22" s="218" t="s">
        <v>300</v>
      </c>
    </row>
    <row r="23" spans="1:9" x14ac:dyDescent="0.2">
      <c r="A23" s="242" t="s">
        <v>227</v>
      </c>
      <c r="B23" s="219">
        <v>0</v>
      </c>
      <c r="C23" s="219">
        <v>0</v>
      </c>
      <c r="D23" s="219">
        <v>0</v>
      </c>
      <c r="E23" s="230">
        <f>+C23*'Rate Class Energy Model'!$F$25</f>
        <v>0</v>
      </c>
    </row>
    <row r="24" spans="1:9" x14ac:dyDescent="0.2">
      <c r="A24" s="242" t="s">
        <v>228</v>
      </c>
      <c r="B24" s="219">
        <f>+'Chart II'!G51-'Chart II'!G$50</f>
        <v>249.5</v>
      </c>
      <c r="C24" s="219">
        <f>+'Rate Class Energy Model'!M42/2*B24</f>
        <v>91278.880309108077</v>
      </c>
      <c r="D24" s="219">
        <f>+C24*'Rate Class Load Model'!$E$43</f>
        <v>247.97364887144508</v>
      </c>
      <c r="E24" s="230">
        <f>+C24*'Rate Class Energy Model'!$F$25</f>
        <v>94553.553353118972</v>
      </c>
    </row>
    <row r="25" spans="1:9" x14ac:dyDescent="0.2">
      <c r="A25" s="242" t="s">
        <v>229</v>
      </c>
      <c r="B25" s="219">
        <f>+'Chart II'!G52-'Chart II'!G$50</f>
        <v>493</v>
      </c>
      <c r="C25" s="219">
        <f>+'Rate Class Energy Model'!M43/2*B25</f>
        <v>180547.59571676637</v>
      </c>
      <c r="D25" s="219">
        <f>+C25*'Rate Class Load Model'!$E$43</f>
        <v>490.48636391287613</v>
      </c>
      <c r="E25" s="230">
        <f>+C25*'Rate Class Energy Model'!$F$25</f>
        <v>187024.82618730355</v>
      </c>
    </row>
    <row r="26" spans="1:9" x14ac:dyDescent="0.2">
      <c r="A26" s="242" t="s">
        <v>230</v>
      </c>
      <c r="B26" s="219">
        <f>+'Chart II'!G53-'Chart II'!G$50</f>
        <v>747.85311180243116</v>
      </c>
      <c r="C26" s="219">
        <f>+'Rate Class Energy Model'!M44/2*B26</f>
        <v>274161.28775941499</v>
      </c>
      <c r="D26" s="219">
        <f>+C26*'Rate Class Load Model'!$E$43</f>
        <v>744.80290155588887</v>
      </c>
      <c r="E26" s="230">
        <f>+C26*'Rate Class Energy Model'!$F$25</f>
        <v>283996.95375024207</v>
      </c>
    </row>
    <row r="27" spans="1:9" x14ac:dyDescent="0.2">
      <c r="A27" s="242" t="s">
        <v>231</v>
      </c>
      <c r="B27" s="219">
        <f>+'Chart II'!G54-'Chart II'!G$50</f>
        <v>1007.7187729851721</v>
      </c>
      <c r="C27" s="219">
        <f>+'Rate Class Energy Model'!M45/2*B27</f>
        <v>369806.21997165284</v>
      </c>
      <c r="D27" s="219">
        <f>+C27*'Rate Class Load Model'!$E$43</f>
        <v>1004.637627358984</v>
      </c>
      <c r="E27" s="230">
        <f>+C27*'Rate Class Energy Model'!$F$25</f>
        <v>383073.1931854763</v>
      </c>
    </row>
    <row r="28" spans="1:9" ht="13.5" thickBot="1" x14ac:dyDescent="0.25">
      <c r="A28" s="243" t="s">
        <v>232</v>
      </c>
      <c r="B28" s="232">
        <f>+'Chart II'!G55-'Chart II'!G$50</f>
        <v>1272.6955723043611</v>
      </c>
      <c r="C28" s="232">
        <f>+'Rate Class Energy Model'!M46/2*B28</f>
        <v>467524.5615474676</v>
      </c>
      <c r="D28" s="232">
        <f>+C28*'Rate Class Load Model'!$E$43</f>
        <v>1270.1051006689422</v>
      </c>
      <c r="E28" s="300">
        <f>+C28*'Rate Class Energy Model'!$F$25</f>
        <v>484297.22652679181</v>
      </c>
    </row>
    <row r="29" spans="1:9" ht="13.5" thickBot="1" x14ac:dyDescent="0.25"/>
    <row r="30" spans="1:9" ht="24.75" customHeight="1" x14ac:dyDescent="0.2">
      <c r="A30" s="543" t="s">
        <v>334</v>
      </c>
      <c r="B30" s="522" t="s">
        <v>260</v>
      </c>
      <c r="C30" s="522"/>
      <c r="D30" s="522" t="s">
        <v>327</v>
      </c>
      <c r="E30" s="522"/>
      <c r="F30" s="547" t="s">
        <v>328</v>
      </c>
      <c r="G30" s="538" t="s">
        <v>259</v>
      </c>
    </row>
    <row r="31" spans="1:9" ht="12.75" customHeight="1" x14ac:dyDescent="0.2">
      <c r="A31" s="552"/>
      <c r="B31" s="541" t="s">
        <v>325</v>
      </c>
      <c r="C31" s="541" t="s">
        <v>326</v>
      </c>
      <c r="D31" s="541" t="s">
        <v>325</v>
      </c>
      <c r="E31" s="541" t="s">
        <v>326</v>
      </c>
      <c r="F31" s="541"/>
      <c r="G31" s="548"/>
    </row>
    <row r="32" spans="1:9" ht="13.5" thickBot="1" x14ac:dyDescent="0.25">
      <c r="A32" s="544"/>
      <c r="B32" s="542"/>
      <c r="C32" s="542"/>
      <c r="D32" s="542"/>
      <c r="E32" s="542"/>
      <c r="F32" s="542"/>
      <c r="G32" s="549"/>
    </row>
    <row r="33" spans="1:9" x14ac:dyDescent="0.2">
      <c r="A33" s="408" t="s">
        <v>323</v>
      </c>
      <c r="B33" s="402"/>
      <c r="C33" s="402"/>
      <c r="D33" s="402"/>
      <c r="E33" s="402"/>
      <c r="F33" s="402"/>
      <c r="G33" s="409"/>
    </row>
    <row r="34" spans="1:9" x14ac:dyDescent="0.2">
      <c r="A34" s="410" t="s">
        <v>311</v>
      </c>
      <c r="B34" s="411">
        <v>12465</v>
      </c>
      <c r="C34" s="248"/>
      <c r="D34" s="411">
        <f>+C14/B34</f>
        <v>734.52667468912955</v>
      </c>
      <c r="E34" s="411">
        <f>+D34/2</f>
        <v>367.26333734456477</v>
      </c>
      <c r="F34" s="411">
        <f>(+D34*B34/12)+(E34*C34/12)</f>
        <v>762989.58333333337</v>
      </c>
      <c r="G34" s="250"/>
      <c r="H34" s="372"/>
      <c r="I34" s="372"/>
    </row>
    <row r="35" spans="1:9" x14ac:dyDescent="0.2">
      <c r="A35" s="410" t="s">
        <v>312</v>
      </c>
      <c r="B35" s="411">
        <f>+B34</f>
        <v>12465</v>
      </c>
      <c r="C35" s="248"/>
      <c r="D35" s="411">
        <f>+D34</f>
        <v>734.52667468912955</v>
      </c>
      <c r="E35" s="411">
        <f>+E34</f>
        <v>367.26333734456477</v>
      </c>
      <c r="F35" s="411">
        <f t="shared" ref="F35:F45" si="4">(+D35*B35/12)+(E35*C35/12)</f>
        <v>762989.58333333337</v>
      </c>
      <c r="G35" s="250"/>
      <c r="H35" s="372"/>
      <c r="I35" s="372"/>
    </row>
    <row r="36" spans="1:9" x14ac:dyDescent="0.2">
      <c r="A36" s="410" t="s">
        <v>313</v>
      </c>
      <c r="B36" s="411">
        <f>+B35</f>
        <v>12465</v>
      </c>
      <c r="C36" s="248"/>
      <c r="D36" s="411">
        <f t="shared" ref="D36:D45" si="5">+D35</f>
        <v>734.52667468912955</v>
      </c>
      <c r="E36" s="411">
        <f t="shared" ref="E36:E45" si="6">+E35</f>
        <v>367.26333734456477</v>
      </c>
      <c r="F36" s="411">
        <f t="shared" si="4"/>
        <v>762989.58333333337</v>
      </c>
      <c r="G36" s="250"/>
      <c r="H36" s="372"/>
      <c r="I36" s="372"/>
    </row>
    <row r="37" spans="1:9" x14ac:dyDescent="0.2">
      <c r="A37" s="410" t="s">
        <v>314</v>
      </c>
      <c r="B37" s="411">
        <f>+B36</f>
        <v>12465</v>
      </c>
      <c r="C37" s="248"/>
      <c r="D37" s="411">
        <f t="shared" si="5"/>
        <v>734.52667468912955</v>
      </c>
      <c r="E37" s="411">
        <f t="shared" si="6"/>
        <v>367.26333734456477</v>
      </c>
      <c r="F37" s="411">
        <f t="shared" si="4"/>
        <v>762989.58333333337</v>
      </c>
      <c r="G37" s="250"/>
      <c r="H37" s="372"/>
      <c r="I37" s="372"/>
    </row>
    <row r="38" spans="1:9" x14ac:dyDescent="0.2">
      <c r="A38" s="410" t="s">
        <v>315</v>
      </c>
      <c r="B38" s="411">
        <f>+B37</f>
        <v>12465</v>
      </c>
      <c r="C38" s="248"/>
      <c r="D38" s="411">
        <f t="shared" si="5"/>
        <v>734.52667468912955</v>
      </c>
      <c r="E38" s="411">
        <f t="shared" si="6"/>
        <v>367.26333734456477</v>
      </c>
      <c r="F38" s="411">
        <f t="shared" si="4"/>
        <v>762989.58333333337</v>
      </c>
      <c r="G38" s="250"/>
      <c r="H38" s="372"/>
      <c r="I38" s="372"/>
    </row>
    <row r="39" spans="1:9" x14ac:dyDescent="0.2">
      <c r="A39" s="410" t="s">
        <v>316</v>
      </c>
      <c r="B39" s="411">
        <f>+B38</f>
        <v>12465</v>
      </c>
      <c r="C39" s="248"/>
      <c r="D39" s="411">
        <f t="shared" si="5"/>
        <v>734.52667468912955</v>
      </c>
      <c r="E39" s="411">
        <f t="shared" si="6"/>
        <v>367.26333734456477</v>
      </c>
      <c r="F39" s="411">
        <f t="shared" si="4"/>
        <v>762989.58333333337</v>
      </c>
      <c r="G39" s="250"/>
      <c r="H39" s="372"/>
      <c r="I39" s="372"/>
    </row>
    <row r="40" spans="1:9" x14ac:dyDescent="0.2">
      <c r="A40" s="410" t="s">
        <v>317</v>
      </c>
      <c r="B40" s="411">
        <f>+B$39-C40</f>
        <v>11427</v>
      </c>
      <c r="C40" s="411">
        <v>1038</v>
      </c>
      <c r="D40" s="411">
        <f t="shared" si="5"/>
        <v>734.52667468912955</v>
      </c>
      <c r="E40" s="411">
        <f t="shared" si="6"/>
        <v>367.26333734456477</v>
      </c>
      <c r="F40" s="411">
        <f t="shared" si="4"/>
        <v>731221.30465302849</v>
      </c>
      <c r="G40" s="250"/>
      <c r="H40" s="372"/>
      <c r="I40" s="372"/>
    </row>
    <row r="41" spans="1:9" x14ac:dyDescent="0.2">
      <c r="A41" s="410" t="s">
        <v>318</v>
      </c>
      <c r="B41" s="411">
        <f t="shared" ref="B41:B59" si="7">+B$39-C41</f>
        <v>10389</v>
      </c>
      <c r="C41" s="411">
        <f>+C40*2</f>
        <v>2076</v>
      </c>
      <c r="D41" s="411">
        <f t="shared" si="5"/>
        <v>734.52667468912955</v>
      </c>
      <c r="E41" s="411">
        <f t="shared" si="6"/>
        <v>367.26333734456477</v>
      </c>
      <c r="F41" s="411">
        <f t="shared" si="4"/>
        <v>699453.0259727235</v>
      </c>
      <c r="G41" s="250"/>
      <c r="H41" s="372"/>
      <c r="I41" s="372"/>
    </row>
    <row r="42" spans="1:9" x14ac:dyDescent="0.2">
      <c r="A42" s="410" t="s">
        <v>319</v>
      </c>
      <c r="B42" s="411">
        <f t="shared" si="7"/>
        <v>9351</v>
      </c>
      <c r="C42" s="411">
        <f>+C40*3</f>
        <v>3114</v>
      </c>
      <c r="D42" s="411">
        <f t="shared" si="5"/>
        <v>734.52667468912955</v>
      </c>
      <c r="E42" s="411">
        <f t="shared" si="6"/>
        <v>367.26333734456477</v>
      </c>
      <c r="F42" s="411">
        <f t="shared" si="4"/>
        <v>667684.74729241873</v>
      </c>
      <c r="G42" s="250"/>
      <c r="H42" s="372"/>
      <c r="I42" s="372"/>
    </row>
    <row r="43" spans="1:9" x14ac:dyDescent="0.2">
      <c r="A43" s="410" t="s">
        <v>320</v>
      </c>
      <c r="B43" s="411">
        <f t="shared" si="7"/>
        <v>8313</v>
      </c>
      <c r="C43" s="411">
        <f>+C40*4</f>
        <v>4152</v>
      </c>
      <c r="D43" s="411">
        <f t="shared" si="5"/>
        <v>734.52667468912955</v>
      </c>
      <c r="E43" s="411">
        <f t="shared" si="6"/>
        <v>367.26333734456477</v>
      </c>
      <c r="F43" s="411">
        <f t="shared" si="4"/>
        <v>635916.46861211397</v>
      </c>
      <c r="G43" s="250"/>
      <c r="H43" s="372"/>
      <c r="I43" s="372"/>
    </row>
    <row r="44" spans="1:9" x14ac:dyDescent="0.2">
      <c r="A44" s="410" t="s">
        <v>321</v>
      </c>
      <c r="B44" s="411">
        <f t="shared" si="7"/>
        <v>7275</v>
      </c>
      <c r="C44" s="411">
        <f>+C40*5</f>
        <v>5190</v>
      </c>
      <c r="D44" s="411">
        <f t="shared" si="5"/>
        <v>734.52667468912955</v>
      </c>
      <c r="E44" s="411">
        <f t="shared" si="6"/>
        <v>367.26333734456477</v>
      </c>
      <c r="F44" s="411">
        <f t="shared" si="4"/>
        <v>604148.18993180897</v>
      </c>
      <c r="G44" s="250"/>
      <c r="H44" s="372"/>
      <c r="I44" s="372"/>
    </row>
    <row r="45" spans="1:9" ht="13.5" thickBot="1" x14ac:dyDescent="0.25">
      <c r="A45" s="413" t="s">
        <v>322</v>
      </c>
      <c r="B45" s="412">
        <f t="shared" si="7"/>
        <v>6237</v>
      </c>
      <c r="C45" s="412">
        <f>+C40*6</f>
        <v>6228</v>
      </c>
      <c r="D45" s="412">
        <f t="shared" si="5"/>
        <v>734.52667468912955</v>
      </c>
      <c r="E45" s="412">
        <f t="shared" si="6"/>
        <v>367.26333734456477</v>
      </c>
      <c r="F45" s="412">
        <f t="shared" si="4"/>
        <v>572379.91125150421</v>
      </c>
      <c r="G45" s="257"/>
      <c r="H45" s="372"/>
      <c r="I45" s="372"/>
    </row>
    <row r="46" spans="1:9" ht="13.5" thickBot="1" x14ac:dyDescent="0.25">
      <c r="A46" s="417" t="s">
        <v>9</v>
      </c>
      <c r="B46" s="418"/>
      <c r="C46" s="418"/>
      <c r="D46" s="418"/>
      <c r="E46" s="418"/>
      <c r="F46" s="418">
        <f>SUM(F34:F45)</f>
        <v>8488741.1477135979</v>
      </c>
      <c r="G46" s="419">
        <f>+C5-F46</f>
        <v>667133.85228640214</v>
      </c>
      <c r="H46" s="372"/>
      <c r="I46" s="372"/>
    </row>
    <row r="47" spans="1:9" x14ac:dyDescent="0.2">
      <c r="A47" s="414" t="s">
        <v>324</v>
      </c>
      <c r="B47" s="415"/>
      <c r="C47" s="415"/>
      <c r="D47" s="415"/>
      <c r="E47" s="415"/>
      <c r="F47" s="415"/>
      <c r="G47" s="416"/>
      <c r="H47" s="372"/>
      <c r="I47" s="372"/>
    </row>
    <row r="48" spans="1:9" x14ac:dyDescent="0.2">
      <c r="A48" s="410" t="s">
        <v>311</v>
      </c>
      <c r="B48" s="411">
        <f t="shared" si="7"/>
        <v>5199</v>
      </c>
      <c r="C48" s="411">
        <f>+C$40*7</f>
        <v>7266</v>
      </c>
      <c r="D48" s="411">
        <f>+D45</f>
        <v>734.52667468912955</v>
      </c>
      <c r="E48" s="411">
        <f>+E45</f>
        <v>367.26333734456477</v>
      </c>
      <c r="F48" s="411">
        <f t="shared" ref="F48:F59" si="8">(+D48*B48/12)+(E48*C48/12)</f>
        <v>540611.63257119933</v>
      </c>
      <c r="G48" s="250"/>
      <c r="H48" s="372"/>
      <c r="I48" s="372"/>
    </row>
    <row r="49" spans="1:9" x14ac:dyDescent="0.2">
      <c r="A49" s="410" t="s">
        <v>312</v>
      </c>
      <c r="B49" s="411">
        <f t="shared" si="7"/>
        <v>4161</v>
      </c>
      <c r="C49" s="411">
        <f>+C$40*8</f>
        <v>8304</v>
      </c>
      <c r="D49" s="411">
        <f t="shared" ref="D49:D58" si="9">+D48</f>
        <v>734.52667468912955</v>
      </c>
      <c r="E49" s="411">
        <f t="shared" ref="E49:E58" si="10">+E48</f>
        <v>367.26333734456477</v>
      </c>
      <c r="F49" s="411">
        <f t="shared" si="8"/>
        <v>508843.35389089445</v>
      </c>
      <c r="G49" s="250"/>
      <c r="H49" s="372"/>
      <c r="I49" s="372"/>
    </row>
    <row r="50" spans="1:9" x14ac:dyDescent="0.2">
      <c r="A50" s="410" t="s">
        <v>313</v>
      </c>
      <c r="B50" s="411">
        <f t="shared" si="7"/>
        <v>3123</v>
      </c>
      <c r="C50" s="411">
        <f>+C$40*9</f>
        <v>9342</v>
      </c>
      <c r="D50" s="411">
        <f t="shared" si="9"/>
        <v>734.52667468912955</v>
      </c>
      <c r="E50" s="411">
        <f t="shared" si="10"/>
        <v>367.26333734456477</v>
      </c>
      <c r="F50" s="411">
        <f t="shared" si="8"/>
        <v>477075.07521058968</v>
      </c>
      <c r="G50" s="250"/>
      <c r="H50" s="372"/>
      <c r="I50" s="372"/>
    </row>
    <row r="51" spans="1:9" x14ac:dyDescent="0.2">
      <c r="A51" s="410" t="s">
        <v>314</v>
      </c>
      <c r="B51" s="411">
        <f t="shared" si="7"/>
        <v>2085</v>
      </c>
      <c r="C51" s="411">
        <f>+C$40*10</f>
        <v>10380</v>
      </c>
      <c r="D51" s="411">
        <f t="shared" si="9"/>
        <v>734.52667468912955</v>
      </c>
      <c r="E51" s="411">
        <f t="shared" si="10"/>
        <v>367.26333734456477</v>
      </c>
      <c r="F51" s="411">
        <f t="shared" si="8"/>
        <v>445306.79653028474</v>
      </c>
      <c r="G51" s="250"/>
      <c r="H51" s="372"/>
      <c r="I51" s="372"/>
    </row>
    <row r="52" spans="1:9" x14ac:dyDescent="0.2">
      <c r="A52" s="410" t="s">
        <v>315</v>
      </c>
      <c r="B52" s="411">
        <f t="shared" si="7"/>
        <v>1047</v>
      </c>
      <c r="C52" s="411">
        <f>+C$40*11</f>
        <v>11418</v>
      </c>
      <c r="D52" s="411">
        <f t="shared" si="9"/>
        <v>734.52667468912955</v>
      </c>
      <c r="E52" s="411">
        <f t="shared" si="10"/>
        <v>367.26333734456477</v>
      </c>
      <c r="F52" s="411">
        <f t="shared" si="8"/>
        <v>413538.51784997992</v>
      </c>
      <c r="G52" s="250"/>
      <c r="H52" s="372"/>
      <c r="I52" s="372"/>
    </row>
    <row r="53" spans="1:9" x14ac:dyDescent="0.2">
      <c r="A53" s="410" t="s">
        <v>316</v>
      </c>
      <c r="B53" s="411">
        <f t="shared" si="7"/>
        <v>0</v>
      </c>
      <c r="C53" s="411">
        <v>12465</v>
      </c>
      <c r="D53" s="411">
        <f t="shared" si="9"/>
        <v>734.52667468912955</v>
      </c>
      <c r="E53" s="411">
        <f t="shared" si="10"/>
        <v>367.26333734456477</v>
      </c>
      <c r="F53" s="411">
        <f t="shared" si="8"/>
        <v>381494.79166666669</v>
      </c>
      <c r="G53" s="250"/>
      <c r="H53" s="372"/>
      <c r="I53" s="372"/>
    </row>
    <row r="54" spans="1:9" x14ac:dyDescent="0.2">
      <c r="A54" s="410" t="s">
        <v>317</v>
      </c>
      <c r="B54" s="411">
        <f t="shared" si="7"/>
        <v>0</v>
      </c>
      <c r="C54" s="411">
        <v>12465</v>
      </c>
      <c r="D54" s="411">
        <f t="shared" si="9"/>
        <v>734.52667468912955</v>
      </c>
      <c r="E54" s="411">
        <f t="shared" si="10"/>
        <v>367.26333734456477</v>
      </c>
      <c r="F54" s="411">
        <f t="shared" si="8"/>
        <v>381494.79166666669</v>
      </c>
      <c r="G54" s="250"/>
      <c r="H54" s="372"/>
      <c r="I54" s="372"/>
    </row>
    <row r="55" spans="1:9" x14ac:dyDescent="0.2">
      <c r="A55" s="410" t="s">
        <v>318</v>
      </c>
      <c r="B55" s="411">
        <f t="shared" si="7"/>
        <v>0</v>
      </c>
      <c r="C55" s="411">
        <v>12465</v>
      </c>
      <c r="D55" s="411">
        <f t="shared" si="9"/>
        <v>734.52667468912955</v>
      </c>
      <c r="E55" s="411">
        <f t="shared" si="10"/>
        <v>367.26333734456477</v>
      </c>
      <c r="F55" s="411">
        <f t="shared" si="8"/>
        <v>381494.79166666669</v>
      </c>
      <c r="G55" s="250"/>
      <c r="H55" s="372"/>
      <c r="I55" s="372"/>
    </row>
    <row r="56" spans="1:9" x14ac:dyDescent="0.2">
      <c r="A56" s="410" t="s">
        <v>319</v>
      </c>
      <c r="B56" s="411">
        <f t="shared" si="7"/>
        <v>0</v>
      </c>
      <c r="C56" s="411">
        <v>12465</v>
      </c>
      <c r="D56" s="411">
        <f t="shared" si="9"/>
        <v>734.52667468912955</v>
      </c>
      <c r="E56" s="411">
        <f t="shared" si="10"/>
        <v>367.26333734456477</v>
      </c>
      <c r="F56" s="411">
        <f t="shared" si="8"/>
        <v>381494.79166666669</v>
      </c>
      <c r="G56" s="250"/>
      <c r="H56" s="372"/>
      <c r="I56" s="372"/>
    </row>
    <row r="57" spans="1:9" x14ac:dyDescent="0.2">
      <c r="A57" s="410" t="s">
        <v>320</v>
      </c>
      <c r="B57" s="411">
        <f t="shared" si="7"/>
        <v>0</v>
      </c>
      <c r="C57" s="411">
        <v>12465</v>
      </c>
      <c r="D57" s="411">
        <f t="shared" si="9"/>
        <v>734.52667468912955</v>
      </c>
      <c r="E57" s="411">
        <f t="shared" si="10"/>
        <v>367.26333734456477</v>
      </c>
      <c r="F57" s="411">
        <f t="shared" si="8"/>
        <v>381494.79166666669</v>
      </c>
      <c r="G57" s="250"/>
      <c r="H57" s="372"/>
      <c r="I57" s="372"/>
    </row>
    <row r="58" spans="1:9" x14ac:dyDescent="0.2">
      <c r="A58" s="410" t="s">
        <v>321</v>
      </c>
      <c r="B58" s="411">
        <f t="shared" si="7"/>
        <v>0</v>
      </c>
      <c r="C58" s="411">
        <v>12465</v>
      </c>
      <c r="D58" s="411">
        <f t="shared" si="9"/>
        <v>734.52667468912955</v>
      </c>
      <c r="E58" s="411">
        <f t="shared" si="10"/>
        <v>367.26333734456477</v>
      </c>
      <c r="F58" s="411">
        <f t="shared" si="8"/>
        <v>381494.79166666669</v>
      </c>
      <c r="G58" s="250"/>
      <c r="H58" s="372"/>
      <c r="I58" s="372"/>
    </row>
    <row r="59" spans="1:9" ht="13.5" thickBot="1" x14ac:dyDescent="0.25">
      <c r="A59" s="413" t="s">
        <v>322</v>
      </c>
      <c r="B59" s="412">
        <f t="shared" si="7"/>
        <v>0</v>
      </c>
      <c r="C59" s="412">
        <v>12465</v>
      </c>
      <c r="D59" s="412">
        <f t="shared" ref="D59" si="11">+D58</f>
        <v>734.52667468912955</v>
      </c>
      <c r="E59" s="412">
        <f t="shared" ref="E59" si="12">+E58</f>
        <v>367.26333734456477</v>
      </c>
      <c r="F59" s="412">
        <f t="shared" si="8"/>
        <v>381494.79166666669</v>
      </c>
      <c r="G59" s="257"/>
      <c r="H59" s="372"/>
      <c r="I59" s="372"/>
    </row>
    <row r="60" spans="1:9" ht="13.5" thickBot="1" x14ac:dyDescent="0.25">
      <c r="A60" s="422" t="s">
        <v>9</v>
      </c>
      <c r="B60" s="421"/>
      <c r="C60" s="421"/>
      <c r="D60" s="418"/>
      <c r="E60" s="418"/>
      <c r="F60" s="418">
        <f>SUM(F48:F59)</f>
        <v>5055838.9177196147</v>
      </c>
      <c r="G60" s="419">
        <f>+C5-F60</f>
        <v>4100036.0822803853</v>
      </c>
      <c r="H60" s="372"/>
      <c r="I60" s="372"/>
    </row>
    <row r="61" spans="1:9" x14ac:dyDescent="0.2">
      <c r="A61" s="414" t="s">
        <v>329</v>
      </c>
      <c r="B61" s="415"/>
      <c r="C61" s="415"/>
      <c r="D61" s="415"/>
      <c r="E61" s="415"/>
      <c r="F61" s="415"/>
      <c r="G61" s="416"/>
      <c r="H61" s="372"/>
      <c r="I61" s="372"/>
    </row>
    <row r="62" spans="1:9" x14ac:dyDescent="0.2">
      <c r="A62" s="410" t="s">
        <v>311</v>
      </c>
      <c r="B62" s="411">
        <f t="shared" ref="B62:B73" si="13">+B$39-C62</f>
        <v>0</v>
      </c>
      <c r="C62" s="411">
        <f>+C59</f>
        <v>12465</v>
      </c>
      <c r="D62" s="411">
        <f>+D59</f>
        <v>734.52667468912955</v>
      </c>
      <c r="E62" s="411">
        <f>+E59</f>
        <v>367.26333734456477</v>
      </c>
      <c r="F62" s="411">
        <f t="shared" ref="F62:F73" si="14">(+D62*B62/12)+(E62*C62/12)</f>
        <v>381494.79166666669</v>
      </c>
      <c r="G62" s="250"/>
    </row>
    <row r="63" spans="1:9" x14ac:dyDescent="0.2">
      <c r="A63" s="410" t="s">
        <v>312</v>
      </c>
      <c r="B63" s="411">
        <f t="shared" si="13"/>
        <v>0</v>
      </c>
      <c r="C63" s="411">
        <f>+C62</f>
        <v>12465</v>
      </c>
      <c r="D63" s="411">
        <f t="shared" ref="D63:D73" si="15">+D62</f>
        <v>734.52667468912955</v>
      </c>
      <c r="E63" s="411">
        <f t="shared" ref="E63:E73" si="16">+E62</f>
        <v>367.26333734456477</v>
      </c>
      <c r="F63" s="411">
        <f t="shared" si="14"/>
        <v>381494.79166666669</v>
      </c>
      <c r="G63" s="250"/>
    </row>
    <row r="64" spans="1:9" x14ac:dyDescent="0.2">
      <c r="A64" s="410" t="s">
        <v>313</v>
      </c>
      <c r="B64" s="411">
        <f t="shared" si="13"/>
        <v>0</v>
      </c>
      <c r="C64" s="411">
        <f t="shared" ref="C64:C73" si="17">+C63</f>
        <v>12465</v>
      </c>
      <c r="D64" s="411">
        <f t="shared" si="15"/>
        <v>734.52667468912955</v>
      </c>
      <c r="E64" s="411">
        <f t="shared" si="16"/>
        <v>367.26333734456477</v>
      </c>
      <c r="F64" s="411">
        <f t="shared" si="14"/>
        <v>381494.79166666669</v>
      </c>
      <c r="G64" s="250"/>
    </row>
    <row r="65" spans="1:7" x14ac:dyDescent="0.2">
      <c r="A65" s="410" t="s">
        <v>314</v>
      </c>
      <c r="B65" s="411">
        <f t="shared" si="13"/>
        <v>0</v>
      </c>
      <c r="C65" s="411">
        <f t="shared" si="17"/>
        <v>12465</v>
      </c>
      <c r="D65" s="411">
        <f t="shared" si="15"/>
        <v>734.52667468912955</v>
      </c>
      <c r="E65" s="411">
        <f t="shared" si="16"/>
        <v>367.26333734456477</v>
      </c>
      <c r="F65" s="411">
        <f t="shared" si="14"/>
        <v>381494.79166666669</v>
      </c>
      <c r="G65" s="250"/>
    </row>
    <row r="66" spans="1:7" x14ac:dyDescent="0.2">
      <c r="A66" s="410" t="s">
        <v>315</v>
      </c>
      <c r="B66" s="411">
        <f t="shared" si="13"/>
        <v>0</v>
      </c>
      <c r="C66" s="411">
        <f t="shared" si="17"/>
        <v>12465</v>
      </c>
      <c r="D66" s="411">
        <f t="shared" si="15"/>
        <v>734.52667468912955</v>
      </c>
      <c r="E66" s="411">
        <f t="shared" si="16"/>
        <v>367.26333734456477</v>
      </c>
      <c r="F66" s="411">
        <f t="shared" si="14"/>
        <v>381494.79166666669</v>
      </c>
      <c r="G66" s="250"/>
    </row>
    <row r="67" spans="1:7" x14ac:dyDescent="0.2">
      <c r="A67" s="410" t="s">
        <v>316</v>
      </c>
      <c r="B67" s="411">
        <f t="shared" si="13"/>
        <v>0</v>
      </c>
      <c r="C67" s="411">
        <f t="shared" si="17"/>
        <v>12465</v>
      </c>
      <c r="D67" s="411">
        <f t="shared" si="15"/>
        <v>734.52667468912955</v>
      </c>
      <c r="E67" s="411">
        <f t="shared" si="16"/>
        <v>367.26333734456477</v>
      </c>
      <c r="F67" s="411">
        <f t="shared" si="14"/>
        <v>381494.79166666669</v>
      </c>
      <c r="G67" s="250"/>
    </row>
    <row r="68" spans="1:7" x14ac:dyDescent="0.2">
      <c r="A68" s="410" t="s">
        <v>317</v>
      </c>
      <c r="B68" s="411">
        <f t="shared" si="13"/>
        <v>0</v>
      </c>
      <c r="C68" s="411">
        <f t="shared" si="17"/>
        <v>12465</v>
      </c>
      <c r="D68" s="411">
        <f t="shared" si="15"/>
        <v>734.52667468912955</v>
      </c>
      <c r="E68" s="411">
        <f t="shared" si="16"/>
        <v>367.26333734456477</v>
      </c>
      <c r="F68" s="411">
        <f t="shared" si="14"/>
        <v>381494.79166666669</v>
      </c>
      <c r="G68" s="250"/>
    </row>
    <row r="69" spans="1:7" x14ac:dyDescent="0.2">
      <c r="A69" s="410" t="s">
        <v>318</v>
      </c>
      <c r="B69" s="411">
        <f t="shared" si="13"/>
        <v>0</v>
      </c>
      <c r="C69" s="411">
        <f t="shared" si="17"/>
        <v>12465</v>
      </c>
      <c r="D69" s="411">
        <f t="shared" si="15"/>
        <v>734.52667468912955</v>
      </c>
      <c r="E69" s="411">
        <f t="shared" si="16"/>
        <v>367.26333734456477</v>
      </c>
      <c r="F69" s="411">
        <f t="shared" si="14"/>
        <v>381494.79166666669</v>
      </c>
      <c r="G69" s="250"/>
    </row>
    <row r="70" spans="1:7" x14ac:dyDescent="0.2">
      <c r="A70" s="410" t="s">
        <v>319</v>
      </c>
      <c r="B70" s="411">
        <f t="shared" si="13"/>
        <v>0</v>
      </c>
      <c r="C70" s="411">
        <f t="shared" si="17"/>
        <v>12465</v>
      </c>
      <c r="D70" s="411">
        <f t="shared" si="15"/>
        <v>734.52667468912955</v>
      </c>
      <c r="E70" s="411">
        <f t="shared" si="16"/>
        <v>367.26333734456477</v>
      </c>
      <c r="F70" s="411">
        <f t="shared" si="14"/>
        <v>381494.79166666669</v>
      </c>
      <c r="G70" s="250"/>
    </row>
    <row r="71" spans="1:7" x14ac:dyDescent="0.2">
      <c r="A71" s="410" t="s">
        <v>320</v>
      </c>
      <c r="B71" s="411">
        <f t="shared" si="13"/>
        <v>0</v>
      </c>
      <c r="C71" s="411">
        <f t="shared" si="17"/>
        <v>12465</v>
      </c>
      <c r="D71" s="411">
        <f t="shared" si="15"/>
        <v>734.52667468912955</v>
      </c>
      <c r="E71" s="411">
        <f t="shared" si="16"/>
        <v>367.26333734456477</v>
      </c>
      <c r="F71" s="411">
        <f t="shared" si="14"/>
        <v>381494.79166666669</v>
      </c>
      <c r="G71" s="250"/>
    </row>
    <row r="72" spans="1:7" x14ac:dyDescent="0.2">
      <c r="A72" s="410" t="s">
        <v>321</v>
      </c>
      <c r="B72" s="411">
        <f t="shared" si="13"/>
        <v>0</v>
      </c>
      <c r="C72" s="411">
        <f t="shared" si="17"/>
        <v>12465</v>
      </c>
      <c r="D72" s="411">
        <f t="shared" si="15"/>
        <v>734.52667468912955</v>
      </c>
      <c r="E72" s="411">
        <f t="shared" si="16"/>
        <v>367.26333734456477</v>
      </c>
      <c r="F72" s="411">
        <f t="shared" si="14"/>
        <v>381494.79166666669</v>
      </c>
      <c r="G72" s="250"/>
    </row>
    <row r="73" spans="1:7" ht="13.5" thickBot="1" x14ac:dyDescent="0.25">
      <c r="A73" s="413" t="s">
        <v>322</v>
      </c>
      <c r="B73" s="412">
        <f t="shared" si="13"/>
        <v>0</v>
      </c>
      <c r="C73" s="412">
        <f t="shared" si="17"/>
        <v>12465</v>
      </c>
      <c r="D73" s="412">
        <f t="shared" si="15"/>
        <v>734.52667468912955</v>
      </c>
      <c r="E73" s="412">
        <f t="shared" si="16"/>
        <v>367.26333734456477</v>
      </c>
      <c r="F73" s="412">
        <f t="shared" si="14"/>
        <v>381494.79166666669</v>
      </c>
      <c r="G73" s="257"/>
    </row>
    <row r="74" spans="1:7" ht="13.5" thickBot="1" x14ac:dyDescent="0.25">
      <c r="A74" s="420"/>
      <c r="B74" s="421"/>
      <c r="C74" s="421"/>
      <c r="D74" s="421"/>
      <c r="E74" s="421"/>
      <c r="F74" s="418">
        <f>SUM(F62:F73)</f>
        <v>4577937.5</v>
      </c>
      <c r="G74" s="419">
        <f>+C5-F74</f>
        <v>4577937.5</v>
      </c>
    </row>
  </sheetData>
  <mergeCells count="22">
    <mergeCell ref="A3:A4"/>
    <mergeCell ref="B3:B4"/>
    <mergeCell ref="B12:B13"/>
    <mergeCell ref="F30:F32"/>
    <mergeCell ref="G30:G32"/>
    <mergeCell ref="C3:D3"/>
    <mergeCell ref="E3:F3"/>
    <mergeCell ref="G3:I3"/>
    <mergeCell ref="C12:D12"/>
    <mergeCell ref="E12:F12"/>
    <mergeCell ref="G12:I12"/>
    <mergeCell ref="D30:E30"/>
    <mergeCell ref="D31:D32"/>
    <mergeCell ref="E31:E32"/>
    <mergeCell ref="A30:A32"/>
    <mergeCell ref="B31:B32"/>
    <mergeCell ref="C31:C32"/>
    <mergeCell ref="B30:C30"/>
    <mergeCell ref="A12:A13"/>
    <mergeCell ref="A21:A22"/>
    <mergeCell ref="C21:D21"/>
    <mergeCell ref="B21:B2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70"/>
  <sheetViews>
    <sheetView showGridLines="0" zoomScaleNormal="100" workbookViewId="0">
      <selection activeCell="S12" sqref="S12"/>
    </sheetView>
  </sheetViews>
  <sheetFormatPr defaultRowHeight="12.75" x14ac:dyDescent="0.2"/>
  <cols>
    <col min="1" max="1" width="5.85546875" customWidth="1"/>
    <col min="2" max="2" width="13.7109375" customWidth="1"/>
    <col min="3" max="3" width="10.42578125" customWidth="1"/>
    <col min="4" max="4" width="1.7109375" customWidth="1"/>
    <col min="5" max="5" width="12" customWidth="1"/>
    <col min="6" max="6" width="13.28515625" customWidth="1"/>
    <col min="7" max="7" width="12.7109375" customWidth="1"/>
    <col min="8" max="8" width="13.28515625" customWidth="1"/>
    <col min="9" max="9" width="12.7109375" customWidth="1"/>
    <col min="10" max="11" width="13.28515625" customWidth="1"/>
    <col min="12" max="14" width="12.7109375" customWidth="1"/>
    <col min="15" max="15" width="12.28515625" customWidth="1"/>
    <col min="16" max="18" width="13.28515625" customWidth="1"/>
    <col min="19" max="19" width="13.85546875" bestFit="1" customWidth="1"/>
    <col min="20" max="20" width="13.28515625" customWidth="1"/>
    <col min="21" max="21" width="10.140625" bestFit="1" customWidth="1"/>
    <col min="23" max="23" width="25.85546875" customWidth="1"/>
    <col min="24" max="24" width="11.7109375" bestFit="1" customWidth="1"/>
    <col min="25" max="25" width="10.7109375" bestFit="1" customWidth="1"/>
  </cols>
  <sheetData>
    <row r="1" spans="1:19" x14ac:dyDescent="0.2">
      <c r="A1" t="s">
        <v>82</v>
      </c>
    </row>
    <row r="2" spans="1:19" x14ac:dyDescent="0.2">
      <c r="A2" t="s">
        <v>83</v>
      </c>
    </row>
    <row r="3" spans="1:19" x14ac:dyDescent="0.2">
      <c r="A3" s="58" t="s">
        <v>95</v>
      </c>
    </row>
    <row r="4" spans="1:19" ht="13.5" thickBot="1" x14ac:dyDescent="0.25"/>
    <row r="5" spans="1:19" ht="12.75" customHeight="1" thickBot="1" x14ac:dyDescent="0.25">
      <c r="E5" s="543" t="s">
        <v>273</v>
      </c>
      <c r="F5" s="553" t="s">
        <v>259</v>
      </c>
      <c r="G5" s="554"/>
      <c r="H5" s="554"/>
      <c r="I5" s="554"/>
      <c r="J5" s="554"/>
      <c r="K5" s="554"/>
      <c r="L5" s="554"/>
      <c r="M5" s="554"/>
      <c r="N5" s="554"/>
      <c r="O5" s="555"/>
      <c r="Q5" s="224" t="s">
        <v>112</v>
      </c>
      <c r="R5" s="217" t="s">
        <v>2</v>
      </c>
      <c r="S5" s="218" t="s">
        <v>270</v>
      </c>
    </row>
    <row r="6" spans="1:19" ht="13.5" thickBot="1" x14ac:dyDescent="0.25">
      <c r="E6" s="544"/>
      <c r="F6" s="305">
        <v>2010</v>
      </c>
      <c r="G6" s="305">
        <v>2011</v>
      </c>
      <c r="H6" s="305">
        <v>2012</v>
      </c>
      <c r="I6" s="305">
        <v>2013</v>
      </c>
      <c r="J6" s="305">
        <v>2014</v>
      </c>
      <c r="K6" s="306">
        <v>2015</v>
      </c>
      <c r="L6" s="306">
        <v>2016</v>
      </c>
      <c r="M6" s="306">
        <v>2017</v>
      </c>
      <c r="N6" s="306">
        <v>2018</v>
      </c>
      <c r="O6" s="307">
        <v>2019</v>
      </c>
      <c r="Q6" s="371" t="s">
        <v>284</v>
      </c>
      <c r="R6" s="245"/>
      <c r="S6" s="246"/>
    </row>
    <row r="7" spans="1:19" x14ac:dyDescent="0.2">
      <c r="E7" s="338" t="s">
        <v>272</v>
      </c>
      <c r="F7" s="339">
        <f t="shared" ref="F7:O7" si="0">+I40</f>
        <v>23940408.65980842</v>
      </c>
      <c r="G7" s="339">
        <f t="shared" si="0"/>
        <v>22739420.388500731</v>
      </c>
      <c r="H7" s="339">
        <f t="shared" si="0"/>
        <v>22381805.621150054</v>
      </c>
      <c r="I7" s="339">
        <f t="shared" si="0"/>
        <v>22309529.373889752</v>
      </c>
      <c r="J7" s="339">
        <f t="shared" si="0"/>
        <v>21747880.640079182</v>
      </c>
      <c r="K7" s="339">
        <f t="shared" si="0"/>
        <v>19730014.398549568</v>
      </c>
      <c r="L7" s="339">
        <f t="shared" si="0"/>
        <v>18946289.991510943</v>
      </c>
      <c r="M7" s="339">
        <f t="shared" si="0"/>
        <v>16748951.473723039</v>
      </c>
      <c r="N7" s="339">
        <f t="shared" si="0"/>
        <v>14366129.408459488</v>
      </c>
      <c r="O7" s="370">
        <f t="shared" si="0"/>
        <v>13626335.602470325</v>
      </c>
      <c r="Q7" s="242" t="s">
        <v>227</v>
      </c>
      <c r="R7" s="219">
        <f>+J19</f>
        <v>36459665.075826928</v>
      </c>
      <c r="S7" s="230">
        <f>+R7*'Rate Class Energy Model'!$F$25</f>
        <v>37767672.821026698</v>
      </c>
    </row>
    <row r="8" spans="1:19" x14ac:dyDescent="0.2">
      <c r="E8" s="338">
        <v>2011</v>
      </c>
      <c r="F8" s="339"/>
      <c r="G8" s="339">
        <f>+J45/2</f>
        <v>1292000</v>
      </c>
      <c r="H8" s="339">
        <f t="shared" ref="H8:O8" si="1">+K45</f>
        <v>2562149.417193138</v>
      </c>
      <c r="I8" s="339">
        <f t="shared" si="1"/>
        <v>2540483.6052721115</v>
      </c>
      <c r="J8" s="339">
        <f t="shared" si="1"/>
        <v>2516049.896933347</v>
      </c>
      <c r="K8" s="339">
        <f t="shared" si="1"/>
        <v>2393864.7538477653</v>
      </c>
      <c r="L8" s="339">
        <f t="shared" si="1"/>
        <v>2114650.3082580441</v>
      </c>
      <c r="M8" s="339">
        <f t="shared" si="1"/>
        <v>1775179.4012030358</v>
      </c>
      <c r="N8" s="339">
        <f t="shared" si="1"/>
        <v>1488993.519085088</v>
      </c>
      <c r="O8" s="370">
        <f t="shared" si="1"/>
        <v>1235307.4208164066</v>
      </c>
      <c r="Q8" s="242" t="s">
        <v>228</v>
      </c>
      <c r="R8" s="219">
        <f>+K19</f>
        <v>42635787.187697716</v>
      </c>
      <c r="S8" s="230">
        <f>+R8*'Rate Class Energy Model'!$F$25</f>
        <v>44165366.237538531</v>
      </c>
    </row>
    <row r="9" spans="1:19" x14ac:dyDescent="0.2">
      <c r="E9" s="338">
        <v>2012</v>
      </c>
      <c r="F9" s="339"/>
      <c r="G9" s="339"/>
      <c r="H9" s="339">
        <f>+K46/2</f>
        <v>1997500</v>
      </c>
      <c r="I9" s="339">
        <f t="shared" ref="I9:O9" si="2">+L46</f>
        <v>3924953.9781518746</v>
      </c>
      <c r="J9" s="339">
        <f t="shared" si="2"/>
        <v>3800044.6055374094</v>
      </c>
      <c r="K9" s="339">
        <f t="shared" si="2"/>
        <v>3543479.4329183633</v>
      </c>
      <c r="L9" s="339">
        <f t="shared" si="2"/>
        <v>3154511.5859724586</v>
      </c>
      <c r="M9" s="339">
        <f t="shared" si="2"/>
        <v>2522270.488040776</v>
      </c>
      <c r="N9" s="339">
        <f t="shared" si="2"/>
        <v>1949487.9976426857</v>
      </c>
      <c r="O9" s="370">
        <f t="shared" si="2"/>
        <v>1505780.8760472187</v>
      </c>
      <c r="Q9" s="242" t="s">
        <v>229</v>
      </c>
      <c r="R9" s="219">
        <f>+L19</f>
        <v>53959412.807951793</v>
      </c>
      <c r="S9" s="230">
        <f>+R9*'Rate Class Energy Model'!$F$25</f>
        <v>55895232.287709638</v>
      </c>
    </row>
    <row r="10" spans="1:19" x14ac:dyDescent="0.2">
      <c r="E10" s="338">
        <v>2013</v>
      </c>
      <c r="F10" s="339"/>
      <c r="G10" s="339"/>
      <c r="H10" s="339"/>
      <c r="I10" s="339">
        <f>+L47/2</f>
        <v>2624000</v>
      </c>
      <c r="J10" s="339">
        <f t="shared" ref="J10:O10" si="3">+M47</f>
        <v>5163469.1902769916</v>
      </c>
      <c r="K10" s="339">
        <f t="shared" si="3"/>
        <v>5015308.0573407756</v>
      </c>
      <c r="L10" s="339">
        <f t="shared" si="3"/>
        <v>4634806.6485508932</v>
      </c>
      <c r="M10" s="339">
        <f t="shared" si="3"/>
        <v>3741778.3900143262</v>
      </c>
      <c r="N10" s="339">
        <f t="shared" si="3"/>
        <v>2719565.5009593228</v>
      </c>
      <c r="O10" s="370">
        <f t="shared" si="3"/>
        <v>1975180.853132403</v>
      </c>
      <c r="Q10" s="242" t="s">
        <v>230</v>
      </c>
      <c r="R10" s="219">
        <f>+M19</f>
        <v>4770233.9110897565</v>
      </c>
      <c r="S10" s="230">
        <f>+R10*'Rate Class Energy Model'!$F$25</f>
        <v>4941368.3109572101</v>
      </c>
    </row>
    <row r="11" spans="1:19" x14ac:dyDescent="0.2">
      <c r="E11" s="338">
        <v>2014</v>
      </c>
      <c r="F11" s="339"/>
      <c r="G11" s="339"/>
      <c r="H11" s="339"/>
      <c r="I11" s="339"/>
      <c r="J11" s="339">
        <f>+M48/2</f>
        <v>3232220.7429999998</v>
      </c>
      <c r="K11" s="339">
        <f>+J11</f>
        <v>3232220.7429999998</v>
      </c>
      <c r="L11" s="339">
        <f>+K11</f>
        <v>3232220.7429999998</v>
      </c>
      <c r="M11" s="339">
        <f>+L11</f>
        <v>3232220.7429999998</v>
      </c>
      <c r="N11" s="339">
        <f>+M11</f>
        <v>3232220.7429999998</v>
      </c>
      <c r="O11" s="370">
        <f>+R48/2</f>
        <v>3232220.7429999998</v>
      </c>
      <c r="Q11" s="242" t="s">
        <v>231</v>
      </c>
      <c r="R11" s="219">
        <f>+N19</f>
        <v>16411508.526840698</v>
      </c>
      <c r="S11" s="230">
        <f>+R11*'Rate Class Energy Model'!$F$25</f>
        <v>17000279.164718885</v>
      </c>
    </row>
    <row r="12" spans="1:19" ht="13.5" thickBot="1" x14ac:dyDescent="0.25">
      <c r="E12" s="338">
        <v>2015</v>
      </c>
      <c r="F12" s="339"/>
      <c r="G12" s="339"/>
      <c r="H12" s="339"/>
      <c r="I12" s="339"/>
      <c r="J12" s="339"/>
      <c r="K12" s="339">
        <f>+N56/2</f>
        <v>8720899.8020412456</v>
      </c>
      <c r="L12" s="339">
        <f>+K12*2</f>
        <v>17441799.604082491</v>
      </c>
      <c r="M12" s="339">
        <f>+L12</f>
        <v>17441799.604082491</v>
      </c>
      <c r="N12" s="339">
        <f>+M12</f>
        <v>17441799.604082491</v>
      </c>
      <c r="O12" s="370">
        <f>+R56</f>
        <v>17302100.04963788</v>
      </c>
      <c r="Q12" s="243" t="s">
        <v>232</v>
      </c>
      <c r="R12" s="232">
        <f>+O19</f>
        <v>28140257.927591637</v>
      </c>
      <c r="S12" s="300">
        <f>+R12*'Rate Class Energy Model'!$F$25</f>
        <v>29149803.002804432</v>
      </c>
    </row>
    <row r="13" spans="1:19" x14ac:dyDescent="0.2">
      <c r="E13" s="338">
        <v>2016</v>
      </c>
      <c r="F13" s="339"/>
      <c r="G13" s="339"/>
      <c r="H13" s="339"/>
      <c r="I13" s="339"/>
      <c r="J13" s="339"/>
      <c r="K13" s="339"/>
      <c r="L13" s="339">
        <f>+O57/2</f>
        <v>4435133.9265769608</v>
      </c>
      <c r="M13" s="339">
        <f>+L13*2</f>
        <v>8870267.8531539217</v>
      </c>
      <c r="N13" s="339">
        <f>+M13</f>
        <v>8870267.8531539217</v>
      </c>
      <c r="O13" s="370">
        <f>+R57</f>
        <v>9230107.7907442451</v>
      </c>
    </row>
    <row r="14" spans="1:19" x14ac:dyDescent="0.2">
      <c r="E14" s="338">
        <v>2017</v>
      </c>
      <c r="F14" s="339"/>
      <c r="G14" s="339"/>
      <c r="H14" s="339"/>
      <c r="I14" s="339"/>
      <c r="J14" s="339"/>
      <c r="K14" s="339"/>
      <c r="L14" s="339"/>
      <c r="M14" s="219">
        <f>(+P58/2)-((M21/2)-M18)</f>
        <v>7257963.9110897565</v>
      </c>
      <c r="N14" s="219">
        <f>+M14*2</f>
        <v>14515927.822179513</v>
      </c>
      <c r="O14" s="343">
        <f>+N14</f>
        <v>14515927.822179513</v>
      </c>
    </row>
    <row r="15" spans="1:19" x14ac:dyDescent="0.2">
      <c r="E15" s="338">
        <v>2018</v>
      </c>
      <c r="F15" s="339"/>
      <c r="G15" s="339"/>
      <c r="H15" s="339"/>
      <c r="I15" s="339"/>
      <c r="J15" s="339"/>
      <c r="K15" s="339"/>
      <c r="L15" s="339"/>
      <c r="M15" s="219"/>
      <c r="N15" s="219">
        <f>(+Q59/2)-((+N21/2)-N18)</f>
        <v>6871040.704661184</v>
      </c>
      <c r="O15" s="343">
        <f>+N15*2</f>
        <v>13742081.409322368</v>
      </c>
    </row>
    <row r="16" spans="1:19" ht="13.5" thickBot="1" x14ac:dyDescent="0.25">
      <c r="E16" s="340">
        <v>2019</v>
      </c>
      <c r="F16" s="341"/>
      <c r="G16" s="341"/>
      <c r="H16" s="341"/>
      <c r="I16" s="341"/>
      <c r="J16" s="341"/>
      <c r="K16" s="341"/>
      <c r="L16" s="341"/>
      <c r="M16" s="256"/>
      <c r="N16" s="256"/>
      <c r="O16" s="344">
        <f>(+R60/2)-((+O21/2)-O18)</f>
        <v>4857708.6960897557</v>
      </c>
    </row>
    <row r="17" spans="1:20" ht="13.5" thickBot="1" x14ac:dyDescent="0.25">
      <c r="E17" s="342" t="s">
        <v>274</v>
      </c>
      <c r="F17" s="345">
        <f>SUM(F7:F16)</f>
        <v>23940408.65980842</v>
      </c>
      <c r="G17" s="345">
        <f t="shared" ref="G17:L17" si="4">SUM(G7:G16)</f>
        <v>24031420.388500731</v>
      </c>
      <c r="H17" s="345">
        <f t="shared" si="4"/>
        <v>26941455.038343191</v>
      </c>
      <c r="I17" s="345">
        <f t="shared" si="4"/>
        <v>31398966.957313739</v>
      </c>
      <c r="J17" s="345">
        <f t="shared" si="4"/>
        <v>36459665.075826928</v>
      </c>
      <c r="K17" s="345">
        <f t="shared" si="4"/>
        <v>42635787.187697716</v>
      </c>
      <c r="L17" s="345">
        <f t="shared" si="4"/>
        <v>53959412.807951793</v>
      </c>
      <c r="M17" s="346">
        <f>SUM(M14:M16)</f>
        <v>7257963.9110897565</v>
      </c>
      <c r="N17" s="346">
        <f t="shared" ref="N17:O17" si="5">SUM(N14:N16)</f>
        <v>21386968.526840698</v>
      </c>
      <c r="O17" s="348">
        <f t="shared" si="5"/>
        <v>33115717.927591637</v>
      </c>
    </row>
    <row r="18" spans="1:20" ht="13.5" thickBot="1" x14ac:dyDescent="0.25">
      <c r="E18" s="491" t="s">
        <v>354</v>
      </c>
      <c r="F18" s="339"/>
      <c r="G18" s="339"/>
      <c r="H18" s="339"/>
      <c r="I18" s="339"/>
      <c r="J18" s="339"/>
      <c r="K18" s="339">
        <v>0</v>
      </c>
      <c r="L18" s="339">
        <v>0</v>
      </c>
      <c r="M18" s="219">
        <f>+M22</f>
        <v>2487730</v>
      </c>
      <c r="N18" s="219">
        <f>+M18*2</f>
        <v>4975460</v>
      </c>
      <c r="O18" s="343">
        <f>+N18</f>
        <v>4975460</v>
      </c>
    </row>
    <row r="19" spans="1:20" ht="13.5" thickBot="1" x14ac:dyDescent="0.25">
      <c r="E19" s="342" t="s">
        <v>275</v>
      </c>
      <c r="F19" s="347">
        <f t="shared" ref="F19:O19" si="6">+F17-F18</f>
        <v>23940408.65980842</v>
      </c>
      <c r="G19" s="347">
        <f t="shared" si="6"/>
        <v>24031420.388500731</v>
      </c>
      <c r="H19" s="347">
        <f t="shared" si="6"/>
        <v>26941455.038343191</v>
      </c>
      <c r="I19" s="347">
        <f t="shared" si="6"/>
        <v>31398966.957313739</v>
      </c>
      <c r="J19" s="347">
        <f t="shared" si="6"/>
        <v>36459665.075826928</v>
      </c>
      <c r="K19" s="347">
        <f t="shared" si="6"/>
        <v>42635787.187697716</v>
      </c>
      <c r="L19" s="347">
        <f t="shared" si="6"/>
        <v>53959412.807951793</v>
      </c>
      <c r="M19" s="232">
        <f t="shared" si="6"/>
        <v>4770233.9110897565</v>
      </c>
      <c r="N19" s="232">
        <f t="shared" si="6"/>
        <v>16411508.526840698</v>
      </c>
      <c r="O19" s="349">
        <f t="shared" si="6"/>
        <v>28140257.927591637</v>
      </c>
    </row>
    <row r="21" spans="1:20" x14ac:dyDescent="0.2">
      <c r="J21" s="484" t="s">
        <v>346</v>
      </c>
      <c r="K21" s="485"/>
      <c r="L21" s="485" t="s">
        <v>353</v>
      </c>
      <c r="M21" s="485">
        <v>9759950.4300000016</v>
      </c>
      <c r="N21" s="485">
        <v>9759950.4300000016</v>
      </c>
      <c r="O21" s="485">
        <v>9759950.4300000016</v>
      </c>
    </row>
    <row r="22" spans="1:20" x14ac:dyDescent="0.2">
      <c r="J22" s="484" t="s">
        <v>352</v>
      </c>
      <c r="K22" s="485"/>
      <c r="L22" s="485">
        <v>12678</v>
      </c>
      <c r="M22" s="485">
        <f>+N22/2</f>
        <v>2487730</v>
      </c>
      <c r="N22" s="485">
        <v>4975460</v>
      </c>
      <c r="O22" s="485">
        <f>+N22</f>
        <v>4975460</v>
      </c>
    </row>
    <row r="23" spans="1:20" ht="16.5" thickBot="1" x14ac:dyDescent="0.25">
      <c r="A23" s="65" t="s">
        <v>84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  <row r="24" spans="1:20" ht="25.5" x14ac:dyDescent="0.2">
      <c r="A24" s="308" t="s">
        <v>85</v>
      </c>
      <c r="B24" s="309" t="s">
        <v>86</v>
      </c>
      <c r="C24" s="309" t="s">
        <v>87</v>
      </c>
      <c r="D24" s="310"/>
      <c r="E24" s="311">
        <v>2006</v>
      </c>
      <c r="F24" s="311">
        <f>E24+1</f>
        <v>2007</v>
      </c>
      <c r="G24" s="311">
        <f t="shared" ref="G24:T24" si="7">F24+1</f>
        <v>2008</v>
      </c>
      <c r="H24" s="311">
        <f t="shared" si="7"/>
        <v>2009</v>
      </c>
      <c r="I24" s="311">
        <f t="shared" si="7"/>
        <v>2010</v>
      </c>
      <c r="J24" s="311">
        <f t="shared" si="7"/>
        <v>2011</v>
      </c>
      <c r="K24" s="311">
        <f t="shared" si="7"/>
        <v>2012</v>
      </c>
      <c r="L24" s="311">
        <f t="shared" si="7"/>
        <v>2013</v>
      </c>
      <c r="M24" s="311">
        <f t="shared" si="7"/>
        <v>2014</v>
      </c>
      <c r="N24" s="311">
        <f t="shared" si="7"/>
        <v>2015</v>
      </c>
      <c r="O24" s="311">
        <f t="shared" si="7"/>
        <v>2016</v>
      </c>
      <c r="P24" s="311">
        <f t="shared" si="7"/>
        <v>2017</v>
      </c>
      <c r="Q24" s="311">
        <f t="shared" si="7"/>
        <v>2018</v>
      </c>
      <c r="R24" s="311">
        <f t="shared" si="7"/>
        <v>2019</v>
      </c>
      <c r="S24" s="311">
        <f t="shared" si="7"/>
        <v>2020</v>
      </c>
      <c r="T24" s="312">
        <f t="shared" si="7"/>
        <v>2021</v>
      </c>
    </row>
    <row r="25" spans="1:20" x14ac:dyDescent="0.2">
      <c r="A25" s="320"/>
      <c r="B25" s="67"/>
      <c r="C25" s="67"/>
      <c r="D25" s="67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321"/>
    </row>
    <row r="26" spans="1:20" x14ac:dyDescent="0.2">
      <c r="A26" s="313">
        <v>1</v>
      </c>
      <c r="B26" s="68" t="s">
        <v>88</v>
      </c>
      <c r="C26" s="69" t="s">
        <v>89</v>
      </c>
      <c r="D26" s="67"/>
      <c r="E26" s="70">
        <v>4361.6262111155238</v>
      </c>
      <c r="F26" s="71">
        <v>4361.6262111155238</v>
      </c>
      <c r="G26" s="71">
        <v>4361.6262111155238</v>
      </c>
      <c r="H26" s="71">
        <v>4361.6262111155238</v>
      </c>
      <c r="I26" s="71">
        <v>757.51789534210593</v>
      </c>
      <c r="J26" s="71">
        <v>757.51789534210593</v>
      </c>
      <c r="K26" s="71">
        <v>692.92263556019986</v>
      </c>
      <c r="L26" s="71">
        <v>692.92263556019986</v>
      </c>
      <c r="M26" s="71">
        <v>651.10757751410972</v>
      </c>
      <c r="N26" s="71">
        <v>651.10757751410972</v>
      </c>
      <c r="O26" s="71">
        <v>615.15304069904016</v>
      </c>
      <c r="P26" s="71">
        <v>615.15304069904016</v>
      </c>
      <c r="Q26" s="71">
        <v>615.15304069904016</v>
      </c>
      <c r="R26" s="71">
        <v>615.15304069904016</v>
      </c>
      <c r="S26" s="71">
        <v>556.82900059720487</v>
      </c>
      <c r="T26" s="322">
        <v>484.00425723934239</v>
      </c>
    </row>
    <row r="27" spans="1:20" x14ac:dyDescent="0.2">
      <c r="A27" s="315">
        <f>A26+1</f>
        <v>2</v>
      </c>
      <c r="B27" s="72" t="s">
        <v>90</v>
      </c>
      <c r="C27" s="73" t="s">
        <v>89</v>
      </c>
      <c r="D27" s="67"/>
      <c r="E27" s="74">
        <v>0</v>
      </c>
      <c r="F27" s="75">
        <v>2127.1429349556674</v>
      </c>
      <c r="G27" s="75">
        <v>2107.866777260087</v>
      </c>
      <c r="H27" s="75">
        <v>2107.866777260087</v>
      </c>
      <c r="I27" s="75">
        <v>2107.866777260087</v>
      </c>
      <c r="J27" s="75">
        <v>2107.7115059523994</v>
      </c>
      <c r="K27" s="75">
        <v>2041.9241361636698</v>
      </c>
      <c r="L27" s="75">
        <v>2041.9241361636698</v>
      </c>
      <c r="M27" s="75">
        <v>2041.9241361636698</v>
      </c>
      <c r="N27" s="75">
        <v>623.74141071566078</v>
      </c>
      <c r="O27" s="75">
        <v>515.84576550932638</v>
      </c>
      <c r="P27" s="75">
        <v>273.48108927619552</v>
      </c>
      <c r="Q27" s="75">
        <v>273.48108927619552</v>
      </c>
      <c r="R27" s="75">
        <v>273.48108927619552</v>
      </c>
      <c r="S27" s="75">
        <v>273.48108927619552</v>
      </c>
      <c r="T27" s="323">
        <v>273.48108927619552</v>
      </c>
    </row>
    <row r="28" spans="1:20" x14ac:dyDescent="0.2">
      <c r="A28" s="317">
        <f>A27+1</f>
        <v>3</v>
      </c>
      <c r="B28" s="76" t="s">
        <v>91</v>
      </c>
      <c r="C28" s="77" t="s">
        <v>89</v>
      </c>
      <c r="D28" s="67"/>
      <c r="E28" s="78">
        <v>0</v>
      </c>
      <c r="F28" s="79">
        <v>0</v>
      </c>
      <c r="G28" s="79">
        <v>12530.058480092956</v>
      </c>
      <c r="H28" s="79">
        <v>11855.51168622548</v>
      </c>
      <c r="I28" s="79">
        <v>11843.974199225479</v>
      </c>
      <c r="J28" s="79">
        <v>11843.974199225479</v>
      </c>
      <c r="K28" s="79">
        <v>11626.537302265524</v>
      </c>
      <c r="L28" s="79">
        <v>11626.076322265524</v>
      </c>
      <c r="M28" s="79">
        <v>11400.133673868217</v>
      </c>
      <c r="N28" s="79">
        <v>11231.335382708021</v>
      </c>
      <c r="O28" s="79">
        <v>10617.989690133236</v>
      </c>
      <c r="P28" s="79">
        <v>10371.387888842775</v>
      </c>
      <c r="Q28" s="79">
        <v>10228.972576730534</v>
      </c>
      <c r="R28" s="79">
        <v>10228.972576730534</v>
      </c>
      <c r="S28" s="79">
        <v>10207.341549654349</v>
      </c>
      <c r="T28" s="324">
        <v>10186.812614035698</v>
      </c>
    </row>
    <row r="29" spans="1:20" x14ac:dyDescent="0.2">
      <c r="A29" s="150">
        <f>A28+1</f>
        <v>4</v>
      </c>
      <c r="B29" s="80" t="s">
        <v>92</v>
      </c>
      <c r="C29" s="81" t="s">
        <v>89</v>
      </c>
      <c r="D29" s="67"/>
      <c r="E29" s="82">
        <v>0</v>
      </c>
      <c r="F29" s="83">
        <v>0</v>
      </c>
      <c r="G29" s="83">
        <v>0</v>
      </c>
      <c r="H29" s="83">
        <v>6169.1855876229893</v>
      </c>
      <c r="I29" s="83">
        <v>5473.3517879807496</v>
      </c>
      <c r="J29" s="83">
        <v>5473.3517879807496</v>
      </c>
      <c r="K29" s="83">
        <v>5470.4215471606612</v>
      </c>
      <c r="L29" s="83">
        <v>5399.6062799003594</v>
      </c>
      <c r="M29" s="83">
        <v>5174.7152525331849</v>
      </c>
      <c r="N29" s="83">
        <v>5058.830027611778</v>
      </c>
      <c r="O29" s="83">
        <v>5056.3014951693413</v>
      </c>
      <c r="P29" s="83">
        <v>3659.9294549050305</v>
      </c>
      <c r="Q29" s="83">
        <v>2068.522701753719</v>
      </c>
      <c r="R29" s="83">
        <v>1723.728895764556</v>
      </c>
      <c r="S29" s="83">
        <v>625.4707410176112</v>
      </c>
      <c r="T29" s="325">
        <v>563.13381735360963</v>
      </c>
    </row>
    <row r="30" spans="1:20" ht="13.5" thickBot="1" x14ac:dyDescent="0.25">
      <c r="A30" s="153" t="s">
        <v>9</v>
      </c>
      <c r="B30" s="154"/>
      <c r="C30" s="155"/>
      <c r="D30" s="156"/>
      <c r="E30" s="157">
        <f t="shared" ref="E30:T30" si="8">SUM(E26:E29)</f>
        <v>4361.6262111155238</v>
      </c>
      <c r="F30" s="157">
        <f t="shared" si="8"/>
        <v>6488.7691460711912</v>
      </c>
      <c r="G30" s="157">
        <f t="shared" si="8"/>
        <v>18999.551468468566</v>
      </c>
      <c r="H30" s="157">
        <f t="shared" si="8"/>
        <v>24494.190262224081</v>
      </c>
      <c r="I30" s="157">
        <f t="shared" si="8"/>
        <v>20182.710659808421</v>
      </c>
      <c r="J30" s="157">
        <f t="shared" si="8"/>
        <v>20182.555388500732</v>
      </c>
      <c r="K30" s="157">
        <f t="shared" si="8"/>
        <v>19831.805621150055</v>
      </c>
      <c r="L30" s="157">
        <f t="shared" si="8"/>
        <v>19760.529373889753</v>
      </c>
      <c r="M30" s="157">
        <f t="shared" si="8"/>
        <v>19267.88064007918</v>
      </c>
      <c r="N30" s="157">
        <f t="shared" si="8"/>
        <v>17565.014398549571</v>
      </c>
      <c r="O30" s="157">
        <f t="shared" si="8"/>
        <v>16805.289991510945</v>
      </c>
      <c r="P30" s="157">
        <f t="shared" si="8"/>
        <v>14919.95147372304</v>
      </c>
      <c r="Q30" s="157">
        <f t="shared" si="8"/>
        <v>13186.129408459488</v>
      </c>
      <c r="R30" s="157">
        <f t="shared" si="8"/>
        <v>12841.335602470326</v>
      </c>
      <c r="S30" s="157">
        <f t="shared" si="8"/>
        <v>11663.122380545361</v>
      </c>
      <c r="T30" s="158">
        <f t="shared" si="8"/>
        <v>11507.431777904845</v>
      </c>
    </row>
    <row r="33" spans="1:20" ht="16.5" thickBot="1" x14ac:dyDescent="0.25">
      <c r="A33" s="65" t="s">
        <v>93</v>
      </c>
    </row>
    <row r="34" spans="1:20" ht="25.5" x14ac:dyDescent="0.2">
      <c r="A34" s="308" t="s">
        <v>85</v>
      </c>
      <c r="B34" s="309" t="s">
        <v>86</v>
      </c>
      <c r="C34" s="309" t="s">
        <v>87</v>
      </c>
      <c r="D34" s="310"/>
      <c r="E34" s="311">
        <v>2006</v>
      </c>
      <c r="F34" s="311">
        <f>E34+1</f>
        <v>2007</v>
      </c>
      <c r="G34" s="311">
        <f t="shared" ref="G34:T34" si="9">F34+1</f>
        <v>2008</v>
      </c>
      <c r="H34" s="311">
        <f t="shared" si="9"/>
        <v>2009</v>
      </c>
      <c r="I34" s="311">
        <f t="shared" si="9"/>
        <v>2010</v>
      </c>
      <c r="J34" s="311">
        <f t="shared" si="9"/>
        <v>2011</v>
      </c>
      <c r="K34" s="311">
        <f t="shared" si="9"/>
        <v>2012</v>
      </c>
      <c r="L34" s="311">
        <f t="shared" si="9"/>
        <v>2013</v>
      </c>
      <c r="M34" s="311">
        <f t="shared" si="9"/>
        <v>2014</v>
      </c>
      <c r="N34" s="311">
        <f t="shared" si="9"/>
        <v>2015</v>
      </c>
      <c r="O34" s="311">
        <f t="shared" si="9"/>
        <v>2016</v>
      </c>
      <c r="P34" s="311">
        <f t="shared" si="9"/>
        <v>2017</v>
      </c>
      <c r="Q34" s="311">
        <f t="shared" si="9"/>
        <v>2018</v>
      </c>
      <c r="R34" s="311">
        <f t="shared" si="9"/>
        <v>2019</v>
      </c>
      <c r="S34" s="311">
        <f t="shared" si="9"/>
        <v>2020</v>
      </c>
      <c r="T34" s="312">
        <f t="shared" si="9"/>
        <v>2021</v>
      </c>
    </row>
    <row r="35" spans="1:20" x14ac:dyDescent="0.2">
      <c r="A35" s="313">
        <v>1</v>
      </c>
      <c r="B35" s="68" t="s">
        <v>88</v>
      </c>
      <c r="C35" s="69" t="s">
        <v>89</v>
      </c>
      <c r="D35" s="151"/>
      <c r="E35" s="70">
        <f>+E26*1000</f>
        <v>4361626.2111155242</v>
      </c>
      <c r="F35" s="70">
        <f t="shared" ref="F35:T38" si="10">+F26*1000</f>
        <v>4361626.2111155242</v>
      </c>
      <c r="G35" s="70">
        <f t="shared" si="10"/>
        <v>4361626.2111155242</v>
      </c>
      <c r="H35" s="70">
        <f t="shared" si="10"/>
        <v>4361626.2111155242</v>
      </c>
      <c r="I35" s="70">
        <f t="shared" si="10"/>
        <v>757517.89534210588</v>
      </c>
      <c r="J35" s="70">
        <f t="shared" si="10"/>
        <v>757517.89534210588</v>
      </c>
      <c r="K35" s="70">
        <f t="shared" si="10"/>
        <v>692922.63556019985</v>
      </c>
      <c r="L35" s="70">
        <f t="shared" si="10"/>
        <v>692922.63556019985</v>
      </c>
      <c r="M35" s="70">
        <f t="shared" si="10"/>
        <v>651107.57751410967</v>
      </c>
      <c r="N35" s="70">
        <f t="shared" si="10"/>
        <v>651107.57751410967</v>
      </c>
      <c r="O35" s="70">
        <f t="shared" si="10"/>
        <v>615153.04069904017</v>
      </c>
      <c r="P35" s="70">
        <f t="shared" si="10"/>
        <v>615153.04069904017</v>
      </c>
      <c r="Q35" s="70">
        <f t="shared" si="10"/>
        <v>615153.04069904017</v>
      </c>
      <c r="R35" s="70">
        <f t="shared" si="10"/>
        <v>615153.04069904017</v>
      </c>
      <c r="S35" s="70">
        <f t="shared" si="10"/>
        <v>556829.0005972049</v>
      </c>
      <c r="T35" s="314">
        <f t="shared" si="10"/>
        <v>484004.25723934238</v>
      </c>
    </row>
    <row r="36" spans="1:20" x14ac:dyDescent="0.2">
      <c r="A36" s="315">
        <f>A35+1</f>
        <v>2</v>
      </c>
      <c r="B36" s="72" t="s">
        <v>90</v>
      </c>
      <c r="C36" s="73" t="s">
        <v>89</v>
      </c>
      <c r="D36" s="151"/>
      <c r="E36" s="74">
        <f>+E27*1000</f>
        <v>0</v>
      </c>
      <c r="F36" s="74">
        <f t="shared" si="10"/>
        <v>2127142.9349556672</v>
      </c>
      <c r="G36" s="74">
        <f t="shared" si="10"/>
        <v>2107866.777260087</v>
      </c>
      <c r="H36" s="74">
        <f t="shared" si="10"/>
        <v>2107866.777260087</v>
      </c>
      <c r="I36" s="74">
        <f t="shared" si="10"/>
        <v>2107866.777260087</v>
      </c>
      <c r="J36" s="74">
        <f t="shared" si="10"/>
        <v>2107711.5059523992</v>
      </c>
      <c r="K36" s="74">
        <f t="shared" si="10"/>
        <v>2041924.1361636699</v>
      </c>
      <c r="L36" s="74">
        <f t="shared" si="10"/>
        <v>2041924.1361636699</v>
      </c>
      <c r="M36" s="74">
        <f t="shared" si="10"/>
        <v>2041924.1361636699</v>
      </c>
      <c r="N36" s="74">
        <f t="shared" si="10"/>
        <v>623741.41071566078</v>
      </c>
      <c r="O36" s="74">
        <f t="shared" si="10"/>
        <v>515845.76550932636</v>
      </c>
      <c r="P36" s="74">
        <f t="shared" si="10"/>
        <v>273481.0892761955</v>
      </c>
      <c r="Q36" s="74">
        <f t="shared" si="10"/>
        <v>273481.0892761955</v>
      </c>
      <c r="R36" s="74">
        <f t="shared" si="10"/>
        <v>273481.0892761955</v>
      </c>
      <c r="S36" s="74">
        <f t="shared" si="10"/>
        <v>273481.0892761955</v>
      </c>
      <c r="T36" s="316">
        <f t="shared" si="10"/>
        <v>273481.0892761955</v>
      </c>
    </row>
    <row r="37" spans="1:20" x14ac:dyDescent="0.2">
      <c r="A37" s="317">
        <f>A36+1</f>
        <v>3</v>
      </c>
      <c r="B37" s="76" t="s">
        <v>91</v>
      </c>
      <c r="C37" s="77" t="s">
        <v>89</v>
      </c>
      <c r="D37" s="151"/>
      <c r="E37" s="78">
        <f>+E28*1000</f>
        <v>0</v>
      </c>
      <c r="F37" s="78">
        <f t="shared" si="10"/>
        <v>0</v>
      </c>
      <c r="G37" s="78">
        <f t="shared" si="10"/>
        <v>12530058.480092956</v>
      </c>
      <c r="H37" s="78">
        <f t="shared" si="10"/>
        <v>11855511.686225479</v>
      </c>
      <c r="I37" s="78">
        <f t="shared" si="10"/>
        <v>11843974.199225478</v>
      </c>
      <c r="J37" s="78">
        <f t="shared" si="10"/>
        <v>11843974.199225478</v>
      </c>
      <c r="K37" s="78">
        <f t="shared" si="10"/>
        <v>11626537.302265525</v>
      </c>
      <c r="L37" s="78">
        <f t="shared" si="10"/>
        <v>11626076.322265524</v>
      </c>
      <c r="M37" s="78">
        <f t="shared" si="10"/>
        <v>11400133.673868217</v>
      </c>
      <c r="N37" s="78">
        <f t="shared" si="10"/>
        <v>11231335.382708021</v>
      </c>
      <c r="O37" s="78">
        <f t="shared" si="10"/>
        <v>10617989.690133236</v>
      </c>
      <c r="P37" s="78">
        <f t="shared" si="10"/>
        <v>10371387.888842775</v>
      </c>
      <c r="Q37" s="78">
        <f t="shared" si="10"/>
        <v>10228972.576730534</v>
      </c>
      <c r="R37" s="78">
        <f t="shared" si="10"/>
        <v>10228972.576730534</v>
      </c>
      <c r="S37" s="78">
        <f t="shared" si="10"/>
        <v>10207341.54965435</v>
      </c>
      <c r="T37" s="318">
        <f t="shared" si="10"/>
        <v>10186812.614035698</v>
      </c>
    </row>
    <row r="38" spans="1:20" x14ac:dyDescent="0.2">
      <c r="A38" s="150">
        <f>A37+1</f>
        <v>4</v>
      </c>
      <c r="B38" s="80" t="s">
        <v>92</v>
      </c>
      <c r="C38" s="81" t="s">
        <v>89</v>
      </c>
      <c r="D38" s="151"/>
      <c r="E38" s="82">
        <f>+E29*1000</f>
        <v>0</v>
      </c>
      <c r="F38" s="82">
        <f t="shared" si="10"/>
        <v>0</v>
      </c>
      <c r="G38" s="82">
        <f t="shared" si="10"/>
        <v>0</v>
      </c>
      <c r="H38" s="82">
        <f t="shared" si="10"/>
        <v>6169185.587622989</v>
      </c>
      <c r="I38" s="82">
        <f t="shared" si="10"/>
        <v>5473351.7879807493</v>
      </c>
      <c r="J38" s="82">
        <f t="shared" si="10"/>
        <v>5473351.7879807493</v>
      </c>
      <c r="K38" s="82">
        <f t="shared" si="10"/>
        <v>5470421.5471606608</v>
      </c>
      <c r="L38" s="82">
        <f t="shared" si="10"/>
        <v>5399606.279900359</v>
      </c>
      <c r="M38" s="82">
        <f t="shared" si="10"/>
        <v>5174715.2525331853</v>
      </c>
      <c r="N38" s="82">
        <f t="shared" si="10"/>
        <v>5058830.0276117781</v>
      </c>
      <c r="O38" s="82">
        <f t="shared" si="10"/>
        <v>5056301.4951693416</v>
      </c>
      <c r="P38" s="82">
        <f t="shared" si="10"/>
        <v>3659929.4549050303</v>
      </c>
      <c r="Q38" s="82">
        <f t="shared" si="10"/>
        <v>2068522.701753719</v>
      </c>
      <c r="R38" s="82">
        <f t="shared" si="10"/>
        <v>1723728.895764556</v>
      </c>
      <c r="S38" s="82">
        <f t="shared" si="10"/>
        <v>625470.74101761123</v>
      </c>
      <c r="T38" s="319">
        <f t="shared" si="10"/>
        <v>563133.8173536096</v>
      </c>
    </row>
    <row r="39" spans="1:20" x14ac:dyDescent="0.2">
      <c r="A39" s="150">
        <f>A38+1</f>
        <v>5</v>
      </c>
      <c r="B39" s="80" t="s">
        <v>94</v>
      </c>
      <c r="C39" s="81" t="s">
        <v>89</v>
      </c>
      <c r="D39" s="151"/>
      <c r="E39" s="82">
        <v>0</v>
      </c>
      <c r="F39" s="82">
        <v>0</v>
      </c>
      <c r="G39" s="82">
        <v>0</v>
      </c>
      <c r="H39" s="82">
        <v>0</v>
      </c>
      <c r="I39" s="82">
        <v>3757698</v>
      </c>
      <c r="J39" s="82">
        <v>2556865</v>
      </c>
      <c r="K39" s="82">
        <v>2550000</v>
      </c>
      <c r="L39" s="82">
        <v>2549000</v>
      </c>
      <c r="M39" s="82">
        <v>2480000</v>
      </c>
      <c r="N39" s="82">
        <v>2165000</v>
      </c>
      <c r="O39" s="82">
        <v>2141000</v>
      </c>
      <c r="P39" s="82">
        <v>1829000</v>
      </c>
      <c r="Q39" s="82">
        <v>1180000</v>
      </c>
      <c r="R39" s="82">
        <v>785000</v>
      </c>
      <c r="S39" s="82">
        <f t="shared" ref="S39:T39" si="11">+R39</f>
        <v>785000</v>
      </c>
      <c r="T39" s="319">
        <f t="shared" si="11"/>
        <v>785000</v>
      </c>
    </row>
    <row r="40" spans="1:20" ht="13.5" thickBot="1" x14ac:dyDescent="0.25">
      <c r="A40" s="153" t="s">
        <v>9</v>
      </c>
      <c r="B40" s="154"/>
      <c r="C40" s="155"/>
      <c r="D40" s="156"/>
      <c r="E40" s="157">
        <f>SUM(E35:E39)</f>
        <v>4361626.2111155242</v>
      </c>
      <c r="F40" s="157">
        <f t="shared" ref="F40:T40" si="12">SUM(F35:F39)</f>
        <v>6488769.1460711919</v>
      </c>
      <c r="G40" s="157">
        <f t="shared" si="12"/>
        <v>18999551.468468569</v>
      </c>
      <c r="H40" s="157">
        <f t="shared" si="12"/>
        <v>24494190.262224082</v>
      </c>
      <c r="I40" s="157">
        <f t="shared" si="12"/>
        <v>23940408.65980842</v>
      </c>
      <c r="J40" s="157">
        <f t="shared" si="12"/>
        <v>22739420.388500731</v>
      </c>
      <c r="K40" s="157">
        <f t="shared" si="12"/>
        <v>22381805.621150054</v>
      </c>
      <c r="L40" s="157">
        <f t="shared" si="12"/>
        <v>22309529.373889752</v>
      </c>
      <c r="M40" s="157">
        <f t="shared" si="12"/>
        <v>21747880.640079182</v>
      </c>
      <c r="N40" s="157">
        <f t="shared" si="12"/>
        <v>19730014.398549568</v>
      </c>
      <c r="O40" s="157">
        <f t="shared" si="12"/>
        <v>18946289.991510943</v>
      </c>
      <c r="P40" s="157">
        <f t="shared" si="12"/>
        <v>16748951.473723039</v>
      </c>
      <c r="Q40" s="157">
        <f t="shared" si="12"/>
        <v>14366129.408459488</v>
      </c>
      <c r="R40" s="157">
        <f t="shared" si="12"/>
        <v>13626335.602470325</v>
      </c>
      <c r="S40" s="157">
        <f t="shared" si="12"/>
        <v>12448122.380545361</v>
      </c>
      <c r="T40" s="158">
        <f t="shared" si="12"/>
        <v>12292431.777904846</v>
      </c>
    </row>
    <row r="43" spans="1:20" ht="16.5" thickBot="1" x14ac:dyDescent="0.3">
      <c r="A43" s="328" t="s">
        <v>96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30"/>
      <c r="O43" s="329"/>
      <c r="P43" s="329"/>
      <c r="Q43" s="329"/>
      <c r="R43" s="329"/>
      <c r="S43" s="329"/>
    </row>
    <row r="44" spans="1:20" ht="25.5" x14ac:dyDescent="0.2">
      <c r="A44" s="308" t="s">
        <v>85</v>
      </c>
      <c r="B44" s="309" t="s">
        <v>86</v>
      </c>
      <c r="C44" s="309" t="s">
        <v>87</v>
      </c>
      <c r="D44" s="310"/>
      <c r="E44" s="311">
        <v>2006</v>
      </c>
      <c r="F44" s="311">
        <f>E44+1</f>
        <v>2007</v>
      </c>
      <c r="G44" s="311">
        <f t="shared" ref="G44:N44" si="13">F44+1</f>
        <v>2008</v>
      </c>
      <c r="H44" s="311">
        <f t="shared" si="13"/>
        <v>2009</v>
      </c>
      <c r="I44" s="311">
        <f t="shared" si="13"/>
        <v>2010</v>
      </c>
      <c r="J44" s="326">
        <f t="shared" si="13"/>
        <v>2011</v>
      </c>
      <c r="K44" s="326">
        <f t="shared" si="13"/>
        <v>2012</v>
      </c>
      <c r="L44" s="326">
        <f t="shared" si="13"/>
        <v>2013</v>
      </c>
      <c r="M44" s="326">
        <f t="shared" si="13"/>
        <v>2014</v>
      </c>
      <c r="N44" s="326">
        <f t="shared" si="13"/>
        <v>2015</v>
      </c>
      <c r="O44" s="311">
        <f t="shared" ref="O44" si="14">N44+1</f>
        <v>2016</v>
      </c>
      <c r="P44" s="311">
        <f t="shared" ref="P44" si="15">O44+1</f>
        <v>2017</v>
      </c>
      <c r="Q44" s="311">
        <f t="shared" ref="Q44" si="16">P44+1</f>
        <v>2018</v>
      </c>
      <c r="R44" s="311">
        <f t="shared" ref="R44" si="17">Q44+1</f>
        <v>2019</v>
      </c>
      <c r="S44" s="312" t="s">
        <v>9</v>
      </c>
    </row>
    <row r="45" spans="1:20" x14ac:dyDescent="0.2">
      <c r="A45" s="150">
        <v>1</v>
      </c>
      <c r="B45" s="84" t="s">
        <v>98</v>
      </c>
      <c r="C45" s="302" t="s">
        <v>219</v>
      </c>
      <c r="D45" s="151"/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303">
        <v>2584000</v>
      </c>
      <c r="K45" s="303">
        <f t="shared" ref="K45:R45" si="18">J45*K63</f>
        <v>2562149.417193138</v>
      </c>
      <c r="L45" s="303">
        <f t="shared" si="18"/>
        <v>2540483.6052721115</v>
      </c>
      <c r="M45" s="303">
        <f t="shared" si="18"/>
        <v>2516049.896933347</v>
      </c>
      <c r="N45" s="303">
        <f t="shared" si="18"/>
        <v>2393864.7538477653</v>
      </c>
      <c r="O45" s="303">
        <f t="shared" si="18"/>
        <v>2114650.3082580441</v>
      </c>
      <c r="P45" s="303">
        <f t="shared" si="18"/>
        <v>1775179.4012030358</v>
      </c>
      <c r="Q45" s="303">
        <f t="shared" si="18"/>
        <v>1488993.519085088</v>
      </c>
      <c r="R45" s="303">
        <f t="shared" si="18"/>
        <v>1235307.4208164066</v>
      </c>
      <c r="S45" s="327">
        <f>SUM(E45:R45)</f>
        <v>19210678.322608937</v>
      </c>
    </row>
    <row r="46" spans="1:20" x14ac:dyDescent="0.2">
      <c r="A46" s="150">
        <f t="shared" ref="A46:A49" si="19">A45+1</f>
        <v>2</v>
      </c>
      <c r="B46" s="84" t="s">
        <v>99</v>
      </c>
      <c r="C46" s="302" t="s">
        <v>219</v>
      </c>
      <c r="D46" s="151"/>
      <c r="E46" s="86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303">
        <v>3995000</v>
      </c>
      <c r="L46" s="303">
        <f>K46*L64</f>
        <v>3924953.9781518746</v>
      </c>
      <c r="M46" s="303">
        <f t="shared" ref="M46:R46" si="20">L46*M64</f>
        <v>3800044.6055374094</v>
      </c>
      <c r="N46" s="303">
        <f t="shared" si="20"/>
        <v>3543479.4329183633</v>
      </c>
      <c r="O46" s="303">
        <f t="shared" si="20"/>
        <v>3154511.5859724586</v>
      </c>
      <c r="P46" s="303">
        <f t="shared" si="20"/>
        <v>2522270.488040776</v>
      </c>
      <c r="Q46" s="303">
        <f t="shared" si="20"/>
        <v>1949487.9976426857</v>
      </c>
      <c r="R46" s="303">
        <f t="shared" si="20"/>
        <v>1505780.8760472187</v>
      </c>
      <c r="S46" s="327">
        <f t="shared" ref="S46:S49" si="21">SUM(E46:R46)</f>
        <v>24395528.964310784</v>
      </c>
    </row>
    <row r="47" spans="1:20" x14ac:dyDescent="0.2">
      <c r="A47" s="150">
        <f t="shared" si="19"/>
        <v>3</v>
      </c>
      <c r="B47" s="84" t="s">
        <v>100</v>
      </c>
      <c r="C47" s="302" t="s">
        <v>271</v>
      </c>
      <c r="D47" s="151"/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303">
        <v>5248000</v>
      </c>
      <c r="M47" s="303">
        <f>L47*M65</f>
        <v>5163469.1902769916</v>
      </c>
      <c r="N47" s="303">
        <f t="shared" ref="N47:R47" si="22">M47*N65</f>
        <v>5015308.0573407756</v>
      </c>
      <c r="O47" s="303">
        <f t="shared" si="22"/>
        <v>4634806.6485508932</v>
      </c>
      <c r="P47" s="303">
        <f t="shared" si="22"/>
        <v>3741778.3900143262</v>
      </c>
      <c r="Q47" s="303">
        <f t="shared" si="22"/>
        <v>2719565.5009593228</v>
      </c>
      <c r="R47" s="303">
        <f t="shared" si="22"/>
        <v>1975180.853132403</v>
      </c>
      <c r="S47" s="327">
        <f t="shared" si="21"/>
        <v>28498108.640274711</v>
      </c>
    </row>
    <row r="48" spans="1:20" x14ac:dyDescent="0.2">
      <c r="A48" s="150">
        <f t="shared" si="19"/>
        <v>4</v>
      </c>
      <c r="B48" s="84" t="s">
        <v>101</v>
      </c>
      <c r="C48" s="85" t="s">
        <v>97</v>
      </c>
      <c r="D48" s="151"/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303">
        <v>6464441.4859999996</v>
      </c>
      <c r="N48" s="303">
        <v>6464441.4859999996</v>
      </c>
      <c r="O48" s="303">
        <v>6464441.4859999996</v>
      </c>
      <c r="P48" s="303">
        <v>6464441.4859999996</v>
      </c>
      <c r="Q48" s="303">
        <v>6464441.4859999996</v>
      </c>
      <c r="R48" s="303">
        <v>6464441.4859999996</v>
      </c>
      <c r="S48" s="327">
        <f t="shared" si="21"/>
        <v>38786648.916000001</v>
      </c>
    </row>
    <row r="49" spans="1:19" x14ac:dyDescent="0.2">
      <c r="A49" s="150">
        <f t="shared" si="19"/>
        <v>5</v>
      </c>
      <c r="B49" s="84" t="s">
        <v>102</v>
      </c>
      <c r="C49" s="302" t="s">
        <v>97</v>
      </c>
      <c r="D49" s="151"/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303">
        <v>17441799.604082491</v>
      </c>
      <c r="O49" s="303">
        <v>17424328.121986669</v>
      </c>
      <c r="P49" s="303">
        <v>17347217.046429817</v>
      </c>
      <c r="Q49" s="303">
        <v>17313658.437574841</v>
      </c>
      <c r="R49" s="303">
        <v>17302100.04963788</v>
      </c>
      <c r="S49" s="327">
        <f t="shared" si="21"/>
        <v>86829103.259711713</v>
      </c>
    </row>
    <row r="50" spans="1:19" ht="13.5" thickBot="1" x14ac:dyDescent="0.25">
      <c r="A50" s="153" t="s">
        <v>9</v>
      </c>
      <c r="B50" s="154"/>
      <c r="C50" s="155"/>
      <c r="D50" s="156"/>
      <c r="E50" s="157">
        <f t="shared" ref="E50:S50" si="23">SUM(E45:E49)</f>
        <v>0</v>
      </c>
      <c r="F50" s="157">
        <f t="shared" si="23"/>
        <v>0</v>
      </c>
      <c r="G50" s="157">
        <f t="shared" si="23"/>
        <v>0</v>
      </c>
      <c r="H50" s="157">
        <f t="shared" si="23"/>
        <v>0</v>
      </c>
      <c r="I50" s="157">
        <f t="shared" si="23"/>
        <v>0</v>
      </c>
      <c r="J50" s="157">
        <f t="shared" si="23"/>
        <v>2584000</v>
      </c>
      <c r="K50" s="157">
        <f t="shared" si="23"/>
        <v>6557149.417193138</v>
      </c>
      <c r="L50" s="157">
        <f t="shared" si="23"/>
        <v>11713437.583423987</v>
      </c>
      <c r="M50" s="157">
        <f t="shared" si="23"/>
        <v>17944005.178747747</v>
      </c>
      <c r="N50" s="157">
        <f>SUM(N45:N49)</f>
        <v>34858893.3341894</v>
      </c>
      <c r="O50" s="157">
        <f t="shared" si="23"/>
        <v>33792738.150768064</v>
      </c>
      <c r="P50" s="157">
        <f t="shared" si="23"/>
        <v>31850886.811687954</v>
      </c>
      <c r="Q50" s="157">
        <f t="shared" si="23"/>
        <v>29936146.941261936</v>
      </c>
      <c r="R50" s="157">
        <f t="shared" si="23"/>
        <v>28482810.685633909</v>
      </c>
      <c r="S50" s="158">
        <f t="shared" si="23"/>
        <v>197720068.10290614</v>
      </c>
    </row>
    <row r="51" spans="1:19" ht="15" x14ac:dyDescent="0.25">
      <c r="K51" s="304" t="s">
        <v>306</v>
      </c>
    </row>
    <row r="53" spans="1:19" ht="16.5" thickBot="1" x14ac:dyDescent="0.3">
      <c r="A53" s="205" t="s">
        <v>96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329"/>
      <c r="M53" s="329"/>
      <c r="N53" s="330"/>
      <c r="O53" s="329"/>
      <c r="P53" s="329"/>
      <c r="Q53" s="329"/>
      <c r="R53" s="329"/>
      <c r="S53" s="329"/>
    </row>
    <row r="54" spans="1:19" ht="25.5" x14ac:dyDescent="0.2">
      <c r="A54" s="308" t="s">
        <v>85</v>
      </c>
      <c r="B54" s="309" t="s">
        <v>86</v>
      </c>
      <c r="C54" s="309" t="s">
        <v>87</v>
      </c>
      <c r="D54" s="310"/>
      <c r="E54" s="311">
        <v>2006</v>
      </c>
      <c r="F54" s="311">
        <f>E54+1</f>
        <v>2007</v>
      </c>
      <c r="G54" s="311">
        <f t="shared" ref="G54:R54" si="24">F54+1</f>
        <v>2008</v>
      </c>
      <c r="H54" s="311">
        <f t="shared" si="24"/>
        <v>2009</v>
      </c>
      <c r="I54" s="311">
        <f t="shared" si="24"/>
        <v>2010</v>
      </c>
      <c r="J54" s="326">
        <f t="shared" si="24"/>
        <v>2011</v>
      </c>
      <c r="K54" s="326">
        <f t="shared" si="24"/>
        <v>2012</v>
      </c>
      <c r="L54" s="326">
        <f t="shared" si="24"/>
        <v>2013</v>
      </c>
      <c r="M54" s="326">
        <f>L54+1</f>
        <v>2014</v>
      </c>
      <c r="N54" s="326">
        <f t="shared" si="24"/>
        <v>2015</v>
      </c>
      <c r="O54" s="326">
        <f t="shared" si="24"/>
        <v>2016</v>
      </c>
      <c r="P54" s="326">
        <f t="shared" si="24"/>
        <v>2017</v>
      </c>
      <c r="Q54" s="326">
        <f t="shared" si="24"/>
        <v>2018</v>
      </c>
      <c r="R54" s="326">
        <f t="shared" si="24"/>
        <v>2019</v>
      </c>
      <c r="S54" s="337" t="s">
        <v>9</v>
      </c>
    </row>
    <row r="55" spans="1:19" x14ac:dyDescent="0.2">
      <c r="A55" s="150">
        <v>1</v>
      </c>
      <c r="B55" s="84" t="s">
        <v>101</v>
      </c>
      <c r="C55" s="85" t="s">
        <v>97</v>
      </c>
      <c r="D55" s="151"/>
      <c r="E55" s="86">
        <v>0</v>
      </c>
      <c r="F55" s="86">
        <v>0</v>
      </c>
      <c r="G55" s="86">
        <v>0</v>
      </c>
      <c r="H55" s="86">
        <v>0</v>
      </c>
      <c r="I55" s="86">
        <v>0</v>
      </c>
      <c r="J55" s="86">
        <v>0</v>
      </c>
      <c r="K55" s="86">
        <v>0</v>
      </c>
      <c r="L55" s="86">
        <v>0</v>
      </c>
      <c r="M55" s="303">
        <v>6464441.4859999996</v>
      </c>
      <c r="N55" s="303">
        <v>6464441.4859999996</v>
      </c>
      <c r="O55" s="303">
        <v>6464441.4859999996</v>
      </c>
      <c r="P55" s="303">
        <v>6464441.4859999996</v>
      </c>
      <c r="Q55" s="303">
        <v>6464441.4859999996</v>
      </c>
      <c r="R55" s="303">
        <v>6464441.4859999996</v>
      </c>
      <c r="S55" s="152">
        <f>SUM(E55:R55)</f>
        <v>38786648.916000001</v>
      </c>
    </row>
    <row r="56" spans="1:19" x14ac:dyDescent="0.2">
      <c r="A56" s="150">
        <f t="shared" ref="A56:A60" si="25">A55+1</f>
        <v>2</v>
      </c>
      <c r="B56" s="84" t="s">
        <v>102</v>
      </c>
      <c r="C56" s="85" t="s">
        <v>97</v>
      </c>
      <c r="D56" s="151"/>
      <c r="E56" s="86">
        <v>0</v>
      </c>
      <c r="F56" s="86">
        <v>0</v>
      </c>
      <c r="G56" s="86">
        <v>0</v>
      </c>
      <c r="H56" s="86">
        <v>0</v>
      </c>
      <c r="I56" s="86">
        <v>0</v>
      </c>
      <c r="J56" s="86">
        <v>0</v>
      </c>
      <c r="K56" s="86">
        <v>0</v>
      </c>
      <c r="L56" s="86">
        <v>0</v>
      </c>
      <c r="M56" s="86">
        <v>0</v>
      </c>
      <c r="N56" s="303">
        <v>17441799.604082491</v>
      </c>
      <c r="O56" s="303">
        <v>17424328.121986669</v>
      </c>
      <c r="P56" s="303">
        <v>17347217.046429817</v>
      </c>
      <c r="Q56" s="303">
        <v>17313658.437574841</v>
      </c>
      <c r="R56" s="303">
        <v>17302100.04963788</v>
      </c>
      <c r="S56" s="152">
        <f t="shared" ref="S56:S60" si="26">SUM(E56:R56)</f>
        <v>86829103.259711713</v>
      </c>
    </row>
    <row r="57" spans="1:19" x14ac:dyDescent="0.2">
      <c r="A57" s="150">
        <f>A56+1</f>
        <v>3</v>
      </c>
      <c r="B57" s="84" t="s">
        <v>218</v>
      </c>
      <c r="C57" s="85" t="s">
        <v>97</v>
      </c>
      <c r="D57" s="151"/>
      <c r="E57" s="86">
        <v>0</v>
      </c>
      <c r="F57" s="86">
        <v>0</v>
      </c>
      <c r="G57" s="86">
        <v>0</v>
      </c>
      <c r="H57" s="86">
        <v>0</v>
      </c>
      <c r="I57" s="86">
        <v>0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303">
        <v>8870267.8531539217</v>
      </c>
      <c r="P57" s="303">
        <v>9230107.7907442451</v>
      </c>
      <c r="Q57" s="303">
        <v>9230107.7907442451</v>
      </c>
      <c r="R57" s="303">
        <v>9230107.7907442451</v>
      </c>
      <c r="S57" s="152">
        <f t="shared" si="26"/>
        <v>36560591.225386657</v>
      </c>
    </row>
    <row r="58" spans="1:19" x14ac:dyDescent="0.2">
      <c r="A58" s="150">
        <f t="shared" si="25"/>
        <v>4</v>
      </c>
      <c r="B58" s="84" t="s">
        <v>220</v>
      </c>
      <c r="C58" s="85" t="s">
        <v>97</v>
      </c>
      <c r="D58" s="151"/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303">
        <v>19300418.252179515</v>
      </c>
      <c r="Q58" s="303">
        <v>18640298.205372255</v>
      </c>
      <c r="R58" s="303">
        <v>18640298.205372255</v>
      </c>
      <c r="S58" s="152">
        <f t="shared" si="26"/>
        <v>56581014.662924021</v>
      </c>
    </row>
    <row r="59" spans="1:19" x14ac:dyDescent="0.2">
      <c r="A59" s="150">
        <f t="shared" si="25"/>
        <v>5</v>
      </c>
      <c r="B59" s="84" t="s">
        <v>221</v>
      </c>
      <c r="C59" s="85" t="s">
        <v>97</v>
      </c>
      <c r="D59" s="151"/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303">
        <v>13551111.83932237</v>
      </c>
      <c r="R59" s="303">
        <v>12425991.792515114</v>
      </c>
      <c r="S59" s="152">
        <f t="shared" si="26"/>
        <v>25977103.631837483</v>
      </c>
    </row>
    <row r="60" spans="1:19" ht="13.5" thickBot="1" x14ac:dyDescent="0.25">
      <c r="A60" s="331">
        <f t="shared" si="25"/>
        <v>6</v>
      </c>
      <c r="B60" s="332" t="s">
        <v>222</v>
      </c>
      <c r="C60" s="333" t="s">
        <v>97</v>
      </c>
      <c r="D60" s="329"/>
      <c r="E60" s="334">
        <v>0</v>
      </c>
      <c r="F60" s="334">
        <v>0</v>
      </c>
      <c r="G60" s="334">
        <v>0</v>
      </c>
      <c r="H60" s="334">
        <v>0</v>
      </c>
      <c r="I60" s="334">
        <v>0</v>
      </c>
      <c r="J60" s="334">
        <v>0</v>
      </c>
      <c r="K60" s="334">
        <v>0</v>
      </c>
      <c r="L60" s="334">
        <v>0</v>
      </c>
      <c r="M60" s="334">
        <v>0</v>
      </c>
      <c r="N60" s="334">
        <v>0</v>
      </c>
      <c r="O60" s="334">
        <v>0</v>
      </c>
      <c r="P60" s="334">
        <v>0</v>
      </c>
      <c r="Q60" s="334">
        <v>0</v>
      </c>
      <c r="R60" s="335">
        <v>9524447.8221795131</v>
      </c>
      <c r="S60" s="336">
        <f t="shared" si="26"/>
        <v>9524447.8221795131</v>
      </c>
    </row>
    <row r="61" spans="1:19" ht="13.5" thickBot="1" x14ac:dyDescent="0.25"/>
    <row r="62" spans="1:19" x14ac:dyDescent="0.2">
      <c r="J62" s="393" t="s">
        <v>302</v>
      </c>
      <c r="K62" s="326">
        <v>2012</v>
      </c>
      <c r="L62" s="326">
        <v>2013</v>
      </c>
      <c r="M62" s="326">
        <v>2014</v>
      </c>
      <c r="N62" s="326">
        <v>2015</v>
      </c>
      <c r="O62" s="326">
        <v>2016</v>
      </c>
      <c r="P62" s="326">
        <v>2017</v>
      </c>
      <c r="Q62" s="326">
        <v>2018</v>
      </c>
      <c r="R62" s="337">
        <v>2019</v>
      </c>
    </row>
    <row r="63" spans="1:19" x14ac:dyDescent="0.2">
      <c r="J63" s="394" t="s">
        <v>98</v>
      </c>
      <c r="K63" s="395">
        <v>0.99154389210260752</v>
      </c>
      <c r="L63" s="395">
        <v>0.99154389210260752</v>
      </c>
      <c r="M63" s="395">
        <v>0.9903822609647791</v>
      </c>
      <c r="N63" s="395">
        <v>0.95143771066126093</v>
      </c>
      <c r="O63" s="395">
        <v>0.8833624810503905</v>
      </c>
      <c r="P63" s="395">
        <v>0.83946711863927548</v>
      </c>
      <c r="Q63" s="395">
        <v>0.83878481131315508</v>
      </c>
      <c r="R63" s="398">
        <v>0.82962578747518068</v>
      </c>
    </row>
    <row r="64" spans="1:19" x14ac:dyDescent="0.2">
      <c r="J64" s="394" t="s">
        <v>99</v>
      </c>
      <c r="K64" s="395"/>
      <c r="L64" s="395">
        <v>0.98246657776016888</v>
      </c>
      <c r="M64" s="395">
        <v>0.96817558287058425</v>
      </c>
      <c r="N64" s="395">
        <v>0.93248364183799826</v>
      </c>
      <c r="O64" s="395">
        <v>0.89022996907151353</v>
      </c>
      <c r="P64" s="395">
        <v>0.79957559809158907</v>
      </c>
      <c r="Q64" s="395">
        <v>0.77290996619358987</v>
      </c>
      <c r="R64" s="398">
        <v>0.7723981260043683</v>
      </c>
    </row>
    <row r="65" spans="10:18" ht="13.5" thickBot="1" x14ac:dyDescent="0.25">
      <c r="J65" s="396" t="s">
        <v>100</v>
      </c>
      <c r="K65" s="397"/>
      <c r="L65" s="397"/>
      <c r="M65" s="397">
        <v>0.98389275729363412</v>
      </c>
      <c r="N65" s="397">
        <v>0.97130589387166122</v>
      </c>
      <c r="O65" s="397">
        <v>0.9241319965913255</v>
      </c>
      <c r="P65" s="397">
        <v>0.80732135636860303</v>
      </c>
      <c r="Q65" s="397">
        <v>0.72681094856312711</v>
      </c>
      <c r="R65" s="399">
        <v>0.72628544980279419</v>
      </c>
    </row>
    <row r="66" spans="10:18" ht="13.5" thickBot="1" x14ac:dyDescent="0.25"/>
    <row r="67" spans="10:18" x14ac:dyDescent="0.2">
      <c r="J67" s="400" t="s">
        <v>307</v>
      </c>
      <c r="K67" s="401"/>
      <c r="L67" s="402"/>
      <c r="M67" s="402"/>
      <c r="N67" s="326">
        <v>2015</v>
      </c>
      <c r="O67" s="326">
        <v>2016</v>
      </c>
      <c r="P67" s="326">
        <v>2017</v>
      </c>
      <c r="Q67" s="326">
        <v>2018</v>
      </c>
      <c r="R67" s="337">
        <v>2019</v>
      </c>
    </row>
    <row r="68" spans="10:18" x14ac:dyDescent="0.2">
      <c r="J68" s="556" t="s">
        <v>308</v>
      </c>
      <c r="K68" s="557"/>
      <c r="L68" s="248"/>
      <c r="M68" s="248"/>
      <c r="N68" s="403">
        <v>16018.741660774958</v>
      </c>
      <c r="O68" s="403">
        <v>8787.9019600803313</v>
      </c>
      <c r="P68" s="403">
        <v>6553.9509119210516</v>
      </c>
      <c r="Q68" s="403">
        <v>14079.332121054053</v>
      </c>
      <c r="R68" s="404">
        <v>14088.45120859105</v>
      </c>
    </row>
    <row r="69" spans="10:18" x14ac:dyDescent="0.2">
      <c r="J69" s="556" t="s">
        <v>309</v>
      </c>
      <c r="K69" s="557"/>
      <c r="L69" s="248"/>
      <c r="M69" s="248"/>
      <c r="N69" s="403">
        <f>+N68*1000</f>
        <v>16018741.660774957</v>
      </c>
      <c r="O69" s="403">
        <f t="shared" ref="O69:R69" si="27">+O68*1000</f>
        <v>8787901.9600803312</v>
      </c>
      <c r="P69" s="403">
        <f t="shared" si="27"/>
        <v>6553950.9119210513</v>
      </c>
      <c r="Q69" s="403">
        <f t="shared" si="27"/>
        <v>14079332.121054053</v>
      </c>
      <c r="R69" s="404">
        <f t="shared" si="27"/>
        <v>14088451.20859105</v>
      </c>
    </row>
    <row r="70" spans="10:18" ht="13.5" thickBot="1" x14ac:dyDescent="0.25">
      <c r="J70" s="558" t="s">
        <v>310</v>
      </c>
      <c r="K70" s="559"/>
      <c r="L70" s="405"/>
      <c r="M70" s="405"/>
      <c r="N70" s="406"/>
      <c r="O70" s="406">
        <f>+O69+N69</f>
        <v>24806643.620855287</v>
      </c>
      <c r="P70" s="406">
        <f>+P69+O70</f>
        <v>31360594.532776337</v>
      </c>
      <c r="Q70" s="406">
        <f>+Q69+P70</f>
        <v>45439926.653830394</v>
      </c>
      <c r="R70" s="407">
        <f>+R69+Q70</f>
        <v>59528377.862421446</v>
      </c>
    </row>
  </sheetData>
  <mergeCells count="5">
    <mergeCell ref="E5:E6"/>
    <mergeCell ref="F5:O5"/>
    <mergeCell ref="J68:K68"/>
    <mergeCell ref="J69:K69"/>
    <mergeCell ref="J70:K7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8"/>
  <sheetViews>
    <sheetView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RowHeight="12.75" x14ac:dyDescent="0.2"/>
  <cols>
    <col min="1" max="1" width="32.7109375" customWidth="1"/>
    <col min="2" max="2" width="13.42578125" style="1" bestFit="1" customWidth="1"/>
    <col min="3" max="3" width="12.7109375" style="1" bestFit="1" customWidth="1"/>
    <col min="4" max="4" width="13.5703125" style="1" customWidth="1"/>
    <col min="5" max="5" width="12.7109375" style="1" customWidth="1"/>
    <col min="6" max="6" width="13" style="1" customWidth="1"/>
    <col min="7" max="7" width="12.7109375" style="1" bestFit="1" customWidth="1"/>
    <col min="8" max="9" width="12.85546875" style="1" customWidth="1"/>
    <col min="10" max="16" width="12.85546875" style="167" customWidth="1"/>
    <col min="17" max="17" width="13.42578125" style="23" bestFit="1" customWidth="1"/>
    <col min="18" max="18" width="14.140625" style="1" bestFit="1" customWidth="1"/>
    <col min="19" max="19" width="2.42578125" customWidth="1"/>
    <col min="20" max="20" width="3" customWidth="1"/>
    <col min="21" max="21" width="32.7109375" customWidth="1"/>
    <col min="22" max="22" width="13" style="4" customWidth="1"/>
    <col min="23" max="23" width="12.7109375" style="4" bestFit="1" customWidth="1"/>
    <col min="24" max="25" width="12.85546875" style="4" customWidth="1"/>
    <col min="26" max="26" width="13.42578125" style="120" bestFit="1" customWidth="1"/>
    <col min="27" max="27" width="14.140625" style="4" bestFit="1" customWidth="1"/>
  </cols>
  <sheetData>
    <row r="1" spans="1:27" ht="15.75" x14ac:dyDescent="0.25">
      <c r="A1" s="40" t="s">
        <v>216</v>
      </c>
      <c r="U1" s="40" t="s">
        <v>113</v>
      </c>
    </row>
    <row r="2" spans="1:27" ht="13.5" thickBot="1" x14ac:dyDescent="0.25"/>
    <row r="3" spans="1:27" x14ac:dyDescent="0.2">
      <c r="A3" s="196"/>
      <c r="B3" s="539" t="s">
        <v>205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08"/>
      <c r="N3" s="508"/>
      <c r="O3" s="509"/>
      <c r="P3" s="539" t="s">
        <v>206</v>
      </c>
      <c r="Q3" s="534"/>
      <c r="R3" s="540"/>
    </row>
    <row r="4" spans="1:27" ht="25.5" x14ac:dyDescent="0.2">
      <c r="A4" s="197" t="s">
        <v>112</v>
      </c>
      <c r="B4" s="180">
        <v>2003</v>
      </c>
      <c r="C4" s="181">
        <v>2004</v>
      </c>
      <c r="D4" s="181">
        <v>2005</v>
      </c>
      <c r="E4" s="181">
        <v>2006</v>
      </c>
      <c r="F4" s="181">
        <v>2007</v>
      </c>
      <c r="G4" s="181">
        <v>2008</v>
      </c>
      <c r="H4" s="181">
        <v>2009</v>
      </c>
      <c r="I4" s="181">
        <v>2010</v>
      </c>
      <c r="J4" s="181">
        <v>2011</v>
      </c>
      <c r="K4" s="181">
        <v>2012</v>
      </c>
      <c r="L4" s="181">
        <v>2013</v>
      </c>
      <c r="M4" s="181">
        <v>2014</v>
      </c>
      <c r="N4" s="181">
        <v>2015</v>
      </c>
      <c r="O4" s="182">
        <v>2016</v>
      </c>
      <c r="P4" s="181">
        <v>2017</v>
      </c>
      <c r="Q4" s="181">
        <v>2018</v>
      </c>
      <c r="R4" s="198">
        <v>2019</v>
      </c>
      <c r="U4" s="147" t="s">
        <v>112</v>
      </c>
      <c r="V4" s="148" t="s">
        <v>114</v>
      </c>
      <c r="W4" s="148" t="s">
        <v>58</v>
      </c>
      <c r="X4" s="148" t="s">
        <v>61</v>
      </c>
      <c r="Y4" s="148" t="s">
        <v>67</v>
      </c>
      <c r="Z4" s="148" t="s">
        <v>62</v>
      </c>
      <c r="AA4" s="148" t="s">
        <v>68</v>
      </c>
    </row>
    <row r="5" spans="1:27" x14ac:dyDescent="0.2">
      <c r="A5" s="199" t="s">
        <v>52</v>
      </c>
      <c r="B5" s="188">
        <f>+'Chart III'!B5</f>
        <v>1232724170</v>
      </c>
      <c r="C5" s="188">
        <f>+'Chart III'!C5</f>
        <v>1178441190</v>
      </c>
      <c r="D5" s="188">
        <f>+'Chart III'!D5</f>
        <v>1174501350</v>
      </c>
      <c r="E5" s="188">
        <f>+'Chart III'!E5</f>
        <v>1151360440</v>
      </c>
      <c r="F5" s="188">
        <f>+'Chart III'!F5</f>
        <v>1191153590</v>
      </c>
      <c r="G5" s="188">
        <f>+'Chart III'!G5</f>
        <v>1158881926</v>
      </c>
      <c r="H5" s="188">
        <f>+'Chart III'!H5</f>
        <v>1128390784.5107694</v>
      </c>
      <c r="I5" s="188">
        <f>+'Chart III'!I5</f>
        <v>1148489331.8146157</v>
      </c>
      <c r="J5" s="188">
        <f>+'Chart III'!J5</f>
        <v>1148632387.3953846</v>
      </c>
      <c r="K5" s="188">
        <f>+'Chart III'!K5</f>
        <v>1136211952.670979</v>
      </c>
      <c r="L5" s="188">
        <f>+'Chart III'!L5</f>
        <v>1130407041.6666667</v>
      </c>
      <c r="M5" s="186"/>
      <c r="N5" s="186"/>
      <c r="O5" s="517"/>
      <c r="P5" s="186"/>
      <c r="Q5" s="186"/>
      <c r="R5" s="200"/>
      <c r="U5" s="128" t="s">
        <v>52</v>
      </c>
      <c r="V5" s="129">
        <v>1192455603</v>
      </c>
      <c r="W5" s="129">
        <f t="shared" ref="W5:Y7" si="0">G5</f>
        <v>1158881926</v>
      </c>
      <c r="X5" s="129">
        <f t="shared" si="0"/>
        <v>1128390784.5107694</v>
      </c>
      <c r="Y5" s="129">
        <f t="shared" si="0"/>
        <v>1148489331.8146157</v>
      </c>
      <c r="Z5" s="130"/>
      <c r="AA5" s="131"/>
    </row>
    <row r="6" spans="1:27" x14ac:dyDescent="0.2">
      <c r="A6" s="199" t="s">
        <v>53</v>
      </c>
      <c r="B6" s="188">
        <f>+'Chart III'!B6</f>
        <v>1232724170</v>
      </c>
      <c r="C6" s="188">
        <f>+'Chart III'!C6</f>
        <v>1178441190</v>
      </c>
      <c r="D6" s="188">
        <f>+'Chart III'!D6</f>
        <v>1174501350</v>
      </c>
      <c r="E6" s="188">
        <f>+'Chart III'!E6</f>
        <v>1151360440</v>
      </c>
      <c r="F6" s="188">
        <f>+'Chart III'!F6</f>
        <v>1191153590</v>
      </c>
      <c r="G6" s="188">
        <f>+'Chart III'!G6</f>
        <v>1158881926</v>
      </c>
      <c r="H6" s="188">
        <f>+'Chart III'!H6</f>
        <v>1128390784.5107694</v>
      </c>
      <c r="I6" s="188">
        <f>+'Chart III'!I6</f>
        <v>1148489331.8146157</v>
      </c>
      <c r="J6" s="188">
        <f>+'Chart III'!J6</f>
        <v>1148632387.3953846</v>
      </c>
      <c r="K6" s="188">
        <f>+'Chart III'!K6</f>
        <v>1136211952.670979</v>
      </c>
      <c r="L6" s="188">
        <f>+'Chart III'!L6</f>
        <v>1130407041.6666667</v>
      </c>
      <c r="M6" s="188">
        <f>+'Chart III'!M6</f>
        <v>1134970142.7733078</v>
      </c>
      <c r="N6" s="188">
        <f>+'Chart III'!N6</f>
        <v>1123341031.2123077</v>
      </c>
      <c r="O6" s="510">
        <f>+'Chart III'!O6</f>
        <v>1122027434.2815385</v>
      </c>
      <c r="P6" s="188">
        <f>+'Chart III'!P6</f>
        <v>1108402450.9587033</v>
      </c>
      <c r="Q6" s="188">
        <f>+'Chart III'!Q6</f>
        <v>1099681736.5142858</v>
      </c>
      <c r="R6" s="201">
        <f>+'Chart III'!R6</f>
        <v>1097927653.0000739</v>
      </c>
      <c r="U6" s="128" t="s">
        <v>53</v>
      </c>
      <c r="V6" s="129">
        <v>1119320117</v>
      </c>
      <c r="W6" s="129">
        <f t="shared" si="0"/>
        <v>1158881926</v>
      </c>
      <c r="X6" s="129">
        <f t="shared" si="0"/>
        <v>1128390784.5107694</v>
      </c>
      <c r="Y6" s="129">
        <f t="shared" si="0"/>
        <v>1148489331.8146157</v>
      </c>
      <c r="Z6" s="130">
        <f>Q6</f>
        <v>1099681736.5142858</v>
      </c>
      <c r="AA6" s="129">
        <f>R6</f>
        <v>1097927653.0000739</v>
      </c>
    </row>
    <row r="7" spans="1:27" x14ac:dyDescent="0.2">
      <c r="A7" s="199" t="s">
        <v>8</v>
      </c>
      <c r="B7" s="190">
        <f t="shared" ref="B7:I7" si="1">(B6-B5)/B5</f>
        <v>0</v>
      </c>
      <c r="C7" s="190">
        <f t="shared" si="1"/>
        <v>0</v>
      </c>
      <c r="D7" s="190">
        <f t="shared" si="1"/>
        <v>0</v>
      </c>
      <c r="E7" s="190">
        <f t="shared" si="1"/>
        <v>0</v>
      </c>
      <c r="F7" s="190">
        <f t="shared" si="1"/>
        <v>0</v>
      </c>
      <c r="G7" s="190">
        <f t="shared" si="1"/>
        <v>0</v>
      </c>
      <c r="H7" s="190">
        <f t="shared" si="1"/>
        <v>0</v>
      </c>
      <c r="I7" s="190">
        <f t="shared" si="1"/>
        <v>0</v>
      </c>
      <c r="J7" s="190">
        <f t="shared" ref="J7:L7" si="2">(J6-J5)/J5</f>
        <v>0</v>
      </c>
      <c r="K7" s="190">
        <f t="shared" si="2"/>
        <v>0</v>
      </c>
      <c r="L7" s="190">
        <f t="shared" si="2"/>
        <v>0</v>
      </c>
      <c r="M7" s="190"/>
      <c r="N7" s="190"/>
      <c r="O7" s="518"/>
      <c r="P7" s="190"/>
      <c r="Q7" s="190"/>
      <c r="R7" s="202"/>
      <c r="S7" s="44"/>
      <c r="T7" s="31"/>
      <c r="U7" s="128" t="s">
        <v>8</v>
      </c>
      <c r="V7" s="132">
        <f t="shared" ref="V7" si="3">(V6-V5)/V5</f>
        <v>-6.1331831404040964E-2</v>
      </c>
      <c r="W7" s="132">
        <f t="shared" si="0"/>
        <v>0</v>
      </c>
      <c r="X7" s="132">
        <f t="shared" si="0"/>
        <v>0</v>
      </c>
      <c r="Y7" s="132">
        <f t="shared" si="0"/>
        <v>0</v>
      </c>
      <c r="Z7" s="133"/>
      <c r="AA7" s="134"/>
    </row>
    <row r="8" spans="1:27" x14ac:dyDescent="0.2">
      <c r="A8" s="199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511"/>
      <c r="P8" s="191"/>
      <c r="Q8" s="191"/>
      <c r="R8" s="203"/>
      <c r="U8" s="128"/>
      <c r="V8" s="135"/>
      <c r="W8" s="129"/>
      <c r="X8" s="129"/>
      <c r="Y8" s="129"/>
      <c r="Z8" s="130"/>
      <c r="AA8" s="131"/>
    </row>
    <row r="9" spans="1:27" x14ac:dyDescent="0.2">
      <c r="A9" s="199" t="s">
        <v>55</v>
      </c>
      <c r="B9" s="188">
        <f>+'Chart III'!B9</f>
        <v>1136840307.5</v>
      </c>
      <c r="C9" s="188">
        <f>+'Chart III'!C9</f>
        <v>1128300513.0634735</v>
      </c>
      <c r="D9" s="188">
        <f>+'Chart III'!D9</f>
        <v>1125931170</v>
      </c>
      <c r="E9" s="188">
        <f>+'Chart III'!E9</f>
        <v>1110963247</v>
      </c>
      <c r="F9" s="188">
        <f>+'Chart III'!F9</f>
        <v>1143760516</v>
      </c>
      <c r="G9" s="188">
        <f>+'Chart III'!G9</f>
        <v>1117251257</v>
      </c>
      <c r="H9" s="188">
        <f>+'Chart III'!H9</f>
        <v>1082664508</v>
      </c>
      <c r="I9" s="188">
        <f>+'Chart III'!I9</f>
        <v>1090938483</v>
      </c>
      <c r="J9" s="188">
        <f>+'Chart III'!J9</f>
        <v>1110518847</v>
      </c>
      <c r="K9" s="188">
        <f>+'Chart III'!K9</f>
        <v>1073783871</v>
      </c>
      <c r="L9" s="188">
        <f>+'Chart III'!L9</f>
        <v>1078161209</v>
      </c>
      <c r="M9" s="188">
        <f>+'Chart III'!M9</f>
        <v>1091642390</v>
      </c>
      <c r="N9" s="188">
        <f>+'Chart III'!N9</f>
        <v>1079760469</v>
      </c>
      <c r="O9" s="510">
        <f>+'Chart III'!O9</f>
        <v>1074433920</v>
      </c>
      <c r="P9" s="188">
        <f>+'Chart III'!P9</f>
        <v>1070015150.858888</v>
      </c>
      <c r="Q9" s="188">
        <f>+'Chart III'!Q9</f>
        <v>1061596460.9022121</v>
      </c>
      <c r="R9" s="201">
        <f>+'Chart III'!R9</f>
        <v>1059903126.5592082</v>
      </c>
      <c r="U9" s="128" t="s">
        <v>55</v>
      </c>
      <c r="V9" s="129">
        <v>1141200155</v>
      </c>
      <c r="W9" s="129">
        <f>G9</f>
        <v>1117251257</v>
      </c>
      <c r="X9" s="129">
        <f>H9</f>
        <v>1082664508</v>
      </c>
      <c r="Y9" s="129">
        <f>I9</f>
        <v>1090938483</v>
      </c>
      <c r="Z9" s="130">
        <f>Q9</f>
        <v>1061596460.9022121</v>
      </c>
      <c r="AA9" s="129">
        <f>R9</f>
        <v>1059903126.5592082</v>
      </c>
    </row>
    <row r="10" spans="1:27" x14ac:dyDescent="0.2">
      <c r="A10" s="199" t="s">
        <v>261</v>
      </c>
      <c r="B10" s="188">
        <f>+'Chart III'!B10</f>
        <v>1376310.4427777778</v>
      </c>
      <c r="C10" s="188">
        <f>+'Chart III'!C10</f>
        <v>1359503.3072222222</v>
      </c>
      <c r="D10" s="188">
        <f>+'Chart III'!D10</f>
        <v>1235025.9316666666</v>
      </c>
      <c r="E10" s="188">
        <f>+'Chart III'!E10</f>
        <v>1231537.3194444445</v>
      </c>
      <c r="F10" s="188">
        <f>+'Chart III'!F10</f>
        <v>1262855.0222222223</v>
      </c>
      <c r="G10" s="188">
        <f>+'Chart III'!G10</f>
        <v>1231679.9805555556</v>
      </c>
      <c r="H10" s="188">
        <f>+'Chart III'!H10</f>
        <v>1167952.2</v>
      </c>
      <c r="I10" s="188">
        <f>+'Chart III'!I10</f>
        <v>1165174.4777777777</v>
      </c>
      <c r="J10" s="188">
        <f>+'Chart III'!J10</f>
        <v>1171404</v>
      </c>
      <c r="K10" s="188">
        <f>+'Chart III'!K10</f>
        <v>1146022</v>
      </c>
      <c r="L10" s="188">
        <f>+'Chart III'!L10</f>
        <v>1145530</v>
      </c>
      <c r="M10" s="188">
        <f>+'Chart III'!M10</f>
        <v>1137326</v>
      </c>
      <c r="N10" s="188">
        <f>+'Chart III'!N10</f>
        <v>1159775</v>
      </c>
      <c r="O10" s="510">
        <f>+'Chart III'!O10</f>
        <v>1179834</v>
      </c>
      <c r="P10" s="188">
        <f>+'Chart III'!P10</f>
        <v>1121722.9745915893</v>
      </c>
      <c r="Q10" s="188">
        <f>+'Chart III'!Q10</f>
        <v>1105713.7921281913</v>
      </c>
      <c r="R10" s="201">
        <f>+'Chart III'!R10</f>
        <v>1106551.0586040316</v>
      </c>
      <c r="U10" s="128"/>
      <c r="V10" s="129"/>
      <c r="W10" s="129"/>
      <c r="X10" s="129"/>
      <c r="Y10" s="129"/>
      <c r="Z10" s="130"/>
      <c r="AA10" s="129"/>
    </row>
    <row r="11" spans="1:27" x14ac:dyDescent="0.2">
      <c r="A11" s="199"/>
      <c r="B11" s="191"/>
      <c r="C11" s="191"/>
      <c r="D11" s="191"/>
      <c r="E11" s="191"/>
      <c r="F11" s="191"/>
      <c r="G11" s="193"/>
      <c r="H11" s="192"/>
      <c r="I11" s="192"/>
      <c r="J11" s="192"/>
      <c r="K11" s="192"/>
      <c r="L11" s="192"/>
      <c r="M11" s="192"/>
      <c r="N11" s="192"/>
      <c r="O11" s="512"/>
      <c r="P11" s="192"/>
      <c r="Q11" s="192"/>
      <c r="R11" s="204"/>
      <c r="U11" s="128"/>
      <c r="V11" s="135"/>
      <c r="W11" s="131"/>
      <c r="X11" s="136"/>
      <c r="Y11" s="136"/>
      <c r="Z11" s="136"/>
      <c r="AA11" s="131"/>
    </row>
    <row r="12" spans="1:27" ht="15.75" x14ac:dyDescent="0.25">
      <c r="A12" s="205" t="s">
        <v>54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513"/>
      <c r="P12" s="193"/>
      <c r="Q12" s="193"/>
      <c r="R12" s="206"/>
      <c r="U12" s="137" t="s">
        <v>54</v>
      </c>
      <c r="V12" s="138"/>
      <c r="W12" s="131"/>
      <c r="X12" s="131"/>
      <c r="Y12" s="131"/>
      <c r="Z12" s="136"/>
      <c r="AA12" s="131"/>
    </row>
    <row r="13" spans="1:27" x14ac:dyDescent="0.2">
      <c r="A13" s="207" t="str">
        <f>'Rate Class Energy Model'!H2</f>
        <v>Residential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513"/>
      <c r="P13" s="193"/>
      <c r="Q13" s="193"/>
      <c r="R13" s="206"/>
      <c r="U13" s="139" t="s">
        <v>71</v>
      </c>
      <c r="V13" s="138"/>
      <c r="W13" s="131"/>
      <c r="X13" s="131"/>
      <c r="Y13" s="131"/>
      <c r="Z13" s="136"/>
      <c r="AA13" s="131"/>
    </row>
    <row r="14" spans="1:27" x14ac:dyDescent="0.2">
      <c r="A14" s="208" t="s">
        <v>47</v>
      </c>
      <c r="B14" s="194">
        <f>+'Chart III'!B14</f>
        <v>43319.5</v>
      </c>
      <c r="C14" s="194">
        <f>+'Chart III'!C14</f>
        <v>43979.5</v>
      </c>
      <c r="D14" s="194">
        <f>+'Chart III'!D14</f>
        <v>44598.5</v>
      </c>
      <c r="E14" s="194">
        <f>+'Chart III'!E14</f>
        <v>45439</v>
      </c>
      <c r="F14" s="194">
        <f>+'Chart III'!F14</f>
        <v>46320</v>
      </c>
      <c r="G14" s="194">
        <f>+'Chart III'!G14</f>
        <v>47057.5</v>
      </c>
      <c r="H14" s="194">
        <f>+'Chart III'!H14</f>
        <v>47602.5</v>
      </c>
      <c r="I14" s="194">
        <f>+'Chart III'!I14</f>
        <v>48114.5</v>
      </c>
      <c r="J14" s="194">
        <f>+'Chart III'!J14</f>
        <v>48650.5</v>
      </c>
      <c r="K14" s="194">
        <f>+'Chart III'!K14</f>
        <v>49021</v>
      </c>
      <c r="L14" s="194">
        <f>+'Chart III'!L14</f>
        <v>49516</v>
      </c>
      <c r="M14" s="194">
        <f>+'Chart III'!M14</f>
        <v>50202.5</v>
      </c>
      <c r="N14" s="194">
        <f>+'Chart III'!N14</f>
        <v>51152.5</v>
      </c>
      <c r="O14" s="514">
        <f>+'Chart III'!O14</f>
        <v>52115</v>
      </c>
      <c r="P14" s="194">
        <f>+'Chart III'!P14</f>
        <v>52861.328483376739</v>
      </c>
      <c r="Q14" s="194">
        <f>+'Chart III'!Q14</f>
        <v>53812.844987574732</v>
      </c>
      <c r="R14" s="209">
        <f>+'Chart III'!R14</f>
        <v>54781.502573600781</v>
      </c>
      <c r="U14" s="140" t="s">
        <v>47</v>
      </c>
      <c r="V14" s="131">
        <v>47243</v>
      </c>
      <c r="W14" s="131">
        <f t="shared" ref="W14:Y15" si="4">G14</f>
        <v>47057.5</v>
      </c>
      <c r="X14" s="131">
        <f t="shared" si="4"/>
        <v>47602.5</v>
      </c>
      <c r="Y14" s="131">
        <f t="shared" si="4"/>
        <v>48114.5</v>
      </c>
      <c r="Z14" s="136">
        <f t="shared" ref="Z14:AA15" si="5">Q14</f>
        <v>53812.844987574732</v>
      </c>
      <c r="AA14" s="131">
        <f t="shared" si="5"/>
        <v>54781.502573600781</v>
      </c>
    </row>
    <row r="15" spans="1:27" x14ac:dyDescent="0.2">
      <c r="A15" s="208" t="s">
        <v>48</v>
      </c>
      <c r="B15" s="194">
        <f>+'Chart III'!B15</f>
        <v>457616904</v>
      </c>
      <c r="C15" s="194">
        <f>+'Chart III'!C15</f>
        <v>448138859</v>
      </c>
      <c r="D15" s="194">
        <f>+'Chart III'!D15</f>
        <v>485961504</v>
      </c>
      <c r="E15" s="194">
        <f>+'Chart III'!E15</f>
        <v>466401366</v>
      </c>
      <c r="F15" s="194">
        <f>+'Chart III'!F15</f>
        <v>473023155</v>
      </c>
      <c r="G15" s="194">
        <f>+'Chart III'!G15</f>
        <v>470718851</v>
      </c>
      <c r="H15" s="194">
        <f>+'Chart III'!H15</f>
        <v>467977819</v>
      </c>
      <c r="I15" s="194">
        <f>+'Chart III'!I15</f>
        <v>476941035</v>
      </c>
      <c r="J15" s="194">
        <f>+'Chart III'!J15</f>
        <v>484582022</v>
      </c>
      <c r="K15" s="194">
        <f>+'Chart III'!K15</f>
        <v>473288468</v>
      </c>
      <c r="L15" s="194">
        <f>+'Chart III'!L15</f>
        <v>475282449</v>
      </c>
      <c r="M15" s="194">
        <f>+'Chart III'!M15</f>
        <v>485503507</v>
      </c>
      <c r="N15" s="194">
        <f>+'Chart III'!N15</f>
        <v>479177852</v>
      </c>
      <c r="O15" s="514">
        <f>+'Chart III'!O15</f>
        <v>477455153</v>
      </c>
      <c r="P15" s="194">
        <f>+'Chart III'!P15</f>
        <v>481242441.3526327</v>
      </c>
      <c r="Q15" s="194">
        <f>+'Chart III'!Q15</f>
        <v>480011939.38473219</v>
      </c>
      <c r="R15" s="209">
        <f>+'Chart III'!R15</f>
        <v>478548339.49470502</v>
      </c>
      <c r="U15" s="140" t="s">
        <v>48</v>
      </c>
      <c r="V15" s="131">
        <v>487192399</v>
      </c>
      <c r="W15" s="131">
        <f t="shared" si="4"/>
        <v>470718851</v>
      </c>
      <c r="X15" s="131">
        <f t="shared" si="4"/>
        <v>467977819</v>
      </c>
      <c r="Y15" s="131">
        <f t="shared" si="4"/>
        <v>476941035</v>
      </c>
      <c r="Z15" s="136">
        <f t="shared" si="5"/>
        <v>480011939.38473219</v>
      </c>
      <c r="AA15" s="131">
        <f t="shared" si="5"/>
        <v>478548339.49470502</v>
      </c>
    </row>
    <row r="16" spans="1:27" x14ac:dyDescent="0.2">
      <c r="A16" s="208"/>
      <c r="B16" s="193"/>
      <c r="C16" s="193"/>
      <c r="D16" s="193"/>
      <c r="E16" s="193"/>
      <c r="F16" s="193"/>
      <c r="G16" s="210"/>
      <c r="H16" s="192"/>
      <c r="I16" s="192"/>
      <c r="J16" s="192"/>
      <c r="K16" s="192"/>
      <c r="L16" s="192"/>
      <c r="M16" s="192"/>
      <c r="N16" s="192"/>
      <c r="O16" s="512"/>
      <c r="P16" s="192"/>
      <c r="Q16" s="192"/>
      <c r="R16" s="204"/>
      <c r="U16" s="140"/>
      <c r="V16" s="138"/>
      <c r="W16" s="136"/>
      <c r="X16" s="136"/>
      <c r="Y16" s="136"/>
      <c r="Z16" s="136"/>
      <c r="AA16" s="141"/>
    </row>
    <row r="17" spans="1:27" x14ac:dyDescent="0.2">
      <c r="A17" s="207" t="str">
        <f>'Rate Class Energy Model'!I2</f>
        <v>GS&lt;50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513"/>
      <c r="P17" s="193"/>
      <c r="Q17" s="193"/>
      <c r="R17" s="206"/>
      <c r="U17" s="139" t="s">
        <v>72</v>
      </c>
      <c r="V17" s="138"/>
      <c r="W17" s="131"/>
      <c r="X17" s="131"/>
      <c r="Y17" s="131"/>
      <c r="Z17" s="136"/>
      <c r="AA17" s="131"/>
    </row>
    <row r="18" spans="1:27" x14ac:dyDescent="0.2">
      <c r="A18" s="208" t="s">
        <v>47</v>
      </c>
      <c r="B18" s="194">
        <f>+'Chart III'!B18</f>
        <v>3689</v>
      </c>
      <c r="C18" s="194">
        <f>+'Chart III'!C18</f>
        <v>3626.5</v>
      </c>
      <c r="D18" s="194">
        <f>+'Chart III'!D18</f>
        <v>3662</v>
      </c>
      <c r="E18" s="194">
        <f>+'Chart III'!E18</f>
        <v>3740.5</v>
      </c>
      <c r="F18" s="194">
        <f>+'Chart III'!F18</f>
        <v>3749</v>
      </c>
      <c r="G18" s="194">
        <f>+'Chart III'!G18</f>
        <v>3793.5</v>
      </c>
      <c r="H18" s="194">
        <f>+'Chart III'!H18</f>
        <v>3859.5</v>
      </c>
      <c r="I18" s="194">
        <f>+'Chart III'!I18</f>
        <v>3929</v>
      </c>
      <c r="J18" s="194">
        <f>+'Chart III'!J18</f>
        <v>3888.5</v>
      </c>
      <c r="K18" s="194">
        <f>+'Chart III'!K18</f>
        <v>3850.5</v>
      </c>
      <c r="L18" s="194">
        <f>+'Chart III'!L18</f>
        <v>3904.5</v>
      </c>
      <c r="M18" s="194">
        <f>+'Chart III'!M18</f>
        <v>3952.5</v>
      </c>
      <c r="N18" s="194">
        <f>+'Chart III'!N18</f>
        <v>4027.5</v>
      </c>
      <c r="O18" s="514">
        <f>+'Chart III'!O18</f>
        <v>4112</v>
      </c>
      <c r="P18" s="194">
        <f>+'Chart III'!P18</f>
        <v>4146.4802600618323</v>
      </c>
      <c r="Q18" s="194">
        <f>+'Chart III'!Q18</f>
        <v>4221.1496466640174</v>
      </c>
      <c r="R18" s="209">
        <f>+'Chart III'!R18</f>
        <v>4297.1105842127581</v>
      </c>
      <c r="U18" s="140" t="s">
        <v>47</v>
      </c>
      <c r="V18" s="131">
        <v>3845</v>
      </c>
      <c r="W18" s="131">
        <f t="shared" ref="W18:Y19" si="6">G18</f>
        <v>3793.5</v>
      </c>
      <c r="X18" s="131">
        <f t="shared" si="6"/>
        <v>3859.5</v>
      </c>
      <c r="Y18" s="131">
        <f t="shared" si="6"/>
        <v>3929</v>
      </c>
      <c r="Z18" s="136">
        <f t="shared" ref="Z18:AA19" si="7">Q18</f>
        <v>4221.1496466640174</v>
      </c>
      <c r="AA18" s="131">
        <f t="shared" si="7"/>
        <v>4297.1105842127581</v>
      </c>
    </row>
    <row r="19" spans="1:27" x14ac:dyDescent="0.2">
      <c r="A19" s="208" t="s">
        <v>48</v>
      </c>
      <c r="B19" s="194">
        <f>+'Chart III'!B19</f>
        <v>121224653</v>
      </c>
      <c r="C19" s="194">
        <f>+'Chart III'!C19</f>
        <v>129998490</v>
      </c>
      <c r="D19" s="194">
        <f>+'Chart III'!D19</f>
        <v>135909028</v>
      </c>
      <c r="E19" s="194">
        <f>+'Chart III'!E19</f>
        <v>134155770</v>
      </c>
      <c r="F19" s="194">
        <f>+'Chart III'!F19</f>
        <v>132346004</v>
      </c>
      <c r="G19" s="194">
        <f>+'Chart III'!G19</f>
        <v>131868017</v>
      </c>
      <c r="H19" s="194">
        <f>+'Chart III'!H19</f>
        <v>128019505</v>
      </c>
      <c r="I19" s="194">
        <f>+'Chart III'!I19</f>
        <v>131282103</v>
      </c>
      <c r="J19" s="194">
        <f>+'Chart III'!J19</f>
        <v>135695878</v>
      </c>
      <c r="K19" s="194">
        <f>+'Chart III'!K19</f>
        <v>131590801</v>
      </c>
      <c r="L19" s="194">
        <f>+'Chart III'!L19</f>
        <v>132382128</v>
      </c>
      <c r="M19" s="194">
        <f>+'Chart III'!M19</f>
        <v>133729082</v>
      </c>
      <c r="N19" s="194">
        <f>+'Chart III'!N19</f>
        <v>132197810</v>
      </c>
      <c r="O19" s="514">
        <f>+'Chart III'!O19</f>
        <v>130049530</v>
      </c>
      <c r="P19" s="194">
        <f>+'Chart III'!P19</f>
        <v>130109122.86424071</v>
      </c>
      <c r="Q19" s="194">
        <f>+'Chart III'!Q19</f>
        <v>129585178.21250525</v>
      </c>
      <c r="R19" s="209">
        <f>+'Chart III'!R19</f>
        <v>129015225.78797366</v>
      </c>
      <c r="U19" s="140" t="s">
        <v>48</v>
      </c>
      <c r="V19" s="131">
        <v>140097188</v>
      </c>
      <c r="W19" s="131">
        <f t="shared" si="6"/>
        <v>131868017</v>
      </c>
      <c r="X19" s="131">
        <f t="shared" si="6"/>
        <v>128019505</v>
      </c>
      <c r="Y19" s="131">
        <f t="shared" si="6"/>
        <v>131282103</v>
      </c>
      <c r="Z19" s="131">
        <f t="shared" si="7"/>
        <v>129585178.21250525</v>
      </c>
      <c r="AA19" s="131">
        <f t="shared" si="7"/>
        <v>129015225.78797366</v>
      </c>
    </row>
    <row r="20" spans="1:27" x14ac:dyDescent="0.2">
      <c r="A20" s="208"/>
      <c r="B20" s="193"/>
      <c r="C20" s="193"/>
      <c r="D20" s="193"/>
      <c r="E20" s="193"/>
      <c r="F20" s="193"/>
      <c r="G20" s="210"/>
      <c r="H20" s="192"/>
      <c r="I20" s="192"/>
      <c r="J20" s="192"/>
      <c r="K20" s="192"/>
      <c r="L20" s="192"/>
      <c r="M20" s="192"/>
      <c r="N20" s="192"/>
      <c r="O20" s="512"/>
      <c r="P20" s="192"/>
      <c r="Q20" s="192"/>
      <c r="R20" s="204"/>
      <c r="U20" s="140"/>
      <c r="V20" s="138"/>
      <c r="W20" s="136"/>
      <c r="X20" s="136"/>
      <c r="Y20" s="136"/>
      <c r="Z20" s="136"/>
      <c r="AA20" s="141"/>
    </row>
    <row r="21" spans="1:27" x14ac:dyDescent="0.2">
      <c r="A21" s="207" t="str">
        <f>'Rate Class Energy Model'!J2</f>
        <v>GS&gt;50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513"/>
      <c r="P21" s="193"/>
      <c r="Q21" s="193"/>
      <c r="R21" s="206"/>
      <c r="U21" s="139" t="s">
        <v>73</v>
      </c>
      <c r="V21" s="138"/>
      <c r="W21" s="131"/>
      <c r="X21" s="131"/>
      <c r="Y21" s="131"/>
      <c r="Z21" s="136"/>
      <c r="AA21" s="131"/>
    </row>
    <row r="22" spans="1:27" x14ac:dyDescent="0.2">
      <c r="A22" s="208" t="s">
        <v>47</v>
      </c>
      <c r="B22" s="194">
        <f>+'Chart III'!B22</f>
        <v>559</v>
      </c>
      <c r="C22" s="194">
        <f>+'Chart III'!C22</f>
        <v>530</v>
      </c>
      <c r="D22" s="194">
        <f>+'Chart III'!D22</f>
        <v>521.5</v>
      </c>
      <c r="E22" s="194">
        <f>+'Chart III'!E22</f>
        <v>525</v>
      </c>
      <c r="F22" s="194">
        <f>+'Chart III'!F22</f>
        <v>523</v>
      </c>
      <c r="G22" s="194">
        <f>+'Chart III'!G22</f>
        <v>533.5</v>
      </c>
      <c r="H22" s="194">
        <f>+'Chart III'!H22</f>
        <v>525</v>
      </c>
      <c r="I22" s="194">
        <f>+'Chart III'!I22</f>
        <v>512.5</v>
      </c>
      <c r="J22" s="194">
        <f>+'Chart III'!J22</f>
        <v>520.5</v>
      </c>
      <c r="K22" s="194">
        <f>+'Chart III'!K22</f>
        <v>511.5</v>
      </c>
      <c r="L22" s="194">
        <f>+'Chart III'!L22</f>
        <v>500</v>
      </c>
      <c r="M22" s="194">
        <f>+'Chart III'!M22</f>
        <v>502.5</v>
      </c>
      <c r="N22" s="194">
        <f>+'Chart III'!N22</f>
        <v>508.5</v>
      </c>
      <c r="O22" s="514">
        <f>+'Chart III'!O22</f>
        <v>516.5</v>
      </c>
      <c r="P22" s="194">
        <f>+'Chart III'!P22</f>
        <v>516.5</v>
      </c>
      <c r="Q22" s="194">
        <f>+'Chart III'!Q22</f>
        <v>525.79999999999995</v>
      </c>
      <c r="R22" s="209">
        <f>+'Chart III'!R22</f>
        <v>535.29999999999995</v>
      </c>
      <c r="U22" s="140" t="s">
        <v>47</v>
      </c>
      <c r="V22" s="131">
        <v>522</v>
      </c>
      <c r="W22" s="131">
        <f t="shared" ref="W22:Y24" si="8">G22</f>
        <v>533.5</v>
      </c>
      <c r="X22" s="131">
        <f t="shared" si="8"/>
        <v>525</v>
      </c>
      <c r="Y22" s="131">
        <f t="shared" si="8"/>
        <v>512.5</v>
      </c>
      <c r="Z22" s="136">
        <f t="shared" ref="Z22:AA24" si="9">Q22</f>
        <v>525.79999999999995</v>
      </c>
      <c r="AA22" s="131">
        <f t="shared" si="9"/>
        <v>535.29999999999995</v>
      </c>
    </row>
    <row r="23" spans="1:27" x14ac:dyDescent="0.2">
      <c r="A23" s="208" t="s">
        <v>48</v>
      </c>
      <c r="B23" s="194">
        <f>+'Chart III'!B23</f>
        <v>281244125.5</v>
      </c>
      <c r="C23" s="194">
        <f>+'Chart III'!C23</f>
        <v>360631980</v>
      </c>
      <c r="D23" s="194">
        <f>+'Chart III'!D23</f>
        <v>361962669</v>
      </c>
      <c r="E23" s="194">
        <f>+'Chart III'!E23</f>
        <v>357086593</v>
      </c>
      <c r="F23" s="194">
        <f>+'Chart III'!F23</f>
        <v>359144720</v>
      </c>
      <c r="G23" s="194">
        <f>+'Chart III'!G23</f>
        <v>352632150</v>
      </c>
      <c r="H23" s="194">
        <f>+'Chart III'!H23</f>
        <v>349784301</v>
      </c>
      <c r="I23" s="194">
        <f>+'Chart III'!I23</f>
        <v>355234224</v>
      </c>
      <c r="J23" s="194">
        <f>+'Chart III'!J23</f>
        <v>359534375</v>
      </c>
      <c r="K23" s="194">
        <f>+'Chart III'!K23</f>
        <v>338342507</v>
      </c>
      <c r="L23" s="194">
        <f>+'Chart III'!L23</f>
        <v>337123668</v>
      </c>
      <c r="M23" s="194">
        <f>+'Chart III'!M23</f>
        <v>336406114</v>
      </c>
      <c r="N23" s="194">
        <f>+'Chart III'!N23</f>
        <v>333350818</v>
      </c>
      <c r="O23" s="514">
        <f>+'Chart III'!O23</f>
        <v>330168199</v>
      </c>
      <c r="P23" s="194">
        <f>+'Chart III'!P23</f>
        <v>329149932.35225224</v>
      </c>
      <c r="Q23" s="194">
        <f>+'Chart III'!Q23</f>
        <v>329595262.30701321</v>
      </c>
      <c r="R23" s="209">
        <f>+'Chart III'!R23</f>
        <v>330009795.46084768</v>
      </c>
      <c r="U23" s="140" t="s">
        <v>48</v>
      </c>
      <c r="V23" s="131">
        <v>358858375</v>
      </c>
      <c r="W23" s="131">
        <f t="shared" si="8"/>
        <v>352632150</v>
      </c>
      <c r="X23" s="131">
        <f t="shared" si="8"/>
        <v>349784301</v>
      </c>
      <c r="Y23" s="131">
        <f t="shared" si="8"/>
        <v>355234224</v>
      </c>
      <c r="Z23" s="131">
        <f t="shared" si="9"/>
        <v>329595262.30701321</v>
      </c>
      <c r="AA23" s="131">
        <f t="shared" si="9"/>
        <v>330009795.46084768</v>
      </c>
    </row>
    <row r="24" spans="1:27" x14ac:dyDescent="0.2">
      <c r="A24" s="208" t="s">
        <v>49</v>
      </c>
      <c r="B24" s="194">
        <f>+'Chart III'!B24</f>
        <v>806199.49000000011</v>
      </c>
      <c r="C24" s="194">
        <f>+'Chart III'!C24</f>
        <v>957450.82</v>
      </c>
      <c r="D24" s="194">
        <f>+'Chart III'!D24</f>
        <v>913899.12999999989</v>
      </c>
      <c r="E24" s="194">
        <f>+'Chart III'!E24</f>
        <v>893943</v>
      </c>
      <c r="F24" s="194">
        <f>+'Chart III'!F24</f>
        <v>887017</v>
      </c>
      <c r="G24" s="194">
        <f>+'Chart III'!G24</f>
        <v>876464</v>
      </c>
      <c r="H24" s="194">
        <f>+'Chart III'!H24</f>
        <v>861503</v>
      </c>
      <c r="I24" s="195">
        <f>+'Chart III'!I24</f>
        <v>871715</v>
      </c>
      <c r="J24" s="195">
        <f>+'Chart III'!J24</f>
        <v>867070</v>
      </c>
      <c r="K24" s="195">
        <f>+'Chart III'!K24</f>
        <v>846459</v>
      </c>
      <c r="L24" s="195">
        <f>+'Chart III'!L24</f>
        <v>843160</v>
      </c>
      <c r="M24" s="195">
        <f>+'Chart III'!M24</f>
        <v>831789</v>
      </c>
      <c r="N24" s="195">
        <f>+'Chart III'!N24</f>
        <v>847479</v>
      </c>
      <c r="O24" s="515">
        <f>+'Chart III'!O24</f>
        <v>850825</v>
      </c>
      <c r="P24" s="195">
        <f>+'Chart III'!P24</f>
        <v>832942.28011661058</v>
      </c>
      <c r="Q24" s="195">
        <f>+'Chart III'!Q24</f>
        <v>834069.22595941229</v>
      </c>
      <c r="R24" s="211">
        <f>+'Chart III'!R24</f>
        <v>835118.23784245062</v>
      </c>
      <c r="U24" s="140" t="s">
        <v>49</v>
      </c>
      <c r="V24" s="131"/>
      <c r="W24" s="131">
        <f t="shared" si="8"/>
        <v>876464</v>
      </c>
      <c r="X24" s="131">
        <f t="shared" si="8"/>
        <v>861503</v>
      </c>
      <c r="Y24" s="136">
        <f t="shared" si="8"/>
        <v>871715</v>
      </c>
      <c r="Z24" s="131">
        <f t="shared" si="9"/>
        <v>834069.22595941229</v>
      </c>
      <c r="AA24" s="131">
        <f t="shared" si="9"/>
        <v>835118.23784245062</v>
      </c>
    </row>
    <row r="25" spans="1:27" x14ac:dyDescent="0.2">
      <c r="A25" s="208"/>
      <c r="B25" s="193"/>
      <c r="C25" s="193"/>
      <c r="D25" s="193"/>
      <c r="E25" s="193"/>
      <c r="F25" s="193"/>
      <c r="G25" s="210"/>
      <c r="H25" s="192"/>
      <c r="I25" s="192"/>
      <c r="J25" s="192"/>
      <c r="K25" s="192"/>
      <c r="L25" s="192"/>
      <c r="M25" s="192"/>
      <c r="N25" s="192"/>
      <c r="O25" s="512"/>
      <c r="P25" s="192"/>
      <c r="Q25" s="192"/>
      <c r="R25" s="204"/>
      <c r="S25" s="23"/>
      <c r="U25" s="140"/>
      <c r="V25" s="138"/>
      <c r="W25" s="136"/>
      <c r="X25" s="136"/>
      <c r="Y25" s="136"/>
      <c r="Z25" s="136"/>
      <c r="AA25" s="136"/>
    </row>
    <row r="26" spans="1:27" x14ac:dyDescent="0.2">
      <c r="A26" s="207" t="str">
        <f>'Rate Class Energy Model'!K2</f>
        <v>Large User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513"/>
      <c r="P26" s="193"/>
      <c r="Q26" s="193"/>
      <c r="R26" s="206"/>
      <c r="U26" s="139" t="s">
        <v>74</v>
      </c>
      <c r="V26" s="138"/>
      <c r="W26" s="131"/>
      <c r="X26" s="131"/>
      <c r="Y26" s="131"/>
      <c r="Z26" s="136"/>
      <c r="AA26" s="131"/>
    </row>
    <row r="27" spans="1:27" x14ac:dyDescent="0.2">
      <c r="A27" s="208" t="s">
        <v>47</v>
      </c>
      <c r="B27" s="194">
        <f>+'Chart III'!B27</f>
        <v>2.5</v>
      </c>
      <c r="C27" s="194">
        <f>+'Chart III'!C27</f>
        <v>2.5</v>
      </c>
      <c r="D27" s="194">
        <f>+'Chart III'!D27</f>
        <v>2</v>
      </c>
      <c r="E27" s="194">
        <f>+'Chart III'!E27</f>
        <v>2</v>
      </c>
      <c r="F27" s="194">
        <f>+'Chart III'!F27</f>
        <v>2</v>
      </c>
      <c r="G27" s="194">
        <f>+'Chart III'!G27</f>
        <v>2.5</v>
      </c>
      <c r="H27" s="194">
        <f>+'Chart III'!H27</f>
        <v>2</v>
      </c>
      <c r="I27" s="195">
        <f>+'Chart III'!I27</f>
        <v>1</v>
      </c>
      <c r="J27" s="194">
        <f>+'Chart III'!J27</f>
        <v>1</v>
      </c>
      <c r="K27" s="194">
        <f>+'Chart III'!K27</f>
        <v>1</v>
      </c>
      <c r="L27" s="194">
        <f>+'Chart III'!L27</f>
        <v>1</v>
      </c>
      <c r="M27" s="194">
        <f>+'Chart III'!M27</f>
        <v>1</v>
      </c>
      <c r="N27" s="194">
        <f>+'Chart III'!N27</f>
        <v>1</v>
      </c>
      <c r="O27" s="514">
        <f>+'Chart III'!O27</f>
        <v>1</v>
      </c>
      <c r="P27" s="194">
        <f>+'Chart III'!P27</f>
        <v>1</v>
      </c>
      <c r="Q27" s="194">
        <f>+'Chart III'!Q27</f>
        <v>1</v>
      </c>
      <c r="R27" s="209">
        <f>+'Chart III'!R27</f>
        <v>1</v>
      </c>
      <c r="U27" s="140" t="s">
        <v>47</v>
      </c>
      <c r="V27" s="131">
        <v>2</v>
      </c>
      <c r="W27" s="131">
        <f t="shared" ref="W27:Y29" si="10">G27</f>
        <v>2.5</v>
      </c>
      <c r="X27" s="131">
        <f t="shared" si="10"/>
        <v>2</v>
      </c>
      <c r="Y27" s="136">
        <f t="shared" si="10"/>
        <v>1</v>
      </c>
      <c r="Z27" s="136">
        <f t="shared" ref="Z27:AA29" si="11">Q27</f>
        <v>1</v>
      </c>
      <c r="AA27" s="136">
        <f t="shared" si="11"/>
        <v>1</v>
      </c>
    </row>
    <row r="28" spans="1:27" x14ac:dyDescent="0.2">
      <c r="A28" s="208" t="s">
        <v>48</v>
      </c>
      <c r="B28" s="194">
        <f>+'Chart III'!B28</f>
        <v>169257212.5</v>
      </c>
      <c r="C28" s="194">
        <f>+'Chart III'!C28</f>
        <v>112144196</v>
      </c>
      <c r="D28" s="194">
        <f>+'Chart III'!D28</f>
        <v>62904833</v>
      </c>
      <c r="E28" s="194">
        <f>+'Chart III'!E28</f>
        <v>59654446</v>
      </c>
      <c r="F28" s="194">
        <f>+'Chart III'!F28</f>
        <v>61811846</v>
      </c>
      <c r="G28" s="194">
        <f>+'Chart III'!G28</f>
        <v>46461021</v>
      </c>
      <c r="H28" s="194">
        <f>+'Chart III'!H28</f>
        <v>36580289</v>
      </c>
      <c r="I28" s="194">
        <f>+'Chart III'!I28</f>
        <v>33402763</v>
      </c>
      <c r="J28" s="194">
        <f>+'Chart III'!J28</f>
        <v>37740699</v>
      </c>
      <c r="K28" s="194">
        <f>+'Chart III'!K28</f>
        <v>40812737</v>
      </c>
      <c r="L28" s="194">
        <f>+'Chart III'!L28</f>
        <v>42326219</v>
      </c>
      <c r="M28" s="194">
        <f>+'Chart III'!M28</f>
        <v>42700435</v>
      </c>
      <c r="N28" s="194">
        <f>+'Chart III'!N28</f>
        <v>41948976</v>
      </c>
      <c r="O28" s="514">
        <f>+'Chart III'!O28</f>
        <v>41438246</v>
      </c>
      <c r="P28" s="194">
        <f>+'Chart III'!P28</f>
        <v>40749633.793613337</v>
      </c>
      <c r="Q28" s="194">
        <f>+'Chart III'!Q28</f>
        <v>39807306.868036307</v>
      </c>
      <c r="R28" s="209">
        <f>+'Chart III'!R28</f>
        <v>38875445.657878414</v>
      </c>
      <c r="U28" s="140" t="s">
        <v>48</v>
      </c>
      <c r="V28" s="131">
        <v>60139982</v>
      </c>
      <c r="W28" s="131">
        <f t="shared" si="10"/>
        <v>46461021</v>
      </c>
      <c r="X28" s="131">
        <f t="shared" si="10"/>
        <v>36580289</v>
      </c>
      <c r="Y28" s="131">
        <f t="shared" si="10"/>
        <v>33402763</v>
      </c>
      <c r="Z28" s="131">
        <f t="shared" si="11"/>
        <v>39807306.868036307</v>
      </c>
      <c r="AA28" s="142">
        <f t="shared" si="11"/>
        <v>38875445.657878414</v>
      </c>
    </row>
    <row r="29" spans="1:27" x14ac:dyDescent="0.2">
      <c r="A29" s="208" t="s">
        <v>49</v>
      </c>
      <c r="B29" s="194">
        <f>+'Chart III'!B29</f>
        <v>349045.15</v>
      </c>
      <c r="C29" s="194">
        <f>+'Chart III'!C29</f>
        <v>243130.85</v>
      </c>
      <c r="D29" s="194">
        <f>+'Chart III'!D29</f>
        <v>154705.01</v>
      </c>
      <c r="E29" s="194">
        <f>+'Chart III'!E29</f>
        <v>134252</v>
      </c>
      <c r="F29" s="194">
        <f>+'Chart III'!F29</f>
        <v>135954</v>
      </c>
      <c r="G29" s="194">
        <f>+'Chart III'!G29</f>
        <v>124131</v>
      </c>
      <c r="H29" s="194">
        <f>+'Chart III'!H29</f>
        <v>89007</v>
      </c>
      <c r="I29" s="195">
        <f>+'Chart III'!I29</f>
        <v>70585</v>
      </c>
      <c r="J29" s="195">
        <f>+'Chart III'!J29</f>
        <v>83704</v>
      </c>
      <c r="K29" s="195">
        <f>+'Chart III'!K29</f>
        <v>89554</v>
      </c>
      <c r="L29" s="195">
        <f>+'Chart III'!L29</f>
        <v>92753</v>
      </c>
      <c r="M29" s="195">
        <f>+'Chart III'!M29</f>
        <v>93203</v>
      </c>
      <c r="N29" s="195">
        <f>+'Chart III'!N29</f>
        <v>95584</v>
      </c>
      <c r="O29" s="515">
        <f>+'Chart III'!O29</f>
        <v>99526</v>
      </c>
      <c r="P29" s="195">
        <f>+'Chart III'!P29</f>
        <v>92630.431850062916</v>
      </c>
      <c r="Q29" s="195">
        <f>+'Chart III'!Q29</f>
        <v>90488.372107827323</v>
      </c>
      <c r="R29" s="211">
        <f>+'Chart III'!R29</f>
        <v>88370.102609788868</v>
      </c>
      <c r="U29" s="140" t="s">
        <v>49</v>
      </c>
      <c r="V29" s="131"/>
      <c r="W29" s="131">
        <f t="shared" si="10"/>
        <v>124131</v>
      </c>
      <c r="X29" s="131">
        <f t="shared" si="10"/>
        <v>89007</v>
      </c>
      <c r="Y29" s="136">
        <f t="shared" si="10"/>
        <v>70585</v>
      </c>
      <c r="Z29" s="131">
        <f t="shared" si="11"/>
        <v>90488.372107827323</v>
      </c>
      <c r="AA29" s="131">
        <f t="shared" si="11"/>
        <v>88370.102609788868</v>
      </c>
    </row>
    <row r="30" spans="1:27" x14ac:dyDescent="0.2">
      <c r="A30" s="208"/>
      <c r="B30" s="193"/>
      <c r="C30" s="193"/>
      <c r="D30" s="193"/>
      <c r="E30" s="193"/>
      <c r="F30" s="193"/>
      <c r="G30" s="210"/>
      <c r="H30" s="192"/>
      <c r="I30" s="192"/>
      <c r="J30" s="192"/>
      <c r="K30" s="192"/>
      <c r="L30" s="192"/>
      <c r="M30" s="192"/>
      <c r="N30" s="192"/>
      <c r="O30" s="512"/>
      <c r="P30" s="192"/>
      <c r="Q30" s="192"/>
      <c r="R30" s="204"/>
      <c r="U30" s="140"/>
      <c r="V30" s="138"/>
      <c r="W30" s="136"/>
      <c r="X30" s="136"/>
      <c r="Y30" s="136"/>
      <c r="Z30" s="136"/>
      <c r="AA30" s="141"/>
    </row>
    <row r="31" spans="1:27" x14ac:dyDescent="0.2">
      <c r="A31" s="207" t="str">
        <f>'Rate Class Energy Model'!L2</f>
        <v>I2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513"/>
      <c r="P31" s="193"/>
      <c r="Q31" s="193"/>
      <c r="R31" s="206"/>
      <c r="U31" s="139" t="s">
        <v>77</v>
      </c>
      <c r="V31" s="138"/>
      <c r="W31" s="131"/>
      <c r="X31" s="131"/>
      <c r="Y31" s="131"/>
      <c r="Z31" s="136"/>
      <c r="AA31" s="131"/>
    </row>
    <row r="32" spans="1:27" x14ac:dyDescent="0.2">
      <c r="A32" s="212" t="s">
        <v>47</v>
      </c>
      <c r="B32" s="194">
        <f>+'Chart III'!B32</f>
        <v>5</v>
      </c>
      <c r="C32" s="194">
        <f>+'Chart III'!C32</f>
        <v>6</v>
      </c>
      <c r="D32" s="194">
        <f>+'Chart III'!D32</f>
        <v>7.5</v>
      </c>
      <c r="E32" s="194">
        <f>+'Chart III'!E32</f>
        <v>8.5</v>
      </c>
      <c r="F32" s="194">
        <f>+'Chart III'!F32</f>
        <v>9</v>
      </c>
      <c r="G32" s="194">
        <f>+'Chart III'!G32</f>
        <v>9</v>
      </c>
      <c r="H32" s="194">
        <f>+'Chart III'!H32</f>
        <v>9.5</v>
      </c>
      <c r="I32" s="195">
        <f>+'Chart III'!I32</f>
        <v>10</v>
      </c>
      <c r="J32" s="194">
        <f>+'Chart III'!J32</f>
        <v>10</v>
      </c>
      <c r="K32" s="194">
        <f>+'Chart III'!K32</f>
        <v>10.5</v>
      </c>
      <c r="L32" s="194">
        <f>+'Chart III'!L32</f>
        <v>11</v>
      </c>
      <c r="M32" s="194">
        <f>+'Chart III'!M32</f>
        <v>11</v>
      </c>
      <c r="N32" s="194">
        <f>+'Chart III'!N32</f>
        <v>12</v>
      </c>
      <c r="O32" s="514">
        <f>+'Chart III'!O32</f>
        <v>13</v>
      </c>
      <c r="P32" s="194">
        <f>+'Chart III'!P32</f>
        <v>13</v>
      </c>
      <c r="Q32" s="194">
        <f>+'Chart III'!Q32</f>
        <v>13.2</v>
      </c>
      <c r="R32" s="209">
        <f>+'Chart III'!R32</f>
        <v>14.2</v>
      </c>
      <c r="U32" s="143" t="s">
        <v>47</v>
      </c>
      <c r="V32" s="131">
        <v>9</v>
      </c>
      <c r="W32" s="131">
        <f t="shared" ref="W32:Y34" si="12">G32</f>
        <v>9</v>
      </c>
      <c r="X32" s="131">
        <f t="shared" si="12"/>
        <v>9.5</v>
      </c>
      <c r="Y32" s="136">
        <f t="shared" si="12"/>
        <v>10</v>
      </c>
      <c r="Z32" s="136">
        <f t="shared" ref="Z32:AA34" si="13">Q32</f>
        <v>13.2</v>
      </c>
      <c r="AA32" s="136">
        <f t="shared" si="13"/>
        <v>14.2</v>
      </c>
    </row>
    <row r="33" spans="1:27" x14ac:dyDescent="0.2">
      <c r="A33" s="208" t="s">
        <v>48</v>
      </c>
      <c r="B33" s="194">
        <f>+'Chart III'!B33</f>
        <v>96172091</v>
      </c>
      <c r="C33" s="194">
        <f>+'Chart III'!C33</f>
        <v>65676068</v>
      </c>
      <c r="D33" s="194">
        <f>+'Chart III'!D33</f>
        <v>67016961</v>
      </c>
      <c r="E33" s="194">
        <f>+'Chart III'!E33</f>
        <v>80518764</v>
      </c>
      <c r="F33" s="194">
        <f>+'Chart III'!F33</f>
        <v>103869997</v>
      </c>
      <c r="G33" s="194">
        <f>+'Chart III'!G33</f>
        <v>102433272</v>
      </c>
      <c r="H33" s="194">
        <f>+'Chart III'!H33</f>
        <v>87237589</v>
      </c>
      <c r="I33" s="194">
        <f>+'Chart III'!I33</f>
        <v>80783141</v>
      </c>
      <c r="J33" s="194">
        <f>+'Chart III'!J33</f>
        <v>79908016</v>
      </c>
      <c r="K33" s="194">
        <f>+'Chart III'!K33</f>
        <v>76828137</v>
      </c>
      <c r="L33" s="194">
        <f>+'Chart III'!L33</f>
        <v>79176233</v>
      </c>
      <c r="M33" s="194">
        <f>+'Chart III'!M33</f>
        <v>81400346</v>
      </c>
      <c r="N33" s="194">
        <f>+'Chart III'!N33</f>
        <v>81234207</v>
      </c>
      <c r="O33" s="514">
        <f>+'Chart III'!O33</f>
        <v>83295745</v>
      </c>
      <c r="P33" s="194">
        <f>+'Chart III'!P33</f>
        <v>78965334.810425088</v>
      </c>
      <c r="Q33" s="194">
        <f>+'Chart III'!Q33</f>
        <v>75038332.350385889</v>
      </c>
      <c r="R33" s="209">
        <f>+'Chart III'!R33</f>
        <v>75644065.398059711</v>
      </c>
      <c r="U33" s="140" t="s">
        <v>48</v>
      </c>
      <c r="V33" s="131">
        <v>80956601</v>
      </c>
      <c r="W33" s="131">
        <f t="shared" si="12"/>
        <v>102433272</v>
      </c>
      <c r="X33" s="131">
        <f t="shared" si="12"/>
        <v>87237589</v>
      </c>
      <c r="Y33" s="131">
        <f t="shared" si="12"/>
        <v>80783141</v>
      </c>
      <c r="Z33" s="131">
        <f t="shared" si="13"/>
        <v>75038332.350385889</v>
      </c>
      <c r="AA33" s="142">
        <f t="shared" si="13"/>
        <v>75644065.398059711</v>
      </c>
    </row>
    <row r="34" spans="1:27" x14ac:dyDescent="0.2">
      <c r="A34" s="208" t="s">
        <v>49</v>
      </c>
      <c r="B34" s="194">
        <f>+'Chart III'!B34</f>
        <v>197712.36</v>
      </c>
      <c r="C34" s="194">
        <f>+'Chart III'!C34</f>
        <v>135213.89000000001</v>
      </c>
      <c r="D34" s="194">
        <f>+'Chart III'!D34</f>
        <v>142187.47</v>
      </c>
      <c r="E34" s="194">
        <f>+'Chart III'!E34</f>
        <v>178422</v>
      </c>
      <c r="F34" s="194">
        <f>+'Chart III'!F34</f>
        <v>214029</v>
      </c>
      <c r="G34" s="194">
        <f>+'Chart III'!G34</f>
        <v>204487</v>
      </c>
      <c r="H34" s="194">
        <f>+'Chart III'!H34</f>
        <v>190299</v>
      </c>
      <c r="I34" s="195">
        <f>+'Chart III'!I34</f>
        <v>195141</v>
      </c>
      <c r="J34" s="195">
        <f>+'Chart III'!J34</f>
        <v>192700</v>
      </c>
      <c r="K34" s="195">
        <f>+'Chart III'!K34</f>
        <v>182189</v>
      </c>
      <c r="L34" s="195">
        <f>+'Chart III'!L34</f>
        <v>184241</v>
      </c>
      <c r="M34" s="195">
        <f>+'Chart III'!M34</f>
        <v>186714</v>
      </c>
      <c r="N34" s="195">
        <f>+'Chart III'!N34</f>
        <v>190580</v>
      </c>
      <c r="O34" s="515">
        <f>+'Chart III'!O34</f>
        <v>202815</v>
      </c>
      <c r="P34" s="195">
        <f>+'Chart III'!P34</f>
        <v>176491.02826956642</v>
      </c>
      <c r="Q34" s="195">
        <f>+'Chart III'!Q34</f>
        <v>167714.00346680533</v>
      </c>
      <c r="R34" s="211">
        <f>+'Chart III'!R34</f>
        <v>169067.84371452243</v>
      </c>
      <c r="U34" s="140" t="s">
        <v>49</v>
      </c>
      <c r="V34" s="131"/>
      <c r="W34" s="131">
        <f t="shared" si="12"/>
        <v>204487</v>
      </c>
      <c r="X34" s="131">
        <f t="shared" si="12"/>
        <v>190299</v>
      </c>
      <c r="Y34" s="136">
        <f t="shared" si="12"/>
        <v>195141</v>
      </c>
      <c r="Z34" s="131">
        <f t="shared" si="13"/>
        <v>167714.00346680533</v>
      </c>
      <c r="AA34" s="131">
        <f t="shared" si="13"/>
        <v>169067.84371452243</v>
      </c>
    </row>
    <row r="35" spans="1:27" x14ac:dyDescent="0.2">
      <c r="A35" s="208"/>
      <c r="B35" s="194"/>
      <c r="C35" s="194"/>
      <c r="D35" s="194"/>
      <c r="E35" s="194"/>
      <c r="F35" s="194"/>
      <c r="G35" s="194"/>
      <c r="H35" s="194"/>
      <c r="I35" s="192"/>
      <c r="J35" s="192"/>
      <c r="K35" s="192"/>
      <c r="L35" s="192"/>
      <c r="M35" s="192"/>
      <c r="N35" s="192"/>
      <c r="O35" s="512"/>
      <c r="P35" s="192"/>
      <c r="Q35" s="192"/>
      <c r="R35" s="204"/>
      <c r="S35" s="23"/>
      <c r="U35" s="140"/>
      <c r="V35" s="131"/>
      <c r="W35" s="131"/>
      <c r="X35" s="131"/>
      <c r="Y35" s="136"/>
      <c r="Z35" s="136"/>
      <c r="AA35" s="136"/>
    </row>
    <row r="36" spans="1:27" x14ac:dyDescent="0.2">
      <c r="A36" s="207" t="str">
        <f>'Rate Class Energy Model'!M2</f>
        <v>Streetlights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513"/>
      <c r="P36" s="193"/>
      <c r="Q36" s="193"/>
      <c r="R36" s="206"/>
      <c r="U36" s="139" t="s">
        <v>75</v>
      </c>
      <c r="V36" s="138"/>
      <c r="W36" s="131"/>
      <c r="X36" s="131"/>
      <c r="Y36" s="131"/>
      <c r="Z36" s="136"/>
      <c r="AA36" s="131"/>
    </row>
    <row r="37" spans="1:27" x14ac:dyDescent="0.2">
      <c r="A37" s="208" t="s">
        <v>63</v>
      </c>
      <c r="B37" s="194">
        <f>+'Chart III'!B37</f>
        <v>10059</v>
      </c>
      <c r="C37" s="194">
        <f>+'Chart III'!C37</f>
        <v>10262</v>
      </c>
      <c r="D37" s="194">
        <f>+'Chart III'!D37</f>
        <v>10498.5</v>
      </c>
      <c r="E37" s="194">
        <f>+'Chart III'!E37</f>
        <v>10831</v>
      </c>
      <c r="F37" s="194">
        <f>+'Chart III'!F37</f>
        <v>11280.5</v>
      </c>
      <c r="G37" s="194">
        <f>+'Chart III'!G37</f>
        <v>11621.5</v>
      </c>
      <c r="H37" s="194">
        <f>+'Chart III'!H37</f>
        <v>11801</v>
      </c>
      <c r="I37" s="195">
        <f>+'Chart III'!I37</f>
        <v>11995.5</v>
      </c>
      <c r="J37" s="194">
        <f>+'Chart III'!J37</f>
        <v>12127.5</v>
      </c>
      <c r="K37" s="194">
        <f>+'Chart III'!K37</f>
        <v>12213</v>
      </c>
      <c r="L37" s="194">
        <f>+'Chart III'!L37</f>
        <v>12332.5</v>
      </c>
      <c r="M37" s="194">
        <f>+'Chart III'!M37</f>
        <v>12464.5</v>
      </c>
      <c r="N37" s="194">
        <f>+'Chart III'!N37</f>
        <v>12714</v>
      </c>
      <c r="O37" s="514">
        <f>+'Chart III'!O37</f>
        <v>12957.5</v>
      </c>
      <c r="P37" s="194">
        <f>+'Chart III'!P37</f>
        <v>13212.353111802431</v>
      </c>
      <c r="Q37" s="194">
        <f>+'Chart III'!Q37</f>
        <v>13472.218772985172</v>
      </c>
      <c r="R37" s="209">
        <f>+'Chart III'!R37</f>
        <v>13737.195572304361</v>
      </c>
      <c r="U37" s="140" t="s">
        <v>63</v>
      </c>
      <c r="V37" s="131">
        <v>11650</v>
      </c>
      <c r="W37" s="131">
        <f t="shared" ref="W37:Y39" si="14">G37</f>
        <v>11621.5</v>
      </c>
      <c r="X37" s="131">
        <f t="shared" si="14"/>
        <v>11801</v>
      </c>
      <c r="Y37" s="136">
        <f t="shared" si="14"/>
        <v>11995.5</v>
      </c>
      <c r="Z37" s="131">
        <f t="shared" ref="Z37:AA39" si="15">Q37</f>
        <v>13472.218772985172</v>
      </c>
      <c r="AA37" s="131">
        <f t="shared" si="15"/>
        <v>13737.195572304361</v>
      </c>
    </row>
    <row r="38" spans="1:27" x14ac:dyDescent="0.2">
      <c r="A38" s="208" t="s">
        <v>48</v>
      </c>
      <c r="B38" s="194">
        <f>+'Chart III'!B38</f>
        <v>8359780.5</v>
      </c>
      <c r="C38" s="194">
        <f>+'Chart III'!C38</f>
        <v>8743099.0634733941</v>
      </c>
      <c r="D38" s="194">
        <f>+'Chart III'!D38</f>
        <v>9182978</v>
      </c>
      <c r="E38" s="194">
        <f>+'Chart III'!E38</f>
        <v>9398525</v>
      </c>
      <c r="F38" s="194">
        <f>+'Chart III'!F38</f>
        <v>9704521</v>
      </c>
      <c r="G38" s="194">
        <f>+'Chart III'!G38</f>
        <v>9725840</v>
      </c>
      <c r="H38" s="194">
        <f>+'Chart III'!H38</f>
        <v>10202758</v>
      </c>
      <c r="I38" s="194">
        <f>+'Chart III'!I38</f>
        <v>10427904</v>
      </c>
      <c r="J38" s="194">
        <f>+'Chart III'!J38</f>
        <v>10253017</v>
      </c>
      <c r="K38" s="194">
        <f>+'Chart III'!K38</f>
        <v>10139708</v>
      </c>
      <c r="L38" s="194">
        <f>+'Chart III'!L38</f>
        <v>9082284</v>
      </c>
      <c r="M38" s="194">
        <f>+'Chart III'!M38</f>
        <v>9155875</v>
      </c>
      <c r="N38" s="194">
        <f>+'Chart III'!N38</f>
        <v>9302763</v>
      </c>
      <c r="O38" s="514">
        <f>+'Chart III'!O38</f>
        <v>9490651</v>
      </c>
      <c r="P38" s="194">
        <f>+'Chart III'!P38</f>
        <v>7199508.5400217902</v>
      </c>
      <c r="Q38" s="194">
        <f>+'Chart III'!Q38</f>
        <v>4912438.1569634676</v>
      </c>
      <c r="R38" s="209">
        <f>+'Chart III'!R38</f>
        <v>5117254.1990519855</v>
      </c>
      <c r="U38" s="140" t="s">
        <v>48</v>
      </c>
      <c r="V38" s="131">
        <v>10072853</v>
      </c>
      <c r="W38" s="131">
        <f t="shared" si="14"/>
        <v>9725840</v>
      </c>
      <c r="X38" s="131">
        <f t="shared" si="14"/>
        <v>10202758</v>
      </c>
      <c r="Y38" s="131">
        <f t="shared" si="14"/>
        <v>10427904</v>
      </c>
      <c r="Z38" s="131">
        <f t="shared" si="15"/>
        <v>4912438.1569634676</v>
      </c>
      <c r="AA38" s="144">
        <f t="shared" si="15"/>
        <v>5117254.1990519855</v>
      </c>
    </row>
    <row r="39" spans="1:27" x14ac:dyDescent="0.2">
      <c r="A39" s="208" t="s">
        <v>49</v>
      </c>
      <c r="B39" s="194">
        <f>+'Chart III'!B39</f>
        <v>23226.94</v>
      </c>
      <c r="C39" s="194">
        <f>+'Chart III'!C39</f>
        <v>23584.5</v>
      </c>
      <c r="D39" s="194">
        <f>+'Chart III'!D39</f>
        <v>24114.33</v>
      </c>
      <c r="E39" s="194">
        <f>+'Chart III'!E39</f>
        <v>24802</v>
      </c>
      <c r="F39" s="194">
        <f>+'Chart III'!F39</f>
        <v>25740</v>
      </c>
      <c r="G39" s="194">
        <f>+'Chart III'!G39</f>
        <v>26489</v>
      </c>
      <c r="H39" s="194">
        <f>+'Chart III'!H39</f>
        <v>27041</v>
      </c>
      <c r="I39" s="195">
        <f>+'Chart III'!I39</f>
        <v>27634</v>
      </c>
      <c r="J39" s="195">
        <f>+'Chart III'!J39</f>
        <v>27830</v>
      </c>
      <c r="K39" s="195">
        <f>+'Chart III'!K39</f>
        <v>27720</v>
      </c>
      <c r="L39" s="195">
        <f>+'Chart III'!L39</f>
        <v>25276</v>
      </c>
      <c r="M39" s="195">
        <f>+'Chart III'!M39</f>
        <v>25520</v>
      </c>
      <c r="N39" s="195">
        <f>+'Chart III'!N39</f>
        <v>26032</v>
      </c>
      <c r="O39" s="515">
        <f>+'Chart III'!O39</f>
        <v>26568</v>
      </c>
      <c r="P39" s="195">
        <f>+'Chart III'!P39</f>
        <v>19558.614180022891</v>
      </c>
      <c r="Q39" s="195">
        <f>+'Chart III'!Q39</f>
        <v>13345.422407816242</v>
      </c>
      <c r="R39" s="211">
        <f>+'Chart III'!R39</f>
        <v>13901.837880180767</v>
      </c>
      <c r="U39" s="140" t="s">
        <v>49</v>
      </c>
      <c r="V39" s="131"/>
      <c r="W39" s="131">
        <f t="shared" si="14"/>
        <v>26489</v>
      </c>
      <c r="X39" s="131">
        <f t="shared" si="14"/>
        <v>27041</v>
      </c>
      <c r="Y39" s="136">
        <f t="shared" si="14"/>
        <v>27634</v>
      </c>
      <c r="Z39" s="131">
        <f t="shared" si="15"/>
        <v>13345.422407816242</v>
      </c>
      <c r="AA39" s="131">
        <f t="shared" si="15"/>
        <v>13901.837880180767</v>
      </c>
    </row>
    <row r="40" spans="1:27" x14ac:dyDescent="0.2">
      <c r="A40" s="208"/>
      <c r="B40" s="194"/>
      <c r="C40" s="194"/>
      <c r="D40" s="194"/>
      <c r="E40" s="194"/>
      <c r="F40" s="194"/>
      <c r="G40" s="194"/>
      <c r="H40" s="194"/>
      <c r="I40" s="195"/>
      <c r="J40" s="195"/>
      <c r="K40" s="195"/>
      <c r="L40" s="195"/>
      <c r="M40" s="195"/>
      <c r="N40" s="195"/>
      <c r="O40" s="515"/>
      <c r="P40" s="195"/>
      <c r="Q40" s="195"/>
      <c r="R40" s="211"/>
      <c r="U40" s="140"/>
      <c r="V40" s="131"/>
      <c r="W40" s="131"/>
      <c r="X40" s="131"/>
      <c r="Y40" s="136"/>
      <c r="Z40" s="131"/>
      <c r="AA40" s="131"/>
    </row>
    <row r="41" spans="1:27" x14ac:dyDescent="0.2">
      <c r="A41" s="207" t="str">
        <f>'Rate Class Energy Model'!N2</f>
        <v>Sentinels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513"/>
      <c r="P41" s="193"/>
      <c r="Q41" s="193"/>
      <c r="R41" s="206"/>
      <c r="U41" s="139" t="s">
        <v>78</v>
      </c>
      <c r="V41" s="138"/>
      <c r="W41" s="131"/>
      <c r="X41" s="131"/>
      <c r="Y41" s="131"/>
      <c r="Z41" s="136"/>
      <c r="AA41" s="131"/>
    </row>
    <row r="42" spans="1:27" x14ac:dyDescent="0.2">
      <c r="A42" s="208" t="s">
        <v>63</v>
      </c>
      <c r="B42" s="194">
        <f>+'Chart III'!B42</f>
        <v>34.5</v>
      </c>
      <c r="C42" s="194">
        <f>+'Chart III'!C42</f>
        <v>30</v>
      </c>
      <c r="D42" s="194">
        <f>+'Chart III'!D42</f>
        <v>29.5</v>
      </c>
      <c r="E42" s="194">
        <f>+'Chart III'!E42</f>
        <v>28.5</v>
      </c>
      <c r="F42" s="194">
        <f>+'Chart III'!F42</f>
        <v>26.5</v>
      </c>
      <c r="G42" s="194">
        <f>+'Chart III'!G42</f>
        <v>26</v>
      </c>
      <c r="H42" s="194">
        <f>+'Chart III'!H42</f>
        <v>26</v>
      </c>
      <c r="I42" s="194">
        <f>+'Chart III'!I42</f>
        <v>25</v>
      </c>
      <c r="J42" s="194">
        <f>+'Chart III'!J42</f>
        <v>24</v>
      </c>
      <c r="K42" s="194">
        <f>+'Chart III'!K42</f>
        <v>24</v>
      </c>
      <c r="L42" s="194">
        <f>+'Chart III'!L42</f>
        <v>24</v>
      </c>
      <c r="M42" s="194">
        <f>+'Chart III'!M42</f>
        <v>24</v>
      </c>
      <c r="N42" s="194">
        <f>+'Chart III'!N42</f>
        <v>24</v>
      </c>
      <c r="O42" s="514">
        <f>+'Chart III'!O42</f>
        <v>24</v>
      </c>
      <c r="P42" s="194">
        <f>+'Chart III'!P42</f>
        <v>23.339285720167176</v>
      </c>
      <c r="Q42" s="194">
        <f>+'Chart III'!Q42</f>
        <v>22.696760746983312</v>
      </c>
      <c r="R42" s="209">
        <f>+'Chart III'!R42</f>
        <v>22.071924333171605</v>
      </c>
      <c r="U42" s="140" t="s">
        <v>63</v>
      </c>
      <c r="V42" s="131">
        <v>77</v>
      </c>
      <c r="W42" s="131">
        <f t="shared" ref="W42:Y44" si="16">G42</f>
        <v>26</v>
      </c>
      <c r="X42" s="131">
        <f t="shared" si="16"/>
        <v>26</v>
      </c>
      <c r="Y42" s="131">
        <f t="shared" si="16"/>
        <v>25</v>
      </c>
      <c r="Z42" s="131">
        <f t="shared" ref="Z42:AA44" si="17">Q42</f>
        <v>22.696760746983312</v>
      </c>
      <c r="AA42" s="131">
        <f t="shared" si="17"/>
        <v>22.071924333171605</v>
      </c>
    </row>
    <row r="43" spans="1:27" x14ac:dyDescent="0.2">
      <c r="A43" s="208" t="s">
        <v>48</v>
      </c>
      <c r="B43" s="194">
        <f>+'Chart III'!B43</f>
        <v>45541</v>
      </c>
      <c r="C43" s="194">
        <f>+'Chart III'!C43</f>
        <v>27821</v>
      </c>
      <c r="D43" s="194">
        <f>+'Chart III'!D43</f>
        <v>43197</v>
      </c>
      <c r="E43" s="194">
        <f>+'Chart III'!E43</f>
        <v>42595</v>
      </c>
      <c r="F43" s="194">
        <f>+'Chart III'!F43</f>
        <v>41408</v>
      </c>
      <c r="G43" s="194">
        <f>+'Chart III'!G43</f>
        <v>39233</v>
      </c>
      <c r="H43" s="194">
        <f>+'Chart III'!H43</f>
        <v>36792</v>
      </c>
      <c r="I43" s="194">
        <f>+'Chart III'!I43</f>
        <v>35812</v>
      </c>
      <c r="J43" s="194">
        <f>+'Chart III'!J43</f>
        <v>35812</v>
      </c>
      <c r="K43" s="194">
        <f>+'Chart III'!K43</f>
        <v>35812</v>
      </c>
      <c r="L43" s="194">
        <f>+'Chart III'!L43</f>
        <v>35812</v>
      </c>
      <c r="M43" s="194">
        <f>+'Chart III'!M43</f>
        <v>35812</v>
      </c>
      <c r="N43" s="194">
        <f>+'Chart III'!N43</f>
        <v>35813</v>
      </c>
      <c r="O43" s="514">
        <f>+'Chart III'!O43</f>
        <v>35814</v>
      </c>
      <c r="P43" s="194">
        <f>+'Chart III'!P43</f>
        <v>34672.37733167367</v>
      </c>
      <c r="Q43" s="194">
        <f>+'Chart III'!Q43</f>
        <v>33345.033034021741</v>
      </c>
      <c r="R43" s="209">
        <f>+'Chart III'!R43</f>
        <v>32059.16311080223</v>
      </c>
      <c r="U43" s="140" t="s">
        <v>48</v>
      </c>
      <c r="V43" s="131">
        <v>40813</v>
      </c>
      <c r="W43" s="131">
        <f t="shared" si="16"/>
        <v>39233</v>
      </c>
      <c r="X43" s="131">
        <f t="shared" si="16"/>
        <v>36792</v>
      </c>
      <c r="Y43" s="131">
        <f t="shared" si="16"/>
        <v>35812</v>
      </c>
      <c r="Z43" s="131">
        <f t="shared" si="17"/>
        <v>33345.033034021741</v>
      </c>
      <c r="AA43" s="144">
        <f t="shared" si="17"/>
        <v>32059.16311080223</v>
      </c>
    </row>
    <row r="44" spans="1:27" x14ac:dyDescent="0.2">
      <c r="A44" s="208" t="s">
        <v>49</v>
      </c>
      <c r="B44" s="194">
        <f>+'Chart III'!B44</f>
        <v>126.50277777777779</v>
      </c>
      <c r="C44" s="194">
        <f>+'Chart III'!C44</f>
        <v>123.24722222222222</v>
      </c>
      <c r="D44" s="194">
        <f>+'Chart III'!D44</f>
        <v>119.99166666666666</v>
      </c>
      <c r="E44" s="194">
        <f>+'Chart III'!E44</f>
        <v>118.31944444444447</v>
      </c>
      <c r="F44" s="194">
        <f>+'Chart III'!F44</f>
        <v>115.0222222222222</v>
      </c>
      <c r="G44" s="194">
        <f>+'Chart III'!G44</f>
        <v>108.9805555555556</v>
      </c>
      <c r="H44" s="194">
        <f>+'Chart III'!H44</f>
        <v>102.2</v>
      </c>
      <c r="I44" s="195">
        <f>+'Chart III'!I44</f>
        <v>99.477777777777803</v>
      </c>
      <c r="J44" s="195">
        <f>+'Chart III'!J44</f>
        <v>100</v>
      </c>
      <c r="K44" s="195">
        <f>+'Chart III'!K44</f>
        <v>100</v>
      </c>
      <c r="L44" s="195">
        <f>+'Chart III'!L44</f>
        <v>100</v>
      </c>
      <c r="M44" s="195">
        <f>+'Chart III'!M44</f>
        <v>100</v>
      </c>
      <c r="N44" s="195">
        <f>+'Chart III'!N44</f>
        <v>100</v>
      </c>
      <c r="O44" s="515">
        <f>+'Chart III'!O44</f>
        <v>100</v>
      </c>
      <c r="P44" s="195">
        <f>+'Chart III'!P44</f>
        <v>100.62017532644411</v>
      </c>
      <c r="Q44" s="195">
        <f>+'Chart III'!Q44</f>
        <v>96.768186330400098</v>
      </c>
      <c r="R44" s="211">
        <f>+'Chart III'!R44</f>
        <v>93.036557088953359</v>
      </c>
      <c r="U44" s="140" t="s">
        <v>49</v>
      </c>
      <c r="V44" s="131"/>
      <c r="W44" s="131">
        <f t="shared" si="16"/>
        <v>108.9805555555556</v>
      </c>
      <c r="X44" s="131">
        <f t="shared" si="16"/>
        <v>102.2</v>
      </c>
      <c r="Y44" s="136">
        <f t="shared" si="16"/>
        <v>99.477777777777803</v>
      </c>
      <c r="Z44" s="131">
        <f t="shared" si="17"/>
        <v>96.768186330400098</v>
      </c>
      <c r="AA44" s="131">
        <f t="shared" si="17"/>
        <v>93.036557088953359</v>
      </c>
    </row>
    <row r="45" spans="1:27" x14ac:dyDescent="0.2">
      <c r="A45" s="208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513"/>
      <c r="P45" s="193"/>
      <c r="Q45" s="193"/>
      <c r="R45" s="206"/>
      <c r="U45" s="140"/>
      <c r="V45" s="138"/>
      <c r="W45" s="131"/>
      <c r="X45" s="131"/>
      <c r="Y45" s="131"/>
      <c r="Z45" s="136"/>
      <c r="AA45" s="131"/>
    </row>
    <row r="46" spans="1:27" x14ac:dyDescent="0.2">
      <c r="A46" s="207" t="str">
        <f>'Rate Class Energy Model'!O2</f>
        <v>USL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513"/>
      <c r="P46" s="193"/>
      <c r="Q46" s="193"/>
      <c r="R46" s="206"/>
      <c r="U46" s="139" t="s">
        <v>76</v>
      </c>
      <c r="V46" s="138"/>
      <c r="W46" s="131"/>
      <c r="X46" s="131"/>
      <c r="Y46" s="131"/>
      <c r="Z46" s="136"/>
      <c r="AA46" s="131"/>
    </row>
    <row r="47" spans="1:27" x14ac:dyDescent="0.2">
      <c r="A47" s="208" t="s">
        <v>63</v>
      </c>
      <c r="B47" s="194">
        <f>+'Chart III'!B47</f>
        <v>292</v>
      </c>
      <c r="C47" s="194">
        <f>+'Chart III'!C47</f>
        <v>294</v>
      </c>
      <c r="D47" s="194">
        <f>+'Chart III'!D47</f>
        <v>295</v>
      </c>
      <c r="E47" s="194">
        <f>+'Chart III'!E47</f>
        <v>298</v>
      </c>
      <c r="F47" s="194">
        <f>+'Chart III'!F47</f>
        <v>301</v>
      </c>
      <c r="G47" s="194">
        <f>+'Chart III'!G47</f>
        <v>301</v>
      </c>
      <c r="H47" s="194">
        <f>+'Chart III'!H47</f>
        <v>302.5</v>
      </c>
      <c r="I47" s="195">
        <f>+'Chart III'!I47</f>
        <v>306.5</v>
      </c>
      <c r="J47" s="194">
        <f>+'Chart III'!J47</f>
        <v>302.5</v>
      </c>
      <c r="K47" s="194">
        <f>+'Chart III'!K47</f>
        <v>295.5</v>
      </c>
      <c r="L47" s="194">
        <f>+'Chart III'!L47</f>
        <v>295</v>
      </c>
      <c r="M47" s="194">
        <f>+'Chart III'!M47</f>
        <v>295.5</v>
      </c>
      <c r="N47" s="194">
        <f>+'Chart III'!N47</f>
        <v>284.5</v>
      </c>
      <c r="O47" s="514">
        <f>+'Chart III'!O47</f>
        <v>273.5</v>
      </c>
      <c r="P47" s="194">
        <f>+'Chart III'!P47</f>
        <v>272.12644749091885</v>
      </c>
      <c r="Q47" s="194">
        <f>+'Chart III'!Q47</f>
        <v>270.75979314086953</v>
      </c>
      <c r="R47" s="209">
        <f>+'Chart III'!R47</f>
        <v>269.4000023064018</v>
      </c>
      <c r="U47" s="140" t="s">
        <v>63</v>
      </c>
      <c r="V47" s="131">
        <v>305</v>
      </c>
      <c r="W47" s="131">
        <f t="shared" ref="W47:Y48" si="18">G47</f>
        <v>301</v>
      </c>
      <c r="X47" s="131">
        <f t="shared" si="18"/>
        <v>302.5</v>
      </c>
      <c r="Y47" s="136">
        <f t="shared" si="18"/>
        <v>306.5</v>
      </c>
      <c r="Z47" s="131">
        <f t="shared" ref="Z47:AA48" si="19">Q47</f>
        <v>270.75979314086953</v>
      </c>
      <c r="AA47" s="131">
        <f t="shared" si="19"/>
        <v>269.4000023064018</v>
      </c>
    </row>
    <row r="48" spans="1:27" x14ac:dyDescent="0.2">
      <c r="A48" s="208" t="s">
        <v>48</v>
      </c>
      <c r="B48" s="194">
        <f>+'Chart III'!B48</f>
        <v>2920000</v>
      </c>
      <c r="C48" s="194">
        <f>+'Chart III'!C48</f>
        <v>2940000</v>
      </c>
      <c r="D48" s="194">
        <f>+'Chart III'!D48</f>
        <v>2950000</v>
      </c>
      <c r="E48" s="194">
        <f>+'Chart III'!E48</f>
        <v>3705188</v>
      </c>
      <c r="F48" s="194">
        <f>+'Chart III'!F48</f>
        <v>3818865</v>
      </c>
      <c r="G48" s="194">
        <f>+'Chart III'!G48</f>
        <v>3372873</v>
      </c>
      <c r="H48" s="194">
        <f>+'Chart III'!H48</f>
        <v>2825455</v>
      </c>
      <c r="I48" s="194">
        <f>+'Chart III'!I48</f>
        <v>2831501</v>
      </c>
      <c r="J48" s="194">
        <f>+'Chart III'!J48</f>
        <v>2769028</v>
      </c>
      <c r="K48" s="194">
        <f>+'Chart III'!K48</f>
        <v>2745701</v>
      </c>
      <c r="L48" s="194">
        <f>+'Chart III'!L48</f>
        <v>2752416</v>
      </c>
      <c r="M48" s="194">
        <f>+'Chart III'!M48</f>
        <v>2711219</v>
      </c>
      <c r="N48" s="194">
        <f>+'Chart III'!N48</f>
        <v>2512230</v>
      </c>
      <c r="O48" s="514">
        <f>+'Chart III'!O48</f>
        <v>2500582</v>
      </c>
      <c r="P48" s="194">
        <f>+'Chart III'!P48</f>
        <v>2564504.7683705813</v>
      </c>
      <c r="Q48" s="194">
        <f>+'Chart III'!Q48</f>
        <v>2612658.5895418967</v>
      </c>
      <c r="R48" s="209">
        <f>+'Chart III'!R48</f>
        <v>2660941.3975806902</v>
      </c>
      <c r="U48" s="140" t="s">
        <v>48</v>
      </c>
      <c r="V48" s="131">
        <v>3841944</v>
      </c>
      <c r="W48" s="131">
        <f t="shared" si="18"/>
        <v>3372873</v>
      </c>
      <c r="X48" s="131">
        <f t="shared" si="18"/>
        <v>2825455</v>
      </c>
      <c r="Y48" s="131">
        <f t="shared" si="18"/>
        <v>2831501</v>
      </c>
      <c r="Z48" s="131">
        <f t="shared" si="19"/>
        <v>2612658.5895418967</v>
      </c>
      <c r="AA48" s="131">
        <f t="shared" si="19"/>
        <v>2660941.3975806902</v>
      </c>
    </row>
    <row r="49" spans="1:29" x14ac:dyDescent="0.2">
      <c r="A49" s="208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513"/>
      <c r="P49" s="193"/>
      <c r="Q49" s="193"/>
      <c r="R49" s="206"/>
      <c r="U49" s="140"/>
      <c r="V49" s="138"/>
      <c r="W49" s="131"/>
      <c r="X49" s="131"/>
      <c r="Y49" s="131"/>
      <c r="Z49" s="136"/>
      <c r="AA49" s="131"/>
    </row>
    <row r="50" spans="1:29" x14ac:dyDescent="0.2">
      <c r="A50" s="207" t="s">
        <v>64</v>
      </c>
      <c r="B50" s="194"/>
      <c r="C50" s="194"/>
      <c r="D50" s="194"/>
      <c r="E50" s="194"/>
      <c r="F50" s="193"/>
      <c r="G50" s="194"/>
      <c r="H50" s="194"/>
      <c r="I50" s="194"/>
      <c r="J50" s="194"/>
      <c r="K50" s="194"/>
      <c r="L50" s="194"/>
      <c r="M50" s="194"/>
      <c r="N50" s="194"/>
      <c r="O50" s="514"/>
      <c r="P50" s="194"/>
      <c r="Q50" s="194"/>
      <c r="R50" s="209"/>
      <c r="U50" s="139" t="s">
        <v>64</v>
      </c>
      <c r="V50" s="138"/>
      <c r="W50" s="131"/>
      <c r="X50" s="131"/>
      <c r="Y50" s="131"/>
      <c r="Z50" s="136"/>
      <c r="AA50" s="131"/>
    </row>
    <row r="51" spans="1:29" x14ac:dyDescent="0.2">
      <c r="A51" s="208" t="s">
        <v>51</v>
      </c>
      <c r="B51" s="194">
        <f>B14+B18+B22+B27+B32+B37+B47+B42</f>
        <v>57960.5</v>
      </c>
      <c r="C51" s="194">
        <f t="shared" ref="C51:I51" si="20">C14+C18+C22+C27+C32+C37+C47+C42</f>
        <v>58730.5</v>
      </c>
      <c r="D51" s="194">
        <f t="shared" si="20"/>
        <v>59614.5</v>
      </c>
      <c r="E51" s="194">
        <f t="shared" si="20"/>
        <v>60872.5</v>
      </c>
      <c r="F51" s="194">
        <f t="shared" si="20"/>
        <v>62211</v>
      </c>
      <c r="G51" s="194">
        <f t="shared" si="20"/>
        <v>63344.5</v>
      </c>
      <c r="H51" s="194">
        <f t="shared" si="20"/>
        <v>64128</v>
      </c>
      <c r="I51" s="194">
        <f t="shared" si="20"/>
        <v>64894</v>
      </c>
      <c r="J51" s="194">
        <f t="shared" ref="J51:Q51" si="21">J14+J18+J22+J27+J32+J37+J47+J42</f>
        <v>65524.5</v>
      </c>
      <c r="K51" s="194">
        <f t="shared" si="21"/>
        <v>65927</v>
      </c>
      <c r="L51" s="194">
        <f t="shared" si="21"/>
        <v>66584</v>
      </c>
      <c r="M51" s="194">
        <f t="shared" si="21"/>
        <v>67453.5</v>
      </c>
      <c r="N51" s="194">
        <f t="shared" si="21"/>
        <v>68724</v>
      </c>
      <c r="O51" s="514">
        <f t="shared" si="21"/>
        <v>70012.5</v>
      </c>
      <c r="P51" s="194">
        <f t="shared" si="21"/>
        <v>71046.127588452102</v>
      </c>
      <c r="Q51" s="194">
        <f t="shared" si="21"/>
        <v>72339.66996111178</v>
      </c>
      <c r="R51" s="209">
        <f>R14+R18+R22+R27+R32+R37+R47+R42</f>
        <v>73657.780656757473</v>
      </c>
      <c r="U51" s="140" t="s">
        <v>51</v>
      </c>
      <c r="V51" s="131">
        <f t="shared" ref="V51" si="22">V14+V18+V22+V27+V32+V37+V47+V42</f>
        <v>63653</v>
      </c>
      <c r="W51" s="131">
        <f t="shared" ref="W51:Y53" si="23">G51</f>
        <v>63344.5</v>
      </c>
      <c r="X51" s="131">
        <f t="shared" si="23"/>
        <v>64128</v>
      </c>
      <c r="Y51" s="131">
        <f t="shared" si="23"/>
        <v>64894</v>
      </c>
      <c r="Z51" s="131">
        <f t="shared" ref="Z51:AA53" si="24">Q51</f>
        <v>72339.66996111178</v>
      </c>
      <c r="AA51" s="131">
        <f t="shared" si="24"/>
        <v>73657.780656757473</v>
      </c>
    </row>
    <row r="52" spans="1:29" x14ac:dyDescent="0.2">
      <c r="A52" s="208" t="s">
        <v>48</v>
      </c>
      <c r="B52" s="194">
        <f>B15+B19+B23+B28+B33+B38+B48+B43</f>
        <v>1136840307.5</v>
      </c>
      <c r="C52" s="194">
        <f t="shared" ref="C52:I52" si="25">C15+C19+C23+C28+C33+C38+C48+C43</f>
        <v>1128300513.0634735</v>
      </c>
      <c r="D52" s="194">
        <f t="shared" si="25"/>
        <v>1125931170</v>
      </c>
      <c r="E52" s="194">
        <f t="shared" si="25"/>
        <v>1110963247</v>
      </c>
      <c r="F52" s="194">
        <f t="shared" si="25"/>
        <v>1143760516</v>
      </c>
      <c r="G52" s="194">
        <f t="shared" si="25"/>
        <v>1117251257</v>
      </c>
      <c r="H52" s="194">
        <f t="shared" si="25"/>
        <v>1082664508</v>
      </c>
      <c r="I52" s="194">
        <f t="shared" si="25"/>
        <v>1090938483</v>
      </c>
      <c r="J52" s="194">
        <f t="shared" ref="J52:R52" si="26">J15+J19+J23+J28+J33+J38+J48+J43</f>
        <v>1110518847</v>
      </c>
      <c r="K52" s="194">
        <f t="shared" si="26"/>
        <v>1073783871</v>
      </c>
      <c r="L52" s="194">
        <f t="shared" si="26"/>
        <v>1078161209</v>
      </c>
      <c r="M52" s="194">
        <f t="shared" si="26"/>
        <v>1091642390</v>
      </c>
      <c r="N52" s="194">
        <f t="shared" si="26"/>
        <v>1079760469</v>
      </c>
      <c r="O52" s="514">
        <f t="shared" si="26"/>
        <v>1074433920</v>
      </c>
      <c r="P52" s="194">
        <f t="shared" si="26"/>
        <v>1070015150.858888</v>
      </c>
      <c r="Q52" s="194">
        <f t="shared" si="26"/>
        <v>1061596460.9022121</v>
      </c>
      <c r="R52" s="209">
        <f t="shared" si="26"/>
        <v>1059903126.5592082</v>
      </c>
      <c r="U52" s="140" t="s">
        <v>48</v>
      </c>
      <c r="V52" s="131">
        <f t="shared" ref="V52" si="27">V15+V19+V23+V28+V33+V38+V48+V43</f>
        <v>1141200155</v>
      </c>
      <c r="W52" s="131">
        <f t="shared" si="23"/>
        <v>1117251257</v>
      </c>
      <c r="X52" s="131">
        <f t="shared" si="23"/>
        <v>1082664508</v>
      </c>
      <c r="Y52" s="131">
        <f t="shared" si="23"/>
        <v>1090938483</v>
      </c>
      <c r="Z52" s="131">
        <f t="shared" si="24"/>
        <v>1061596460.9022121</v>
      </c>
      <c r="AA52" s="131">
        <f t="shared" si="24"/>
        <v>1059903126.5592082</v>
      </c>
    </row>
    <row r="53" spans="1:29" x14ac:dyDescent="0.2">
      <c r="A53" s="208" t="s">
        <v>50</v>
      </c>
      <c r="B53" s="194">
        <f t="shared" ref="B53:I53" si="28">B24+B29+B34+B39+B44</f>
        <v>1376310.4427777778</v>
      </c>
      <c r="C53" s="194">
        <f t="shared" si="28"/>
        <v>1359503.3072222222</v>
      </c>
      <c r="D53" s="194">
        <f t="shared" si="28"/>
        <v>1235025.9316666666</v>
      </c>
      <c r="E53" s="194">
        <f t="shared" si="28"/>
        <v>1231537.3194444445</v>
      </c>
      <c r="F53" s="194">
        <f t="shared" si="28"/>
        <v>1262855.0222222223</v>
      </c>
      <c r="G53" s="194">
        <f t="shared" si="28"/>
        <v>1231679.9805555556</v>
      </c>
      <c r="H53" s="194">
        <f t="shared" si="28"/>
        <v>1167952.2</v>
      </c>
      <c r="I53" s="194">
        <f t="shared" si="28"/>
        <v>1165174.4777777777</v>
      </c>
      <c r="J53" s="194">
        <f t="shared" ref="J53:R53" si="29">J24+J29+J34+J39+J44</f>
        <v>1171404</v>
      </c>
      <c r="K53" s="194">
        <f t="shared" si="29"/>
        <v>1146022</v>
      </c>
      <c r="L53" s="194">
        <f t="shared" si="29"/>
        <v>1145530</v>
      </c>
      <c r="M53" s="194">
        <f t="shared" si="29"/>
        <v>1137326</v>
      </c>
      <c r="N53" s="194">
        <f t="shared" si="29"/>
        <v>1159775</v>
      </c>
      <c r="O53" s="514">
        <f t="shared" si="29"/>
        <v>1179834</v>
      </c>
      <c r="P53" s="194">
        <f t="shared" si="29"/>
        <v>1121722.9745915893</v>
      </c>
      <c r="Q53" s="194">
        <f t="shared" si="29"/>
        <v>1105713.7921281913</v>
      </c>
      <c r="R53" s="209">
        <f t="shared" si="29"/>
        <v>1106551.0586040316</v>
      </c>
      <c r="U53" s="145" t="s">
        <v>50</v>
      </c>
      <c r="V53" s="146"/>
      <c r="W53" s="146">
        <f t="shared" si="23"/>
        <v>1231679.9805555556</v>
      </c>
      <c r="X53" s="146">
        <f t="shared" si="23"/>
        <v>1167952.2</v>
      </c>
      <c r="Y53" s="146">
        <f t="shared" si="23"/>
        <v>1165174.4777777777</v>
      </c>
      <c r="Z53" s="146">
        <f t="shared" si="24"/>
        <v>1105713.7921281913</v>
      </c>
      <c r="AA53" s="146">
        <f t="shared" si="24"/>
        <v>1106551.0586040316</v>
      </c>
    </row>
    <row r="54" spans="1:29" x14ac:dyDescent="0.2">
      <c r="A54" s="208"/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513"/>
      <c r="P54" s="193"/>
      <c r="Q54" s="193"/>
      <c r="R54" s="206"/>
      <c r="W54" s="121"/>
      <c r="X54" s="121"/>
      <c r="Y54" s="121"/>
      <c r="Z54" s="122"/>
      <c r="AA54" s="121"/>
    </row>
    <row r="55" spans="1:29" x14ac:dyDescent="0.2">
      <c r="A55" s="207" t="s">
        <v>65</v>
      </c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513"/>
      <c r="P55" s="193"/>
      <c r="Q55" s="193"/>
      <c r="R55" s="206"/>
      <c r="U55" s="126" t="s">
        <v>65</v>
      </c>
      <c r="V55" s="123"/>
      <c r="W55" s="125"/>
      <c r="X55" s="125"/>
      <c r="Y55" s="125"/>
      <c r="Z55" s="125"/>
      <c r="AA55" s="125"/>
      <c r="AB55" s="127"/>
      <c r="AC55" s="127"/>
    </row>
    <row r="56" spans="1:29" x14ac:dyDescent="0.2">
      <c r="A56" s="208" t="s">
        <v>51</v>
      </c>
      <c r="B56" s="194">
        <f>+'Chart III'!B56</f>
        <v>57960.5</v>
      </c>
      <c r="C56" s="194">
        <f>+'Chart III'!C56</f>
        <v>58730.5</v>
      </c>
      <c r="D56" s="194">
        <f>+'Chart III'!D56</f>
        <v>59614.5</v>
      </c>
      <c r="E56" s="194">
        <f>+'Chart III'!E56</f>
        <v>60872.5</v>
      </c>
      <c r="F56" s="194">
        <f>+'Chart III'!F56</f>
        <v>62211</v>
      </c>
      <c r="G56" s="194">
        <f>+'Chart III'!G56</f>
        <v>63344.5</v>
      </c>
      <c r="H56" s="194">
        <f>+'Chart III'!H56</f>
        <v>64128</v>
      </c>
      <c r="I56" s="194">
        <f>+'Chart III'!I56</f>
        <v>64894</v>
      </c>
      <c r="J56" s="194">
        <f>+'Chart III'!J56</f>
        <v>65524.5</v>
      </c>
      <c r="K56" s="194">
        <f>+'Chart III'!K56</f>
        <v>65927</v>
      </c>
      <c r="L56" s="194">
        <f>+'Chart III'!L56</f>
        <v>66584</v>
      </c>
      <c r="M56" s="194">
        <f>+'Chart III'!M56</f>
        <v>67453.5</v>
      </c>
      <c r="N56" s="194">
        <f>+'Chart III'!N56</f>
        <v>68724</v>
      </c>
      <c r="O56" s="514">
        <f>+'Chart III'!O56</f>
        <v>70012.5</v>
      </c>
      <c r="P56" s="194">
        <f>+'Chart III'!P56</f>
        <v>71046.127588452102</v>
      </c>
      <c r="Q56" s="194">
        <f>+'Chart III'!Q56</f>
        <v>72339.66996111178</v>
      </c>
      <c r="R56" s="209">
        <f>+'Chart III'!R56</f>
        <v>73657.780656757473</v>
      </c>
      <c r="U56" s="127" t="s">
        <v>51</v>
      </c>
      <c r="V56" s="125" t="e">
        <f>'Rate Class Customer Model'!#REF!</f>
        <v>#REF!</v>
      </c>
      <c r="W56" s="125">
        <f t="shared" ref="W56:Y58" si="30">G56</f>
        <v>63344.5</v>
      </c>
      <c r="X56" s="125">
        <f t="shared" si="30"/>
        <v>64128</v>
      </c>
      <c r="Y56" s="125">
        <f t="shared" si="30"/>
        <v>64894</v>
      </c>
      <c r="Z56" s="125">
        <f t="shared" ref="Z56:AA58" si="31">Q56</f>
        <v>72339.66996111178</v>
      </c>
      <c r="AA56" s="125">
        <f t="shared" si="31"/>
        <v>73657.780656757473</v>
      </c>
      <c r="AB56" s="127"/>
      <c r="AC56" s="127"/>
    </row>
    <row r="57" spans="1:29" x14ac:dyDescent="0.2">
      <c r="A57" s="208" t="s">
        <v>48</v>
      </c>
      <c r="B57" s="194">
        <f>+'Chart III'!B57</f>
        <v>1136840307.5</v>
      </c>
      <c r="C57" s="194">
        <f>+'Chart III'!C57</f>
        <v>1128300513.0634735</v>
      </c>
      <c r="D57" s="194">
        <f>+'Chart III'!D57</f>
        <v>1125931170</v>
      </c>
      <c r="E57" s="194">
        <f>+'Chart III'!E57</f>
        <v>1110963247</v>
      </c>
      <c r="F57" s="194">
        <f>+'Chart III'!F57</f>
        <v>1143760516</v>
      </c>
      <c r="G57" s="194">
        <f>+'Chart III'!G57</f>
        <v>1117251257</v>
      </c>
      <c r="H57" s="194">
        <f>+'Chart III'!H57</f>
        <v>1082664508</v>
      </c>
      <c r="I57" s="194">
        <f>+'Chart III'!I57</f>
        <v>1090938483</v>
      </c>
      <c r="J57" s="194">
        <f>+'Chart III'!J57</f>
        <v>1110518847</v>
      </c>
      <c r="K57" s="194">
        <f>+'Chart III'!K57</f>
        <v>1073783871</v>
      </c>
      <c r="L57" s="194">
        <f>+'Chart III'!L57</f>
        <v>1078161209</v>
      </c>
      <c r="M57" s="194">
        <f>+'Chart III'!M57</f>
        <v>1091642390</v>
      </c>
      <c r="N57" s="194">
        <f>+'Chart III'!N57</f>
        <v>1079760469</v>
      </c>
      <c r="O57" s="514">
        <f>+'Chart III'!O57</f>
        <v>1074433920</v>
      </c>
      <c r="P57" s="194">
        <f>+'Chart III'!P57</f>
        <v>1070015150.858888</v>
      </c>
      <c r="Q57" s="194">
        <f>+'Chart III'!Q57</f>
        <v>1061596460.9022121</v>
      </c>
      <c r="R57" s="209">
        <f>+'Chart III'!R57</f>
        <v>1059903126.5592082</v>
      </c>
      <c r="U57" s="127" t="s">
        <v>48</v>
      </c>
      <c r="V57" s="125">
        <f>'Rate Class Energy Model'!U11</f>
        <v>0</v>
      </c>
      <c r="W57" s="125">
        <f t="shared" si="30"/>
        <v>1117251257</v>
      </c>
      <c r="X57" s="125">
        <f t="shared" si="30"/>
        <v>1082664508</v>
      </c>
      <c r="Y57" s="125">
        <f t="shared" si="30"/>
        <v>1090938483</v>
      </c>
      <c r="Z57" s="125">
        <f t="shared" si="31"/>
        <v>1061596460.9022121</v>
      </c>
      <c r="AA57" s="125">
        <f t="shared" si="31"/>
        <v>1059903126.5592082</v>
      </c>
      <c r="AB57" s="127"/>
      <c r="AC57" s="127"/>
    </row>
    <row r="58" spans="1:29" x14ac:dyDescent="0.2">
      <c r="A58" s="208" t="s">
        <v>50</v>
      </c>
      <c r="B58" s="194">
        <f>+'Chart III'!B58</f>
        <v>1376310.4427777778</v>
      </c>
      <c r="C58" s="194">
        <f>+'Chart III'!C58</f>
        <v>1359503.3072222222</v>
      </c>
      <c r="D58" s="194">
        <f>+'Chart III'!D58</f>
        <v>1235025.9316666666</v>
      </c>
      <c r="E58" s="194">
        <f>+'Chart III'!E58</f>
        <v>1231537.3194444445</v>
      </c>
      <c r="F58" s="194">
        <f>+'Chart III'!F58</f>
        <v>1262855.0222222223</v>
      </c>
      <c r="G58" s="194">
        <f>+'Chart III'!G58</f>
        <v>1231679.9805555556</v>
      </c>
      <c r="H58" s="194">
        <f>+'Chart III'!H58</f>
        <v>1167952.2</v>
      </c>
      <c r="I58" s="195">
        <f>+'Chart III'!I58</f>
        <v>1165174.4777777777</v>
      </c>
      <c r="J58" s="195">
        <f>+'Chart III'!J58</f>
        <v>1171404</v>
      </c>
      <c r="K58" s="195">
        <f>+'Chart III'!K58</f>
        <v>1146022</v>
      </c>
      <c r="L58" s="195">
        <f>+'Chart III'!L58</f>
        <v>1145530</v>
      </c>
      <c r="M58" s="195">
        <f>+'Chart III'!M58</f>
        <v>1137326</v>
      </c>
      <c r="N58" s="195">
        <f>+'Chart III'!N58</f>
        <v>1159775</v>
      </c>
      <c r="O58" s="515">
        <f>+'Chart III'!O58</f>
        <v>1179834</v>
      </c>
      <c r="P58" s="195">
        <f>+'Chart III'!P58</f>
        <v>1121722.9745915893</v>
      </c>
      <c r="Q58" s="195">
        <f>+'Chart III'!Q58</f>
        <v>1105713.7921281913</v>
      </c>
      <c r="R58" s="211">
        <f>+'Chart III'!R58</f>
        <v>1106551.0586040316</v>
      </c>
      <c r="U58" s="127" t="s">
        <v>50</v>
      </c>
      <c r="V58" s="125">
        <f>'Rate Class Load Model'!U6</f>
        <v>0</v>
      </c>
      <c r="W58" s="125">
        <f t="shared" si="30"/>
        <v>1231679.9805555556</v>
      </c>
      <c r="X58" s="125">
        <f t="shared" si="30"/>
        <v>1167952.2</v>
      </c>
      <c r="Y58" s="125">
        <f t="shared" si="30"/>
        <v>1165174.4777777777</v>
      </c>
      <c r="Z58" s="125">
        <f t="shared" si="31"/>
        <v>1105713.7921281913</v>
      </c>
      <c r="AA58" s="125">
        <f t="shared" si="31"/>
        <v>1106551.0586040316</v>
      </c>
      <c r="AB58" s="127"/>
      <c r="AC58" s="127"/>
    </row>
    <row r="59" spans="1:29" x14ac:dyDescent="0.2">
      <c r="A59" s="208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513"/>
      <c r="P59" s="193"/>
      <c r="Q59" s="193"/>
      <c r="R59" s="206"/>
      <c r="U59" s="127"/>
      <c r="V59" s="123"/>
      <c r="W59" s="123"/>
      <c r="X59" s="123"/>
      <c r="Y59" s="123"/>
      <c r="Z59" s="123"/>
      <c r="AA59" s="123"/>
      <c r="AB59" s="127"/>
      <c r="AC59" s="127"/>
    </row>
    <row r="60" spans="1:29" x14ac:dyDescent="0.2">
      <c r="A60" s="207" t="s">
        <v>66</v>
      </c>
      <c r="B60" s="194"/>
      <c r="C60" s="194"/>
      <c r="D60" s="194"/>
      <c r="E60" s="194"/>
      <c r="F60" s="194"/>
      <c r="G60" s="194"/>
      <c r="H60" s="194"/>
      <c r="I60" s="193"/>
      <c r="J60" s="193"/>
      <c r="K60" s="193"/>
      <c r="L60" s="193"/>
      <c r="M60" s="193"/>
      <c r="N60" s="193"/>
      <c r="O60" s="513"/>
      <c r="P60" s="193"/>
      <c r="Q60" s="193"/>
      <c r="R60" s="206"/>
      <c r="U60" s="126" t="s">
        <v>66</v>
      </c>
      <c r="V60" s="125"/>
      <c r="W60" s="125"/>
      <c r="X60" s="125"/>
      <c r="Y60" s="123"/>
      <c r="Z60" s="123"/>
      <c r="AA60" s="123"/>
      <c r="AB60" s="127"/>
      <c r="AC60" s="127"/>
    </row>
    <row r="61" spans="1:29" x14ac:dyDescent="0.2">
      <c r="A61" s="208" t="s">
        <v>51</v>
      </c>
      <c r="B61" s="194">
        <f>B51-B56</f>
        <v>0</v>
      </c>
      <c r="C61" s="194">
        <f t="shared" ref="C61:I61" si="32">C51-C56</f>
        <v>0</v>
      </c>
      <c r="D61" s="194">
        <f t="shared" si="32"/>
        <v>0</v>
      </c>
      <c r="E61" s="194">
        <f t="shared" si="32"/>
        <v>0</v>
      </c>
      <c r="F61" s="194">
        <f t="shared" si="32"/>
        <v>0</v>
      </c>
      <c r="G61" s="194">
        <f t="shared" si="32"/>
        <v>0</v>
      </c>
      <c r="H61" s="194">
        <f t="shared" si="32"/>
        <v>0</v>
      </c>
      <c r="I61" s="194">
        <f t="shared" si="32"/>
        <v>0</v>
      </c>
      <c r="J61" s="194">
        <f t="shared" ref="J61:R61" si="33">J51-J56</f>
        <v>0</v>
      </c>
      <c r="K61" s="194">
        <f t="shared" si="33"/>
        <v>0</v>
      </c>
      <c r="L61" s="194">
        <f t="shared" si="33"/>
        <v>0</v>
      </c>
      <c r="M61" s="194">
        <f t="shared" si="33"/>
        <v>0</v>
      </c>
      <c r="N61" s="194">
        <f t="shared" si="33"/>
        <v>0</v>
      </c>
      <c r="O61" s="514">
        <f t="shared" si="33"/>
        <v>0</v>
      </c>
      <c r="P61" s="194">
        <f t="shared" si="33"/>
        <v>0</v>
      </c>
      <c r="Q61" s="194">
        <f t="shared" si="33"/>
        <v>0</v>
      </c>
      <c r="R61" s="209">
        <f t="shared" si="33"/>
        <v>0</v>
      </c>
      <c r="U61" s="127" t="s">
        <v>51</v>
      </c>
      <c r="V61" s="125" t="e">
        <f t="shared" ref="V61:AA61" si="34">V51-V56</f>
        <v>#REF!</v>
      </c>
      <c r="W61" s="125">
        <f t="shared" si="34"/>
        <v>0</v>
      </c>
      <c r="X61" s="125">
        <f t="shared" si="34"/>
        <v>0</v>
      </c>
      <c r="Y61" s="125">
        <f t="shared" si="34"/>
        <v>0</v>
      </c>
      <c r="Z61" s="125">
        <f t="shared" si="34"/>
        <v>0</v>
      </c>
      <c r="AA61" s="125">
        <f t="shared" si="34"/>
        <v>0</v>
      </c>
      <c r="AB61" s="127"/>
      <c r="AC61" s="127"/>
    </row>
    <row r="62" spans="1:29" x14ac:dyDescent="0.2">
      <c r="A62" s="208" t="s">
        <v>48</v>
      </c>
      <c r="B62" s="194">
        <f t="shared" ref="B62:I63" si="35">B52-B57</f>
        <v>0</v>
      </c>
      <c r="C62" s="194">
        <f t="shared" si="35"/>
        <v>0</v>
      </c>
      <c r="D62" s="194">
        <f t="shared" si="35"/>
        <v>0</v>
      </c>
      <c r="E62" s="194">
        <f t="shared" si="35"/>
        <v>0</v>
      </c>
      <c r="F62" s="194">
        <f t="shared" si="35"/>
        <v>0</v>
      </c>
      <c r="G62" s="194">
        <f t="shared" si="35"/>
        <v>0</v>
      </c>
      <c r="H62" s="194">
        <f t="shared" si="35"/>
        <v>0</v>
      </c>
      <c r="I62" s="194">
        <f t="shared" si="35"/>
        <v>0</v>
      </c>
      <c r="J62" s="194">
        <f t="shared" ref="J62:R62" si="36">J52-J57</f>
        <v>0</v>
      </c>
      <c r="K62" s="194">
        <f t="shared" si="36"/>
        <v>0</v>
      </c>
      <c r="L62" s="194">
        <f t="shared" si="36"/>
        <v>0</v>
      </c>
      <c r="M62" s="194">
        <f t="shared" si="36"/>
        <v>0</v>
      </c>
      <c r="N62" s="194">
        <f t="shared" si="36"/>
        <v>0</v>
      </c>
      <c r="O62" s="514">
        <f t="shared" si="36"/>
        <v>0</v>
      </c>
      <c r="P62" s="194">
        <f t="shared" si="36"/>
        <v>0</v>
      </c>
      <c r="Q62" s="194">
        <f t="shared" si="36"/>
        <v>0</v>
      </c>
      <c r="R62" s="209">
        <f t="shared" si="36"/>
        <v>0</v>
      </c>
      <c r="U62" s="127" t="s">
        <v>48</v>
      </c>
      <c r="V62" s="125">
        <f t="shared" ref="V62:AA62" si="37">V52-V57</f>
        <v>1141200155</v>
      </c>
      <c r="W62" s="125">
        <f t="shared" si="37"/>
        <v>0</v>
      </c>
      <c r="X62" s="125">
        <f t="shared" si="37"/>
        <v>0</v>
      </c>
      <c r="Y62" s="125">
        <f t="shared" si="37"/>
        <v>0</v>
      </c>
      <c r="Z62" s="125">
        <f t="shared" si="37"/>
        <v>0</v>
      </c>
      <c r="AA62" s="125">
        <f t="shared" si="37"/>
        <v>0</v>
      </c>
      <c r="AB62" s="127"/>
      <c r="AC62" s="127"/>
    </row>
    <row r="63" spans="1:29" ht="13.5" thickBot="1" x14ac:dyDescent="0.25">
      <c r="A63" s="213" t="s">
        <v>50</v>
      </c>
      <c r="B63" s="214">
        <f t="shared" si="35"/>
        <v>0</v>
      </c>
      <c r="C63" s="214">
        <f t="shared" si="35"/>
        <v>0</v>
      </c>
      <c r="D63" s="214">
        <f t="shared" si="35"/>
        <v>0</v>
      </c>
      <c r="E63" s="214">
        <f t="shared" si="35"/>
        <v>0</v>
      </c>
      <c r="F63" s="214">
        <f t="shared" si="35"/>
        <v>0</v>
      </c>
      <c r="G63" s="214">
        <f t="shared" si="35"/>
        <v>0</v>
      </c>
      <c r="H63" s="214">
        <f t="shared" si="35"/>
        <v>0</v>
      </c>
      <c r="I63" s="214">
        <f t="shared" si="35"/>
        <v>0</v>
      </c>
      <c r="J63" s="214">
        <f t="shared" ref="J63:R63" si="38">J53-J58</f>
        <v>0</v>
      </c>
      <c r="K63" s="214">
        <f t="shared" si="38"/>
        <v>0</v>
      </c>
      <c r="L63" s="214">
        <f t="shared" si="38"/>
        <v>0</v>
      </c>
      <c r="M63" s="214">
        <f t="shared" si="38"/>
        <v>0</v>
      </c>
      <c r="N63" s="214">
        <f t="shared" si="38"/>
        <v>0</v>
      </c>
      <c r="O63" s="516">
        <f t="shared" si="38"/>
        <v>0</v>
      </c>
      <c r="P63" s="214">
        <f t="shared" si="38"/>
        <v>0</v>
      </c>
      <c r="Q63" s="214">
        <f t="shared" si="38"/>
        <v>0</v>
      </c>
      <c r="R63" s="215">
        <f t="shared" si="38"/>
        <v>0</v>
      </c>
      <c r="U63" s="127" t="s">
        <v>50</v>
      </c>
      <c r="V63" s="125">
        <f t="shared" ref="V63:AA63" si="39">V53-V58</f>
        <v>0</v>
      </c>
      <c r="W63" s="125">
        <f t="shared" si="39"/>
        <v>0</v>
      </c>
      <c r="X63" s="125">
        <f t="shared" si="39"/>
        <v>0</v>
      </c>
      <c r="Y63" s="125">
        <f t="shared" si="39"/>
        <v>0</v>
      </c>
      <c r="Z63" s="125">
        <f t="shared" si="39"/>
        <v>0</v>
      </c>
      <c r="AA63" s="125">
        <f t="shared" si="39"/>
        <v>0</v>
      </c>
      <c r="AB63" s="127"/>
      <c r="AC63" s="127"/>
    </row>
    <row r="64" spans="1:29" x14ac:dyDescent="0.2">
      <c r="U64" s="127"/>
      <c r="V64" s="123"/>
      <c r="W64" s="123"/>
      <c r="X64" s="123"/>
      <c r="Y64" s="123"/>
      <c r="Z64" s="123"/>
      <c r="AA64" s="123"/>
      <c r="AB64" s="127"/>
      <c r="AC64" s="127"/>
    </row>
    <row r="65" spans="9:29" x14ac:dyDescent="0.2">
      <c r="U65" s="127"/>
      <c r="V65" s="123"/>
      <c r="W65" s="123"/>
      <c r="X65" s="123"/>
      <c r="Y65" s="123"/>
      <c r="Z65" s="123"/>
      <c r="AA65" s="123"/>
      <c r="AB65" s="127"/>
      <c r="AC65" s="127"/>
    </row>
    <row r="67" spans="9:29" x14ac:dyDescent="0.2">
      <c r="I67" s="95" t="s">
        <v>105</v>
      </c>
      <c r="J67" s="95"/>
      <c r="K67" s="95"/>
      <c r="L67" s="95"/>
      <c r="M67" s="95"/>
      <c r="N67" s="95"/>
      <c r="O67" s="95"/>
      <c r="P67" s="95"/>
      <c r="Q67" s="93">
        <f>(Q57-I57)/I57</f>
        <v>-2.6896128933961032E-2</v>
      </c>
      <c r="R67" s="93">
        <f>(R57-Q57)/Q57</f>
        <v>-1.5950828825907022E-3</v>
      </c>
      <c r="Y67" s="123" t="s">
        <v>105</v>
      </c>
      <c r="Z67" s="124">
        <f>(Z57-Y57)/Y57</f>
        <v>-2.6896128933961032E-2</v>
      </c>
      <c r="AA67" s="124">
        <f>(AA57-Z57)/Z57</f>
        <v>-1.5950828825907022E-3</v>
      </c>
    </row>
    <row r="68" spans="9:29" x14ac:dyDescent="0.2">
      <c r="I68" s="94" t="s">
        <v>106</v>
      </c>
      <c r="J68" s="94"/>
      <c r="K68" s="94"/>
      <c r="L68" s="94"/>
      <c r="M68" s="94"/>
      <c r="N68" s="94"/>
      <c r="O68" s="94"/>
      <c r="P68" s="94"/>
      <c r="Q68" s="93">
        <f>(Q58-I58)/I58</f>
        <v>-5.1031572338410533E-2</v>
      </c>
      <c r="R68" s="93">
        <f>(R58-Q58)/Q58</f>
        <v>7.5721808102685768E-4</v>
      </c>
      <c r="Y68" s="125" t="s">
        <v>106</v>
      </c>
      <c r="Z68" s="124">
        <f>(Z58-Y58)/Y58</f>
        <v>-5.1031572338410533E-2</v>
      </c>
      <c r="AA68" s="124">
        <f>(AA58-Z58)/Z58</f>
        <v>7.5721808102685768E-4</v>
      </c>
    </row>
  </sheetData>
  <mergeCells count="2">
    <mergeCell ref="B3:L3"/>
    <mergeCell ref="P3:R3"/>
  </mergeCells>
  <phoneticPr fontId="0" type="noConversion"/>
  <printOptions horizontalCentered="1"/>
  <pageMargins left="0.19685039370078741" right="0.35433070866141736" top="0.55118110236220474" bottom="0.35433070866141736" header="0.31496062992125984" footer="0.11811023622047245"/>
  <pageSetup scale="7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5</vt:i4>
      </vt:variant>
    </vt:vector>
  </HeadingPairs>
  <TitlesOfParts>
    <vt:vector size="30" baseType="lpstr">
      <vt:lpstr>Chart</vt:lpstr>
      <vt:lpstr>Chart II</vt:lpstr>
      <vt:lpstr>Chart III</vt:lpstr>
      <vt:lpstr>Chart IV</vt:lpstr>
      <vt:lpstr>Year End Customer</vt:lpstr>
      <vt:lpstr>City Expansion</vt:lpstr>
      <vt:lpstr>LED</vt:lpstr>
      <vt:lpstr> CDM Summary</vt:lpstr>
      <vt:lpstr>Summary</vt:lpstr>
      <vt:lpstr>Comparison</vt:lpstr>
      <vt:lpstr>Purchased Power Model </vt:lpstr>
      <vt:lpstr>Economic Indices</vt:lpstr>
      <vt:lpstr>Trends</vt:lpstr>
      <vt:lpstr>10 Year Average</vt:lpstr>
      <vt:lpstr>20 Year Trend</vt:lpstr>
      <vt:lpstr>Residential</vt:lpstr>
      <vt:lpstr>GS &lt; 50 kW</vt:lpstr>
      <vt:lpstr>GS &gt; 50 kW</vt:lpstr>
      <vt:lpstr>I2</vt:lpstr>
      <vt:lpstr>Large User</vt:lpstr>
      <vt:lpstr>Streetlights</vt:lpstr>
      <vt:lpstr>USL</vt:lpstr>
      <vt:lpstr>Rate Class Energy Model</vt:lpstr>
      <vt:lpstr>Rate Class Customer Model</vt:lpstr>
      <vt:lpstr>Rate Class Load Model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Phil Martin</cp:lastModifiedBy>
  <cp:lastPrinted>2017-06-07T19:01:01Z</cp:lastPrinted>
  <dcterms:created xsi:type="dcterms:W3CDTF">2008-02-06T18:24:44Z</dcterms:created>
  <dcterms:modified xsi:type="dcterms:W3CDTF">2017-10-26T19:24:14Z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