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3418" tabRatio="938" firstSheet="2" activeTab="5"/>
  </bookViews>
  <sheets>
    <sheet name="Revenue Input" sheetId="17" r:id="rId1"/>
    <sheet name="Transformer Allowance" sheetId="16" r:id="rId2"/>
    <sheet name="Forecast Data For 2015 to 2019" sheetId="13" r:id="rId3"/>
    <sheet name="2014 Existing Rates" sheetId="10" r:id="rId4"/>
    <sheet name="Revenue at Prior Year Rates" sheetId="12" r:id="rId5"/>
    <sheet name="Cost Allocation Study" sheetId="7" r:id="rId6"/>
    <sheet name="Rates By Rate Class" sheetId="2" r:id="rId7"/>
    <sheet name="Other Dist &amp; Rate Riders" sheetId="78" r:id="rId8"/>
    <sheet name="Rate Smoothing" sheetId="77" r:id="rId9"/>
    <sheet name="Jan-Aug2015 Rider" sheetId="79" r:id="rId10"/>
    <sheet name="Allocation Low Voltage Costs" sheetId="5" r:id="rId11"/>
    <sheet name="Low Voltage Rates" sheetId="4" r:id="rId12"/>
    <sheet name="LRAM and SSM Rate Rider" sheetId="28" r:id="rId13"/>
    <sheet name="Distribution Rate Schedule" sheetId="14" r:id="rId14"/>
    <sheet name="Rate Schedule " sheetId="24" r:id="rId15"/>
    <sheet name="Dist. Revenue Reconciliation" sheetId="15" r:id="rId16"/>
    <sheet name="2015 Revenue Deficiency Analys" sheetId="27" r:id="rId17"/>
    <sheet name="2016 Revenue Deficiency Analys" sheetId="45" r:id="rId18"/>
    <sheet name="2017 Revenue Deficiency Analys" sheetId="54" r:id="rId19"/>
    <sheet name="2018 Revenue Deficiency Analys" sheetId="63" r:id="rId20"/>
    <sheet name="2019 Revenue Deficiency Analys" sheetId="72" r:id="rId21"/>
    <sheet name="Data for Model ==&gt;" sheetId="73" r:id="rId22"/>
    <sheet name="Data " sheetId="76" r:id="rId23"/>
  </sheets>
  <externalReferences>
    <externalReference r:id="rId24"/>
  </externalReferences>
  <definedNames>
    <definedName name="_xlnm.Print_Area" localSheetId="3">'2014 Existing Rates'!$A$1:$E$67</definedName>
    <definedName name="_xlnm.Print_Area" localSheetId="16">'2015 Revenue Deficiency Analys'!$A$3:$I$30</definedName>
    <definedName name="_xlnm.Print_Area" localSheetId="17">'2016 Revenue Deficiency Analys'!$A$3:$I$30</definedName>
    <definedName name="_xlnm.Print_Area" localSheetId="18">'2017 Revenue Deficiency Analys'!$A$3:$I$30</definedName>
    <definedName name="_xlnm.Print_Area" localSheetId="19">'2018 Revenue Deficiency Analys'!$A$3:$I$30</definedName>
    <definedName name="_xlnm.Print_Area" localSheetId="20">'2019 Revenue Deficiency Analys'!$A$3:$I$30</definedName>
    <definedName name="_xlnm.Print_Area" localSheetId="10">'Allocation Low Voltage Costs'!$A$1:$F$15</definedName>
    <definedName name="_xlnm.Print_Area" localSheetId="5">'Cost Allocation Study'!$A$1:$M$18</definedName>
    <definedName name="_xlnm.Print_Area" localSheetId="15">'Dist. Revenue Reconciliation'!$A$3:$F$19</definedName>
    <definedName name="_xlnm.Print_Area" localSheetId="13">'Distribution Rate Schedule'!$A$1:$E$22</definedName>
    <definedName name="_xlnm.Print_Area" localSheetId="2">'Forecast Data For 2015 to 2019'!$A$1:$G$31</definedName>
    <definedName name="_xlnm.Print_Area" localSheetId="9">'Jan-Aug2015 Rider'!$A$1:$I$39</definedName>
    <definedName name="_xlnm.Print_Area" localSheetId="11">'Low Voltage Rates'!$A$1:$G$15</definedName>
    <definedName name="_xlnm.Print_Area" localSheetId="12">'LRAM and SSM Rate Rider'!$A$1:$L$16</definedName>
    <definedName name="_xlnm.Print_Area" localSheetId="14">'Rate Schedule '!$A$3:$E$60</definedName>
    <definedName name="_xlnm.Print_Area" localSheetId="8">'Rate Smoothing'!$A$1:$I$89</definedName>
    <definedName name="_xlnm.Print_Area" localSheetId="6">'Rates By Rate Class'!$A$1:$I$33</definedName>
    <definedName name="_xlnm.Print_Area" localSheetId="4">'Revenue at Prior Year Rates'!$A$1:$O$32</definedName>
    <definedName name="_xlnm.Print_Area" localSheetId="0">'Revenue Input'!$A$1:$B$11</definedName>
    <definedName name="_xlnm.Print_Area" localSheetId="1">'Transformer Allowance'!$A$1:$C$30</definedName>
    <definedName name="Rate_Class">[1]lists!$A$1:$A$104</definedName>
  </definedNames>
  <calcPr calcId="152511" iterate="1"/>
</workbook>
</file>

<file path=xl/calcChain.xml><?xml version="1.0" encoding="utf-8"?>
<calcChain xmlns="http://schemas.openxmlformats.org/spreadsheetml/2006/main">
  <c r="L53" i="76" l="1"/>
  <c r="K53" i="76"/>
  <c r="L52" i="76"/>
  <c r="K52" i="76"/>
  <c r="L51" i="76"/>
  <c r="K51" i="76"/>
  <c r="L47" i="76"/>
  <c r="K47" i="76"/>
  <c r="L46" i="76"/>
  <c r="K46" i="76"/>
  <c r="L45" i="76"/>
  <c r="K45" i="76"/>
  <c r="L42" i="76"/>
  <c r="K42" i="76"/>
  <c r="L40" i="76"/>
  <c r="K40" i="76"/>
  <c r="L39" i="76"/>
  <c r="K39" i="76"/>
  <c r="L38" i="76"/>
  <c r="K38" i="76"/>
  <c r="L37" i="76"/>
  <c r="K37" i="76"/>
  <c r="L36" i="76"/>
  <c r="K36" i="76"/>
  <c r="L35" i="76"/>
  <c r="K35" i="76"/>
  <c r="L34" i="76"/>
  <c r="K34" i="76"/>
  <c r="L33" i="76"/>
  <c r="K33" i="76"/>
  <c r="L32" i="76"/>
  <c r="K32" i="76"/>
  <c r="L31" i="76"/>
  <c r="K31" i="76"/>
  <c r="L30" i="76"/>
  <c r="K30" i="76"/>
  <c r="L29" i="76"/>
  <c r="K29" i="76"/>
  <c r="L28" i="76"/>
  <c r="K28" i="76"/>
  <c r="L27" i="76"/>
  <c r="K27" i="76"/>
  <c r="L26" i="76"/>
  <c r="K26" i="76"/>
  <c r="L25" i="76"/>
  <c r="K25" i="76"/>
  <c r="L24" i="76"/>
  <c r="K24" i="76"/>
  <c r="L23" i="76"/>
  <c r="K23" i="76"/>
  <c r="L22" i="76"/>
  <c r="K22" i="76"/>
  <c r="L21" i="76"/>
  <c r="K21" i="76"/>
  <c r="K14" i="79" l="1"/>
  <c r="V31" i="79" l="1"/>
  <c r="C67" i="79"/>
  <c r="C68" i="79"/>
  <c r="C69" i="79"/>
  <c r="C70" i="79"/>
  <c r="C71" i="79"/>
  <c r="C72" i="79"/>
  <c r="C73" i="79"/>
  <c r="C66" i="79"/>
  <c r="K20" i="79"/>
  <c r="K21" i="79"/>
  <c r="K22" i="79"/>
  <c r="K23" i="79"/>
  <c r="K24" i="79"/>
  <c r="K25" i="79"/>
  <c r="K26" i="79"/>
  <c r="K19" i="79"/>
  <c r="B32" i="79"/>
  <c r="O20" i="79" s="1"/>
  <c r="B33" i="79"/>
  <c r="O21" i="79" s="1"/>
  <c r="B34" i="79"/>
  <c r="O22" i="79" s="1"/>
  <c r="B35" i="79"/>
  <c r="O23" i="79" s="1"/>
  <c r="B36" i="79"/>
  <c r="O24" i="79" s="1"/>
  <c r="B37" i="79"/>
  <c r="O25" i="79" s="1"/>
  <c r="B38" i="79"/>
  <c r="O26" i="79" s="1"/>
  <c r="B31" i="79"/>
  <c r="O19" i="79" s="1"/>
  <c r="J16" i="79"/>
  <c r="H12" i="7" l="1"/>
  <c r="Q38" i="2" l="1"/>
  <c r="I83" i="2" s="1"/>
  <c r="R41" i="2"/>
  <c r="R37" i="2"/>
  <c r="D14" i="79"/>
  <c r="Q39" i="2" l="1"/>
  <c r="I114" i="2" s="1"/>
  <c r="R38" i="2"/>
  <c r="R39" i="2" l="1"/>
  <c r="Q40" i="2"/>
  <c r="I145" i="2" s="1"/>
  <c r="R40" i="2"/>
  <c r="D84" i="79"/>
  <c r="D83" i="79"/>
  <c r="D82" i="79"/>
  <c r="D81" i="79"/>
  <c r="D80" i="79"/>
  <c r="D79" i="79"/>
  <c r="D78" i="79"/>
  <c r="D77" i="79"/>
  <c r="V38" i="79" l="1"/>
  <c r="V37" i="79"/>
  <c r="V36" i="79"/>
  <c r="V35" i="79"/>
  <c r="V34" i="79"/>
  <c r="V33" i="79"/>
  <c r="V32" i="79"/>
  <c r="V81" i="77" l="1"/>
  <c r="Q14" i="7" l="1"/>
  <c r="V83" i="77" l="1"/>
  <c r="V84" i="77"/>
  <c r="V85" i="77"/>
  <c r="V86" i="77"/>
  <c r="V87" i="77"/>
  <c r="V88" i="77"/>
  <c r="V82" i="77" l="1"/>
  <c r="N32" i="78" l="1"/>
  <c r="O32" i="78" s="1"/>
  <c r="P32" i="78" s="1"/>
  <c r="Q32" i="78" s="1"/>
  <c r="R32" i="78" s="1"/>
  <c r="M32" i="78"/>
  <c r="N31" i="78"/>
  <c r="O31" i="78" s="1"/>
  <c r="P31" i="78" s="1"/>
  <c r="Q31" i="78" s="1"/>
  <c r="R31" i="78" s="1"/>
  <c r="M31" i="78"/>
  <c r="N30" i="78"/>
  <c r="O30" i="78" s="1"/>
  <c r="P30" i="78" s="1"/>
  <c r="Q30" i="78" s="1"/>
  <c r="R30" i="78" s="1"/>
  <c r="M30" i="78"/>
  <c r="O29" i="78"/>
  <c r="P29" i="78" s="1"/>
  <c r="Q29" i="78" s="1"/>
  <c r="R29" i="78" s="1"/>
  <c r="N28" i="78"/>
  <c r="O28" i="78" s="1"/>
  <c r="P28" i="78" s="1"/>
  <c r="Q28" i="78" s="1"/>
  <c r="R28" i="78" s="1"/>
  <c r="M28" i="78"/>
  <c r="N27" i="78"/>
  <c r="O27" i="78" s="1"/>
  <c r="P27" i="78" s="1"/>
  <c r="Q27" i="78" s="1"/>
  <c r="R27" i="78" s="1"/>
  <c r="M27" i="78"/>
  <c r="M26" i="78"/>
  <c r="N26" i="78"/>
  <c r="C25" i="78" l="1"/>
  <c r="O26" i="78"/>
  <c r="P26" i="78" s="1"/>
  <c r="Q26" i="78" s="1"/>
  <c r="R26" i="78" s="1"/>
  <c r="O25" i="78"/>
  <c r="P25" i="78" s="1"/>
  <c r="Q25" i="78" s="1"/>
  <c r="R25" i="78" s="1"/>
  <c r="G32" i="78"/>
  <c r="F32" i="78"/>
  <c r="E32" i="78"/>
  <c r="D32" i="78"/>
  <c r="C32" i="78"/>
  <c r="B32" i="78"/>
  <c r="G31" i="78"/>
  <c r="F31" i="78"/>
  <c r="E31" i="78"/>
  <c r="D31" i="78"/>
  <c r="C31" i="78"/>
  <c r="I31" i="78" s="1"/>
  <c r="B31" i="78"/>
  <c r="G30" i="78"/>
  <c r="F30" i="78"/>
  <c r="E30" i="78"/>
  <c r="D30" i="78"/>
  <c r="C30" i="78"/>
  <c r="I30" i="78" s="1"/>
  <c r="B30" i="78"/>
  <c r="G29" i="78"/>
  <c r="F29" i="78"/>
  <c r="E29" i="78"/>
  <c r="D29" i="78"/>
  <c r="C29" i="78"/>
  <c r="B29" i="78"/>
  <c r="G28" i="78"/>
  <c r="F28" i="78"/>
  <c r="E28" i="78"/>
  <c r="D28" i="78"/>
  <c r="C28" i="78"/>
  <c r="B28" i="78"/>
  <c r="G27" i="78"/>
  <c r="F27" i="78"/>
  <c r="E27" i="78"/>
  <c r="D27" i="78"/>
  <c r="C27" i="78"/>
  <c r="B27" i="78"/>
  <c r="C26" i="78"/>
  <c r="B26" i="78"/>
  <c r="B25" i="78"/>
  <c r="D76" i="78"/>
  <c r="E76" i="78"/>
  <c r="F76" i="78"/>
  <c r="G76" i="78"/>
  <c r="AR31" i="78" s="1"/>
  <c r="C76" i="78"/>
  <c r="B76" i="78"/>
  <c r="D75" i="78"/>
  <c r="E75" i="78"/>
  <c r="AP30" i="78" s="1"/>
  <c r="F75" i="78"/>
  <c r="G75" i="78"/>
  <c r="C75" i="78"/>
  <c r="B75" i="78"/>
  <c r="D74" i="78"/>
  <c r="E74" i="78"/>
  <c r="F74" i="78"/>
  <c r="G74" i="78"/>
  <c r="AR29" i="78" s="1"/>
  <c r="C74" i="78"/>
  <c r="B74" i="78"/>
  <c r="D73" i="78"/>
  <c r="E73" i="78"/>
  <c r="AP28" i="78" s="1"/>
  <c r="F73" i="78"/>
  <c r="G73" i="78"/>
  <c r="C73" i="78"/>
  <c r="B73" i="78"/>
  <c r="B72" i="78"/>
  <c r="C72" i="78"/>
  <c r="D72" i="78"/>
  <c r="AO27" i="78" s="1"/>
  <c r="E72" i="78"/>
  <c r="F72" i="78"/>
  <c r="G72" i="78"/>
  <c r="H106" i="77"/>
  <c r="B67" i="78"/>
  <c r="B66" i="78"/>
  <c r="B65" i="78"/>
  <c r="B64" i="78"/>
  <c r="B63" i="78"/>
  <c r="B62" i="78"/>
  <c r="B61" i="78"/>
  <c r="B60" i="78"/>
  <c r="B57" i="78"/>
  <c r="B56" i="78"/>
  <c r="B55" i="78"/>
  <c r="B54" i="78"/>
  <c r="B53" i="78"/>
  <c r="B52" i="78"/>
  <c r="B51" i="78"/>
  <c r="B50" i="78"/>
  <c r="AQ28" i="78" l="1"/>
  <c r="AO29" i="78"/>
  <c r="AQ30" i="78"/>
  <c r="AO31" i="78"/>
  <c r="AM28" i="78"/>
  <c r="AV28" i="78" s="1"/>
  <c r="AM30" i="78"/>
  <c r="AN28" i="78"/>
  <c r="AO28" i="78"/>
  <c r="AQ29" i="78"/>
  <c r="AN30" i="78"/>
  <c r="AQ31" i="78"/>
  <c r="D25" i="78"/>
  <c r="AP27" i="78"/>
  <c r="AR28" i="78"/>
  <c r="AP29" i="78"/>
  <c r="AR30" i="78"/>
  <c r="AP31" i="78"/>
  <c r="AO30" i="78"/>
  <c r="AQ27" i="78"/>
  <c r="AM27" i="78"/>
  <c r="AN29" i="78"/>
  <c r="AN31" i="78"/>
  <c r="AR27" i="78"/>
  <c r="AN27" i="78"/>
  <c r="AM29" i="78"/>
  <c r="AM31" i="78"/>
  <c r="AV31" i="78" s="1"/>
  <c r="I25" i="78"/>
  <c r="AM25" i="78"/>
  <c r="I27" i="78"/>
  <c r="I29" i="78"/>
  <c r="AM26" i="78"/>
  <c r="AV27" i="78"/>
  <c r="I26" i="78"/>
  <c r="AM32" i="78"/>
  <c r="AV30" i="78"/>
  <c r="I28" i="78"/>
  <c r="I32" i="78"/>
  <c r="E26" i="78"/>
  <c r="E25" i="78"/>
  <c r="D26" i="78"/>
  <c r="AV29" i="78" l="1"/>
  <c r="AV25" i="78"/>
  <c r="AV32" i="78"/>
  <c r="AV26" i="78"/>
  <c r="G26" i="78"/>
  <c r="F26" i="78"/>
  <c r="F25" i="78"/>
  <c r="G25" i="78"/>
  <c r="I26" i="10" l="1"/>
  <c r="G17" i="78"/>
  <c r="F17" i="78"/>
  <c r="E17" i="78"/>
  <c r="D17" i="78"/>
  <c r="C17" i="78"/>
  <c r="G21" i="78"/>
  <c r="F21" i="78"/>
  <c r="E21" i="78"/>
  <c r="D21" i="78"/>
  <c r="C21" i="78"/>
  <c r="B21" i="78"/>
  <c r="AM21" i="78" s="1"/>
  <c r="G20" i="78"/>
  <c r="F20" i="78"/>
  <c r="E20" i="78"/>
  <c r="D20" i="78"/>
  <c r="C20" i="78"/>
  <c r="B20" i="78"/>
  <c r="AM20" i="78" s="1"/>
  <c r="G19" i="78"/>
  <c r="F19" i="78"/>
  <c r="E19" i="78"/>
  <c r="D19" i="78"/>
  <c r="C19" i="78"/>
  <c r="B19" i="78"/>
  <c r="AM19" i="78" s="1"/>
  <c r="G18" i="78"/>
  <c r="F18" i="78"/>
  <c r="E18" i="78"/>
  <c r="D18" i="78"/>
  <c r="C18" i="78"/>
  <c r="B18" i="78"/>
  <c r="AM18" i="78" s="1"/>
  <c r="B17" i="78"/>
  <c r="AM17" i="78" s="1"/>
  <c r="G16" i="78"/>
  <c r="F16" i="78"/>
  <c r="E16" i="78"/>
  <c r="D16" i="78"/>
  <c r="C16" i="78"/>
  <c r="B16" i="78"/>
  <c r="AM16" i="78" s="1"/>
  <c r="G15" i="78"/>
  <c r="F15" i="78"/>
  <c r="E15" i="78"/>
  <c r="D15" i="78"/>
  <c r="C15" i="78"/>
  <c r="B15" i="78"/>
  <c r="AM15" i="78" s="1"/>
  <c r="G14" i="78"/>
  <c r="F14" i="78"/>
  <c r="E14" i="78"/>
  <c r="D14" i="78"/>
  <c r="C14" i="78"/>
  <c r="B14" i="78"/>
  <c r="AM14" i="78" s="1"/>
  <c r="G10" i="78"/>
  <c r="F10" i="78"/>
  <c r="E10" i="78"/>
  <c r="D10" i="78"/>
  <c r="C10" i="78"/>
  <c r="B10" i="78"/>
  <c r="G9" i="78"/>
  <c r="F9" i="78"/>
  <c r="E9" i="78"/>
  <c r="D9" i="78"/>
  <c r="C9" i="78"/>
  <c r="B9" i="78"/>
  <c r="G8" i="78"/>
  <c r="F8" i="78"/>
  <c r="E8" i="78"/>
  <c r="D8" i="78"/>
  <c r="C8" i="78"/>
  <c r="B8" i="78"/>
  <c r="G7" i="78"/>
  <c r="F7" i="78"/>
  <c r="E7" i="78"/>
  <c r="D7" i="78"/>
  <c r="C7" i="78"/>
  <c r="B7" i="78"/>
  <c r="G6" i="78"/>
  <c r="F6" i="78"/>
  <c r="E6" i="78"/>
  <c r="D6" i="78"/>
  <c r="C6" i="78"/>
  <c r="B6" i="78"/>
  <c r="G5" i="78"/>
  <c r="F5" i="78"/>
  <c r="E5" i="78"/>
  <c r="D5" i="78"/>
  <c r="C5" i="78"/>
  <c r="B5" i="78"/>
  <c r="G4" i="78"/>
  <c r="F4" i="78"/>
  <c r="E4" i="78"/>
  <c r="D4" i="78"/>
  <c r="C4" i="78"/>
  <c r="B4" i="78"/>
  <c r="G3" i="78"/>
  <c r="F3" i="78"/>
  <c r="E3" i="78"/>
  <c r="D3" i="78"/>
  <c r="C3" i="78"/>
  <c r="B3" i="78"/>
  <c r="AM3" i="78" s="1"/>
  <c r="B39" i="78" l="1"/>
  <c r="AM5" i="78"/>
  <c r="AM39" i="78" s="1"/>
  <c r="B41" i="78"/>
  <c r="B20" i="77" s="1"/>
  <c r="AM7" i="78"/>
  <c r="AM41" i="78" s="1"/>
  <c r="AM9" i="78"/>
  <c r="AM43" i="78" s="1"/>
  <c r="B43" i="78"/>
  <c r="B22" i="77" s="1"/>
  <c r="AM37" i="78"/>
  <c r="AM4" i="78"/>
  <c r="AM38" i="78" s="1"/>
  <c r="B38" i="78"/>
  <c r="AM6" i="78"/>
  <c r="AM40" i="78" s="1"/>
  <c r="B40" i="78"/>
  <c r="B19" i="77" s="1"/>
  <c r="AM8" i="78"/>
  <c r="AM42" i="78" s="1"/>
  <c r="B42" i="78"/>
  <c r="B21" i="77" s="1"/>
  <c r="B44" i="78"/>
  <c r="B23" i="77" s="1"/>
  <c r="AM10" i="78"/>
  <c r="AM44" i="78" s="1"/>
  <c r="B37" i="78"/>
  <c r="B16" i="77" s="1"/>
  <c r="B17" i="77"/>
  <c r="AV37" i="78" l="1"/>
  <c r="AV38" i="78"/>
  <c r="AV44" i="78"/>
  <c r="AM45" i="78"/>
  <c r="AV39" i="78"/>
  <c r="AV42" i="78"/>
  <c r="AV40" i="78"/>
  <c r="AV43" i="78"/>
  <c r="AV41" i="78"/>
  <c r="B18" i="77"/>
  <c r="B24" i="77" s="1"/>
  <c r="B45" i="78"/>
  <c r="AV45" i="78" l="1"/>
  <c r="B122" i="7"/>
  <c r="B130" i="7" s="1"/>
  <c r="B132" i="7" l="1"/>
  <c r="B128" i="7"/>
  <c r="B126" i="7"/>
  <c r="B127" i="7"/>
  <c r="B133" i="7"/>
  <c r="B129" i="7"/>
  <c r="B131" i="7"/>
  <c r="B135" i="7"/>
  <c r="L78" i="7" l="1"/>
  <c r="M78" i="7"/>
  <c r="L79" i="7"/>
  <c r="M79" i="7"/>
  <c r="L80" i="7"/>
  <c r="M80" i="7"/>
  <c r="L81" i="7"/>
  <c r="M81" i="7"/>
  <c r="L82" i="7"/>
  <c r="M82" i="7"/>
  <c r="L83" i="7"/>
  <c r="M83" i="7"/>
  <c r="L84" i="7"/>
  <c r="M84" i="7"/>
  <c r="L85" i="7"/>
  <c r="M85" i="7"/>
  <c r="L60" i="7"/>
  <c r="M60" i="7"/>
  <c r="L61" i="7"/>
  <c r="M61" i="7"/>
  <c r="L62" i="7"/>
  <c r="M62" i="7"/>
  <c r="L63" i="7"/>
  <c r="M63" i="7"/>
  <c r="L64" i="7"/>
  <c r="M64" i="7"/>
  <c r="L65" i="7"/>
  <c r="M65" i="7"/>
  <c r="L66" i="7"/>
  <c r="M66" i="7"/>
  <c r="L67" i="7"/>
  <c r="M67" i="7"/>
  <c r="L42" i="7"/>
  <c r="M42" i="7"/>
  <c r="L43" i="7"/>
  <c r="M43" i="7"/>
  <c r="L44" i="7"/>
  <c r="M44" i="7"/>
  <c r="L45" i="7"/>
  <c r="M45" i="7"/>
  <c r="L46" i="7"/>
  <c r="M46" i="7"/>
  <c r="L47" i="7"/>
  <c r="M47" i="7"/>
  <c r="L48" i="7"/>
  <c r="M48" i="7"/>
  <c r="L49" i="7"/>
  <c r="M49" i="7"/>
  <c r="L23" i="7"/>
  <c r="M23" i="7"/>
  <c r="L24" i="7"/>
  <c r="M24" i="7"/>
  <c r="L25" i="7"/>
  <c r="M25" i="7"/>
  <c r="L26" i="7"/>
  <c r="M26" i="7"/>
  <c r="L27" i="7"/>
  <c r="M27" i="7"/>
  <c r="L28" i="7"/>
  <c r="M28" i="7"/>
  <c r="L29" i="7"/>
  <c r="M29" i="7"/>
  <c r="L30" i="7"/>
  <c r="M30" i="7"/>
  <c r="J56" i="13" l="1"/>
  <c r="I56" i="13"/>
  <c r="H56" i="13"/>
  <c r="G56" i="13"/>
  <c r="F56" i="13"/>
  <c r="E56" i="13"/>
  <c r="D56" i="13"/>
  <c r="C56" i="13"/>
  <c r="J31" i="13"/>
  <c r="J30" i="13"/>
  <c r="J29" i="13"/>
  <c r="J55" i="13"/>
  <c r="I55" i="13"/>
  <c r="H55" i="13"/>
  <c r="G55" i="13"/>
  <c r="F55" i="13"/>
  <c r="E55" i="13"/>
  <c r="D55" i="13"/>
  <c r="C55" i="13"/>
  <c r="D48" i="13"/>
  <c r="E48" i="13"/>
  <c r="E49" i="13" s="1"/>
  <c r="F48" i="13"/>
  <c r="G48" i="13"/>
  <c r="G49" i="13" s="1"/>
  <c r="H48" i="13"/>
  <c r="I48" i="13"/>
  <c r="I49" i="13" s="1"/>
  <c r="J48" i="13"/>
  <c r="C48" i="13"/>
  <c r="C49" i="13" s="1"/>
  <c r="E31" i="10"/>
  <c r="E30" i="10"/>
  <c r="E29" i="10"/>
  <c r="D28" i="10"/>
  <c r="D27" i="10"/>
  <c r="D26" i="10"/>
  <c r="D25" i="10"/>
  <c r="D24" i="10"/>
  <c r="I30" i="10"/>
  <c r="K33" i="10"/>
  <c r="I25" i="10"/>
  <c r="H49" i="13" l="1"/>
  <c r="D49" i="13"/>
  <c r="J49" i="13"/>
  <c r="F49" i="13"/>
  <c r="B55" i="13"/>
  <c r="B48" i="13"/>
  <c r="H25" i="10"/>
  <c r="H24" i="10"/>
  <c r="I29" i="10"/>
  <c r="I27" i="10"/>
  <c r="I28" i="10"/>
  <c r="H30" i="10"/>
  <c r="B33" i="10"/>
  <c r="I24" i="10"/>
  <c r="E33" i="10"/>
  <c r="I31" i="10"/>
  <c r="H26" i="10"/>
  <c r="H27" i="10"/>
  <c r="H28" i="10"/>
  <c r="H29" i="10"/>
  <c r="D33" i="10"/>
  <c r="H31" i="10"/>
  <c r="C33" i="10"/>
  <c r="B49" i="13" l="1"/>
  <c r="J29" i="10"/>
  <c r="L29" i="10" s="1"/>
  <c r="J30" i="10"/>
  <c r="L30" i="10" s="1"/>
  <c r="O30" i="10"/>
  <c r="J25" i="10"/>
  <c r="L25" i="10" s="1"/>
  <c r="D66" i="24" s="1"/>
  <c r="D70" i="24"/>
  <c r="D71" i="24"/>
  <c r="J24" i="10"/>
  <c r="L24" i="10" s="1"/>
  <c r="J27" i="10"/>
  <c r="L27" i="10" s="1"/>
  <c r="J26" i="10"/>
  <c r="L26" i="10" s="1"/>
  <c r="J28" i="10"/>
  <c r="L28" i="10" s="1"/>
  <c r="I33" i="10"/>
  <c r="J31" i="10"/>
  <c r="L31" i="10" s="1"/>
  <c r="H33" i="10"/>
  <c r="O27" i="10" l="1"/>
  <c r="O28" i="10"/>
  <c r="O25" i="10"/>
  <c r="O29" i="10"/>
  <c r="O24" i="10"/>
  <c r="O26" i="10"/>
  <c r="O31" i="10"/>
  <c r="D69" i="24"/>
  <c r="D67" i="24"/>
  <c r="D65" i="24"/>
  <c r="D72" i="24"/>
  <c r="D68" i="24"/>
  <c r="J33" i="10"/>
  <c r="L33" i="10"/>
  <c r="M29" i="10" l="1"/>
  <c r="M25" i="10"/>
  <c r="M30" i="10"/>
  <c r="M31" i="10"/>
  <c r="M27" i="10"/>
  <c r="M24" i="10"/>
  <c r="M28" i="10"/>
  <c r="M26" i="10"/>
  <c r="M33" i="10" l="1"/>
  <c r="F26" i="2" l="1"/>
  <c r="G13" i="12" l="1"/>
  <c r="F11" i="12"/>
  <c r="F9" i="12"/>
  <c r="C5" i="13" l="1"/>
  <c r="D5" i="13"/>
  <c r="E5" i="13"/>
  <c r="E60" i="78" s="1"/>
  <c r="F5" i="13"/>
  <c r="F60" i="78" s="1"/>
  <c r="G5" i="13"/>
  <c r="C6" i="13"/>
  <c r="D6" i="13"/>
  <c r="E6" i="13"/>
  <c r="F6" i="13"/>
  <c r="G6" i="13"/>
  <c r="C7" i="13"/>
  <c r="D7" i="13"/>
  <c r="E7" i="13"/>
  <c r="E61" i="78" s="1"/>
  <c r="F7" i="13"/>
  <c r="F61" i="78" s="1"/>
  <c r="G7" i="13"/>
  <c r="G61" i="78" s="1"/>
  <c r="C8" i="13"/>
  <c r="D8" i="13"/>
  <c r="E8" i="13"/>
  <c r="F8" i="13"/>
  <c r="G8" i="13"/>
  <c r="C9" i="13"/>
  <c r="D9" i="13"/>
  <c r="E9" i="13"/>
  <c r="E62" i="78" s="1"/>
  <c r="F9" i="13"/>
  <c r="F62" i="78" s="1"/>
  <c r="G9" i="13"/>
  <c r="G62" i="78" s="1"/>
  <c r="C10" i="13"/>
  <c r="I10" i="13" s="1"/>
  <c r="D10" i="13"/>
  <c r="E10" i="13"/>
  <c r="F10" i="13"/>
  <c r="G10" i="13"/>
  <c r="C11" i="13"/>
  <c r="D11" i="13"/>
  <c r="E11" i="13"/>
  <c r="F11" i="13"/>
  <c r="G11" i="13"/>
  <c r="C12" i="13"/>
  <c r="C63" i="78" s="1"/>
  <c r="D12" i="13"/>
  <c r="D22" i="79" s="1"/>
  <c r="E12" i="13"/>
  <c r="F12" i="13"/>
  <c r="G12" i="13"/>
  <c r="C13" i="13"/>
  <c r="I13" i="13" s="1"/>
  <c r="D13" i="13"/>
  <c r="E13" i="13"/>
  <c r="F13" i="13"/>
  <c r="G13" i="13"/>
  <c r="C14" i="13"/>
  <c r="D14" i="13"/>
  <c r="E14" i="13"/>
  <c r="F14" i="13"/>
  <c r="G14" i="13"/>
  <c r="C15" i="13"/>
  <c r="D15" i="13"/>
  <c r="D23" i="79" s="1"/>
  <c r="E15" i="13"/>
  <c r="F15" i="13"/>
  <c r="G15" i="13"/>
  <c r="C16" i="13"/>
  <c r="I16" i="13" s="1"/>
  <c r="D16" i="13"/>
  <c r="C25" i="12" s="1"/>
  <c r="E16" i="13"/>
  <c r="C40" i="12" s="1"/>
  <c r="F16" i="13"/>
  <c r="C55" i="12" s="1"/>
  <c r="G16" i="13"/>
  <c r="C70" i="12" s="1"/>
  <c r="C17" i="13"/>
  <c r="D17" i="13"/>
  <c r="B25" i="12" s="1"/>
  <c r="E17" i="13"/>
  <c r="B40" i="12" s="1"/>
  <c r="F17" i="13"/>
  <c r="B55" i="12" s="1"/>
  <c r="G17" i="13"/>
  <c r="B70" i="12" s="1"/>
  <c r="C18" i="13"/>
  <c r="C65" i="78" s="1"/>
  <c r="D18" i="13"/>
  <c r="E18" i="13"/>
  <c r="E65" i="78" s="1"/>
  <c r="F18" i="13"/>
  <c r="F65" i="78" s="1"/>
  <c r="G18" i="13"/>
  <c r="G65" i="78" s="1"/>
  <c r="C19" i="13"/>
  <c r="I19" i="13" s="1"/>
  <c r="D19" i="13"/>
  <c r="C26" i="12" s="1"/>
  <c r="E19" i="13"/>
  <c r="C41" i="12" s="1"/>
  <c r="F19" i="13"/>
  <c r="C56" i="12" s="1"/>
  <c r="G19" i="13"/>
  <c r="C71" i="12" s="1"/>
  <c r="C20" i="13"/>
  <c r="D20" i="13"/>
  <c r="B26" i="12" s="1"/>
  <c r="E20" i="13"/>
  <c r="B41" i="12" s="1"/>
  <c r="F20" i="13"/>
  <c r="B56" i="12" s="1"/>
  <c r="G20" i="13"/>
  <c r="B71" i="12" s="1"/>
  <c r="C21" i="13"/>
  <c r="D21" i="13"/>
  <c r="E21" i="13"/>
  <c r="E66" i="78" s="1"/>
  <c r="F21" i="13"/>
  <c r="F66" i="78" s="1"/>
  <c r="G21" i="13"/>
  <c r="G66" i="78" s="1"/>
  <c r="C22" i="13"/>
  <c r="I22" i="13" s="1"/>
  <c r="D22" i="13"/>
  <c r="E22" i="13"/>
  <c r="F22" i="13"/>
  <c r="G22" i="13"/>
  <c r="C23" i="13"/>
  <c r="D23" i="13"/>
  <c r="E23" i="13"/>
  <c r="F23" i="13"/>
  <c r="G23" i="13"/>
  <c r="C24" i="13"/>
  <c r="D24" i="13"/>
  <c r="E24" i="13"/>
  <c r="E67" i="78" s="1"/>
  <c r="F24" i="13"/>
  <c r="F67" i="78" s="1"/>
  <c r="G24" i="13"/>
  <c r="G67" i="78" s="1"/>
  <c r="C25" i="13"/>
  <c r="D25" i="13"/>
  <c r="E25" i="13"/>
  <c r="F25" i="13"/>
  <c r="G25" i="13"/>
  <c r="C26" i="13"/>
  <c r="D26" i="13"/>
  <c r="E26" i="13"/>
  <c r="F26" i="13"/>
  <c r="G26" i="13"/>
  <c r="B72" i="16"/>
  <c r="B61" i="16"/>
  <c r="B50" i="16"/>
  <c r="B39" i="16"/>
  <c r="B28" i="16"/>
  <c r="B17" i="16"/>
  <c r="B66" i="16"/>
  <c r="D8" i="72" s="1"/>
  <c r="B67" i="16"/>
  <c r="D9" i="72" s="1"/>
  <c r="B68" i="16"/>
  <c r="D10" i="72" s="1"/>
  <c r="B55" i="16"/>
  <c r="D8" i="63" s="1"/>
  <c r="B56" i="16"/>
  <c r="D9" i="63" s="1"/>
  <c r="B57" i="16"/>
  <c r="D10" i="63" s="1"/>
  <c r="B44" i="16"/>
  <c r="D8" i="54" s="1"/>
  <c r="B45" i="16"/>
  <c r="D9" i="54" s="1"/>
  <c r="B46" i="16"/>
  <c r="D10" i="54" s="1"/>
  <c r="B33" i="16"/>
  <c r="B34" i="16"/>
  <c r="D9" i="45" s="1"/>
  <c r="B35" i="16"/>
  <c r="D10" i="45" s="1"/>
  <c r="B22" i="16"/>
  <c r="B23" i="16"/>
  <c r="B24" i="16"/>
  <c r="B11" i="16"/>
  <c r="B12" i="16"/>
  <c r="B13" i="16"/>
  <c r="G60" i="78" l="1"/>
  <c r="D67" i="78"/>
  <c r="AO10" i="78" s="1"/>
  <c r="D26" i="79"/>
  <c r="D61" i="78"/>
  <c r="D20" i="79"/>
  <c r="D65" i="78"/>
  <c r="AX30" i="78" s="1"/>
  <c r="D24" i="79"/>
  <c r="D66" i="78"/>
  <c r="D25" i="79"/>
  <c r="D62" i="78"/>
  <c r="AX27" i="78" s="1"/>
  <c r="D21" i="79"/>
  <c r="D60" i="78"/>
  <c r="D19" i="79"/>
  <c r="E74" i="77"/>
  <c r="E55" i="78" s="1"/>
  <c r="AP19" i="78" s="1"/>
  <c r="D73" i="77"/>
  <c r="D54" i="78" s="1"/>
  <c r="AO18" i="78" s="1"/>
  <c r="L23" i="79"/>
  <c r="D74" i="77"/>
  <c r="D55" i="78" s="1"/>
  <c r="AO19" i="78" s="1"/>
  <c r="L24" i="79"/>
  <c r="G73" i="77"/>
  <c r="G54" i="78" s="1"/>
  <c r="AR18" i="78" s="1"/>
  <c r="G74" i="77"/>
  <c r="F73" i="77"/>
  <c r="F74" i="77"/>
  <c r="F55" i="78" s="1"/>
  <c r="E73" i="77"/>
  <c r="E54" i="78" s="1"/>
  <c r="AP18" i="78" s="1"/>
  <c r="G55" i="78"/>
  <c r="AR19" i="78" s="1"/>
  <c r="F54" i="78"/>
  <c r="AQ18" i="78" s="1"/>
  <c r="I7" i="13"/>
  <c r="C61" i="78"/>
  <c r="AR10" i="78"/>
  <c r="I24" i="13"/>
  <c r="C67" i="78"/>
  <c r="AQ9" i="78"/>
  <c r="AZ31" i="78"/>
  <c r="AP8" i="78"/>
  <c r="AY30" i="78"/>
  <c r="D25" i="12"/>
  <c r="D64" i="78"/>
  <c r="D69" i="12"/>
  <c r="G63" i="78"/>
  <c r="AN6" i="78"/>
  <c r="AW28" i="78"/>
  <c r="AQ5" i="78"/>
  <c r="AZ27" i="78"/>
  <c r="AO4" i="78"/>
  <c r="AQ3" i="78"/>
  <c r="AQ10" i="78"/>
  <c r="AP9" i="78"/>
  <c r="AY31" i="78"/>
  <c r="I15" i="13"/>
  <c r="C64" i="78"/>
  <c r="AR4" i="78"/>
  <c r="AP3" i="78"/>
  <c r="AP10" i="78"/>
  <c r="AO9" i="78"/>
  <c r="AX31" i="78"/>
  <c r="AR8" i="78"/>
  <c r="AR42" i="78" s="1"/>
  <c r="BA30" i="78"/>
  <c r="AN8" i="78"/>
  <c r="AW30" i="78"/>
  <c r="D55" i="12"/>
  <c r="F64" i="78"/>
  <c r="D39" i="12"/>
  <c r="E63" i="78"/>
  <c r="AO5" i="78"/>
  <c r="AQ4" i="78"/>
  <c r="AO3" i="78"/>
  <c r="AO8" i="78"/>
  <c r="D70" i="12"/>
  <c r="G64" i="78"/>
  <c r="D54" i="12"/>
  <c r="F63" i="78"/>
  <c r="AP5" i="78"/>
  <c r="AY27" i="78"/>
  <c r="AR9" i="78"/>
  <c r="BA31" i="78"/>
  <c r="I21" i="13"/>
  <c r="C66" i="78"/>
  <c r="AQ8" i="78"/>
  <c r="AZ30" i="78"/>
  <c r="D40" i="12"/>
  <c r="E64" i="78"/>
  <c r="D24" i="12"/>
  <c r="D63" i="78"/>
  <c r="AR5" i="78"/>
  <c r="BA27" i="78"/>
  <c r="I9" i="13"/>
  <c r="C62" i="78"/>
  <c r="AP4" i="78"/>
  <c r="AR3" i="78"/>
  <c r="I5" i="13"/>
  <c r="C60" i="78"/>
  <c r="F11" i="63"/>
  <c r="E56" i="12"/>
  <c r="F11" i="54"/>
  <c r="E41" i="12"/>
  <c r="F11" i="45"/>
  <c r="E26" i="12"/>
  <c r="E29" i="13"/>
  <c r="F11" i="72"/>
  <c r="E71" i="12"/>
  <c r="I26" i="13"/>
  <c r="I14" i="13"/>
  <c r="I6" i="13"/>
  <c r="I23" i="13"/>
  <c r="I11" i="13"/>
  <c r="I17" i="13"/>
  <c r="I20" i="13"/>
  <c r="I12" i="13"/>
  <c r="I8" i="13"/>
  <c r="F11" i="27"/>
  <c r="G11" i="27" s="1"/>
  <c r="I18" i="13"/>
  <c r="B66" i="12"/>
  <c r="D66" i="12"/>
  <c r="B67" i="12"/>
  <c r="D67" i="12"/>
  <c r="B68" i="12"/>
  <c r="C64" i="4" s="1"/>
  <c r="C68" i="12"/>
  <c r="D68" i="12"/>
  <c r="B69" i="12"/>
  <c r="C65" i="4" s="1"/>
  <c r="C69" i="12"/>
  <c r="C66" i="4"/>
  <c r="D70" i="5"/>
  <c r="C67" i="4"/>
  <c r="D71" i="5"/>
  <c r="B72" i="12"/>
  <c r="C68" i="4" s="1"/>
  <c r="C72" i="12"/>
  <c r="E72" i="12"/>
  <c r="B73" i="12"/>
  <c r="D73" i="5"/>
  <c r="E73" i="12"/>
  <c r="C70" i="4"/>
  <c r="B51" i="12"/>
  <c r="D51" i="12"/>
  <c r="B52" i="12"/>
  <c r="D52" i="12"/>
  <c r="B53" i="12"/>
  <c r="C50" i="4" s="1"/>
  <c r="C53" i="12"/>
  <c r="D53" i="12"/>
  <c r="B54" i="12"/>
  <c r="C51" i="4" s="1"/>
  <c r="C54" i="12"/>
  <c r="C52" i="4"/>
  <c r="D55" i="5"/>
  <c r="C53" i="4"/>
  <c r="D53" i="4"/>
  <c r="D60" i="28" s="1"/>
  <c r="G60" i="28" s="1"/>
  <c r="B57" i="12"/>
  <c r="C54" i="4" s="1"/>
  <c r="C57" i="12"/>
  <c r="E57" i="12"/>
  <c r="B58" i="12"/>
  <c r="D55" i="4"/>
  <c r="E58" i="12"/>
  <c r="D59" i="5"/>
  <c r="B36" i="12"/>
  <c r="D36" i="12"/>
  <c r="B37" i="12"/>
  <c r="D37" i="12"/>
  <c r="B38" i="12"/>
  <c r="C36" i="4" s="1"/>
  <c r="C38" i="12"/>
  <c r="D38" i="12"/>
  <c r="B39" i="12"/>
  <c r="C37" i="4" s="1"/>
  <c r="C39" i="12"/>
  <c r="C38" i="4"/>
  <c r="D40" i="5"/>
  <c r="D39" i="4"/>
  <c r="D44" i="28" s="1"/>
  <c r="B42" i="12"/>
  <c r="C40" i="4" s="1"/>
  <c r="C42" i="12"/>
  <c r="E42" i="12"/>
  <c r="B43" i="12"/>
  <c r="D41" i="4"/>
  <c r="E43" i="12"/>
  <c r="C42" i="4"/>
  <c r="B21" i="12"/>
  <c r="L19" i="79" s="1"/>
  <c r="D21" i="12"/>
  <c r="B22" i="12"/>
  <c r="D22" i="12"/>
  <c r="B23" i="12"/>
  <c r="C22" i="4" s="1"/>
  <c r="C23" i="12"/>
  <c r="L21" i="79" s="1"/>
  <c r="D23" i="12"/>
  <c r="B24" i="12"/>
  <c r="C23" i="4" s="1"/>
  <c r="C24" i="12"/>
  <c r="L22" i="79" s="1"/>
  <c r="C24" i="4"/>
  <c r="D25" i="5"/>
  <c r="C25" i="4"/>
  <c r="D25" i="4"/>
  <c r="D28" i="28" s="1"/>
  <c r="G28" i="28" s="1"/>
  <c r="B27" i="12"/>
  <c r="C26" i="4" s="1"/>
  <c r="C27" i="12"/>
  <c r="E27" i="12"/>
  <c r="B28" i="12"/>
  <c r="L26" i="79" s="1"/>
  <c r="D27" i="4"/>
  <c r="E28" i="12"/>
  <c r="A81" i="14"/>
  <c r="D99" i="14"/>
  <c r="A61" i="14"/>
  <c r="D79" i="14"/>
  <c r="A41" i="14"/>
  <c r="D59" i="14"/>
  <c r="A21" i="14"/>
  <c r="D39" i="14"/>
  <c r="O67" i="28"/>
  <c r="E71" i="28"/>
  <c r="E72" i="28"/>
  <c r="E73" i="28"/>
  <c r="E74" i="28"/>
  <c r="E75" i="28"/>
  <c r="E76" i="28"/>
  <c r="E77" i="28"/>
  <c r="E78" i="28"/>
  <c r="B80" i="28"/>
  <c r="C80" i="28"/>
  <c r="O51" i="28"/>
  <c r="E55" i="28"/>
  <c r="E56" i="28"/>
  <c r="E57" i="28"/>
  <c r="E58" i="28"/>
  <c r="E59" i="28"/>
  <c r="E60" i="28"/>
  <c r="E61" i="28"/>
  <c r="E62" i="28"/>
  <c r="B64" i="28"/>
  <c r="C64" i="28"/>
  <c r="O35" i="28"/>
  <c r="E39" i="28"/>
  <c r="E40" i="28"/>
  <c r="E41" i="28"/>
  <c r="E42" i="28"/>
  <c r="E43" i="28"/>
  <c r="E44" i="28"/>
  <c r="E45" i="28"/>
  <c r="E46" i="28"/>
  <c r="B48" i="28"/>
  <c r="C48" i="28"/>
  <c r="O19" i="28"/>
  <c r="E23" i="28"/>
  <c r="E24" i="28"/>
  <c r="E25" i="28"/>
  <c r="E26" i="28"/>
  <c r="E27" i="28"/>
  <c r="E28" i="28"/>
  <c r="E29" i="28"/>
  <c r="E30" i="28"/>
  <c r="B32" i="28"/>
  <c r="C32" i="28"/>
  <c r="D74" i="5"/>
  <c r="F75" i="5"/>
  <c r="F60" i="5"/>
  <c r="F45" i="5"/>
  <c r="F30" i="5"/>
  <c r="A81" i="15"/>
  <c r="A61" i="15"/>
  <c r="A41" i="15"/>
  <c r="A21" i="15"/>
  <c r="F13" i="72"/>
  <c r="B13" i="72"/>
  <c r="F12" i="72"/>
  <c r="C12" i="72"/>
  <c r="B12" i="72"/>
  <c r="C11" i="72"/>
  <c r="B11" i="72"/>
  <c r="E10" i="72"/>
  <c r="C10" i="72"/>
  <c r="B10" i="72"/>
  <c r="E9" i="72"/>
  <c r="C9" i="72"/>
  <c r="B9" i="72"/>
  <c r="E8" i="72"/>
  <c r="C8" i="72"/>
  <c r="B8" i="72"/>
  <c r="E7" i="72"/>
  <c r="B7" i="72"/>
  <c r="E6" i="72"/>
  <c r="B6" i="72"/>
  <c r="A1" i="72"/>
  <c r="F13" i="63"/>
  <c r="B13" i="63"/>
  <c r="F12" i="63"/>
  <c r="C12" i="63"/>
  <c r="B12" i="63"/>
  <c r="C11" i="63"/>
  <c r="B11" i="63"/>
  <c r="E10" i="63"/>
  <c r="C10" i="63"/>
  <c r="B10" i="63"/>
  <c r="E9" i="63"/>
  <c r="C9" i="63"/>
  <c r="B9" i="63"/>
  <c r="E8" i="63"/>
  <c r="C8" i="63"/>
  <c r="B8" i="63"/>
  <c r="E7" i="63"/>
  <c r="B7" i="63"/>
  <c r="E6" i="63"/>
  <c r="B6" i="63"/>
  <c r="A1" i="63"/>
  <c r="AQ19" i="78" l="1"/>
  <c r="AQ42" i="78" s="1"/>
  <c r="F42" i="78"/>
  <c r="AO42" i="78"/>
  <c r="L25" i="79"/>
  <c r="L20" i="79"/>
  <c r="D42" i="78"/>
  <c r="AP42" i="78"/>
  <c r="E42" i="78"/>
  <c r="E21" i="77" s="1"/>
  <c r="G42" i="78"/>
  <c r="BA42" i="78" s="1"/>
  <c r="G70" i="77"/>
  <c r="G71" i="77"/>
  <c r="G52" i="78" s="1"/>
  <c r="AR16" i="78" s="1"/>
  <c r="AR39" i="78" s="1"/>
  <c r="G51" i="78"/>
  <c r="G38" i="78" s="1"/>
  <c r="G17" i="77" s="1"/>
  <c r="D65" i="4"/>
  <c r="D74" i="28" s="1"/>
  <c r="G74" i="28" s="1"/>
  <c r="F72" i="77"/>
  <c r="C48" i="4"/>
  <c r="D55" i="28" s="1"/>
  <c r="G55" i="28" s="1"/>
  <c r="F69" i="77"/>
  <c r="C69" i="4"/>
  <c r="D78" i="28" s="1"/>
  <c r="G76" i="77"/>
  <c r="D69" i="5"/>
  <c r="G72" i="77"/>
  <c r="D66" i="5"/>
  <c r="G69" i="77"/>
  <c r="AO6" i="78"/>
  <c r="AX28" i="78"/>
  <c r="AQ7" i="78"/>
  <c r="AQ41" i="78" s="1"/>
  <c r="AZ29" i="78"/>
  <c r="F41" i="78"/>
  <c r="D26" i="4"/>
  <c r="D75" i="77"/>
  <c r="D64" i="4"/>
  <c r="D73" i="28" s="1"/>
  <c r="G73" i="28" s="1"/>
  <c r="F71" i="77"/>
  <c r="D21" i="77"/>
  <c r="AX42" i="78"/>
  <c r="AN7" i="78"/>
  <c r="AW29" i="78"/>
  <c r="AO7" i="78"/>
  <c r="AO41" i="78" s="1"/>
  <c r="AX29" i="78"/>
  <c r="D41" i="78"/>
  <c r="D36" i="5"/>
  <c r="E69" i="77"/>
  <c r="C27" i="4"/>
  <c r="D30" i="28" s="1"/>
  <c r="G30" i="28" s="1"/>
  <c r="D76" i="77"/>
  <c r="D23" i="4"/>
  <c r="D26" i="28" s="1"/>
  <c r="F26" i="28" s="1"/>
  <c r="D72" i="77"/>
  <c r="D21" i="5"/>
  <c r="D69" i="77"/>
  <c r="C41" i="4"/>
  <c r="D46" i="28" s="1"/>
  <c r="G46" i="28" s="1"/>
  <c r="E76" i="77"/>
  <c r="AN3" i="78"/>
  <c r="F21" i="77"/>
  <c r="AN9" i="78"/>
  <c r="AW31" i="78"/>
  <c r="AR7" i="78"/>
  <c r="AR41" i="78" s="1"/>
  <c r="BA29" i="78"/>
  <c r="G41" i="78"/>
  <c r="AR6" i="78"/>
  <c r="BA28" i="78"/>
  <c r="AN10" i="78"/>
  <c r="AN4" i="78"/>
  <c r="D22" i="5"/>
  <c r="D70" i="77"/>
  <c r="D40" i="4"/>
  <c r="D45" i="28" s="1"/>
  <c r="G45" i="28" s="1"/>
  <c r="E75" i="77"/>
  <c r="D38" i="5"/>
  <c r="E71" i="77"/>
  <c r="AN5" i="78"/>
  <c r="AW27" i="78"/>
  <c r="AQ6" i="78"/>
  <c r="AZ28" i="78"/>
  <c r="D23" i="5"/>
  <c r="D71" i="77"/>
  <c r="D39" i="5"/>
  <c r="E72" i="77"/>
  <c r="C55" i="4"/>
  <c r="D62" i="28" s="1"/>
  <c r="G62" i="28" s="1"/>
  <c r="F76" i="77"/>
  <c r="C35" i="4"/>
  <c r="D40" i="28" s="1"/>
  <c r="G40" i="28" s="1"/>
  <c r="E70" i="77"/>
  <c r="D68" i="4"/>
  <c r="D77" i="28" s="1"/>
  <c r="F77" i="28" s="1"/>
  <c r="F75" i="77"/>
  <c r="D52" i="5"/>
  <c r="F70" i="77"/>
  <c r="D72" i="5"/>
  <c r="G75" i="77"/>
  <c r="AP7" i="78"/>
  <c r="AP41" i="78" s="1"/>
  <c r="AY29" i="78"/>
  <c r="E41" i="78"/>
  <c r="E20" i="77" s="1"/>
  <c r="AP6" i="78"/>
  <c r="AY28" i="78"/>
  <c r="G21" i="77"/>
  <c r="F30" i="28"/>
  <c r="D37" i="5"/>
  <c r="D15" i="63"/>
  <c r="D42" i="5"/>
  <c r="D54" i="5"/>
  <c r="D26" i="5"/>
  <c r="D50" i="4"/>
  <c r="D57" i="28" s="1"/>
  <c r="F57" i="28" s="1"/>
  <c r="D58" i="5"/>
  <c r="C34" i="4"/>
  <c r="D39" i="28" s="1"/>
  <c r="G39" i="28" s="1"/>
  <c r="D36" i="4"/>
  <c r="D41" i="28" s="1"/>
  <c r="F41" i="28" s="1"/>
  <c r="D54" i="4"/>
  <c r="D61" i="28" s="1"/>
  <c r="F61" i="28" s="1"/>
  <c r="C20" i="4"/>
  <c r="D23" i="28" s="1"/>
  <c r="G23" i="28" s="1"/>
  <c r="E30" i="12"/>
  <c r="D41" i="5"/>
  <c r="B75" i="12"/>
  <c r="D53" i="5"/>
  <c r="D69" i="4"/>
  <c r="C75" i="12"/>
  <c r="D56" i="5"/>
  <c r="D37" i="4"/>
  <c r="D42" i="28" s="1"/>
  <c r="F42" i="28" s="1"/>
  <c r="C49" i="4"/>
  <c r="D56" i="28" s="1"/>
  <c r="G56" i="28" s="1"/>
  <c r="D67" i="4"/>
  <c r="D76" i="28" s="1"/>
  <c r="G76" i="28" s="1"/>
  <c r="C63" i="4"/>
  <c r="D72" i="28" s="1"/>
  <c r="G72" i="28" s="1"/>
  <c r="C60" i="12"/>
  <c r="D57" i="5"/>
  <c r="C56" i="4"/>
  <c r="D51" i="5"/>
  <c r="D67" i="5"/>
  <c r="D68" i="5"/>
  <c r="B60" i="12"/>
  <c r="D51" i="4"/>
  <c r="D58" i="28" s="1"/>
  <c r="B45" i="12"/>
  <c r="D27" i="5"/>
  <c r="D22" i="4"/>
  <c r="D25" i="28" s="1"/>
  <c r="G25" i="28" s="1"/>
  <c r="D28" i="5"/>
  <c r="D24" i="5"/>
  <c r="D44" i="5"/>
  <c r="D52" i="4"/>
  <c r="D59" i="28" s="1"/>
  <c r="G59" i="28" s="1"/>
  <c r="D66" i="4"/>
  <c r="C62" i="4"/>
  <c r="D71" i="28" s="1"/>
  <c r="D75" i="12"/>
  <c r="C45" i="12"/>
  <c r="E75" i="12"/>
  <c r="D38" i="4"/>
  <c r="D43" i="28" s="1"/>
  <c r="F43" i="28" s="1"/>
  <c r="C39" i="4"/>
  <c r="D60" i="12"/>
  <c r="C30" i="12"/>
  <c r="E60" i="12"/>
  <c r="F44" i="28"/>
  <c r="G44" i="28"/>
  <c r="D43" i="5"/>
  <c r="D45" i="12"/>
  <c r="D24" i="4"/>
  <c r="D27" i="28" s="1"/>
  <c r="G27" i="28" s="1"/>
  <c r="E45" i="12"/>
  <c r="D29" i="5"/>
  <c r="C28" i="4"/>
  <c r="C21" i="4"/>
  <c r="D24" i="28" s="1"/>
  <c r="F24" i="28" s="1"/>
  <c r="B30" i="12"/>
  <c r="D29" i="28"/>
  <c r="G29" i="28" s="1"/>
  <c r="D30" i="12"/>
  <c r="F60" i="28"/>
  <c r="H60" i="28" s="1"/>
  <c r="F28" i="28"/>
  <c r="H28" i="28" s="1"/>
  <c r="I28" i="28" s="1"/>
  <c r="F15" i="72"/>
  <c r="B15" i="72"/>
  <c r="B15" i="63"/>
  <c r="D15" i="72"/>
  <c r="E15" i="72"/>
  <c r="C15" i="72"/>
  <c r="E15" i="63"/>
  <c r="F15" i="63"/>
  <c r="C15" i="63"/>
  <c r="F13" i="54"/>
  <c r="B13" i="54"/>
  <c r="F12" i="54"/>
  <c r="C12" i="54"/>
  <c r="B12" i="54"/>
  <c r="C11" i="54"/>
  <c r="B11" i="54"/>
  <c r="E10" i="54"/>
  <c r="C10" i="54"/>
  <c r="B10" i="54"/>
  <c r="E9" i="54"/>
  <c r="C9" i="54"/>
  <c r="B9" i="54"/>
  <c r="E8" i="54"/>
  <c r="C8" i="54"/>
  <c r="B8" i="54"/>
  <c r="E7" i="54"/>
  <c r="B7" i="54"/>
  <c r="E6" i="54"/>
  <c r="B6" i="54"/>
  <c r="F13" i="45"/>
  <c r="B13" i="45"/>
  <c r="F12" i="45"/>
  <c r="C12" i="45"/>
  <c r="B12" i="45"/>
  <c r="C11" i="45"/>
  <c r="B11" i="45"/>
  <c r="E10" i="45"/>
  <c r="C10" i="45"/>
  <c r="B10" i="45"/>
  <c r="E9" i="45"/>
  <c r="C9" i="45"/>
  <c r="B9" i="45"/>
  <c r="E8" i="45"/>
  <c r="C8" i="45"/>
  <c r="B8" i="45"/>
  <c r="E7" i="45"/>
  <c r="B7" i="45"/>
  <c r="E6" i="45"/>
  <c r="B6" i="45"/>
  <c r="A1" i="54"/>
  <c r="D8" i="45"/>
  <c r="A1" i="45"/>
  <c r="C11" i="27"/>
  <c r="H11" i="27" s="1"/>
  <c r="B11" i="27"/>
  <c r="B10" i="27"/>
  <c r="E12" i="28"/>
  <c r="G11" i="12"/>
  <c r="E11" i="12"/>
  <c r="C11" i="12"/>
  <c r="C50" i="79" s="1"/>
  <c r="B11" i="12"/>
  <c r="C11" i="4" s="1"/>
  <c r="A11" i="10"/>
  <c r="A10" i="7" s="1"/>
  <c r="D29" i="13"/>
  <c r="F29" i="13"/>
  <c r="G29" i="13"/>
  <c r="D30" i="13"/>
  <c r="E30" i="13"/>
  <c r="F30" i="13"/>
  <c r="G30" i="13"/>
  <c r="D31" i="13"/>
  <c r="E31" i="13"/>
  <c r="F31" i="13"/>
  <c r="G31" i="13"/>
  <c r="C31" i="13"/>
  <c r="C30" i="13"/>
  <c r="I30" i="13" s="1"/>
  <c r="C29" i="13"/>
  <c r="AZ42" i="78" l="1"/>
  <c r="AY42" i="78"/>
  <c r="AR26" i="78"/>
  <c r="BA26" i="78" s="1"/>
  <c r="AR15" i="78"/>
  <c r="F45" i="28"/>
  <c r="H45" i="28" s="1"/>
  <c r="G77" i="28"/>
  <c r="H77" i="28" s="1"/>
  <c r="F52" i="78"/>
  <c r="AQ16" i="78" s="1"/>
  <c r="AQ39" i="78" s="1"/>
  <c r="G56" i="78"/>
  <c r="G43" i="78" s="1"/>
  <c r="F56" i="78"/>
  <c r="F43" i="78" s="1"/>
  <c r="F57" i="78"/>
  <c r="AQ32" i="78" s="1"/>
  <c r="D52" i="78"/>
  <c r="E56" i="78"/>
  <c r="E43" i="78" s="1"/>
  <c r="G39" i="78"/>
  <c r="BA39" i="78" s="1"/>
  <c r="D50" i="78"/>
  <c r="D37" i="78" s="1"/>
  <c r="D57" i="78"/>
  <c r="AO32" i="78" s="1"/>
  <c r="G50" i="78"/>
  <c r="AR25" i="78" s="1"/>
  <c r="G57" i="78"/>
  <c r="AR21" i="78" s="1"/>
  <c r="F53" i="78"/>
  <c r="AQ17" i="78" s="1"/>
  <c r="AQ40" i="78" s="1"/>
  <c r="D56" i="78"/>
  <c r="AO20" i="78" s="1"/>
  <c r="AO43" i="78" s="1"/>
  <c r="F51" i="78"/>
  <c r="F38" i="78" s="1"/>
  <c r="E51" i="78"/>
  <c r="AP26" i="78" s="1"/>
  <c r="E53" i="78"/>
  <c r="AP17" i="78" s="1"/>
  <c r="AP40" i="78" s="1"/>
  <c r="E52" i="78"/>
  <c r="AP16" i="78" s="1"/>
  <c r="AP39" i="78" s="1"/>
  <c r="D51" i="78"/>
  <c r="AO26" i="78" s="1"/>
  <c r="E57" i="78"/>
  <c r="E44" i="78" s="1"/>
  <c r="E23" i="77" s="1"/>
  <c r="D53" i="78"/>
  <c r="AO17" i="78" s="1"/>
  <c r="AO40" i="78" s="1"/>
  <c r="E50" i="78"/>
  <c r="AP14" i="78" s="1"/>
  <c r="G53" i="78"/>
  <c r="F50" i="78"/>
  <c r="F37" i="78" s="1"/>
  <c r="G26" i="28"/>
  <c r="H26" i="28" s="1"/>
  <c r="I26" i="28" s="1"/>
  <c r="F55" i="28"/>
  <c r="H55" i="28" s="1"/>
  <c r="F46" i="28"/>
  <c r="H46" i="28" s="1"/>
  <c r="I46" i="28" s="1"/>
  <c r="F74" i="28"/>
  <c r="H74" i="28" s="1"/>
  <c r="J74" i="28" s="1"/>
  <c r="L74" i="28" s="1"/>
  <c r="I29" i="24" s="1"/>
  <c r="F40" i="28"/>
  <c r="H40" i="28" s="1"/>
  <c r="I40" i="28" s="1"/>
  <c r="AY41" i="78"/>
  <c r="F73" i="28"/>
  <c r="H73" i="28" s="1"/>
  <c r="F20" i="77"/>
  <c r="AZ41" i="78"/>
  <c r="AQ14" i="78"/>
  <c r="G20" i="77"/>
  <c r="BA41" i="78"/>
  <c r="D43" i="78"/>
  <c r="AO16" i="78"/>
  <c r="AO39" i="78" s="1"/>
  <c r="D39" i="78"/>
  <c r="D38" i="78"/>
  <c r="D17" i="77" s="1"/>
  <c r="E37" i="78"/>
  <c r="D11" i="5"/>
  <c r="C74" i="77"/>
  <c r="AR38" i="78"/>
  <c r="BA38" i="78" s="1"/>
  <c r="AP15" i="78"/>
  <c r="AP20" i="78"/>
  <c r="AP43" i="78" s="1"/>
  <c r="D44" i="78"/>
  <c r="D23" i="77" s="1"/>
  <c r="D20" i="77"/>
  <c r="AX41" i="78"/>
  <c r="D46" i="12"/>
  <c r="I29" i="13"/>
  <c r="I31" i="13"/>
  <c r="C51" i="13"/>
  <c r="C52" i="13" s="1"/>
  <c r="G51" i="13"/>
  <c r="G52" i="13" s="1"/>
  <c r="I51" i="13"/>
  <c r="I52" i="13" s="1"/>
  <c r="J51" i="13"/>
  <c r="J52" i="13" s="1"/>
  <c r="D51" i="13"/>
  <c r="D52" i="13" s="1"/>
  <c r="F51" i="13"/>
  <c r="F52" i="13" s="1"/>
  <c r="H51" i="13"/>
  <c r="H52" i="13" s="1"/>
  <c r="E51" i="13"/>
  <c r="E52" i="13" s="1"/>
  <c r="H30" i="28"/>
  <c r="I30" i="28" s="1"/>
  <c r="A135" i="2"/>
  <c r="A150" i="2" s="1"/>
  <c r="A73" i="2"/>
  <c r="A88" i="2" s="1"/>
  <c r="A42" i="2"/>
  <c r="A57" i="2" s="1"/>
  <c r="A104" i="2"/>
  <c r="A119" i="2" s="1"/>
  <c r="F23" i="28"/>
  <c r="H23" i="28" s="1"/>
  <c r="J23" i="28" s="1"/>
  <c r="L23" i="28" s="1"/>
  <c r="G57" i="28"/>
  <c r="H57" i="28" s="1"/>
  <c r="J57" i="28" s="1"/>
  <c r="L57" i="28" s="1"/>
  <c r="F56" i="28"/>
  <c r="H56" i="28" s="1"/>
  <c r="J56" i="28" s="1"/>
  <c r="L56" i="28" s="1"/>
  <c r="H17" i="24" s="1"/>
  <c r="G41" i="28"/>
  <c r="H41" i="28" s="1"/>
  <c r="I41" i="28" s="1"/>
  <c r="F39" i="28"/>
  <c r="H39" i="28" s="1"/>
  <c r="I39" i="28" s="1"/>
  <c r="C43" i="4"/>
  <c r="D15" i="45"/>
  <c r="G61" i="28"/>
  <c r="H61" i="28" s="1"/>
  <c r="I61" i="28" s="1"/>
  <c r="A41" i="12"/>
  <c r="A56" i="12"/>
  <c r="A71" i="12"/>
  <c r="A26" i="12"/>
  <c r="A65" i="7"/>
  <c r="A47" i="7"/>
  <c r="A83" i="7"/>
  <c r="A28" i="7"/>
  <c r="G42" i="28"/>
  <c r="H42" i="28" s="1"/>
  <c r="I42" i="28" s="1"/>
  <c r="D75" i="5"/>
  <c r="E67" i="5" s="1"/>
  <c r="D60" i="5"/>
  <c r="F25" i="28"/>
  <c r="H25" i="28" s="1"/>
  <c r="I25" i="28" s="1"/>
  <c r="H44" i="28"/>
  <c r="I44" i="28" s="1"/>
  <c r="D45" i="5"/>
  <c r="E43" i="5" s="1"/>
  <c r="D71" i="4"/>
  <c r="F72" i="28"/>
  <c r="H72" i="28" s="1"/>
  <c r="I72" i="28" s="1"/>
  <c r="F76" i="28"/>
  <c r="H76" i="28" s="1"/>
  <c r="J76" i="28" s="1"/>
  <c r="L76" i="28" s="1"/>
  <c r="I41" i="24" s="1"/>
  <c r="C57" i="4"/>
  <c r="F62" i="28"/>
  <c r="H62" i="28" s="1"/>
  <c r="I62" i="28" s="1"/>
  <c r="G43" i="28"/>
  <c r="H43" i="28" s="1"/>
  <c r="J43" i="28" s="1"/>
  <c r="L43" i="28" s="1"/>
  <c r="D75" i="28"/>
  <c r="G71" i="28"/>
  <c r="F71" i="28"/>
  <c r="F27" i="28"/>
  <c r="H27" i="28" s="1"/>
  <c r="I27" i="28" s="1"/>
  <c r="F59" i="28"/>
  <c r="H59" i="28" s="1"/>
  <c r="J59" i="28" s="1"/>
  <c r="L59" i="28" s="1"/>
  <c r="H35" i="24" s="1"/>
  <c r="D30" i="5"/>
  <c r="E29" i="5" s="1"/>
  <c r="D57" i="4"/>
  <c r="C71" i="4"/>
  <c r="D43" i="4"/>
  <c r="F58" i="28"/>
  <c r="G58" i="28"/>
  <c r="G24" i="28"/>
  <c r="H24" i="28" s="1"/>
  <c r="I24" i="28" s="1"/>
  <c r="F78" i="28"/>
  <c r="G78" i="28"/>
  <c r="D29" i="4"/>
  <c r="I11" i="12"/>
  <c r="C29" i="4"/>
  <c r="F29" i="28"/>
  <c r="H29" i="28" s="1"/>
  <c r="I29" i="28" s="1"/>
  <c r="D11" i="4"/>
  <c r="D12" i="28" s="1"/>
  <c r="F12" i="28" s="1"/>
  <c r="A11" i="12"/>
  <c r="A11" i="2"/>
  <c r="A26" i="2" s="1"/>
  <c r="A26" i="5" s="1"/>
  <c r="J28" i="28"/>
  <c r="L28" i="28" s="1"/>
  <c r="J60" i="28"/>
  <c r="L60" i="28" s="1"/>
  <c r="H41" i="24" s="1"/>
  <c r="I60" i="28"/>
  <c r="H11" i="12"/>
  <c r="I11" i="27"/>
  <c r="E15" i="54"/>
  <c r="D15" i="54"/>
  <c r="B15" i="54"/>
  <c r="E15" i="45"/>
  <c r="F15" i="54"/>
  <c r="C15" i="54"/>
  <c r="B15" i="45"/>
  <c r="F15" i="45"/>
  <c r="C15" i="45"/>
  <c r="C67" i="16"/>
  <c r="C68" i="16"/>
  <c r="C69" i="16"/>
  <c r="C66" i="16"/>
  <c r="K68" i="12" s="1"/>
  <c r="C56" i="16"/>
  <c r="C57" i="16"/>
  <c r="C58" i="16"/>
  <c r="H104" i="2" s="1"/>
  <c r="C55" i="16"/>
  <c r="C45" i="16"/>
  <c r="C46" i="16"/>
  <c r="C47" i="16"/>
  <c r="H73" i="2" s="1"/>
  <c r="C44" i="16"/>
  <c r="H70" i="2" s="1"/>
  <c r="B37" i="16"/>
  <c r="A13" i="16"/>
  <c r="A24" i="16" s="1"/>
  <c r="A35" i="16" s="1"/>
  <c r="A46" i="16" s="1"/>
  <c r="A57" i="16" s="1"/>
  <c r="A68" i="16" s="1"/>
  <c r="A12" i="16"/>
  <c r="A23" i="16" s="1"/>
  <c r="A34" i="16" s="1"/>
  <c r="A45" i="16" s="1"/>
  <c r="A56" i="16" s="1"/>
  <c r="A67" i="16" s="1"/>
  <c r="A11" i="16"/>
  <c r="A22" i="16" s="1"/>
  <c r="A33" i="16" s="1"/>
  <c r="A44" i="16" s="1"/>
  <c r="A55" i="16" s="1"/>
  <c r="A66" i="16" s="1"/>
  <c r="C34" i="16"/>
  <c r="C35" i="16"/>
  <c r="C36" i="16"/>
  <c r="H42" i="2" s="1"/>
  <c r="C12" i="16"/>
  <c r="C13" i="16"/>
  <c r="C11" i="16"/>
  <c r="B70" i="16"/>
  <c r="B59" i="16"/>
  <c r="E37" i="13"/>
  <c r="D36" i="13"/>
  <c r="E36" i="13"/>
  <c r="F36" i="13"/>
  <c r="G36" i="13"/>
  <c r="AQ26" i="78" l="1"/>
  <c r="F39" i="78"/>
  <c r="AZ39" i="78" s="1"/>
  <c r="G37" i="78"/>
  <c r="G16" i="77" s="1"/>
  <c r="G18" i="77"/>
  <c r="AR32" i="78"/>
  <c r="AQ20" i="78"/>
  <c r="AQ43" i="78" s="1"/>
  <c r="AZ43" i="78" s="1"/>
  <c r="AP21" i="78"/>
  <c r="F44" i="78"/>
  <c r="F23" i="77" s="1"/>
  <c r="F40" i="78"/>
  <c r="F19" i="77" s="1"/>
  <c r="AO25" i="78"/>
  <c r="AX25" i="78" s="1"/>
  <c r="AO14" i="78"/>
  <c r="E40" i="78"/>
  <c r="E19" i="77" s="1"/>
  <c r="D40" i="78"/>
  <c r="D45" i="78" s="1"/>
  <c r="AQ15" i="78"/>
  <c r="AQ38" i="78" s="1"/>
  <c r="AZ38" i="78" s="1"/>
  <c r="AO15" i="78"/>
  <c r="AR20" i="78"/>
  <c r="AR43" i="78" s="1"/>
  <c r="BA43" i="78" s="1"/>
  <c r="AR14" i="78"/>
  <c r="AR37" i="78" s="1"/>
  <c r="AQ21" i="78"/>
  <c r="AQ44" i="78" s="1"/>
  <c r="AO21" i="78"/>
  <c r="AO44" i="78" s="1"/>
  <c r="AX44" i="78" s="1"/>
  <c r="AP25" i="78"/>
  <c r="AP37" i="78" s="1"/>
  <c r="AY37" i="78" s="1"/>
  <c r="AQ25" i="78"/>
  <c r="AQ37" i="78" s="1"/>
  <c r="AZ37" i="78" s="1"/>
  <c r="E38" i="78"/>
  <c r="E17" i="77" s="1"/>
  <c r="C55" i="78"/>
  <c r="AN19" i="78" s="1"/>
  <c r="AN42" i="78" s="1"/>
  <c r="AT42" i="78" s="1"/>
  <c r="G44" i="78"/>
  <c r="G23" i="77" s="1"/>
  <c r="E39" i="78"/>
  <c r="E18" i="77" s="1"/>
  <c r="AR17" i="78"/>
  <c r="AR40" i="78" s="1"/>
  <c r="G40" i="78"/>
  <c r="G19" i="77" s="1"/>
  <c r="AP32" i="78"/>
  <c r="AP44" i="78" s="1"/>
  <c r="AY44" i="78" s="1"/>
  <c r="J26" i="28"/>
  <c r="L26" i="28" s="1"/>
  <c r="I74" i="28"/>
  <c r="J40" i="28"/>
  <c r="L40" i="28" s="1"/>
  <c r="G17" i="24" s="1"/>
  <c r="AZ40" i="78"/>
  <c r="E16" i="77"/>
  <c r="D22" i="77"/>
  <c r="AX43" i="78"/>
  <c r="F22" i="77"/>
  <c r="H133" i="2"/>
  <c r="K69" i="12"/>
  <c r="AO37" i="78"/>
  <c r="AX37" i="78" s="1"/>
  <c r="E22" i="77"/>
  <c r="AY43" i="78"/>
  <c r="F17" i="77"/>
  <c r="AY32" i="78"/>
  <c r="D18" i="77"/>
  <c r="AX39" i="78"/>
  <c r="AZ25" i="78"/>
  <c r="F18" i="77"/>
  <c r="AO38" i="78"/>
  <c r="AX38" i="78" s="1"/>
  <c r="AX26" i="78"/>
  <c r="AR44" i="78"/>
  <c r="BA32" i="78"/>
  <c r="AX40" i="78"/>
  <c r="AZ26" i="78"/>
  <c r="AY39" i="78"/>
  <c r="AZ32" i="78"/>
  <c r="H134" i="2"/>
  <c r="K70" i="12"/>
  <c r="D16" i="77"/>
  <c r="AX32" i="78"/>
  <c r="AY26" i="78"/>
  <c r="AP38" i="78"/>
  <c r="G22" i="77"/>
  <c r="BA25" i="78"/>
  <c r="F16" i="77"/>
  <c r="I20" i="45"/>
  <c r="H41" i="2"/>
  <c r="D50" i="15"/>
  <c r="H72" i="2"/>
  <c r="I18" i="63"/>
  <c r="H101" i="2"/>
  <c r="D88" i="15"/>
  <c r="H132" i="2"/>
  <c r="I19" i="45"/>
  <c r="H40" i="2"/>
  <c r="D49" i="15"/>
  <c r="H71" i="2"/>
  <c r="I19" i="63"/>
  <c r="H102" i="2"/>
  <c r="I20" i="63"/>
  <c r="H103" i="2"/>
  <c r="B52" i="13"/>
  <c r="B51" i="13"/>
  <c r="E28" i="5"/>
  <c r="F28" i="5" s="1"/>
  <c r="E27" i="5"/>
  <c r="F27" i="5" s="1"/>
  <c r="J46" i="28"/>
  <c r="L46" i="28" s="1"/>
  <c r="G54" i="24" s="1"/>
  <c r="E52" i="5"/>
  <c r="F52" i="5" s="1"/>
  <c r="E55" i="5"/>
  <c r="F55" i="5" s="1"/>
  <c r="E59" i="5"/>
  <c r="F59" i="5" s="1"/>
  <c r="B56" i="4" s="1"/>
  <c r="H59" i="24" s="1"/>
  <c r="F29" i="5"/>
  <c r="B28" i="4" s="1"/>
  <c r="E23" i="5"/>
  <c r="F23" i="5" s="1"/>
  <c r="E21" i="5"/>
  <c r="F21" i="5" s="1"/>
  <c r="E25" i="5"/>
  <c r="F25" i="5" s="1"/>
  <c r="E22" i="5"/>
  <c r="F22" i="5" s="1"/>
  <c r="E37" i="5"/>
  <c r="F37" i="5" s="1"/>
  <c r="E41" i="5"/>
  <c r="F41" i="5" s="1"/>
  <c r="E68" i="5"/>
  <c r="F68" i="5" s="1"/>
  <c r="B64" i="4" s="1"/>
  <c r="G64" i="4" s="1"/>
  <c r="K91" i="14" s="1"/>
  <c r="I22" i="24" s="1"/>
  <c r="E51" i="5"/>
  <c r="F51" i="5" s="1"/>
  <c r="E58" i="5"/>
  <c r="F58" i="5" s="1"/>
  <c r="E57" i="5"/>
  <c r="F57" i="5" s="1"/>
  <c r="E53" i="5"/>
  <c r="F53" i="5" s="1"/>
  <c r="E56" i="5"/>
  <c r="F56" i="5" s="1"/>
  <c r="E40" i="5"/>
  <c r="F40" i="5" s="1"/>
  <c r="E36" i="5"/>
  <c r="E38" i="5"/>
  <c r="F38" i="5" s="1"/>
  <c r="B36" i="4" s="1"/>
  <c r="G36" i="4" s="1"/>
  <c r="K51" i="14" s="1"/>
  <c r="E39" i="5"/>
  <c r="F39" i="5" s="1"/>
  <c r="E69" i="5"/>
  <c r="F69" i="5" s="1"/>
  <c r="B65" i="4" s="1"/>
  <c r="G65" i="4" s="1"/>
  <c r="K92" i="14" s="1"/>
  <c r="I28" i="24" s="1"/>
  <c r="E71" i="5"/>
  <c r="F71" i="5" s="1"/>
  <c r="B67" i="4" s="1"/>
  <c r="G67" i="4" s="1"/>
  <c r="K94" i="14" s="1"/>
  <c r="I40" i="24" s="1"/>
  <c r="E73" i="5"/>
  <c r="F73" i="5" s="1"/>
  <c r="B69" i="4" s="1"/>
  <c r="F69" i="4" s="1"/>
  <c r="L96" i="14" s="1"/>
  <c r="I53" i="24" s="1"/>
  <c r="E72" i="5"/>
  <c r="F72" i="5" s="1"/>
  <c r="B68" i="4" s="1"/>
  <c r="G68" i="4" s="1"/>
  <c r="K95" i="14" s="1"/>
  <c r="I47" i="24" s="1"/>
  <c r="E70" i="5"/>
  <c r="F70" i="5" s="1"/>
  <c r="B66" i="4" s="1"/>
  <c r="G66" i="4" s="1"/>
  <c r="K93" i="14" s="1"/>
  <c r="I34" i="24" s="1"/>
  <c r="E74" i="5"/>
  <c r="F74" i="5" s="1"/>
  <c r="B70" i="4" s="1"/>
  <c r="I59" i="24" s="1"/>
  <c r="E66" i="5"/>
  <c r="J30" i="28"/>
  <c r="L30" i="28" s="1"/>
  <c r="F54" i="24" s="1"/>
  <c r="E42" i="5"/>
  <c r="F42" i="5" s="1"/>
  <c r="E24" i="5"/>
  <c r="F24" i="5" s="1"/>
  <c r="E44" i="5"/>
  <c r="F44" i="5" s="1"/>
  <c r="B42" i="4" s="1"/>
  <c r="E26" i="5"/>
  <c r="F26" i="5" s="1"/>
  <c r="E54" i="5"/>
  <c r="F54" i="5" s="1"/>
  <c r="B51" i="4" s="1"/>
  <c r="G51" i="4" s="1"/>
  <c r="K72" i="14" s="1"/>
  <c r="H28" i="24" s="1"/>
  <c r="J41" i="28"/>
  <c r="L41" i="28" s="1"/>
  <c r="G23" i="24" s="1"/>
  <c r="I21" i="45"/>
  <c r="D31" i="15"/>
  <c r="D51" i="15"/>
  <c r="I21" i="54"/>
  <c r="I21" i="63"/>
  <c r="D71" i="15"/>
  <c r="I21" i="72"/>
  <c r="D91" i="15"/>
  <c r="I19" i="72"/>
  <c r="D89" i="15"/>
  <c r="D90" i="15"/>
  <c r="I20" i="72"/>
  <c r="K53" i="12"/>
  <c r="D68" i="15"/>
  <c r="K54" i="12"/>
  <c r="D69" i="15"/>
  <c r="K55" i="12"/>
  <c r="D70" i="15"/>
  <c r="K38" i="12"/>
  <c r="D48" i="15"/>
  <c r="K39" i="12"/>
  <c r="I19" i="54"/>
  <c r="K40" i="12"/>
  <c r="I20" i="54"/>
  <c r="K24" i="12"/>
  <c r="D29" i="15"/>
  <c r="K25" i="12"/>
  <c r="D30" i="15"/>
  <c r="I23" i="28"/>
  <c r="J61" i="28"/>
  <c r="L61" i="28" s="1"/>
  <c r="H48" i="24" s="1"/>
  <c r="I56" i="28"/>
  <c r="J42" i="28"/>
  <c r="L42" i="28" s="1"/>
  <c r="G29" i="24" s="1"/>
  <c r="I43" i="28"/>
  <c r="A71" i="5"/>
  <c r="F67" i="5"/>
  <c r="B63" i="4" s="1"/>
  <c r="F63" i="4" s="1"/>
  <c r="L90" i="14" s="1"/>
  <c r="I16" i="24" s="1"/>
  <c r="F43" i="5"/>
  <c r="J72" i="28"/>
  <c r="L72" i="28" s="1"/>
  <c r="I17" i="24" s="1"/>
  <c r="J62" i="28"/>
  <c r="L62" i="28" s="1"/>
  <c r="J25" i="28"/>
  <c r="L25" i="28" s="1"/>
  <c r="F23" i="24" s="1"/>
  <c r="I76" i="28"/>
  <c r="J44" i="28"/>
  <c r="L44" i="28" s="1"/>
  <c r="I57" i="28"/>
  <c r="J27" i="28"/>
  <c r="L27" i="28" s="1"/>
  <c r="I60" i="24"/>
  <c r="H78" i="28"/>
  <c r="J78" i="28" s="1"/>
  <c r="L78" i="28" s="1"/>
  <c r="I54" i="24" s="1"/>
  <c r="J39" i="28"/>
  <c r="L39" i="28" s="1"/>
  <c r="G11" i="24" s="1"/>
  <c r="I55" i="28"/>
  <c r="J55" i="28"/>
  <c r="L55" i="28" s="1"/>
  <c r="H11" i="24" s="1"/>
  <c r="J29" i="28"/>
  <c r="L29" i="28" s="1"/>
  <c r="H71" i="28"/>
  <c r="J11" i="12"/>
  <c r="J24" i="28"/>
  <c r="L24" i="28" s="1"/>
  <c r="F17" i="24" s="1"/>
  <c r="G75" i="28"/>
  <c r="F75" i="28"/>
  <c r="I59" i="28"/>
  <c r="I77" i="28"/>
  <c r="J77" i="28"/>
  <c r="L77" i="28" s="1"/>
  <c r="I48" i="24" s="1"/>
  <c r="I73" i="28"/>
  <c r="J73" i="28"/>
  <c r="L73" i="28" s="1"/>
  <c r="H60" i="24"/>
  <c r="H58" i="28"/>
  <c r="J45" i="28"/>
  <c r="L45" i="28" s="1"/>
  <c r="I45" i="28"/>
  <c r="G12" i="28"/>
  <c r="H12" i="28" s="1"/>
  <c r="J12" i="28" s="1"/>
  <c r="A56" i="5"/>
  <c r="A11" i="5"/>
  <c r="A53" i="4" s="1"/>
  <c r="A74" i="14" s="1"/>
  <c r="H74" i="14" s="1"/>
  <c r="A41" i="5"/>
  <c r="F41" i="24"/>
  <c r="I18" i="72"/>
  <c r="C59" i="16"/>
  <c r="E10" i="17" s="1"/>
  <c r="E27" i="17" s="1"/>
  <c r="C48" i="16"/>
  <c r="D10" i="17" s="1"/>
  <c r="D27" i="17" s="1"/>
  <c r="I18" i="54"/>
  <c r="G35" i="24"/>
  <c r="C70" i="16"/>
  <c r="F10" i="17" s="1"/>
  <c r="F27" i="17" s="1"/>
  <c r="C33" i="16"/>
  <c r="B48" i="16"/>
  <c r="F37" i="13"/>
  <c r="E35" i="13"/>
  <c r="G37" i="13"/>
  <c r="G35" i="13"/>
  <c r="F35" i="13"/>
  <c r="D37" i="13"/>
  <c r="D35" i="13"/>
  <c r="F13" i="12"/>
  <c r="G12" i="12"/>
  <c r="F12" i="12"/>
  <c r="G10" i="12"/>
  <c r="F10" i="12"/>
  <c r="G9" i="12"/>
  <c r="G8" i="12"/>
  <c r="F8" i="12"/>
  <c r="G7" i="12"/>
  <c r="F7" i="12"/>
  <c r="G6" i="12"/>
  <c r="F6" i="12"/>
  <c r="C42" i="78" l="1"/>
  <c r="C21" i="77" s="1"/>
  <c r="BA40" i="78"/>
  <c r="AY40" i="78"/>
  <c r="AY45" i="78" s="1"/>
  <c r="D19" i="77"/>
  <c r="F45" i="78"/>
  <c r="AZ44" i="78"/>
  <c r="AZ45" i="78" s="1"/>
  <c r="G45" i="78"/>
  <c r="AY25" i="78"/>
  <c r="BA44" i="78"/>
  <c r="AY38" i="78"/>
  <c r="E45" i="78"/>
  <c r="AR45" i="78"/>
  <c r="BA37" i="78"/>
  <c r="AX45" i="78"/>
  <c r="AO45" i="78"/>
  <c r="AP45" i="78"/>
  <c r="AQ45" i="78"/>
  <c r="H77" i="2"/>
  <c r="H139" i="2"/>
  <c r="I18" i="45"/>
  <c r="H39" i="2"/>
  <c r="H108" i="2"/>
  <c r="I78" i="28"/>
  <c r="E75" i="5"/>
  <c r="E60" i="5"/>
  <c r="B26" i="4"/>
  <c r="G26" i="4" s="1"/>
  <c r="K35" i="14" s="1"/>
  <c r="F47" i="24" s="1"/>
  <c r="B38" i="4"/>
  <c r="G38" i="4" s="1"/>
  <c r="K53" i="14" s="1"/>
  <c r="G34" i="24" s="1"/>
  <c r="B40" i="4"/>
  <c r="G40" i="4" s="1"/>
  <c r="K55" i="14" s="1"/>
  <c r="G47" i="24" s="1"/>
  <c r="B53" i="4"/>
  <c r="G53" i="4" s="1"/>
  <c r="K74" i="14" s="1"/>
  <c r="H40" i="24" s="1"/>
  <c r="B55" i="4"/>
  <c r="B23" i="4"/>
  <c r="G23" i="4" s="1"/>
  <c r="K32" i="14" s="1"/>
  <c r="F28" i="24" s="1"/>
  <c r="B35" i="4"/>
  <c r="F35" i="4" s="1"/>
  <c r="L50" i="14" s="1"/>
  <c r="G16" i="24" s="1"/>
  <c r="B37" i="4"/>
  <c r="G37" i="4" s="1"/>
  <c r="K52" i="14" s="1"/>
  <c r="G28" i="24" s="1"/>
  <c r="B39" i="4"/>
  <c r="G39" i="4" s="1"/>
  <c r="K54" i="14" s="1"/>
  <c r="G40" i="24" s="1"/>
  <c r="B22" i="4"/>
  <c r="G22" i="4" s="1"/>
  <c r="K31" i="14" s="1"/>
  <c r="F22" i="24" s="1"/>
  <c r="B21" i="4"/>
  <c r="F21" i="4" s="1"/>
  <c r="L30" i="14" s="1"/>
  <c r="F16" i="24" s="1"/>
  <c r="B24" i="4"/>
  <c r="G24" i="4" s="1"/>
  <c r="K33" i="14" s="1"/>
  <c r="F34" i="24" s="1"/>
  <c r="B27" i="4"/>
  <c r="B41" i="4"/>
  <c r="B48" i="4"/>
  <c r="F48" i="4" s="1"/>
  <c r="L69" i="14" s="1"/>
  <c r="B49" i="4"/>
  <c r="F49" i="4" s="1"/>
  <c r="L70" i="14" s="1"/>
  <c r="H16" i="24" s="1"/>
  <c r="B25" i="4"/>
  <c r="G25" i="4" s="1"/>
  <c r="K34" i="14" s="1"/>
  <c r="F40" i="24" s="1"/>
  <c r="B20" i="4"/>
  <c r="F20" i="4" s="1"/>
  <c r="L29" i="14" s="1"/>
  <c r="B50" i="4"/>
  <c r="G50" i="4" s="1"/>
  <c r="K71" i="14" s="1"/>
  <c r="H22" i="24" s="1"/>
  <c r="B54" i="4"/>
  <c r="G54" i="4" s="1"/>
  <c r="K75" i="14" s="1"/>
  <c r="H47" i="24" s="1"/>
  <c r="B52" i="4"/>
  <c r="G52" i="4" s="1"/>
  <c r="K73" i="14" s="1"/>
  <c r="H34" i="24" s="1"/>
  <c r="D95" i="15"/>
  <c r="K45" i="12"/>
  <c r="K60" i="12"/>
  <c r="D75" i="15"/>
  <c r="K75" i="12"/>
  <c r="D55" i="15"/>
  <c r="K23" i="12"/>
  <c r="K30" i="12" s="1"/>
  <c r="D28" i="15"/>
  <c r="D35" i="15" s="1"/>
  <c r="F66" i="5"/>
  <c r="B62" i="4" s="1"/>
  <c r="F62" i="4" s="1"/>
  <c r="L89" i="14" s="1"/>
  <c r="I10" i="24" s="1"/>
  <c r="A25" i="4"/>
  <c r="A34" i="14" s="1"/>
  <c r="H34" i="14" s="1"/>
  <c r="E30" i="5"/>
  <c r="E45" i="5"/>
  <c r="F36" i="5"/>
  <c r="H75" i="28"/>
  <c r="J75" i="28" s="1"/>
  <c r="L75" i="28" s="1"/>
  <c r="I35" i="24" s="1"/>
  <c r="I71" i="28"/>
  <c r="J71" i="28"/>
  <c r="L71" i="28" s="1"/>
  <c r="I11" i="24" s="1"/>
  <c r="J58" i="28"/>
  <c r="L58" i="28" s="1"/>
  <c r="H29" i="24" s="1"/>
  <c r="I58" i="28"/>
  <c r="F60" i="24"/>
  <c r="I12" i="28"/>
  <c r="A11" i="4"/>
  <c r="A14" i="14" s="1"/>
  <c r="A60" i="28" s="1"/>
  <c r="A67" i="4"/>
  <c r="A94" i="14" s="1"/>
  <c r="H94" i="14" s="1"/>
  <c r="A39" i="4"/>
  <c r="A54" i="14" s="1"/>
  <c r="H54" i="14" s="1"/>
  <c r="F29" i="24"/>
  <c r="F48" i="24"/>
  <c r="G48" i="24"/>
  <c r="F11" i="24"/>
  <c r="H54" i="24"/>
  <c r="C37" i="16"/>
  <c r="C10" i="17" s="1"/>
  <c r="C27" i="17" s="1"/>
  <c r="G59" i="24"/>
  <c r="G22" i="24"/>
  <c r="F59" i="24"/>
  <c r="F15" i="5"/>
  <c r="C9" i="12"/>
  <c r="C48" i="79" s="1"/>
  <c r="O3" i="28"/>
  <c r="L12" i="28" s="1"/>
  <c r="E41" i="24" s="1"/>
  <c r="D9" i="12"/>
  <c r="H9" i="12" s="1"/>
  <c r="A7" i="10"/>
  <c r="A8" i="10"/>
  <c r="A9" i="10"/>
  <c r="A10" i="10"/>
  <c r="A9" i="7" s="1"/>
  <c r="A12" i="10"/>
  <c r="A13" i="10"/>
  <c r="A6" i="10"/>
  <c r="F27" i="2"/>
  <c r="E10" i="28"/>
  <c r="D19" i="14"/>
  <c r="E7" i="28"/>
  <c r="E8" i="28"/>
  <c r="E9" i="28"/>
  <c r="E11" i="28"/>
  <c r="E13" i="28"/>
  <c r="E14" i="28"/>
  <c r="B16" i="28"/>
  <c r="C16" i="28"/>
  <c r="F21" i="2"/>
  <c r="F22" i="2"/>
  <c r="F23" i="2"/>
  <c r="F24" i="2"/>
  <c r="F25" i="2"/>
  <c r="F28" i="2"/>
  <c r="C25" i="16"/>
  <c r="A1" i="27"/>
  <c r="A1" i="24"/>
  <c r="A1" i="15"/>
  <c r="A1" i="13"/>
  <c r="A1" i="12"/>
  <c r="A1" i="2"/>
  <c r="A1" i="28"/>
  <c r="A1" i="14"/>
  <c r="A1" i="16"/>
  <c r="A1" i="10"/>
  <c r="A1" i="7"/>
  <c r="A1" i="5"/>
  <c r="A1" i="4"/>
  <c r="C23" i="16"/>
  <c r="D10" i="27"/>
  <c r="C24" i="16"/>
  <c r="C22" i="16"/>
  <c r="E9" i="27"/>
  <c r="G9" i="27" s="1"/>
  <c r="B9" i="12"/>
  <c r="C9" i="4" s="1"/>
  <c r="C9" i="27"/>
  <c r="H9" i="27" s="1"/>
  <c r="D8" i="27"/>
  <c r="B15" i="16"/>
  <c r="D9" i="27"/>
  <c r="B26" i="16"/>
  <c r="B9" i="27"/>
  <c r="BA45" i="78" l="1"/>
  <c r="I42" i="78"/>
  <c r="AW42" i="78"/>
  <c r="D9" i="4"/>
  <c r="D10" i="28" s="1"/>
  <c r="G10" i="28" s="1"/>
  <c r="C72" i="77"/>
  <c r="H46" i="2"/>
  <c r="B57" i="4"/>
  <c r="F55" i="4"/>
  <c r="L76" i="14" s="1"/>
  <c r="H53" i="24" s="1"/>
  <c r="F41" i="4"/>
  <c r="L56" i="14" s="1"/>
  <c r="G53" i="24" s="1"/>
  <c r="F27" i="4"/>
  <c r="L36" i="14" s="1"/>
  <c r="F53" i="24" s="1"/>
  <c r="B34" i="4"/>
  <c r="B43" i="4" s="1"/>
  <c r="B29" i="4"/>
  <c r="A134" i="2"/>
  <c r="A149" i="2" s="1"/>
  <c r="A103" i="2"/>
  <c r="A118" i="2" s="1"/>
  <c r="A72" i="2"/>
  <c r="A87" i="2" s="1"/>
  <c r="A41" i="2"/>
  <c r="A56" i="2" s="1"/>
  <c r="I21" i="27"/>
  <c r="D11" i="15"/>
  <c r="H11" i="2"/>
  <c r="L11" i="12"/>
  <c r="B9" i="77" s="1"/>
  <c r="I20" i="27"/>
  <c r="D10" i="15"/>
  <c r="K9" i="12"/>
  <c r="I19" i="27"/>
  <c r="D9" i="15"/>
  <c r="B71" i="4"/>
  <c r="A78" i="7"/>
  <c r="A60" i="7"/>
  <c r="A42" i="7"/>
  <c r="A23" i="7"/>
  <c r="A30" i="7"/>
  <c r="A85" i="7"/>
  <c r="A49" i="7"/>
  <c r="A67" i="7"/>
  <c r="A12" i="7"/>
  <c r="A66" i="7"/>
  <c r="A29" i="7"/>
  <c r="A84" i="7"/>
  <c r="A48" i="7"/>
  <c r="A11" i="7"/>
  <c r="A55" i="12"/>
  <c r="A25" i="12"/>
  <c r="A70" i="12"/>
  <c r="A40" i="12"/>
  <c r="A64" i="7"/>
  <c r="A82" i="7"/>
  <c r="A46" i="7"/>
  <c r="A27" i="7"/>
  <c r="A63" i="7"/>
  <c r="A45" i="7"/>
  <c r="A26" i="7"/>
  <c r="A81" i="7"/>
  <c r="A79" i="7"/>
  <c r="A43" i="7"/>
  <c r="A24" i="7"/>
  <c r="A61" i="7"/>
  <c r="A25" i="7"/>
  <c r="A44" i="7"/>
  <c r="A80" i="7"/>
  <c r="A62" i="7"/>
  <c r="I75" i="28"/>
  <c r="A28" i="28"/>
  <c r="A12" i="28"/>
  <c r="A44" i="28"/>
  <c r="A31" i="15"/>
  <c r="A76" i="28"/>
  <c r="A51" i="15"/>
  <c r="A11" i="15"/>
  <c r="A11" i="45" s="1"/>
  <c r="A21" i="45" s="1"/>
  <c r="A71" i="15"/>
  <c r="H14" i="14"/>
  <c r="A91" i="15"/>
  <c r="B37" i="24"/>
  <c r="G60" i="24"/>
  <c r="H23" i="24"/>
  <c r="I23" i="24"/>
  <c r="G41" i="24"/>
  <c r="F35" i="24"/>
  <c r="H10" i="24"/>
  <c r="F10" i="24"/>
  <c r="A5" i="7"/>
  <c r="D8" i="15"/>
  <c r="A10" i="2"/>
  <c r="A25" i="2" s="1"/>
  <c r="A7" i="7"/>
  <c r="I9" i="12"/>
  <c r="I18" i="27"/>
  <c r="D9" i="5"/>
  <c r="A10" i="12"/>
  <c r="C15" i="16"/>
  <c r="I9" i="27"/>
  <c r="C26" i="16"/>
  <c r="B10" i="17" s="1"/>
  <c r="B27" i="17" s="1"/>
  <c r="A6" i="7"/>
  <c r="A8" i="7"/>
  <c r="D15" i="27"/>
  <c r="K8" i="12"/>
  <c r="H8" i="2"/>
  <c r="H9" i="2"/>
  <c r="K10" i="12"/>
  <c r="H10" i="2"/>
  <c r="C53" i="78" l="1"/>
  <c r="AN17" i="78" s="1"/>
  <c r="AN40" i="78" s="1"/>
  <c r="AT40" i="78" s="1"/>
  <c r="B33" i="77"/>
  <c r="B48" i="77" s="1"/>
  <c r="F10" i="28"/>
  <c r="H10" i="28" s="1"/>
  <c r="J10" i="28" s="1"/>
  <c r="L10" i="28" s="1"/>
  <c r="E29" i="24" s="1"/>
  <c r="B26" i="2"/>
  <c r="C26" i="2" s="1"/>
  <c r="A69" i="2"/>
  <c r="A84" i="2" s="1"/>
  <c r="A38" i="2"/>
  <c r="A53" i="2" s="1"/>
  <c r="A131" i="2"/>
  <c r="A146" i="2" s="1"/>
  <c r="A100" i="2"/>
  <c r="A115" i="2" s="1"/>
  <c r="A99" i="2"/>
  <c r="A114" i="2" s="1"/>
  <c r="A130" i="2"/>
  <c r="A145" i="2" s="1"/>
  <c r="A68" i="2"/>
  <c r="A83" i="2" s="1"/>
  <c r="A37" i="2"/>
  <c r="A52" i="2" s="1"/>
  <c r="A75" i="2"/>
  <c r="A90" i="2" s="1"/>
  <c r="A44" i="2"/>
  <c r="A59" i="2" s="1"/>
  <c r="A106" i="2"/>
  <c r="A121" i="2" s="1"/>
  <c r="A137" i="2"/>
  <c r="A152" i="2" s="1"/>
  <c r="F34" i="4"/>
  <c r="L49" i="14" s="1"/>
  <c r="G10" i="24" s="1"/>
  <c r="A132" i="2"/>
  <c r="A147" i="2" s="1"/>
  <c r="A101" i="2"/>
  <c r="A116" i="2" s="1"/>
  <c r="A70" i="2"/>
  <c r="A85" i="2" s="1"/>
  <c r="A39" i="2"/>
  <c r="A54" i="2" s="1"/>
  <c r="A133" i="2"/>
  <c r="A148" i="2" s="1"/>
  <c r="A71" i="2"/>
  <c r="A86" i="2" s="1"/>
  <c r="A40" i="2"/>
  <c r="A55" i="2" s="1"/>
  <c r="A102" i="2"/>
  <c r="A117" i="2" s="1"/>
  <c r="A136" i="2"/>
  <c r="A151" i="2" s="1"/>
  <c r="A105" i="2"/>
  <c r="A120" i="2" s="1"/>
  <c r="A74" i="2"/>
  <c r="A89" i="2" s="1"/>
  <c r="A43" i="2"/>
  <c r="A58" i="2" s="1"/>
  <c r="D15" i="15"/>
  <c r="A11" i="27"/>
  <c r="A21" i="27" s="1"/>
  <c r="A21" i="12"/>
  <c r="A36" i="12"/>
  <c r="A51" i="12"/>
  <c r="A66" i="12"/>
  <c r="A13" i="12"/>
  <c r="A11" i="72"/>
  <c r="A21" i="72" s="1"/>
  <c r="A43" i="12"/>
  <c r="A28" i="12"/>
  <c r="A73" i="12"/>
  <c r="A58" i="12"/>
  <c r="A13" i="2"/>
  <c r="A28" i="2" s="1"/>
  <c r="A13" i="5" s="1"/>
  <c r="A13" i="4" s="1"/>
  <c r="A16" i="14" s="1"/>
  <c r="A57" i="12"/>
  <c r="A42" i="12"/>
  <c r="A72" i="12"/>
  <c r="A27" i="12"/>
  <c r="A12" i="12"/>
  <c r="A12" i="2"/>
  <c r="A27" i="2" s="1"/>
  <c r="A39" i="12"/>
  <c r="A24" i="12"/>
  <c r="A69" i="12"/>
  <c r="A54" i="12"/>
  <c r="A67" i="12"/>
  <c r="A52" i="12"/>
  <c r="A37" i="12"/>
  <c r="A22" i="12"/>
  <c r="A53" i="12"/>
  <c r="A38" i="12"/>
  <c r="A68" i="12"/>
  <c r="A23" i="12"/>
  <c r="A11" i="54"/>
  <c r="A21" i="54" s="1"/>
  <c r="A11" i="63"/>
  <c r="A21" i="63" s="1"/>
  <c r="A6" i="2"/>
  <c r="A21" i="2" s="1"/>
  <c r="A51" i="5" s="1"/>
  <c r="A8" i="2"/>
  <c r="A23" i="2" s="1"/>
  <c r="A8" i="5" s="1"/>
  <c r="A10" i="5"/>
  <c r="A10" i="4" s="1"/>
  <c r="A13" i="14" s="1"/>
  <c r="A70" i="5"/>
  <c r="A55" i="5"/>
  <c r="A40" i="5"/>
  <c r="A25" i="5"/>
  <c r="A6" i="12"/>
  <c r="A8" i="12"/>
  <c r="J9" i="12"/>
  <c r="H15" i="2"/>
  <c r="A7" i="2"/>
  <c r="A22" i="2" s="1"/>
  <c r="A7" i="12"/>
  <c r="K15" i="12"/>
  <c r="A9" i="2"/>
  <c r="A24" i="2" s="1"/>
  <c r="A9" i="12"/>
  <c r="C40" i="78" l="1"/>
  <c r="C19" i="77" s="1"/>
  <c r="I10" i="28"/>
  <c r="I26" i="2"/>
  <c r="A6" i="5"/>
  <c r="A6" i="4" s="1"/>
  <c r="A9" i="14" s="1"/>
  <c r="A55" i="28" s="1"/>
  <c r="D26" i="2"/>
  <c r="A21" i="5"/>
  <c r="A36" i="5"/>
  <c r="A66" i="5"/>
  <c r="A43" i="5"/>
  <c r="A28" i="5"/>
  <c r="A73" i="5"/>
  <c r="A58" i="5"/>
  <c r="A38" i="5"/>
  <c r="A68" i="5"/>
  <c r="A53" i="5"/>
  <c r="A23" i="5"/>
  <c r="A14" i="5"/>
  <c r="A74" i="5"/>
  <c r="A59" i="5"/>
  <c r="A44" i="5"/>
  <c r="A29" i="5"/>
  <c r="A22" i="4"/>
  <c r="A31" i="14" s="1"/>
  <c r="H31" i="14" s="1"/>
  <c r="A64" i="4"/>
  <c r="A91" i="14" s="1"/>
  <c r="H91" i="14" s="1"/>
  <c r="A50" i="4"/>
  <c r="A71" i="14" s="1"/>
  <c r="H71" i="14" s="1"/>
  <c r="A36" i="4"/>
  <c r="A51" i="14" s="1"/>
  <c r="H51" i="14" s="1"/>
  <c r="A9" i="5"/>
  <c r="A9" i="4" s="1"/>
  <c r="A12" i="14" s="1"/>
  <c r="A39" i="5"/>
  <c r="A24" i="5"/>
  <c r="A69" i="5"/>
  <c r="A54" i="5"/>
  <c r="A12" i="5"/>
  <c r="A12" i="4" s="1"/>
  <c r="A15" i="14" s="1"/>
  <c r="A72" i="5"/>
  <c r="A57" i="5"/>
  <c r="A42" i="5"/>
  <c r="A27" i="5"/>
  <c r="A66" i="4"/>
  <c r="A93" i="14" s="1"/>
  <c r="H93" i="14" s="1"/>
  <c r="A24" i="4"/>
  <c r="A33" i="14" s="1"/>
  <c r="H33" i="14" s="1"/>
  <c r="A52" i="4"/>
  <c r="A73" i="14" s="1"/>
  <c r="H73" i="14" s="1"/>
  <c r="A38" i="4"/>
  <c r="A53" i="14" s="1"/>
  <c r="H53" i="14" s="1"/>
  <c r="A8" i="4"/>
  <c r="A11" i="14" s="1"/>
  <c r="A41" i="28" s="1"/>
  <c r="A7" i="5"/>
  <c r="A37" i="5"/>
  <c r="A22" i="5"/>
  <c r="A67" i="5"/>
  <c r="A52" i="5"/>
  <c r="A69" i="4"/>
  <c r="A96" i="14" s="1"/>
  <c r="H96" i="14" s="1"/>
  <c r="A27" i="4"/>
  <c r="A36" i="14" s="1"/>
  <c r="H36" i="14" s="1"/>
  <c r="A55" i="4"/>
  <c r="A76" i="14" s="1"/>
  <c r="H76" i="14" s="1"/>
  <c r="A41" i="4"/>
  <c r="A56" i="14" s="1"/>
  <c r="H56" i="14" s="1"/>
  <c r="B50" i="24"/>
  <c r="A46" i="28"/>
  <c r="A30" i="28"/>
  <c r="A78" i="28"/>
  <c r="A62" i="28"/>
  <c r="B31" i="24"/>
  <c r="A59" i="28"/>
  <c r="A43" i="28"/>
  <c r="A27" i="28"/>
  <c r="A75" i="28"/>
  <c r="H16" i="14"/>
  <c r="A14" i="28"/>
  <c r="A10" i="15"/>
  <c r="A70" i="15"/>
  <c r="A30" i="15"/>
  <c r="A90" i="15"/>
  <c r="A50" i="15"/>
  <c r="A13" i="15"/>
  <c r="A93" i="15"/>
  <c r="A53" i="15"/>
  <c r="A73" i="15"/>
  <c r="A33" i="15"/>
  <c r="H13" i="14"/>
  <c r="A11" i="28"/>
  <c r="L9" i="12"/>
  <c r="B7" i="77" s="1"/>
  <c r="AW40" i="78" l="1"/>
  <c r="I40" i="78"/>
  <c r="B31" i="77"/>
  <c r="B46" i="77" s="1"/>
  <c r="C171" i="2"/>
  <c r="A86" i="15"/>
  <c r="A62" i="4"/>
  <c r="A89" i="14" s="1"/>
  <c r="H89" i="14" s="1"/>
  <c r="A7" i="28"/>
  <c r="A39" i="28"/>
  <c r="B7" i="24"/>
  <c r="A23" i="28"/>
  <c r="A48" i="4"/>
  <c r="A69" i="14" s="1"/>
  <c r="H69" i="14" s="1"/>
  <c r="A26" i="15"/>
  <c r="A6" i="15"/>
  <c r="A6" i="27" s="1"/>
  <c r="A71" i="28"/>
  <c r="H9" i="14"/>
  <c r="A34" i="4"/>
  <c r="A49" i="14" s="1"/>
  <c r="H49" i="14" s="1"/>
  <c r="A66" i="15"/>
  <c r="A46" i="15"/>
  <c r="A20" i="4"/>
  <c r="A29" i="14" s="1"/>
  <c r="H29" i="14" s="1"/>
  <c r="B24" i="2"/>
  <c r="C24" i="2" s="1"/>
  <c r="A88" i="15"/>
  <c r="A73" i="28"/>
  <c r="A28" i="4"/>
  <c r="A56" i="4"/>
  <c r="A42" i="4"/>
  <c r="A70" i="4"/>
  <c r="A63" i="4"/>
  <c r="A90" i="14" s="1"/>
  <c r="H90" i="14" s="1"/>
  <c r="A49" i="4"/>
  <c r="A70" i="14" s="1"/>
  <c r="H70" i="14" s="1"/>
  <c r="A35" i="4"/>
  <c r="A50" i="14" s="1"/>
  <c r="H50" i="14" s="1"/>
  <c r="A21" i="4"/>
  <c r="A30" i="14" s="1"/>
  <c r="H30" i="14" s="1"/>
  <c r="A23" i="4"/>
  <c r="A32" i="14" s="1"/>
  <c r="H32" i="14" s="1"/>
  <c r="A65" i="4"/>
  <c r="A92" i="14" s="1"/>
  <c r="H92" i="14" s="1"/>
  <c r="A51" i="4"/>
  <c r="A72" i="14" s="1"/>
  <c r="H72" i="14" s="1"/>
  <c r="A37" i="4"/>
  <c r="A52" i="14" s="1"/>
  <c r="H52" i="14" s="1"/>
  <c r="A68" i="4"/>
  <c r="A95" i="14" s="1"/>
  <c r="H95" i="14" s="1"/>
  <c r="A26" i="4"/>
  <c r="A35" i="14" s="1"/>
  <c r="H35" i="14" s="1"/>
  <c r="A54" i="4"/>
  <c r="A75" i="14" s="1"/>
  <c r="H75" i="14" s="1"/>
  <c r="A40" i="4"/>
  <c r="A55" i="14" s="1"/>
  <c r="H55" i="14" s="1"/>
  <c r="A48" i="15"/>
  <c r="A25" i="28"/>
  <c r="H11" i="14"/>
  <c r="A28" i="15"/>
  <c r="A8" i="15"/>
  <c r="A8" i="72" s="1"/>
  <c r="A18" i="72" s="1"/>
  <c r="A7" i="4"/>
  <c r="A10" i="14" s="1"/>
  <c r="A56" i="28" s="1"/>
  <c r="B19" i="24"/>
  <c r="A57" i="28"/>
  <c r="A68" i="15"/>
  <c r="A9" i="28"/>
  <c r="A10" i="28"/>
  <c r="A26" i="28"/>
  <c r="A58" i="28"/>
  <c r="A74" i="28"/>
  <c r="A42" i="28"/>
  <c r="H15" i="14"/>
  <c r="A45" i="28"/>
  <c r="A77" i="28"/>
  <c r="A61" i="28"/>
  <c r="A29" i="28"/>
  <c r="H12" i="14"/>
  <c r="A12" i="15"/>
  <c r="A12" i="72" s="1"/>
  <c r="A13" i="28"/>
  <c r="A32" i="15"/>
  <c r="A92" i="15"/>
  <c r="A52" i="15"/>
  <c r="A72" i="15"/>
  <c r="A9" i="15"/>
  <c r="A89" i="15"/>
  <c r="A49" i="15"/>
  <c r="A69" i="15"/>
  <c r="A29" i="15"/>
  <c r="A13" i="45"/>
  <c r="A13" i="63"/>
  <c r="A13" i="27"/>
  <c r="A13" i="54"/>
  <c r="A13" i="72"/>
  <c r="A10" i="45"/>
  <c r="A20" i="45" s="1"/>
  <c r="A10" i="54"/>
  <c r="A20" i="54" s="1"/>
  <c r="A10" i="63"/>
  <c r="A20" i="63" s="1"/>
  <c r="A10" i="72"/>
  <c r="A20" i="72" s="1"/>
  <c r="A10" i="27"/>
  <c r="A20" i="27" s="1"/>
  <c r="B25" i="24"/>
  <c r="B44" i="24"/>
  <c r="I24" i="2" l="1"/>
  <c r="A6" i="72"/>
  <c r="A6" i="54"/>
  <c r="A6" i="63"/>
  <c r="A6" i="45"/>
  <c r="A40" i="28"/>
  <c r="D24" i="2"/>
  <c r="A7" i="15"/>
  <c r="A7" i="27" s="1"/>
  <c r="A74" i="15"/>
  <c r="A72" i="28"/>
  <c r="A8" i="45"/>
  <c r="A18" i="45" s="1"/>
  <c r="A67" i="15"/>
  <c r="B13" i="24"/>
  <c r="A27" i="15"/>
  <c r="A8" i="54"/>
  <c r="A18" i="54" s="1"/>
  <c r="A8" i="27"/>
  <c r="A18" i="27" s="1"/>
  <c r="A94" i="15"/>
  <c r="A87" i="15"/>
  <c r="A8" i="63"/>
  <c r="A18" i="63" s="1"/>
  <c r="H10" i="14"/>
  <c r="A24" i="28"/>
  <c r="A8" i="28"/>
  <c r="A54" i="15"/>
  <c r="A47" i="15"/>
  <c r="B56" i="24"/>
  <c r="A12" i="63"/>
  <c r="A12" i="45"/>
  <c r="A12" i="54"/>
  <c r="A12" i="27"/>
  <c r="A9" i="63"/>
  <c r="A19" i="63" s="1"/>
  <c r="A9" i="72"/>
  <c r="A19" i="72" s="1"/>
  <c r="A9" i="45"/>
  <c r="A19" i="45" s="1"/>
  <c r="A9" i="54"/>
  <c r="A19" i="54" s="1"/>
  <c r="A9" i="27"/>
  <c r="A19" i="27" s="1"/>
  <c r="C169" i="2" l="1"/>
  <c r="A7" i="54"/>
  <c r="A7" i="63"/>
  <c r="A7" i="72"/>
  <c r="A7" i="45"/>
  <c r="F12" i="27" l="1"/>
  <c r="B13" i="12"/>
  <c r="F13" i="27"/>
  <c r="G13" i="27" s="1"/>
  <c r="E13" i="12"/>
  <c r="H13" i="12" s="1"/>
  <c r="C76" i="77" l="1"/>
  <c r="C57" i="78" s="1"/>
  <c r="C52" i="79"/>
  <c r="C13" i="4"/>
  <c r="D14" i="28" s="1"/>
  <c r="I13" i="12"/>
  <c r="J13" i="12" s="1"/>
  <c r="L13" i="12" s="1"/>
  <c r="B11" i="77" s="1"/>
  <c r="B13" i="27"/>
  <c r="H13" i="27" s="1"/>
  <c r="I13" i="27" s="1"/>
  <c r="E12" i="12"/>
  <c r="H12" i="12" s="1"/>
  <c r="D13" i="4"/>
  <c r="D13" i="5"/>
  <c r="C12" i="27"/>
  <c r="H12" i="27" s="1"/>
  <c r="C12" i="12"/>
  <c r="C51" i="79" s="1"/>
  <c r="G12" i="27"/>
  <c r="AN32" i="78" l="1"/>
  <c r="AW32" i="78" s="1"/>
  <c r="C44" i="78"/>
  <c r="C23" i="77" s="1"/>
  <c r="AN21" i="78"/>
  <c r="B35" i="77"/>
  <c r="B50" i="77" s="1"/>
  <c r="C50" i="77" s="1"/>
  <c r="I12" i="12"/>
  <c r="J12" i="12" s="1"/>
  <c r="L12" i="12" s="1"/>
  <c r="B10" i="77" s="1"/>
  <c r="C75" i="77"/>
  <c r="C8" i="12"/>
  <c r="C47" i="79" s="1"/>
  <c r="I12" i="27"/>
  <c r="F14" i="28"/>
  <c r="G14" i="28"/>
  <c r="D12" i="4"/>
  <c r="D13" i="28" s="1"/>
  <c r="D12" i="5"/>
  <c r="C10" i="27"/>
  <c r="H10" i="27" s="1"/>
  <c r="C10" i="12"/>
  <c r="C49" i="79" s="1"/>
  <c r="AN44" i="78" l="1"/>
  <c r="AT44" i="78" s="1"/>
  <c r="I44" i="78"/>
  <c r="C56" i="78"/>
  <c r="C43" i="78" s="1"/>
  <c r="C22" i="77" s="1"/>
  <c r="D50" i="77"/>
  <c r="E50" i="77" s="1"/>
  <c r="B34" i="77"/>
  <c r="B49" i="77" s="1"/>
  <c r="I10" i="12"/>
  <c r="C73" i="77"/>
  <c r="I8" i="12"/>
  <c r="C71" i="77"/>
  <c r="B27" i="2"/>
  <c r="C27" i="2" s="1"/>
  <c r="B28" i="2"/>
  <c r="C36" i="13"/>
  <c r="C8" i="27"/>
  <c r="C15" i="27" s="1"/>
  <c r="H14" i="28"/>
  <c r="I14" i="28" s="1"/>
  <c r="G13" i="28"/>
  <c r="F13" i="28"/>
  <c r="B7" i="12"/>
  <c r="C46" i="79" s="1"/>
  <c r="B7" i="27"/>
  <c r="H7" i="27" s="1"/>
  <c r="B10" i="12"/>
  <c r="C10" i="4" s="1"/>
  <c r="B8" i="12"/>
  <c r="C8" i="4" s="1"/>
  <c r="B8" i="27"/>
  <c r="D7" i="12"/>
  <c r="H7" i="12" s="1"/>
  <c r="E7" i="27"/>
  <c r="G7" i="27" s="1"/>
  <c r="B12" i="12"/>
  <c r="C12" i="4" s="1"/>
  <c r="B12" i="27"/>
  <c r="E10" i="27"/>
  <c r="G10" i="27" s="1"/>
  <c r="I10" i="27" s="1"/>
  <c r="D10" i="12"/>
  <c r="H10" i="12" s="1"/>
  <c r="C37" i="13"/>
  <c r="B6" i="27"/>
  <c r="B6" i="12"/>
  <c r="C45" i="79" s="1"/>
  <c r="D8" i="4"/>
  <c r="D8" i="5"/>
  <c r="C15" i="12"/>
  <c r="E8" i="27"/>
  <c r="G8" i="27" s="1"/>
  <c r="D8" i="12"/>
  <c r="H8" i="12" s="1"/>
  <c r="D10" i="5"/>
  <c r="D10" i="4"/>
  <c r="D11" i="28" s="1"/>
  <c r="E6" i="27"/>
  <c r="C35" i="13"/>
  <c r="D6" i="12"/>
  <c r="H6" i="12" s="1"/>
  <c r="AW44" i="78" l="1"/>
  <c r="AN20" i="78"/>
  <c r="AN43" i="78" s="1"/>
  <c r="AT43" i="78" s="1"/>
  <c r="C53" i="79"/>
  <c r="C52" i="78"/>
  <c r="AN16" i="78" s="1"/>
  <c r="AN39" i="78" s="1"/>
  <c r="AT39" i="78" s="1"/>
  <c r="C54" i="78"/>
  <c r="C41" i="78" s="1"/>
  <c r="C20" i="77" s="1"/>
  <c r="F50" i="77"/>
  <c r="I7" i="12"/>
  <c r="C70" i="77"/>
  <c r="AN18" i="78"/>
  <c r="AN41" i="78" s="1"/>
  <c r="AT41" i="78" s="1"/>
  <c r="I6" i="12"/>
  <c r="C69" i="77"/>
  <c r="I43" i="78"/>
  <c r="AW43" i="78"/>
  <c r="I27" i="2"/>
  <c r="D27" i="2"/>
  <c r="C28" i="2"/>
  <c r="H8" i="27"/>
  <c r="I8" i="27" s="1"/>
  <c r="J14" i="28"/>
  <c r="L14" i="28" s="1"/>
  <c r="E54" i="24" s="1"/>
  <c r="I7" i="27"/>
  <c r="H13" i="28"/>
  <c r="J13" i="28" s="1"/>
  <c r="L13" i="28" s="1"/>
  <c r="E48" i="24" s="1"/>
  <c r="D15" i="12"/>
  <c r="J10" i="12"/>
  <c r="D14" i="5"/>
  <c r="E15" i="12"/>
  <c r="G6" i="27"/>
  <c r="E15" i="27"/>
  <c r="G11" i="28"/>
  <c r="F11" i="28"/>
  <c r="J8" i="12"/>
  <c r="C6" i="4"/>
  <c r="D6" i="5"/>
  <c r="B15" i="12"/>
  <c r="D9" i="28"/>
  <c r="D15" i="4"/>
  <c r="F15" i="27"/>
  <c r="H6" i="27"/>
  <c r="B15" i="27"/>
  <c r="D7" i="5"/>
  <c r="C7" i="4"/>
  <c r="D8" i="28" s="1"/>
  <c r="J7" i="12"/>
  <c r="C39" i="78" l="1"/>
  <c r="C18" i="77" s="1"/>
  <c r="C51" i="78"/>
  <c r="C50" i="78"/>
  <c r="AN25" i="78" s="1"/>
  <c r="G50" i="77"/>
  <c r="AW41" i="78"/>
  <c r="I41" i="78"/>
  <c r="AN26" i="78"/>
  <c r="AN15" i="78"/>
  <c r="C38" i="78"/>
  <c r="C17" i="77" s="1"/>
  <c r="C172" i="2"/>
  <c r="I28" i="2"/>
  <c r="B56" i="13"/>
  <c r="D28" i="2"/>
  <c r="H15" i="27"/>
  <c r="L10" i="12"/>
  <c r="B8" i="77" s="1"/>
  <c r="L7" i="12"/>
  <c r="B5" i="77" s="1"/>
  <c r="L8" i="12"/>
  <c r="B6" i="77" s="1"/>
  <c r="I13" i="28"/>
  <c r="H11" i="28"/>
  <c r="G9" i="28"/>
  <c r="F9" i="28"/>
  <c r="J6" i="12"/>
  <c r="L6" i="12" s="1"/>
  <c r="I15" i="12"/>
  <c r="F8" i="28"/>
  <c r="G8" i="28"/>
  <c r="D15" i="5"/>
  <c r="D7" i="28"/>
  <c r="C15" i="4"/>
  <c r="I6" i="27"/>
  <c r="I15" i="27" s="1"/>
  <c r="I23" i="27" s="1"/>
  <c r="G15" i="27"/>
  <c r="H15" i="12"/>
  <c r="AW39" i="78" l="1"/>
  <c r="I39" i="78"/>
  <c r="C37" i="78"/>
  <c r="C16" i="77" s="1"/>
  <c r="AN14" i="78"/>
  <c r="B29" i="77"/>
  <c r="B44" i="77" s="1"/>
  <c r="C44" i="77" s="1"/>
  <c r="D44" i="77" s="1"/>
  <c r="B32" i="77"/>
  <c r="B47" i="77" s="1"/>
  <c r="B30" i="77"/>
  <c r="B45" i="77" s="1"/>
  <c r="C45" i="77" s="1"/>
  <c r="I50" i="77"/>
  <c r="D45" i="77"/>
  <c r="I38" i="78"/>
  <c r="AW26" i="78"/>
  <c r="AN38" i="78"/>
  <c r="AT38" i="78" s="1"/>
  <c r="AN37" i="78"/>
  <c r="AW37" i="78" s="1"/>
  <c r="AW25" i="78"/>
  <c r="C45" i="78"/>
  <c r="I37" i="78"/>
  <c r="C173" i="2"/>
  <c r="B22" i="2"/>
  <c r="C22" i="2" s="1"/>
  <c r="B23" i="2"/>
  <c r="C23" i="2" s="1"/>
  <c r="I23" i="2" s="1"/>
  <c r="B25" i="2"/>
  <c r="C25" i="2" s="1"/>
  <c r="E11" i="5"/>
  <c r="F11" i="5" s="1"/>
  <c r="E9" i="5"/>
  <c r="F9" i="5" s="1"/>
  <c r="E13" i="5"/>
  <c r="F13" i="5" s="1"/>
  <c r="E12" i="5"/>
  <c r="F12" i="5" s="1"/>
  <c r="E8" i="5"/>
  <c r="F8" i="5" s="1"/>
  <c r="E10" i="5"/>
  <c r="F10" i="5" s="1"/>
  <c r="E7" i="5"/>
  <c r="F7" i="5" s="1"/>
  <c r="E6" i="5"/>
  <c r="F6" i="5" s="1"/>
  <c r="E14" i="5"/>
  <c r="F14" i="5" s="1"/>
  <c r="H8" i="28"/>
  <c r="I8" i="28" s="1"/>
  <c r="H9" i="28"/>
  <c r="J9" i="28" s="1"/>
  <c r="L9" i="28" s="1"/>
  <c r="E23" i="24" s="1"/>
  <c r="F7" i="28"/>
  <c r="G7" i="28"/>
  <c r="I11" i="28"/>
  <c r="J11" i="28"/>
  <c r="L11" i="28" s="1"/>
  <c r="E35" i="24" s="1"/>
  <c r="B4" i="77"/>
  <c r="J15" i="12"/>
  <c r="E45" i="77" l="1"/>
  <c r="E44" i="77"/>
  <c r="I45" i="78"/>
  <c r="AN45" i="78"/>
  <c r="AT37" i="78"/>
  <c r="AT45" i="78" s="1"/>
  <c r="B12" i="77"/>
  <c r="B28" i="77"/>
  <c r="AW38" i="78"/>
  <c r="AW45" i="78" s="1"/>
  <c r="I25" i="2"/>
  <c r="D23" i="2"/>
  <c r="B21" i="2"/>
  <c r="D22" i="2"/>
  <c r="D25" i="2"/>
  <c r="B12" i="4"/>
  <c r="G12" i="4" s="1"/>
  <c r="K15" i="14" s="1"/>
  <c r="E47" i="24" s="1"/>
  <c r="B7" i="4"/>
  <c r="F7" i="4" s="1"/>
  <c r="L10" i="14" s="1"/>
  <c r="E16" i="24" s="1"/>
  <c r="B11" i="4"/>
  <c r="G11" i="4" s="1"/>
  <c r="K14" i="14" s="1"/>
  <c r="E40" i="24" s="1"/>
  <c r="B9" i="4"/>
  <c r="G9" i="4" s="1"/>
  <c r="K12" i="14" s="1"/>
  <c r="E28" i="24" s="1"/>
  <c r="B8" i="4"/>
  <c r="G8" i="4" s="1"/>
  <c r="K11" i="14" s="1"/>
  <c r="E22" i="24" s="1"/>
  <c r="B10" i="4"/>
  <c r="G10" i="4" s="1"/>
  <c r="K13" i="14" s="1"/>
  <c r="E34" i="24" s="1"/>
  <c r="B13" i="4"/>
  <c r="F13" i="4" s="1"/>
  <c r="L16" i="14" s="1"/>
  <c r="E53" i="24" s="1"/>
  <c r="E59" i="24"/>
  <c r="J8" i="28"/>
  <c r="L8" i="28" s="1"/>
  <c r="E17" i="24" s="1"/>
  <c r="I9" i="28"/>
  <c r="E60" i="24"/>
  <c r="H7" i="28"/>
  <c r="L15" i="12"/>
  <c r="E15" i="5"/>
  <c r="B6" i="4"/>
  <c r="M7" i="12" l="1"/>
  <c r="F45" i="77"/>
  <c r="F44" i="77"/>
  <c r="B43" i="77"/>
  <c r="B36" i="77"/>
  <c r="C170" i="2"/>
  <c r="C168" i="2"/>
  <c r="Q6" i="2"/>
  <c r="C167" i="2"/>
  <c r="D73" i="24"/>
  <c r="K65" i="24" s="1"/>
  <c r="M11" i="12"/>
  <c r="M10" i="12"/>
  <c r="M12" i="12"/>
  <c r="M9" i="12"/>
  <c r="M13" i="12"/>
  <c r="M8" i="12"/>
  <c r="J7" i="28"/>
  <c r="L7" i="28" s="1"/>
  <c r="E11" i="24" s="1"/>
  <c r="I7" i="28"/>
  <c r="M6" i="12"/>
  <c r="B15" i="4"/>
  <c r="F6" i="4"/>
  <c r="L9" i="14" s="1"/>
  <c r="E10" i="24" s="1"/>
  <c r="G45" i="77" l="1"/>
  <c r="G44" i="77"/>
  <c r="C43" i="77"/>
  <c r="B51" i="77"/>
  <c r="K70" i="24"/>
  <c r="K68" i="24"/>
  <c r="K72" i="24"/>
  <c r="K71" i="24"/>
  <c r="K67" i="24"/>
  <c r="K66" i="24"/>
  <c r="K69" i="24"/>
  <c r="E57" i="24"/>
  <c r="M15" i="12"/>
  <c r="I45" i="77" l="1"/>
  <c r="I44" i="77"/>
  <c r="D43" i="77"/>
  <c r="K73" i="24"/>
  <c r="E58" i="24"/>
  <c r="E43" i="77" l="1"/>
  <c r="F57" i="24"/>
  <c r="F43" i="77" l="1"/>
  <c r="F58" i="24"/>
  <c r="G43" i="77" l="1"/>
  <c r="C21" i="2"/>
  <c r="I43" i="77" l="1"/>
  <c r="P6" i="2"/>
  <c r="C166" i="2"/>
  <c r="D21" i="2"/>
  <c r="B54" i="15" l="1"/>
  <c r="G57" i="24" l="1"/>
  <c r="C54" i="15" l="1"/>
  <c r="E54" i="15" s="1"/>
  <c r="F54" i="15"/>
  <c r="G58" i="24" l="1"/>
  <c r="B74" i="15" l="1"/>
  <c r="H57" i="24" l="1"/>
  <c r="C74" i="15" l="1"/>
  <c r="E74" i="15" s="1"/>
  <c r="F74" i="15" l="1"/>
  <c r="H58" i="24"/>
  <c r="B94" i="15" l="1"/>
  <c r="I57" i="24" l="1"/>
  <c r="C94" i="15"/>
  <c r="E94" i="15" s="1"/>
  <c r="F94" i="15" l="1"/>
  <c r="I58" i="24"/>
  <c r="P6" i="7" l="1"/>
  <c r="T6" i="7"/>
  <c r="P8" i="7" l="1"/>
  <c r="T8" i="7"/>
  <c r="P9" i="7" l="1"/>
  <c r="T9" i="7"/>
  <c r="P24" i="7" l="1"/>
  <c r="T24" i="7"/>
  <c r="P28" i="7"/>
  <c r="T28" i="7"/>
  <c r="D167" i="2" l="1"/>
  <c r="D166" i="2" l="1"/>
  <c r="E167" i="2" l="1"/>
  <c r="F167" i="2" l="1"/>
  <c r="E166" i="2"/>
  <c r="G167" i="2" l="1"/>
  <c r="F166" i="2" l="1"/>
  <c r="G166" i="2" l="1"/>
  <c r="C24" i="77" l="1"/>
  <c r="D24" i="77" l="1"/>
  <c r="E24" i="77" l="1"/>
  <c r="F24" i="77" l="1"/>
  <c r="G24" i="77" l="1"/>
  <c r="G14" i="79" l="1"/>
  <c r="F14" i="79"/>
  <c r="D15" i="79"/>
  <c r="E14" i="79"/>
  <c r="H14" i="79"/>
  <c r="I14" i="79" l="1"/>
  <c r="P5" i="7" l="1"/>
  <c r="T5" i="7"/>
  <c r="T12" i="7" l="1"/>
  <c r="P12" i="7"/>
  <c r="P27" i="7" l="1"/>
  <c r="T27" i="7"/>
  <c r="H49" i="7" l="1"/>
  <c r="P49" i="7" s="1"/>
  <c r="P47" i="7"/>
  <c r="T47" i="7"/>
  <c r="T49" i="7" l="1"/>
  <c r="P42" i="7"/>
  <c r="T42" i="7"/>
  <c r="H67" i="7" l="1"/>
  <c r="P67" i="7" s="1"/>
  <c r="T67" i="7" l="1"/>
  <c r="T60" i="7"/>
  <c r="P60" i="7"/>
  <c r="J29" i="7" l="1"/>
  <c r="J26" i="7"/>
  <c r="J25" i="7"/>
  <c r="J24" i="7"/>
  <c r="J30" i="7"/>
  <c r="J27" i="7"/>
  <c r="J28" i="7"/>
  <c r="J11" i="7"/>
  <c r="J10" i="7"/>
  <c r="J12" i="7"/>
  <c r="J23" i="7" l="1"/>
  <c r="J32" i="7" s="1"/>
  <c r="D32" i="7"/>
  <c r="J6" i="7"/>
  <c r="J5" i="7"/>
  <c r="J8" i="7"/>
  <c r="J9" i="7"/>
  <c r="J7" i="7"/>
  <c r="J47" i="7" l="1"/>
  <c r="J42" i="7"/>
  <c r="J44" i="7"/>
  <c r="J45" i="7"/>
  <c r="J49" i="7"/>
  <c r="J48" i="7"/>
  <c r="J43" i="7"/>
  <c r="J46" i="7"/>
  <c r="D14" i="7"/>
  <c r="J14" i="7"/>
  <c r="J51" i="7" l="1"/>
  <c r="D51" i="7"/>
  <c r="P88" i="2" l="1"/>
  <c r="P86" i="2"/>
  <c r="P84" i="2"/>
  <c r="P85" i="2"/>
  <c r="I47" i="7"/>
  <c r="K47" i="7" s="1"/>
  <c r="P89" i="2"/>
  <c r="R89" i="2" s="1"/>
  <c r="I49" i="7"/>
  <c r="K49" i="7" s="1"/>
  <c r="P87" i="2"/>
  <c r="P90" i="2"/>
  <c r="R90" i="2" s="1"/>
  <c r="P25" i="2"/>
  <c r="P27" i="2"/>
  <c r="P23" i="2"/>
  <c r="P26" i="2"/>
  <c r="P24" i="2"/>
  <c r="R24" i="2" s="1"/>
  <c r="P28" i="2"/>
  <c r="P22" i="2"/>
  <c r="R28" i="2" l="1"/>
  <c r="I6" i="7"/>
  <c r="K6" i="7" s="1"/>
  <c r="C114" i="7" s="1"/>
  <c r="I12" i="7"/>
  <c r="K12" i="7" s="1"/>
  <c r="I8" i="7"/>
  <c r="K8" i="7" s="1"/>
  <c r="I9" i="7"/>
  <c r="K9" i="7" s="1"/>
  <c r="R22" i="2"/>
  <c r="P55" i="2"/>
  <c r="P56" i="2"/>
  <c r="P54" i="2"/>
  <c r="R84" i="2"/>
  <c r="P58" i="2"/>
  <c r="P57" i="2"/>
  <c r="P53" i="2"/>
  <c r="R85" i="2"/>
  <c r="P59" i="2"/>
  <c r="B73" i="2"/>
  <c r="E118" i="7"/>
  <c r="E9" i="77"/>
  <c r="E33" i="77" s="1"/>
  <c r="G70" i="24"/>
  <c r="G72" i="24"/>
  <c r="E11" i="77"/>
  <c r="E35" i="77" s="1"/>
  <c r="E63" i="77" s="1"/>
  <c r="L88" i="77" s="1"/>
  <c r="E88" i="77" s="1"/>
  <c r="B75" i="2"/>
  <c r="E120" i="7"/>
  <c r="R88" i="2"/>
  <c r="R87" i="2"/>
  <c r="R86" i="2"/>
  <c r="R23" i="2"/>
  <c r="R25" i="2"/>
  <c r="R26" i="2"/>
  <c r="R27" i="2"/>
  <c r="E102" i="77" l="1"/>
  <c r="E66" i="24"/>
  <c r="B9" i="2"/>
  <c r="E72" i="24"/>
  <c r="C117" i="7"/>
  <c r="B10" i="2"/>
  <c r="C8" i="77"/>
  <c r="C32" i="77" s="1"/>
  <c r="C11" i="77"/>
  <c r="C35" i="77" s="1"/>
  <c r="E68" i="24"/>
  <c r="C120" i="7"/>
  <c r="C116" i="7"/>
  <c r="C7" i="77"/>
  <c r="C5" i="77"/>
  <c r="I24" i="7"/>
  <c r="K24" i="7" s="1"/>
  <c r="D5" i="77" s="1"/>
  <c r="D29" i="77" s="1"/>
  <c r="D57" i="77" s="1"/>
  <c r="K82" i="77" s="1"/>
  <c r="D82" i="77" s="1"/>
  <c r="B7" i="2"/>
  <c r="E69" i="24"/>
  <c r="B13" i="2"/>
  <c r="I27" i="7"/>
  <c r="K27" i="7" s="1"/>
  <c r="D117" i="7" s="1"/>
  <c r="I28" i="7"/>
  <c r="K28" i="7" s="1"/>
  <c r="B42" i="2" s="1"/>
  <c r="R55" i="2"/>
  <c r="R58" i="2"/>
  <c r="R54" i="2"/>
  <c r="R56" i="2"/>
  <c r="R57" i="2"/>
  <c r="R59" i="2"/>
  <c r="R53" i="2"/>
  <c r="D114" i="7"/>
  <c r="B51" i="7"/>
  <c r="I42" i="7"/>
  <c r="E48" i="77"/>
  <c r="E61" i="77" s="1"/>
  <c r="L86" i="77" s="1"/>
  <c r="E86" i="77" s="1"/>
  <c r="J25" i="2"/>
  <c r="E25" i="2"/>
  <c r="B14" i="7"/>
  <c r="I5" i="7"/>
  <c r="E24" i="2" l="1"/>
  <c r="E28" i="2"/>
  <c r="J24" i="2"/>
  <c r="S24" i="2" s="1"/>
  <c r="E100" i="77"/>
  <c r="D96" i="77"/>
  <c r="J22" i="2"/>
  <c r="S22" i="2" s="1"/>
  <c r="J28" i="2"/>
  <c r="L28" i="2" s="1"/>
  <c r="C29" i="77"/>
  <c r="C57" i="77" s="1"/>
  <c r="C31" i="77"/>
  <c r="C46" i="77" s="1"/>
  <c r="C59" i="77" s="1"/>
  <c r="E22" i="2"/>
  <c r="D118" i="7"/>
  <c r="F70" i="24"/>
  <c r="D9" i="77"/>
  <c r="D33" i="77" s="1"/>
  <c r="D48" i="77" s="1"/>
  <c r="D61" i="77" s="1"/>
  <c r="K86" i="77" s="1"/>
  <c r="D86" i="77" s="1"/>
  <c r="D100" i="77" s="1"/>
  <c r="B38" i="2"/>
  <c r="F69" i="24"/>
  <c r="F66" i="24"/>
  <c r="B41" i="2"/>
  <c r="Z11" i="7"/>
  <c r="Z10" i="7"/>
  <c r="Z6" i="7"/>
  <c r="Z7" i="7"/>
  <c r="Z8" i="7"/>
  <c r="Z12" i="7"/>
  <c r="Z9" i="7"/>
  <c r="D8" i="77"/>
  <c r="D32" i="77" s="1"/>
  <c r="D47" i="77" s="1"/>
  <c r="D60" i="77" s="1"/>
  <c r="K85" i="77" s="1"/>
  <c r="D85" i="77" s="1"/>
  <c r="D99" i="77" s="1"/>
  <c r="Z5" i="7"/>
  <c r="B32" i="7"/>
  <c r="Z23" i="7" s="1"/>
  <c r="K42" i="7"/>
  <c r="P83" i="2"/>
  <c r="R83" i="2" s="1"/>
  <c r="P21" i="2"/>
  <c r="R21" i="2" s="1"/>
  <c r="C47" i="77"/>
  <c r="D13" i="2"/>
  <c r="K5" i="7"/>
  <c r="C63" i="77"/>
  <c r="D10" i="2"/>
  <c r="S25" i="2"/>
  <c r="L25" i="2"/>
  <c r="D9" i="2" l="1"/>
  <c r="L24" i="2"/>
  <c r="L22" i="2"/>
  <c r="D7" i="2"/>
  <c r="C10" i="14" s="1"/>
  <c r="S28" i="2"/>
  <c r="J53" i="2"/>
  <c r="D38" i="2" s="1"/>
  <c r="Z14" i="7"/>
  <c r="AA5" i="7"/>
  <c r="Z25" i="7"/>
  <c r="AA7" i="7" s="1"/>
  <c r="Z27" i="7"/>
  <c r="AA9" i="7" s="1"/>
  <c r="Z24" i="7"/>
  <c r="AA6" i="7" s="1"/>
  <c r="Z28" i="7"/>
  <c r="AA10" i="7" s="1"/>
  <c r="Z26" i="7"/>
  <c r="AA8" i="7" s="1"/>
  <c r="Z30" i="7"/>
  <c r="AA12" i="7" s="1"/>
  <c r="Z29" i="7"/>
  <c r="AA11" i="7" s="1"/>
  <c r="P52" i="2"/>
  <c r="R52" i="2" s="1"/>
  <c r="D106" i="7"/>
  <c r="D102" i="7"/>
  <c r="D105" i="7"/>
  <c r="E4" i="77"/>
  <c r="E113" i="7"/>
  <c r="B68" i="2"/>
  <c r="G65" i="24"/>
  <c r="F53" i="2"/>
  <c r="C104" i="7"/>
  <c r="C106" i="7"/>
  <c r="J84" i="77"/>
  <c r="C84" i="77" s="1"/>
  <c r="F10" i="2"/>
  <c r="G10" i="45"/>
  <c r="F56" i="2"/>
  <c r="F25" i="12"/>
  <c r="H25" i="12" s="1"/>
  <c r="C13" i="14"/>
  <c r="J82" i="77"/>
  <c r="C82" i="77" s="1"/>
  <c r="C4" i="77"/>
  <c r="B6" i="2"/>
  <c r="E65" i="24"/>
  <c r="C113" i="7"/>
  <c r="H11" i="7"/>
  <c r="C107" i="7"/>
  <c r="C102" i="7"/>
  <c r="H7" i="7"/>
  <c r="C103" i="7"/>
  <c r="F13" i="2"/>
  <c r="F59" i="2"/>
  <c r="F28" i="12"/>
  <c r="H28" i="12" s="1"/>
  <c r="G13" i="45"/>
  <c r="B16" i="14"/>
  <c r="F9" i="2"/>
  <c r="G9" i="45"/>
  <c r="C12" i="14"/>
  <c r="F55" i="2"/>
  <c r="F24" i="12"/>
  <c r="H24" i="12" s="1"/>
  <c r="C60" i="77"/>
  <c r="C108" i="7"/>
  <c r="J88" i="77"/>
  <c r="C88" i="77" s="1"/>
  <c r="C105" i="7"/>
  <c r="F7" i="2" l="1"/>
  <c r="F22" i="12"/>
  <c r="H22" i="12" s="1"/>
  <c r="G7" i="45"/>
  <c r="S53" i="2"/>
  <c r="C102" i="77"/>
  <c r="C96" i="77"/>
  <c r="C98" i="77"/>
  <c r="Z32" i="7"/>
  <c r="D103" i="7"/>
  <c r="H25" i="7"/>
  <c r="D104" i="7"/>
  <c r="H26" i="7"/>
  <c r="D108" i="7"/>
  <c r="H30" i="7"/>
  <c r="F37" i="12"/>
  <c r="H37" i="12" s="1"/>
  <c r="F38" i="2"/>
  <c r="F84" i="2"/>
  <c r="C30" i="14"/>
  <c r="Q30" i="14" s="1"/>
  <c r="G7" i="54"/>
  <c r="D107" i="7"/>
  <c r="H29" i="7"/>
  <c r="J83" i="2"/>
  <c r="E28" i="77"/>
  <c r="G13" i="2"/>
  <c r="E51" i="24"/>
  <c r="B13" i="15"/>
  <c r="Q16" i="14"/>
  <c r="G7" i="2"/>
  <c r="Q12" i="14"/>
  <c r="B9" i="15"/>
  <c r="E26" i="24"/>
  <c r="H10" i="7"/>
  <c r="C101" i="7"/>
  <c r="E21" i="2"/>
  <c r="J21" i="2"/>
  <c r="J85" i="77"/>
  <c r="C85" i="77" s="1"/>
  <c r="G9" i="2"/>
  <c r="T7" i="7"/>
  <c r="P7" i="7"/>
  <c r="I7" i="7"/>
  <c r="P11" i="7"/>
  <c r="T11" i="7"/>
  <c r="I11" i="7"/>
  <c r="K11" i="7" s="1"/>
  <c r="C28" i="77"/>
  <c r="E32" i="24"/>
  <c r="B10" i="15"/>
  <c r="Q13" i="14"/>
  <c r="G10" i="2"/>
  <c r="B7" i="15"/>
  <c r="E14" i="24"/>
  <c r="Q10" i="14"/>
  <c r="E9" i="2" l="1"/>
  <c r="G24" i="12" s="1"/>
  <c r="I24" i="12" s="1"/>
  <c r="M51" i="24"/>
  <c r="M32" i="24"/>
  <c r="E10" i="2"/>
  <c r="C99" i="77"/>
  <c r="E7" i="2"/>
  <c r="E13" i="2"/>
  <c r="E16" i="14" s="1"/>
  <c r="M26" i="24"/>
  <c r="I10" i="2"/>
  <c r="F10" i="15" s="1"/>
  <c r="P10" i="7"/>
  <c r="T10" i="7"/>
  <c r="I10" i="7"/>
  <c r="K10" i="7" s="1"/>
  <c r="D101" i="7"/>
  <c r="H23" i="7"/>
  <c r="P26" i="7"/>
  <c r="T26" i="7"/>
  <c r="I26" i="7"/>
  <c r="K26" i="7" s="1"/>
  <c r="F14" i="24"/>
  <c r="B27" i="15"/>
  <c r="I29" i="7"/>
  <c r="K29" i="7" s="1"/>
  <c r="P29" i="7"/>
  <c r="T29" i="7"/>
  <c r="T30" i="7"/>
  <c r="P30" i="7"/>
  <c r="I30" i="7"/>
  <c r="K30" i="7" s="1"/>
  <c r="P25" i="7"/>
  <c r="T25" i="7"/>
  <c r="I25" i="7"/>
  <c r="K25" i="7" s="1"/>
  <c r="G38" i="2"/>
  <c r="E38" i="2" s="1"/>
  <c r="E56" i="77"/>
  <c r="S83" i="2"/>
  <c r="D68" i="2"/>
  <c r="G55" i="2"/>
  <c r="C56" i="77"/>
  <c r="K7" i="7"/>
  <c r="I9" i="2"/>
  <c r="F9" i="15" s="1"/>
  <c r="D6" i="2"/>
  <c r="L21" i="2"/>
  <c r="S21" i="2"/>
  <c r="B12" i="2"/>
  <c r="C10" i="77"/>
  <c r="E71" i="24"/>
  <c r="C119" i="7"/>
  <c r="I7" i="2"/>
  <c r="F7" i="15" s="1"/>
  <c r="G59" i="2"/>
  <c r="M14" i="24"/>
  <c r="I13" i="2"/>
  <c r="F13" i="15" s="1"/>
  <c r="N14" i="24" l="1"/>
  <c r="G53" i="2"/>
  <c r="G22" i="12"/>
  <c r="I22" i="12" s="1"/>
  <c r="J22" i="12" s="1"/>
  <c r="L22" i="12" s="1"/>
  <c r="H9" i="45"/>
  <c r="I9" i="45" s="1"/>
  <c r="G25" i="12"/>
  <c r="I25" i="12" s="1"/>
  <c r="H7" i="45"/>
  <c r="I7" i="45" s="1"/>
  <c r="H13" i="45"/>
  <c r="I13" i="45" s="1"/>
  <c r="G28" i="12"/>
  <c r="I28" i="12" s="1"/>
  <c r="D13" i="14"/>
  <c r="E33" i="24" s="1"/>
  <c r="G56" i="2"/>
  <c r="E10" i="14"/>
  <c r="C7" i="15" s="1"/>
  <c r="E7" i="15" s="1"/>
  <c r="H10" i="45"/>
  <c r="I10" i="45" s="1"/>
  <c r="D12" i="14"/>
  <c r="C9" i="15" s="1"/>
  <c r="E9" i="15" s="1"/>
  <c r="I14" i="7"/>
  <c r="C118" i="7"/>
  <c r="B11" i="2"/>
  <c r="C9" i="77"/>
  <c r="E70" i="24"/>
  <c r="I38" i="2"/>
  <c r="F27" i="15" s="1"/>
  <c r="B44" i="2"/>
  <c r="D120" i="7"/>
  <c r="F72" i="24"/>
  <c r="D11" i="77"/>
  <c r="D7" i="77"/>
  <c r="D31" i="77" s="1"/>
  <c r="D46" i="77" s="1"/>
  <c r="B40" i="2"/>
  <c r="D116" i="7"/>
  <c r="F68" i="24"/>
  <c r="T23" i="7"/>
  <c r="P23" i="7"/>
  <c r="I23" i="7"/>
  <c r="E30" i="14"/>
  <c r="G84" i="2"/>
  <c r="H7" i="54"/>
  <c r="I7" i="54" s="1"/>
  <c r="G37" i="12"/>
  <c r="I37" i="12" s="1"/>
  <c r="D6" i="77"/>
  <c r="D30" i="77" s="1"/>
  <c r="D58" i="77" s="1"/>
  <c r="K83" i="77" s="1"/>
  <c r="D83" i="77" s="1"/>
  <c r="D97" i="77" s="1"/>
  <c r="F67" i="24"/>
  <c r="D115" i="7"/>
  <c r="B39" i="2"/>
  <c r="F71" i="24"/>
  <c r="B43" i="2"/>
  <c r="D119" i="7"/>
  <c r="D10" i="77"/>
  <c r="D34" i="77" s="1"/>
  <c r="D49" i="77" s="1"/>
  <c r="D62" i="77" s="1"/>
  <c r="K87" i="77" s="1"/>
  <c r="D87" i="77" s="1"/>
  <c r="D101" i="77" s="1"/>
  <c r="L81" i="77"/>
  <c r="E81" i="77" s="1"/>
  <c r="F68" i="2"/>
  <c r="G6" i="63"/>
  <c r="F51" i="12"/>
  <c r="H51" i="12" s="1"/>
  <c r="C49" i="14"/>
  <c r="F114" i="2"/>
  <c r="J25" i="12"/>
  <c r="L25" i="12" s="1"/>
  <c r="B53" i="2"/>
  <c r="J81" i="77"/>
  <c r="C81" i="77" s="1"/>
  <c r="J24" i="12"/>
  <c r="L24" i="12" s="1"/>
  <c r="E52" i="24"/>
  <c r="R16" i="14"/>
  <c r="C13" i="15"/>
  <c r="E13" i="15" s="1"/>
  <c r="J28" i="12"/>
  <c r="L28" i="12" s="1"/>
  <c r="C34" i="77"/>
  <c r="F6" i="2"/>
  <c r="F21" i="12"/>
  <c r="H21" i="12" s="1"/>
  <c r="G6" i="45"/>
  <c r="C9" i="14"/>
  <c r="F52" i="2"/>
  <c r="E67" i="24"/>
  <c r="C115" i="7"/>
  <c r="C6" i="77"/>
  <c r="B8" i="2"/>
  <c r="K14" i="7"/>
  <c r="C8" i="79" s="1"/>
  <c r="E27" i="2"/>
  <c r="J27" i="2"/>
  <c r="R13" i="14"/>
  <c r="E15" i="24" l="1"/>
  <c r="C10" i="15"/>
  <c r="E10" i="15" s="1"/>
  <c r="B56" i="2"/>
  <c r="C56" i="2" s="1"/>
  <c r="E95" i="77"/>
  <c r="B59" i="2"/>
  <c r="C59" i="2" s="1"/>
  <c r="R10" i="14"/>
  <c r="C95" i="77"/>
  <c r="E27" i="24"/>
  <c r="M33" i="24"/>
  <c r="M52" i="24"/>
  <c r="R12" i="14"/>
  <c r="J11" i="79"/>
  <c r="K11" i="79" s="1"/>
  <c r="L11" i="79" s="1"/>
  <c r="C11" i="79"/>
  <c r="C10" i="79"/>
  <c r="C9" i="79"/>
  <c r="C7" i="79"/>
  <c r="J10" i="79"/>
  <c r="K10" i="79" s="1"/>
  <c r="L10" i="79" s="1"/>
  <c r="J9" i="79"/>
  <c r="K9" i="79" s="1"/>
  <c r="L9" i="79" s="1"/>
  <c r="J7" i="79"/>
  <c r="K7" i="79" s="1"/>
  <c r="L7" i="79" s="1"/>
  <c r="C13" i="79"/>
  <c r="J13" i="79"/>
  <c r="K13" i="79" s="1"/>
  <c r="L13" i="79" s="1"/>
  <c r="C6" i="79"/>
  <c r="D6" i="79" s="1"/>
  <c r="E6" i="79" s="1"/>
  <c r="J6" i="79"/>
  <c r="J12" i="79"/>
  <c r="K12" i="79" s="1"/>
  <c r="L12" i="79" s="1"/>
  <c r="C12" i="79"/>
  <c r="J8" i="79"/>
  <c r="K8" i="79" s="1"/>
  <c r="L8" i="79" s="1"/>
  <c r="C33" i="77"/>
  <c r="E26" i="2"/>
  <c r="J26" i="2"/>
  <c r="C27" i="15"/>
  <c r="E27" i="15" s="1"/>
  <c r="F15" i="24"/>
  <c r="D35" i="77"/>
  <c r="R30" i="14"/>
  <c r="J37" i="12"/>
  <c r="L37" i="12" s="1"/>
  <c r="I32" i="7"/>
  <c r="K23" i="7"/>
  <c r="D59" i="77"/>
  <c r="K84" i="77" s="1"/>
  <c r="D84" i="77" s="1"/>
  <c r="D98" i="77" s="1"/>
  <c r="D51" i="77"/>
  <c r="G68" i="2"/>
  <c r="E68" i="2" s="1"/>
  <c r="B46" i="15"/>
  <c r="G8" i="24"/>
  <c r="H88" i="24"/>
  <c r="E73" i="24"/>
  <c r="M67" i="24" s="1"/>
  <c r="C122" i="7"/>
  <c r="C49" i="77"/>
  <c r="C53" i="2"/>
  <c r="E53" i="2" s="1"/>
  <c r="L53" i="2" s="1"/>
  <c r="S27" i="2"/>
  <c r="L27" i="2"/>
  <c r="D12" i="2"/>
  <c r="E23" i="2"/>
  <c r="J23" i="2"/>
  <c r="B15" i="2"/>
  <c r="C8" i="2" s="1"/>
  <c r="G6" i="2"/>
  <c r="M15" i="24"/>
  <c r="C30" i="77"/>
  <c r="C12" i="77"/>
  <c r="E8" i="24"/>
  <c r="F88" i="24"/>
  <c r="B6" i="15"/>
  <c r="Q9" i="14"/>
  <c r="B55" i="2"/>
  <c r="N15" i="24" l="1"/>
  <c r="B84" i="2"/>
  <c r="C84" i="2" s="1"/>
  <c r="D84" i="2" s="1"/>
  <c r="M27" i="24"/>
  <c r="I6" i="2"/>
  <c r="F6" i="15" s="1"/>
  <c r="J14" i="79"/>
  <c r="K6" i="79"/>
  <c r="L6" i="79" s="1"/>
  <c r="C48" i="77"/>
  <c r="L26" i="2"/>
  <c r="D11" i="2"/>
  <c r="S26" i="2"/>
  <c r="I68" i="2"/>
  <c r="F46" i="15" s="1"/>
  <c r="K32" i="7"/>
  <c r="B37" i="2"/>
  <c r="D113" i="7"/>
  <c r="D122" i="7" s="1"/>
  <c r="D4" i="77"/>
  <c r="F65" i="24"/>
  <c r="F73" i="24" s="1"/>
  <c r="D63" i="77"/>
  <c r="H6" i="63"/>
  <c r="I6" i="63" s="1"/>
  <c r="E49" i="14"/>
  <c r="G114" i="2"/>
  <c r="G51" i="12"/>
  <c r="I51" i="12" s="1"/>
  <c r="I56" i="2"/>
  <c r="E56" i="2"/>
  <c r="I59" i="2"/>
  <c r="E59" i="2"/>
  <c r="L23" i="2"/>
  <c r="S23" i="2"/>
  <c r="D8" i="2"/>
  <c r="C131" i="7"/>
  <c r="C133" i="7"/>
  <c r="C130" i="7"/>
  <c r="C127" i="7"/>
  <c r="C129" i="7"/>
  <c r="C126" i="7"/>
  <c r="C132" i="7"/>
  <c r="M68" i="24"/>
  <c r="M70" i="24"/>
  <c r="M72" i="24"/>
  <c r="M69" i="24"/>
  <c r="M66" i="24"/>
  <c r="M65" i="24"/>
  <c r="M71" i="24"/>
  <c r="C55" i="2"/>
  <c r="D55" i="2" s="1"/>
  <c r="F94" i="24"/>
  <c r="C58" i="77"/>
  <c r="C36" i="77"/>
  <c r="C11" i="2"/>
  <c r="C9" i="2"/>
  <c r="C10" i="2"/>
  <c r="C7" i="2"/>
  <c r="C13" i="2"/>
  <c r="C6" i="2"/>
  <c r="C12" i="2"/>
  <c r="C128" i="7"/>
  <c r="M8" i="24"/>
  <c r="D56" i="2"/>
  <c r="E6" i="2"/>
  <c r="G12" i="45"/>
  <c r="F27" i="12"/>
  <c r="H27" i="12" s="1"/>
  <c r="B15" i="14"/>
  <c r="F12" i="2"/>
  <c r="F58" i="2"/>
  <c r="D53" i="2"/>
  <c r="C62" i="77"/>
  <c r="D59" i="2"/>
  <c r="B14" i="14" l="1"/>
  <c r="F57" i="2"/>
  <c r="G11" i="45"/>
  <c r="F11" i="2"/>
  <c r="F26" i="12"/>
  <c r="H26" i="12" s="1"/>
  <c r="C51" i="77"/>
  <c r="C61" i="77"/>
  <c r="C64" i="77" s="1"/>
  <c r="C135" i="7"/>
  <c r="K88" i="77"/>
  <c r="D88" i="77" s="1"/>
  <c r="D126" i="7"/>
  <c r="D131" i="7"/>
  <c r="D127" i="7"/>
  <c r="D130" i="7"/>
  <c r="D129" i="7"/>
  <c r="D132" i="7"/>
  <c r="D133" i="7"/>
  <c r="D128" i="7"/>
  <c r="D12" i="77"/>
  <c r="D28" i="77"/>
  <c r="B66" i="79"/>
  <c r="J52" i="2"/>
  <c r="B46" i="2"/>
  <c r="C37" i="2" s="1"/>
  <c r="N65" i="24"/>
  <c r="N66" i="24"/>
  <c r="N70" i="24"/>
  <c r="N69" i="24"/>
  <c r="N67" i="24"/>
  <c r="N72" i="24"/>
  <c r="N68" i="24"/>
  <c r="N71" i="24"/>
  <c r="H89" i="24"/>
  <c r="G9" i="24"/>
  <c r="C46" i="15"/>
  <c r="E46" i="15" s="1"/>
  <c r="J51" i="12"/>
  <c r="L51" i="12" s="1"/>
  <c r="C15" i="2"/>
  <c r="M73" i="24"/>
  <c r="D173" i="2"/>
  <c r="J59" i="2"/>
  <c r="C11" i="14"/>
  <c r="F54" i="2"/>
  <c r="G8" i="45"/>
  <c r="F23" i="12"/>
  <c r="H23" i="12" s="1"/>
  <c r="F8" i="2"/>
  <c r="G12" i="2"/>
  <c r="J83" i="77"/>
  <c r="C83" i="77" s="1"/>
  <c r="I55" i="2"/>
  <c r="E55" i="2"/>
  <c r="D170" i="2"/>
  <c r="J56" i="2"/>
  <c r="J87" i="77"/>
  <c r="C87" i="77" s="1"/>
  <c r="B12" i="15"/>
  <c r="E45" i="24"/>
  <c r="Q15" i="14"/>
  <c r="E9" i="14"/>
  <c r="G52" i="2"/>
  <c r="H6" i="45"/>
  <c r="G21" i="12"/>
  <c r="I21" i="12" s="1"/>
  <c r="D102" i="77" l="1"/>
  <c r="B114" i="2"/>
  <c r="C114" i="2" s="1"/>
  <c r="C97" i="77"/>
  <c r="M45" i="24"/>
  <c r="E12" i="2"/>
  <c r="C101" i="77"/>
  <c r="H30" i="12"/>
  <c r="G15" i="45"/>
  <c r="Q14" i="14"/>
  <c r="B11" i="15"/>
  <c r="E38" i="24"/>
  <c r="G11" i="2"/>
  <c r="J86" i="77"/>
  <c r="C86" i="77" s="1"/>
  <c r="D8" i="79"/>
  <c r="C14" i="79"/>
  <c r="C56" i="79" s="1"/>
  <c r="D13" i="79"/>
  <c r="H6" i="79"/>
  <c r="G45" i="79" s="1"/>
  <c r="F6" i="79"/>
  <c r="E45" i="79" s="1"/>
  <c r="M6" i="79"/>
  <c r="D31" i="79" s="1"/>
  <c r="G6" i="79"/>
  <c r="F45" i="79" s="1"/>
  <c r="D56" i="77"/>
  <c r="D36" i="77"/>
  <c r="D10" i="79"/>
  <c r="D135" i="7"/>
  <c r="D9" i="79"/>
  <c r="D11" i="79"/>
  <c r="C42" i="2"/>
  <c r="C41" i="2"/>
  <c r="C38" i="2"/>
  <c r="C40" i="2"/>
  <c r="C43" i="2"/>
  <c r="C44" i="2"/>
  <c r="C39" i="2"/>
  <c r="D12" i="79"/>
  <c r="D7" i="79"/>
  <c r="N73" i="24"/>
  <c r="S52" i="2"/>
  <c r="D37" i="2"/>
  <c r="J21" i="12"/>
  <c r="D169" i="2"/>
  <c r="J55" i="2"/>
  <c r="G8" i="2"/>
  <c r="F15" i="2"/>
  <c r="Q11" i="14"/>
  <c r="E20" i="24"/>
  <c r="B8" i="15"/>
  <c r="I12" i="2"/>
  <c r="F12" i="15" s="1"/>
  <c r="L59" i="2"/>
  <c r="D44" i="2"/>
  <c r="S59" i="2"/>
  <c r="I6" i="45"/>
  <c r="D41" i="2"/>
  <c r="S56" i="2"/>
  <c r="L56" i="2"/>
  <c r="G27" i="12"/>
  <c r="I27" i="12" s="1"/>
  <c r="F89" i="24"/>
  <c r="E9" i="24"/>
  <c r="C6" i="15"/>
  <c r="R9" i="14"/>
  <c r="G58" i="2" l="1"/>
  <c r="D15" i="14"/>
  <c r="R15" i="14" s="1"/>
  <c r="H12" i="45"/>
  <c r="I12" i="45" s="1"/>
  <c r="D114" i="2"/>
  <c r="D45" i="79"/>
  <c r="B15" i="15"/>
  <c r="I8" i="2"/>
  <c r="F8" i="15" s="1"/>
  <c r="M20" i="24"/>
  <c r="C100" i="77"/>
  <c r="E11" i="2"/>
  <c r="M38" i="24"/>
  <c r="I11" i="2"/>
  <c r="F11" i="15" s="1"/>
  <c r="C103" i="77"/>
  <c r="C106" i="77" s="1"/>
  <c r="D14" i="14"/>
  <c r="C46" i="2"/>
  <c r="F83" i="2"/>
  <c r="F36" i="12"/>
  <c r="H36" i="12" s="1"/>
  <c r="G6" i="54"/>
  <c r="F37" i="2"/>
  <c r="C29" i="14"/>
  <c r="B67" i="79"/>
  <c r="F7" i="79"/>
  <c r="E46" i="79" s="1"/>
  <c r="G7" i="79"/>
  <c r="F46" i="79" s="1"/>
  <c r="E7" i="79"/>
  <c r="M7" i="79" s="1"/>
  <c r="H7" i="79"/>
  <c r="G46" i="79" s="1"/>
  <c r="G11" i="79"/>
  <c r="F50" i="79" s="1"/>
  <c r="B71" i="79"/>
  <c r="E11" i="79"/>
  <c r="M11" i="79" s="1"/>
  <c r="F11" i="79"/>
  <c r="E50" i="79" s="1"/>
  <c r="H11" i="79"/>
  <c r="G50" i="79" s="1"/>
  <c r="B70" i="79"/>
  <c r="G10" i="79"/>
  <c r="F49" i="79" s="1"/>
  <c r="E10" i="79"/>
  <c r="M10" i="79" s="1"/>
  <c r="F10" i="79"/>
  <c r="E49" i="79" s="1"/>
  <c r="H10" i="79"/>
  <c r="G49" i="79" s="1"/>
  <c r="I6" i="79"/>
  <c r="H12" i="79"/>
  <c r="G51" i="79" s="1"/>
  <c r="F12" i="79"/>
  <c r="E51" i="79" s="1"/>
  <c r="B72" i="79"/>
  <c r="E12" i="79"/>
  <c r="M12" i="79" s="1"/>
  <c r="G12" i="79"/>
  <c r="F51" i="79" s="1"/>
  <c r="E9" i="79"/>
  <c r="M9" i="79" s="1"/>
  <c r="B69" i="79"/>
  <c r="F9" i="79"/>
  <c r="E48" i="79" s="1"/>
  <c r="H9" i="79"/>
  <c r="G48" i="79" s="1"/>
  <c r="G9" i="79"/>
  <c r="F48" i="79" s="1"/>
  <c r="D64" i="77"/>
  <c r="K81" i="77"/>
  <c r="D81" i="77" s="1"/>
  <c r="F8" i="79"/>
  <c r="E47" i="79" s="1"/>
  <c r="E8" i="79"/>
  <c r="M8" i="79" s="1"/>
  <c r="H8" i="79"/>
  <c r="G47" i="79" s="1"/>
  <c r="G8" i="79"/>
  <c r="F47" i="79" s="1"/>
  <c r="B68" i="79"/>
  <c r="B73" i="79"/>
  <c r="H13" i="79"/>
  <c r="G52" i="79" s="1"/>
  <c r="G13" i="79"/>
  <c r="F52" i="79" s="1"/>
  <c r="F13" i="79"/>
  <c r="E52" i="79" s="1"/>
  <c r="E13" i="79"/>
  <c r="M13" i="79" s="1"/>
  <c r="M9" i="24"/>
  <c r="J27" i="12"/>
  <c r="L27" i="12" s="1"/>
  <c r="E6" i="15"/>
  <c r="C12" i="15"/>
  <c r="E12" i="15" s="1"/>
  <c r="F40" i="12"/>
  <c r="H40" i="12" s="1"/>
  <c r="G10" i="54"/>
  <c r="F41" i="2"/>
  <c r="F87" i="2"/>
  <c r="C33" i="14"/>
  <c r="E8" i="2"/>
  <c r="G15" i="2"/>
  <c r="F95" i="24"/>
  <c r="B36" i="14"/>
  <c r="G13" i="54"/>
  <c r="F44" i="2"/>
  <c r="F90" i="2"/>
  <c r="F43" i="12"/>
  <c r="H43" i="12" s="1"/>
  <c r="S55" i="2"/>
  <c r="L55" i="2"/>
  <c r="D40" i="2"/>
  <c r="L21" i="12"/>
  <c r="E46" i="24" l="1"/>
  <c r="M46" i="24" s="1"/>
  <c r="H11" i="45"/>
  <c r="I11" i="45" s="1"/>
  <c r="F15" i="15"/>
  <c r="G57" i="2"/>
  <c r="D95" i="77"/>
  <c r="D103" i="77" s="1"/>
  <c r="D106" i="77" s="1"/>
  <c r="G26" i="12"/>
  <c r="I26" i="12" s="1"/>
  <c r="J26" i="12" s="1"/>
  <c r="L26" i="12" s="1"/>
  <c r="I15" i="2"/>
  <c r="F16" i="2" s="1"/>
  <c r="E39" i="24"/>
  <c r="C11" i="15"/>
  <c r="E11" i="15" s="1"/>
  <c r="R14" i="14"/>
  <c r="E53" i="79"/>
  <c r="E56" i="79" s="1"/>
  <c r="B74" i="79"/>
  <c r="F53" i="79"/>
  <c r="F56" i="79" s="1"/>
  <c r="G53" i="79"/>
  <c r="G56" i="79" s="1"/>
  <c r="I8" i="79"/>
  <c r="D33" i="79"/>
  <c r="D38" i="79"/>
  <c r="I13" i="79"/>
  <c r="D37" i="79"/>
  <c r="I12" i="79"/>
  <c r="D35" i="79"/>
  <c r="I10" i="79"/>
  <c r="I9" i="79"/>
  <c r="D34" i="79"/>
  <c r="G37" i="2"/>
  <c r="E37" i="2" s="1"/>
  <c r="P19" i="79"/>
  <c r="D66" i="79"/>
  <c r="I11" i="79"/>
  <c r="D36" i="79"/>
  <c r="I7" i="79"/>
  <c r="D32" i="79"/>
  <c r="F8" i="24"/>
  <c r="G88" i="24"/>
  <c r="B26" i="15"/>
  <c r="Q49" i="14"/>
  <c r="Q29" i="14"/>
  <c r="F40" i="2"/>
  <c r="F86" i="2"/>
  <c r="G9" i="54"/>
  <c r="C32" i="14"/>
  <c r="F39" i="12"/>
  <c r="H39" i="12" s="1"/>
  <c r="B33" i="15"/>
  <c r="F51" i="24"/>
  <c r="Q36" i="14"/>
  <c r="G41" i="2"/>
  <c r="E41" i="2" s="1"/>
  <c r="G23" i="12"/>
  <c r="I23" i="12" s="1"/>
  <c r="G54" i="2"/>
  <c r="D11" i="14"/>
  <c r="H8" i="45"/>
  <c r="Q33" i="14"/>
  <c r="B30" i="15"/>
  <c r="F32" i="24"/>
  <c r="G44" i="2"/>
  <c r="E44" i="2" s="1"/>
  <c r="B52" i="2"/>
  <c r="C52" i="2" s="1"/>
  <c r="B58" i="2"/>
  <c r="C58" i="2" s="1"/>
  <c r="H16" i="2" l="1"/>
  <c r="D48" i="79"/>
  <c r="D52" i="79"/>
  <c r="I52" i="79" s="1"/>
  <c r="K52" i="79" s="1"/>
  <c r="X38" i="79" s="1"/>
  <c r="B57" i="2"/>
  <c r="C57" i="2" s="1"/>
  <c r="I57" i="2" s="1"/>
  <c r="D46" i="79"/>
  <c r="I46" i="79" s="1"/>
  <c r="K46" i="79" s="1"/>
  <c r="X32" i="79" s="1"/>
  <c r="D51" i="79"/>
  <c r="D47" i="79"/>
  <c r="I47" i="79" s="1"/>
  <c r="K47" i="79" s="1"/>
  <c r="X33" i="79" s="1"/>
  <c r="D50" i="79"/>
  <c r="I50" i="79" s="1"/>
  <c r="K50" i="79" s="1"/>
  <c r="X36" i="79" s="1"/>
  <c r="D49" i="79"/>
  <c r="I49" i="79" s="1"/>
  <c r="K49" i="79" s="1"/>
  <c r="X35" i="79" s="1"/>
  <c r="N32" i="24"/>
  <c r="N51" i="24"/>
  <c r="M39" i="24"/>
  <c r="G16" i="2"/>
  <c r="I16" i="2" s="1"/>
  <c r="I37" i="2"/>
  <c r="F26" i="15" s="1"/>
  <c r="I44" i="2"/>
  <c r="F33" i="15" s="1"/>
  <c r="O8" i="24"/>
  <c r="N8" i="24"/>
  <c r="G83" i="2"/>
  <c r="H6" i="54"/>
  <c r="I6" i="54" s="1"/>
  <c r="G36" i="12"/>
  <c r="I36" i="12" s="1"/>
  <c r="E29" i="14"/>
  <c r="P25" i="79"/>
  <c r="I51" i="79"/>
  <c r="K51" i="79" s="1"/>
  <c r="X37" i="79" s="1"/>
  <c r="D72" i="79"/>
  <c r="P26" i="79"/>
  <c r="D73" i="79"/>
  <c r="P21" i="79"/>
  <c r="D68" i="79"/>
  <c r="H94" i="24"/>
  <c r="G94" i="24"/>
  <c r="P20" i="79"/>
  <c r="D67" i="79"/>
  <c r="I45" i="79"/>
  <c r="P24" i="79"/>
  <c r="D71" i="79"/>
  <c r="I41" i="2"/>
  <c r="F30" i="15" s="1"/>
  <c r="P22" i="79"/>
  <c r="I48" i="79"/>
  <c r="K48" i="79" s="1"/>
  <c r="X34" i="79" s="1"/>
  <c r="D69" i="79"/>
  <c r="P23" i="79"/>
  <c r="D70" i="79"/>
  <c r="I8" i="45"/>
  <c r="I15" i="45" s="1"/>
  <c r="I23" i="45" s="1"/>
  <c r="H15" i="45"/>
  <c r="D52" i="2"/>
  <c r="E52" i="2"/>
  <c r="L52" i="2" s="1"/>
  <c r="E36" i="14"/>
  <c r="G43" i="12"/>
  <c r="I43" i="12" s="1"/>
  <c r="G90" i="2"/>
  <c r="H13" i="54"/>
  <c r="I13" i="54" s="1"/>
  <c r="J23" i="12"/>
  <c r="I30" i="12"/>
  <c r="F26" i="24"/>
  <c r="B29" i="15"/>
  <c r="Q32" i="14"/>
  <c r="R11" i="14"/>
  <c r="E21" i="24"/>
  <c r="C8" i="15"/>
  <c r="G40" i="12"/>
  <c r="I40" i="12" s="1"/>
  <c r="G87" i="2"/>
  <c r="D33" i="14"/>
  <c r="H10" i="54"/>
  <c r="I10" i="54" s="1"/>
  <c r="D58" i="2"/>
  <c r="I58" i="2"/>
  <c r="E58" i="2"/>
  <c r="G40" i="2"/>
  <c r="E40" i="2" s="1"/>
  <c r="D57" i="2" l="1"/>
  <c r="E57" i="2"/>
  <c r="M21" i="24"/>
  <c r="N26" i="24"/>
  <c r="J57" i="2"/>
  <c r="D171" i="2"/>
  <c r="D53" i="79"/>
  <c r="D56" i="79" s="1"/>
  <c r="C26" i="15"/>
  <c r="E26" i="15" s="1"/>
  <c r="G89" i="24"/>
  <c r="F9" i="24"/>
  <c r="R49" i="14"/>
  <c r="R29" i="14"/>
  <c r="K45" i="79"/>
  <c r="I53" i="79"/>
  <c r="I56" i="79" s="1"/>
  <c r="J36" i="12"/>
  <c r="L36" i="12" s="1"/>
  <c r="G86" i="2"/>
  <c r="D32" i="14"/>
  <c r="H9" i="54"/>
  <c r="I9" i="54" s="1"/>
  <c r="G39" i="12"/>
  <c r="I39" i="12" s="1"/>
  <c r="D172" i="2"/>
  <c r="J58" i="2"/>
  <c r="E8" i="15"/>
  <c r="E15" i="15" s="1"/>
  <c r="E19" i="15" s="1"/>
  <c r="F19" i="15" s="1"/>
  <c r="C15" i="15"/>
  <c r="L23" i="12"/>
  <c r="J30" i="12"/>
  <c r="R33" i="14"/>
  <c r="C30" i="15"/>
  <c r="E30" i="15" s="1"/>
  <c r="F33" i="24"/>
  <c r="J43" i="12"/>
  <c r="L43" i="12" s="1"/>
  <c r="I40" i="2"/>
  <c r="F29" i="15" s="1"/>
  <c r="J40" i="12"/>
  <c r="L40" i="12" s="1"/>
  <c r="C33" i="15"/>
  <c r="E33" i="15" s="1"/>
  <c r="R36" i="14"/>
  <c r="F52" i="24"/>
  <c r="B87" i="2" l="1"/>
  <c r="C87" i="2" s="1"/>
  <c r="D87" i="2" s="1"/>
  <c r="B83" i="2"/>
  <c r="C83" i="2" s="1"/>
  <c r="E83" i="2" s="1"/>
  <c r="L83" i="2" s="1"/>
  <c r="N52" i="24"/>
  <c r="N33" i="24"/>
  <c r="S57" i="2"/>
  <c r="D42" i="2"/>
  <c r="L57" i="2"/>
  <c r="O9" i="24"/>
  <c r="N9" i="24"/>
  <c r="K53" i="79"/>
  <c r="X31" i="79"/>
  <c r="X41" i="79" s="1"/>
  <c r="H95" i="24"/>
  <c r="G95" i="24"/>
  <c r="D43" i="2"/>
  <c r="S58" i="2"/>
  <c r="L58" i="2"/>
  <c r="C29" i="15"/>
  <c r="E29" i="15" s="1"/>
  <c r="R32" i="14"/>
  <c r="F27" i="24"/>
  <c r="L30" i="12"/>
  <c r="B54" i="2"/>
  <c r="B90" i="2"/>
  <c r="J39" i="12"/>
  <c r="L39" i="12" s="1"/>
  <c r="D83" i="2" l="1"/>
  <c r="B86" i="2"/>
  <c r="N27" i="24"/>
  <c r="F42" i="2"/>
  <c r="B34" i="14"/>
  <c r="F41" i="12"/>
  <c r="H41" i="12" s="1"/>
  <c r="G11" i="54"/>
  <c r="F88" i="2"/>
  <c r="C90" i="2"/>
  <c r="D90" i="2" s="1"/>
  <c r="F89" i="2"/>
  <c r="F43" i="2"/>
  <c r="F42" i="12"/>
  <c r="H42" i="12" s="1"/>
  <c r="B35" i="14"/>
  <c r="G12" i="54"/>
  <c r="C86" i="2"/>
  <c r="D86" i="2" s="1"/>
  <c r="I87" i="2"/>
  <c r="C54" i="2"/>
  <c r="M26" i="12"/>
  <c r="M22" i="12"/>
  <c r="M25" i="12"/>
  <c r="M24" i="12"/>
  <c r="M28" i="12"/>
  <c r="M21" i="12"/>
  <c r="M27" i="12"/>
  <c r="M23" i="12"/>
  <c r="G42" i="2" l="1"/>
  <c r="E42" i="2" s="1"/>
  <c r="Q34" i="14"/>
  <c r="B31" i="15"/>
  <c r="F38" i="24"/>
  <c r="M30" i="12"/>
  <c r="I86" i="2"/>
  <c r="G43" i="2"/>
  <c r="E43" i="2" s="1"/>
  <c r="I90" i="2"/>
  <c r="E90" i="2"/>
  <c r="I54" i="2"/>
  <c r="E54" i="2"/>
  <c r="E170" i="2"/>
  <c r="D54" i="2"/>
  <c r="B32" i="15"/>
  <c r="F45" i="24"/>
  <c r="Q35" i="14"/>
  <c r="N38" i="24" l="1"/>
  <c r="N45" i="24"/>
  <c r="G41" i="12"/>
  <c r="I41" i="12" s="1"/>
  <c r="J41" i="12" s="1"/>
  <c r="L41" i="12" s="1"/>
  <c r="D34" i="14"/>
  <c r="G88" i="2"/>
  <c r="H11" i="54"/>
  <c r="I11" i="54" s="1"/>
  <c r="I42" i="2"/>
  <c r="F31" i="15" s="1"/>
  <c r="H12" i="54"/>
  <c r="I12" i="54" s="1"/>
  <c r="D35" i="14"/>
  <c r="G89" i="2"/>
  <c r="G42" i="12"/>
  <c r="I42" i="12" s="1"/>
  <c r="D168" i="2"/>
  <c r="J54" i="2"/>
  <c r="E169" i="2"/>
  <c r="E173" i="2"/>
  <c r="J90" i="2"/>
  <c r="I43" i="2"/>
  <c r="F32" i="15" s="1"/>
  <c r="B88" i="2" l="1"/>
  <c r="C88" i="2" s="1"/>
  <c r="C31" i="15"/>
  <c r="E31" i="15" s="1"/>
  <c r="R34" i="14"/>
  <c r="F39" i="24"/>
  <c r="L90" i="2"/>
  <c r="D75" i="2"/>
  <c r="S90" i="2"/>
  <c r="C32" i="15"/>
  <c r="E32" i="15" s="1"/>
  <c r="F46" i="24"/>
  <c r="R35" i="14"/>
  <c r="D39" i="2"/>
  <c r="L54" i="2"/>
  <c r="S54" i="2"/>
  <c r="J42" i="12"/>
  <c r="L42" i="12" s="1"/>
  <c r="N46" i="24" l="1"/>
  <c r="N39" i="24"/>
  <c r="I88" i="2"/>
  <c r="E88" i="2"/>
  <c r="D88" i="2"/>
  <c r="B89" i="2"/>
  <c r="C89" i="2" s="1"/>
  <c r="C31" i="14"/>
  <c r="G8" i="54"/>
  <c r="G15" i="54" s="1"/>
  <c r="F85" i="2"/>
  <c r="F39" i="2"/>
  <c r="F38" i="12"/>
  <c r="H38" i="12" s="1"/>
  <c r="H45" i="12" s="1"/>
  <c r="F75" i="2"/>
  <c r="G13" i="63"/>
  <c r="B56" i="14"/>
  <c r="F121" i="2"/>
  <c r="F58" i="12"/>
  <c r="H58" i="12" s="1"/>
  <c r="E171" i="2" l="1"/>
  <c r="J88" i="2"/>
  <c r="F20" i="24"/>
  <c r="Q31" i="14"/>
  <c r="B28" i="15"/>
  <c r="B35" i="15" s="1"/>
  <c r="G51" i="24"/>
  <c r="Q56" i="14"/>
  <c r="B53" i="15"/>
  <c r="G39" i="2"/>
  <c r="I39" i="2" s="1"/>
  <c r="F46" i="2"/>
  <c r="D89" i="2"/>
  <c r="I89" i="2"/>
  <c r="G75" i="2"/>
  <c r="E75" i="2" s="1"/>
  <c r="O51" i="24" l="1"/>
  <c r="N20" i="24"/>
  <c r="I75" i="2"/>
  <c r="F53" i="15" s="1"/>
  <c r="L88" i="2"/>
  <c r="D73" i="2"/>
  <c r="S88" i="2"/>
  <c r="F28" i="15"/>
  <c r="F35" i="15" s="1"/>
  <c r="I46" i="2"/>
  <c r="H47" i="2" s="1"/>
  <c r="E172" i="2"/>
  <c r="E39" i="2"/>
  <c r="G46" i="2"/>
  <c r="G58" i="12"/>
  <c r="I58" i="12" s="1"/>
  <c r="H13" i="63"/>
  <c r="I13" i="63" s="1"/>
  <c r="G121" i="2"/>
  <c r="E56" i="14"/>
  <c r="G47" i="2" l="1"/>
  <c r="F73" i="2"/>
  <c r="F56" i="12"/>
  <c r="H56" i="12" s="1"/>
  <c r="F119" i="2"/>
  <c r="G11" i="63"/>
  <c r="B54" i="14"/>
  <c r="J58" i="12"/>
  <c r="L58" i="12" s="1"/>
  <c r="F47" i="2"/>
  <c r="G52" i="24"/>
  <c r="R56" i="14"/>
  <c r="C53" i="15"/>
  <c r="E53" i="15" s="1"/>
  <c r="G85" i="2"/>
  <c r="G38" i="12"/>
  <c r="I38" i="12" s="1"/>
  <c r="H8" i="54"/>
  <c r="D31" i="14"/>
  <c r="O52" i="24" l="1"/>
  <c r="I47" i="2"/>
  <c r="G38" i="24"/>
  <c r="Q54" i="14"/>
  <c r="B51" i="15"/>
  <c r="G73" i="2"/>
  <c r="E73" i="2" s="1"/>
  <c r="R31" i="14"/>
  <c r="F21" i="24"/>
  <c r="C28" i="15"/>
  <c r="B121" i="2"/>
  <c r="I8" i="54"/>
  <c r="I15" i="54" s="1"/>
  <c r="I23" i="54" s="1"/>
  <c r="H15" i="54"/>
  <c r="J38" i="12"/>
  <c r="I45" i="12"/>
  <c r="O38" i="24" l="1"/>
  <c r="N21" i="24"/>
  <c r="I73" i="2"/>
  <c r="F51" i="15" s="1"/>
  <c r="H11" i="63"/>
  <c r="I11" i="63" s="1"/>
  <c r="G56" i="12"/>
  <c r="I56" i="12" s="1"/>
  <c r="G119" i="2"/>
  <c r="D54" i="14"/>
  <c r="C121" i="2"/>
  <c r="D121" i="2" s="1"/>
  <c r="L38" i="12"/>
  <c r="J45" i="12"/>
  <c r="E28" i="15"/>
  <c r="E35" i="15" s="1"/>
  <c r="E39" i="15" s="1"/>
  <c r="F39" i="15" s="1"/>
  <c r="C35" i="15"/>
  <c r="J56" i="12" l="1"/>
  <c r="L56" i="12" s="1"/>
  <c r="R54" i="14"/>
  <c r="G39" i="24"/>
  <c r="C51" i="15"/>
  <c r="E51" i="15" s="1"/>
  <c r="L45" i="12"/>
  <c r="M38" i="12" s="1"/>
  <c r="B85" i="2"/>
  <c r="C85" i="2" s="1"/>
  <c r="I121" i="2"/>
  <c r="B119" i="2" l="1"/>
  <c r="C119" i="2" s="1"/>
  <c r="D119" i="2" s="1"/>
  <c r="O39" i="24"/>
  <c r="F173" i="2"/>
  <c r="M36" i="12"/>
  <c r="M37" i="12"/>
  <c r="M41" i="12"/>
  <c r="M43" i="12"/>
  <c r="M40" i="12"/>
  <c r="M39" i="12"/>
  <c r="M42" i="12"/>
  <c r="D85" i="2"/>
  <c r="I85" i="2"/>
  <c r="I119" i="2" l="1"/>
  <c r="M45" i="12"/>
  <c r="E168" i="2"/>
  <c r="F171" i="2" l="1"/>
  <c r="E106" i="7" l="1"/>
  <c r="E108" i="7"/>
  <c r="H43" i="7" l="1"/>
  <c r="E102" i="7"/>
  <c r="E107" i="7"/>
  <c r="H48" i="7"/>
  <c r="E103" i="7"/>
  <c r="H44" i="7"/>
  <c r="E101" i="7"/>
  <c r="H46" i="7"/>
  <c r="E105" i="7"/>
  <c r="H45" i="7"/>
  <c r="E104" i="7"/>
  <c r="P48" i="7" l="1"/>
  <c r="I48" i="7"/>
  <c r="K48" i="7" s="1"/>
  <c r="T48" i="7"/>
  <c r="P45" i="7"/>
  <c r="T45" i="7"/>
  <c r="I45" i="7"/>
  <c r="K45" i="7" s="1"/>
  <c r="T44" i="7"/>
  <c r="I44" i="7"/>
  <c r="K44" i="7" s="1"/>
  <c r="P44" i="7"/>
  <c r="P46" i="7"/>
  <c r="T46" i="7"/>
  <c r="I46" i="7"/>
  <c r="K46" i="7" s="1"/>
  <c r="T43" i="7"/>
  <c r="P43" i="7"/>
  <c r="I43" i="7"/>
  <c r="E8" i="77" l="1"/>
  <c r="G69" i="24"/>
  <c r="B72" i="2"/>
  <c r="E117" i="7"/>
  <c r="G68" i="24"/>
  <c r="B71" i="2"/>
  <c r="E7" i="77"/>
  <c r="E116" i="7"/>
  <c r="G71" i="24"/>
  <c r="B74" i="2"/>
  <c r="E10" i="77"/>
  <c r="E119" i="7"/>
  <c r="I51" i="7"/>
  <c r="K43" i="7"/>
  <c r="B70" i="2"/>
  <c r="E115" i="7"/>
  <c r="G67" i="24"/>
  <c r="E6" i="77"/>
  <c r="B69" i="2" l="1"/>
  <c r="K51" i="7"/>
  <c r="E114" i="7"/>
  <c r="E122" i="7" s="1"/>
  <c r="E132" i="7" s="1"/>
  <c r="E5" i="77"/>
  <c r="G66" i="24"/>
  <c r="E34" i="77"/>
  <c r="E31" i="77"/>
  <c r="E87" i="2"/>
  <c r="J87" i="2"/>
  <c r="E30" i="77"/>
  <c r="E89" i="2"/>
  <c r="J89" i="2"/>
  <c r="E86" i="2"/>
  <c r="J86" i="2"/>
  <c r="E85" i="2"/>
  <c r="J85" i="2"/>
  <c r="E32" i="77"/>
  <c r="E127" i="7" l="1"/>
  <c r="E133" i="7"/>
  <c r="E131" i="7"/>
  <c r="E126" i="7"/>
  <c r="D74" i="2"/>
  <c r="L89" i="2"/>
  <c r="S89" i="2"/>
  <c r="E129" i="7"/>
  <c r="E29" i="77"/>
  <c r="E12" i="77"/>
  <c r="E128" i="7"/>
  <c r="D70" i="2"/>
  <c r="L85" i="2"/>
  <c r="S85" i="2"/>
  <c r="E58" i="77"/>
  <c r="E49" i="77"/>
  <c r="E47" i="77"/>
  <c r="E60" i="77" s="1"/>
  <c r="S86" i="2"/>
  <c r="L86" i="2"/>
  <c r="D71" i="2"/>
  <c r="E130" i="7"/>
  <c r="S87" i="2"/>
  <c r="D72" i="2"/>
  <c r="L87" i="2"/>
  <c r="E46" i="77"/>
  <c r="E59" i="77" s="1"/>
  <c r="G73" i="24"/>
  <c r="O66" i="24" s="1"/>
  <c r="B77" i="2"/>
  <c r="C69" i="2" s="1"/>
  <c r="J84" i="2"/>
  <c r="E84" i="2"/>
  <c r="C73" i="2" l="1"/>
  <c r="C68" i="2"/>
  <c r="C75" i="2"/>
  <c r="C70" i="2"/>
  <c r="C72" i="2"/>
  <c r="C74" i="2"/>
  <c r="C71" i="2"/>
  <c r="L84" i="77"/>
  <c r="E84" i="77" s="1"/>
  <c r="F55" i="12"/>
  <c r="H55" i="12" s="1"/>
  <c r="G10" i="63"/>
  <c r="C53" i="14"/>
  <c r="F118" i="2"/>
  <c r="F72" i="2"/>
  <c r="L83" i="77"/>
  <c r="E83" i="77" s="1"/>
  <c r="E135" i="7"/>
  <c r="E51" i="77"/>
  <c r="L85" i="77"/>
  <c r="E85" i="77" s="1"/>
  <c r="E62" i="77"/>
  <c r="L84" i="2"/>
  <c r="S84" i="2"/>
  <c r="D69" i="2"/>
  <c r="O72" i="24"/>
  <c r="O65" i="24"/>
  <c r="O70" i="24"/>
  <c r="O67" i="24"/>
  <c r="O68" i="24"/>
  <c r="O69" i="24"/>
  <c r="O71" i="24"/>
  <c r="G9" i="63"/>
  <c r="F71" i="2"/>
  <c r="F117" i="2"/>
  <c r="C52" i="14"/>
  <c r="F54" i="12"/>
  <c r="H54" i="12" s="1"/>
  <c r="F116" i="2"/>
  <c r="C51" i="14"/>
  <c r="F70" i="2"/>
  <c r="G8" i="63"/>
  <c r="F53" i="12"/>
  <c r="H53" i="12" s="1"/>
  <c r="E57" i="77"/>
  <c r="E36" i="77"/>
  <c r="F74" i="2"/>
  <c r="G12" i="63"/>
  <c r="F120" i="2"/>
  <c r="F57" i="12"/>
  <c r="H57" i="12" s="1"/>
  <c r="B55" i="14"/>
  <c r="E98" i="77" l="1"/>
  <c r="E97" i="77"/>
  <c r="E99" i="77"/>
  <c r="L82" i="77"/>
  <c r="E82" i="77" s="1"/>
  <c r="E64" i="77"/>
  <c r="G7" i="63"/>
  <c r="G15" i="63" s="1"/>
  <c r="C50" i="14"/>
  <c r="F69" i="2"/>
  <c r="F115" i="2"/>
  <c r="F52" i="12"/>
  <c r="H52" i="12" s="1"/>
  <c r="H60" i="12" s="1"/>
  <c r="G32" i="24"/>
  <c r="Q53" i="14"/>
  <c r="B50" i="15"/>
  <c r="G70" i="2"/>
  <c r="E70" i="2" s="1"/>
  <c r="Q52" i="14"/>
  <c r="B49" i="15"/>
  <c r="G26" i="24"/>
  <c r="L87" i="77"/>
  <c r="E87" i="77" s="1"/>
  <c r="B48" i="15"/>
  <c r="G20" i="24"/>
  <c r="Q51" i="14"/>
  <c r="O73" i="24"/>
  <c r="G72" i="2"/>
  <c r="E72" i="2" s="1"/>
  <c r="C77" i="2"/>
  <c r="Q55" i="14"/>
  <c r="B52" i="15"/>
  <c r="G45" i="24"/>
  <c r="G74" i="2"/>
  <c r="E74" i="2" s="1"/>
  <c r="G71" i="2"/>
  <c r="E71" i="2" s="1"/>
  <c r="E96" i="77" l="1"/>
  <c r="E101" i="77"/>
  <c r="O20" i="24"/>
  <c r="O45" i="24"/>
  <c r="O32" i="24"/>
  <c r="O26" i="24"/>
  <c r="I71" i="2"/>
  <c r="F49" i="15" s="1"/>
  <c r="I70" i="2"/>
  <c r="F48" i="15" s="1"/>
  <c r="G57" i="12"/>
  <c r="I57" i="12" s="1"/>
  <c r="D55" i="14"/>
  <c r="H12" i="63"/>
  <c r="I12" i="63" s="1"/>
  <c r="G120" i="2"/>
  <c r="G117" i="2"/>
  <c r="H9" i="63"/>
  <c r="I9" i="63" s="1"/>
  <c r="D52" i="14"/>
  <c r="G54" i="12"/>
  <c r="I54" i="12" s="1"/>
  <c r="I74" i="2"/>
  <c r="F52" i="15" s="1"/>
  <c r="B47" i="15"/>
  <c r="B55" i="15" s="1"/>
  <c r="G14" i="24"/>
  <c r="Q50" i="14"/>
  <c r="H10" i="63"/>
  <c r="I10" i="63" s="1"/>
  <c r="D53" i="14"/>
  <c r="G118" i="2"/>
  <c r="G55" i="12"/>
  <c r="I55" i="12" s="1"/>
  <c r="H8" i="63"/>
  <c r="I8" i="63" s="1"/>
  <c r="D51" i="14"/>
  <c r="G53" i="12"/>
  <c r="I53" i="12" s="1"/>
  <c r="G116" i="2"/>
  <c r="I72" i="2"/>
  <c r="F50" i="15" s="1"/>
  <c r="F77" i="2"/>
  <c r="G69" i="2"/>
  <c r="E103" i="77" l="1"/>
  <c r="E106" i="77" s="1"/>
  <c r="O14" i="24"/>
  <c r="E69" i="2"/>
  <c r="G77" i="2"/>
  <c r="G33" i="24"/>
  <c r="R53" i="14"/>
  <c r="C50" i="15"/>
  <c r="E50" i="15" s="1"/>
  <c r="I69" i="2"/>
  <c r="J53" i="12"/>
  <c r="L53" i="12" s="1"/>
  <c r="J55" i="12"/>
  <c r="L55" i="12" s="1"/>
  <c r="R55" i="14"/>
  <c r="G46" i="24"/>
  <c r="C52" i="15"/>
  <c r="E52" i="15" s="1"/>
  <c r="J54" i="12"/>
  <c r="L54" i="12" s="1"/>
  <c r="R52" i="14"/>
  <c r="G27" i="24"/>
  <c r="C49" i="15"/>
  <c r="E49" i="15" s="1"/>
  <c r="C48" i="15"/>
  <c r="E48" i="15" s="1"/>
  <c r="G21" i="24"/>
  <c r="R51" i="14"/>
  <c r="J57" i="12"/>
  <c r="L57" i="12" s="1"/>
  <c r="B118" i="2" l="1"/>
  <c r="C118" i="2" s="1"/>
  <c r="I118" i="2" s="1"/>
  <c r="B117" i="2"/>
  <c r="C117" i="2" s="1"/>
  <c r="I117" i="2" s="1"/>
  <c r="B120" i="2"/>
  <c r="C120" i="2" s="1"/>
  <c r="I120" i="2" s="1"/>
  <c r="B116" i="2"/>
  <c r="C116" i="2" s="1"/>
  <c r="I116" i="2" s="1"/>
  <c r="O33" i="24"/>
  <c r="O46" i="24"/>
  <c r="O27" i="24"/>
  <c r="O21" i="24"/>
  <c r="D118" i="2"/>
  <c r="F47" i="15"/>
  <c r="F55" i="15" s="1"/>
  <c r="I77" i="2"/>
  <c r="G78" i="2" s="1"/>
  <c r="G115" i="2"/>
  <c r="E50" i="14"/>
  <c r="G52" i="12"/>
  <c r="I52" i="12" s="1"/>
  <c r="H7" i="63"/>
  <c r="D117" i="2" l="1"/>
  <c r="D120" i="2"/>
  <c r="F168" i="2"/>
  <c r="F172" i="2"/>
  <c r="I7" i="63"/>
  <c r="I15" i="63" s="1"/>
  <c r="I23" i="63" s="1"/>
  <c r="H15" i="63"/>
  <c r="F169" i="2"/>
  <c r="J52" i="12"/>
  <c r="I60" i="12"/>
  <c r="F170" i="2"/>
  <c r="R50" i="14"/>
  <c r="G15" i="24"/>
  <c r="C47" i="15"/>
  <c r="H78" i="2"/>
  <c r="F78" i="2"/>
  <c r="D116" i="2"/>
  <c r="O15" i="24" l="1"/>
  <c r="E47" i="15"/>
  <c r="E55" i="15" s="1"/>
  <c r="E59" i="15" s="1"/>
  <c r="F59" i="15" s="1"/>
  <c r="C55" i="15"/>
  <c r="L52" i="12"/>
  <c r="J60" i="12"/>
  <c r="I78" i="2"/>
  <c r="B115" i="2" l="1"/>
  <c r="L60" i="12"/>
  <c r="M52" i="12" s="1"/>
  <c r="M56" i="12" l="1"/>
  <c r="M51" i="12"/>
  <c r="M58" i="12"/>
  <c r="M53" i="12"/>
  <c r="M54" i="12"/>
  <c r="M57" i="12"/>
  <c r="M55" i="12"/>
  <c r="C115" i="2"/>
  <c r="D115" i="2" s="1"/>
  <c r="M60" i="12" l="1"/>
  <c r="T78" i="7" l="1"/>
  <c r="P78" i="7"/>
  <c r="B23" i="17" l="1"/>
  <c r="I25" i="27"/>
  <c r="I26" i="27" s="1"/>
  <c r="D16" i="7"/>
  <c r="D18" i="7" s="1"/>
  <c r="D34" i="7"/>
  <c r="D36" i="7" s="1"/>
  <c r="C23" i="17"/>
  <c r="I25" i="45"/>
  <c r="I26" i="45" s="1"/>
  <c r="D23" i="17" l="1"/>
  <c r="D53" i="7"/>
  <c r="D55" i="7" s="1"/>
  <c r="I25" i="54"/>
  <c r="I26" i="54" s="1"/>
  <c r="I25" i="72"/>
  <c r="D89" i="7"/>
  <c r="F23" i="17"/>
  <c r="E23" i="17"/>
  <c r="I25" i="63"/>
  <c r="I26" i="63" s="1"/>
  <c r="D71" i="7"/>
  <c r="B22" i="17" l="1"/>
  <c r="B7" i="17"/>
  <c r="B16" i="7"/>
  <c r="B18" i="7" s="1"/>
  <c r="I28" i="27"/>
  <c r="I30" i="27" s="1"/>
  <c r="I33" i="27" l="1"/>
  <c r="I36" i="27" s="1"/>
  <c r="L31" i="27"/>
  <c r="B24" i="17"/>
  <c r="O15" i="12"/>
  <c r="K16" i="7"/>
  <c r="K18" i="7" s="1"/>
  <c r="C14" i="7"/>
  <c r="B11" i="17"/>
  <c r="K15" i="2" l="1"/>
  <c r="L15" i="2" s="1"/>
  <c r="B28" i="17"/>
  <c r="C6" i="7"/>
  <c r="E6" i="7" s="1"/>
  <c r="F6" i="7" s="1"/>
  <c r="O6" i="7" s="1"/>
  <c r="C8" i="7"/>
  <c r="E8" i="7" s="1"/>
  <c r="F8" i="7" s="1"/>
  <c r="O8" i="7" s="1"/>
  <c r="C5" i="7"/>
  <c r="E5" i="7" s="1"/>
  <c r="C9" i="7"/>
  <c r="E9" i="7" s="1"/>
  <c r="F9" i="7" s="1"/>
  <c r="O9" i="7" s="1"/>
  <c r="C11" i="7"/>
  <c r="E11" i="7" s="1"/>
  <c r="F11" i="7" s="1"/>
  <c r="O11" i="7" s="1"/>
  <c r="C10" i="7"/>
  <c r="E10" i="7" s="1"/>
  <c r="F10" i="7" s="1"/>
  <c r="O10" i="7" s="1"/>
  <c r="C7" i="7"/>
  <c r="E7" i="7" s="1"/>
  <c r="F7" i="7" s="1"/>
  <c r="O7" i="7" s="1"/>
  <c r="C12" i="7"/>
  <c r="E12" i="7" s="1"/>
  <c r="F12" i="7" s="1"/>
  <c r="O12" i="7" s="1"/>
  <c r="E14" i="7" l="1"/>
  <c r="F5" i="7"/>
  <c r="O5" i="7" s="1"/>
  <c r="J80" i="7" l="1"/>
  <c r="J84" i="7"/>
  <c r="J83" i="7"/>
  <c r="J82" i="7"/>
  <c r="J85" i="7"/>
  <c r="J79" i="7"/>
  <c r="J61" i="7"/>
  <c r="J62" i="7"/>
  <c r="J65" i="7"/>
  <c r="J67" i="7"/>
  <c r="J66" i="7"/>
  <c r="J81" i="7" l="1"/>
  <c r="J78" i="7"/>
  <c r="J63" i="7"/>
  <c r="J64" i="7"/>
  <c r="D87" i="7" l="1"/>
  <c r="D91" i="7" s="1"/>
  <c r="J87" i="7"/>
  <c r="J60" i="7"/>
  <c r="J69" i="7" s="1"/>
  <c r="D69" i="7"/>
  <c r="D73" i="7" s="1"/>
  <c r="P116" i="2" l="1"/>
  <c r="P120" i="2"/>
  <c r="R120" i="2" s="1"/>
  <c r="P121" i="2"/>
  <c r="P115" i="2"/>
  <c r="P119" i="2"/>
  <c r="R119" i="2" s="1"/>
  <c r="P118" i="2"/>
  <c r="P117" i="2"/>
  <c r="R117" i="2" s="1"/>
  <c r="R118" i="2" l="1"/>
  <c r="R115" i="2"/>
  <c r="R121" i="2"/>
  <c r="I67" i="7"/>
  <c r="K67" i="7" s="1"/>
  <c r="R116" i="2"/>
  <c r="P149" i="2" l="1"/>
  <c r="P152" i="2"/>
  <c r="P151" i="2"/>
  <c r="P148" i="2"/>
  <c r="P150" i="2"/>
  <c r="P147" i="2"/>
  <c r="R147" i="2" s="1"/>
  <c r="P146" i="2"/>
  <c r="R146" i="2" s="1"/>
  <c r="I60" i="7"/>
  <c r="B69" i="7"/>
  <c r="B106" i="2"/>
  <c r="F11" i="77"/>
  <c r="F120" i="7"/>
  <c r="H72" i="24"/>
  <c r="R149" i="2" l="1"/>
  <c r="R151" i="2"/>
  <c r="R148" i="2"/>
  <c r="R152" i="2"/>
  <c r="R150" i="2"/>
  <c r="K60" i="7"/>
  <c r="P114" i="2"/>
  <c r="R114" i="2" s="1"/>
  <c r="F35" i="77"/>
  <c r="F108" i="7"/>
  <c r="E121" i="2"/>
  <c r="J121" i="2"/>
  <c r="B87" i="7" l="1"/>
  <c r="I78" i="7"/>
  <c r="H65" i="7"/>
  <c r="F106" i="7"/>
  <c r="H64" i="7"/>
  <c r="F105" i="7"/>
  <c r="H61" i="7"/>
  <c r="F102" i="7"/>
  <c r="F63" i="77"/>
  <c r="F104" i="7"/>
  <c r="H63" i="7"/>
  <c r="H66" i="7"/>
  <c r="F107" i="7"/>
  <c r="F101" i="7"/>
  <c r="L121" i="2"/>
  <c r="D106" i="2"/>
  <c r="S121" i="2"/>
  <c r="H62" i="7"/>
  <c r="F103" i="7"/>
  <c r="F4" i="77"/>
  <c r="F113" i="7"/>
  <c r="H65" i="24"/>
  <c r="B99" i="2"/>
  <c r="K78" i="7" l="1"/>
  <c r="P145" i="2"/>
  <c r="R145" i="2" s="1"/>
  <c r="E114" i="2"/>
  <c r="J114" i="2"/>
  <c r="T62" i="7"/>
  <c r="P62" i="7"/>
  <c r="I62" i="7"/>
  <c r="K62" i="7" s="1"/>
  <c r="M88" i="77"/>
  <c r="F88" i="77" s="1"/>
  <c r="P64" i="7"/>
  <c r="T64" i="7"/>
  <c r="I64" i="7"/>
  <c r="K64" i="7" s="1"/>
  <c r="P66" i="7"/>
  <c r="T66" i="7"/>
  <c r="I66" i="7"/>
  <c r="K66" i="7" s="1"/>
  <c r="F28" i="77"/>
  <c r="F152" i="2"/>
  <c r="B76" i="14"/>
  <c r="F106" i="2"/>
  <c r="F73" i="12"/>
  <c r="H73" i="12" s="1"/>
  <c r="G13" i="72"/>
  <c r="P63" i="7"/>
  <c r="T63" i="7"/>
  <c r="I63" i="7"/>
  <c r="K63" i="7" s="1"/>
  <c r="T61" i="7"/>
  <c r="P61" i="7"/>
  <c r="I61" i="7"/>
  <c r="T65" i="7"/>
  <c r="P65" i="7"/>
  <c r="I65" i="7"/>
  <c r="K65" i="7" s="1"/>
  <c r="G113" i="7" l="1"/>
  <c r="I65" i="24"/>
  <c r="G4" i="77"/>
  <c r="B130" i="2"/>
  <c r="G106" i="2"/>
  <c r="E106" i="2" s="1"/>
  <c r="F8" i="77"/>
  <c r="F117" i="7"/>
  <c r="H69" i="24"/>
  <c r="B103" i="2"/>
  <c r="F102" i="77"/>
  <c r="B104" i="2"/>
  <c r="F9" i="77"/>
  <c r="F118" i="7"/>
  <c r="H70" i="24"/>
  <c r="F116" i="7"/>
  <c r="H68" i="24"/>
  <c r="F7" i="77"/>
  <c r="B102" i="2"/>
  <c r="B73" i="15"/>
  <c r="H51" i="24"/>
  <c r="Q76" i="14"/>
  <c r="F56" i="77"/>
  <c r="F10" i="77"/>
  <c r="F119" i="7"/>
  <c r="H71" i="24"/>
  <c r="B105" i="2"/>
  <c r="H67" i="24"/>
  <c r="B101" i="2"/>
  <c r="F115" i="7"/>
  <c r="F6" i="77"/>
  <c r="S114" i="2"/>
  <c r="L114" i="2"/>
  <c r="D99" i="2"/>
  <c r="K61" i="7"/>
  <c r="I69" i="7"/>
  <c r="I106" i="2" l="1"/>
  <c r="F73" i="15" s="1"/>
  <c r="J145" i="2"/>
  <c r="G28" i="77"/>
  <c r="I4" i="77"/>
  <c r="M81" i="77"/>
  <c r="F81" i="77" s="1"/>
  <c r="E117" i="2"/>
  <c r="J117" i="2"/>
  <c r="F34" i="77"/>
  <c r="F31" i="77"/>
  <c r="F32" i="77"/>
  <c r="F30" i="77"/>
  <c r="F5" i="77"/>
  <c r="H66" i="24"/>
  <c r="B100" i="2"/>
  <c r="F114" i="7"/>
  <c r="K69" i="7"/>
  <c r="E116" i="2"/>
  <c r="J116" i="2"/>
  <c r="E120" i="2"/>
  <c r="J120" i="2"/>
  <c r="P51" i="24"/>
  <c r="F33" i="77"/>
  <c r="E118" i="2"/>
  <c r="J118" i="2"/>
  <c r="H13" i="72"/>
  <c r="I13" i="72" s="1"/>
  <c r="G152" i="2"/>
  <c r="G73" i="12"/>
  <c r="I73" i="12" s="1"/>
  <c r="J73" i="12" s="1"/>
  <c r="L73" i="12" s="1"/>
  <c r="E76" i="14"/>
  <c r="G6" i="72"/>
  <c r="F145" i="2"/>
  <c r="F99" i="2"/>
  <c r="C69" i="14"/>
  <c r="F66" i="12"/>
  <c r="H66" i="12" s="1"/>
  <c r="J119" i="2"/>
  <c r="E119" i="2"/>
  <c r="G56" i="77" l="1"/>
  <c r="I28" i="77"/>
  <c r="L43" i="77" s="1"/>
  <c r="S145" i="2"/>
  <c r="D130" i="2"/>
  <c r="L119" i="2"/>
  <c r="D104" i="2"/>
  <c r="S119" i="2"/>
  <c r="H8" i="24"/>
  <c r="Q69" i="14"/>
  <c r="I88" i="24"/>
  <c r="B66" i="15"/>
  <c r="B152" i="2"/>
  <c r="L120" i="2"/>
  <c r="D105" i="2"/>
  <c r="S120" i="2"/>
  <c r="F122" i="7"/>
  <c r="F127" i="7" s="1"/>
  <c r="F47" i="77"/>
  <c r="G99" i="2"/>
  <c r="I99" i="2" s="1"/>
  <c r="F48" i="77"/>
  <c r="D101" i="2"/>
  <c r="S116" i="2"/>
  <c r="L116" i="2"/>
  <c r="E115" i="2"/>
  <c r="J115" i="2"/>
  <c r="B108" i="2"/>
  <c r="C100" i="2" s="1"/>
  <c r="F49" i="77"/>
  <c r="L118" i="2"/>
  <c r="D103" i="2"/>
  <c r="S118" i="2"/>
  <c r="H73" i="24"/>
  <c r="P66" i="24" s="1"/>
  <c r="F58" i="77"/>
  <c r="L117" i="2"/>
  <c r="D102" i="2"/>
  <c r="S117" i="2"/>
  <c r="F95" i="77"/>
  <c r="C73" i="15"/>
  <c r="E73" i="15" s="1"/>
  <c r="H52" i="24"/>
  <c r="R76" i="14"/>
  <c r="F29" i="77"/>
  <c r="F12" i="77"/>
  <c r="F46" i="77"/>
  <c r="F59" i="77" s="1"/>
  <c r="C89" i="14" l="1"/>
  <c r="F130" i="2"/>
  <c r="L56" i="77"/>
  <c r="N81" i="77"/>
  <c r="G81" i="77" s="1"/>
  <c r="I56" i="77"/>
  <c r="M84" i="77"/>
  <c r="F84" i="77" s="1"/>
  <c r="F57" i="77"/>
  <c r="F36" i="77"/>
  <c r="P52" i="24"/>
  <c r="M83" i="77"/>
  <c r="F83" i="77" s="1"/>
  <c r="F103" i="2"/>
  <c r="F70" i="12"/>
  <c r="H70" i="12" s="1"/>
  <c r="C73" i="14"/>
  <c r="F149" i="2"/>
  <c r="G10" i="72"/>
  <c r="F62" i="77"/>
  <c r="F61" i="77"/>
  <c r="E99" i="2"/>
  <c r="P8" i="24"/>
  <c r="F51" i="77"/>
  <c r="F148" i="2"/>
  <c r="G9" i="72"/>
  <c r="F102" i="2"/>
  <c r="C72" i="14"/>
  <c r="F69" i="12"/>
  <c r="H69" i="12" s="1"/>
  <c r="F60" i="77"/>
  <c r="B75" i="14"/>
  <c r="F72" i="12"/>
  <c r="H72" i="12" s="1"/>
  <c r="F151" i="2"/>
  <c r="F105" i="2"/>
  <c r="G12" i="72"/>
  <c r="C152" i="2"/>
  <c r="D152" i="2" s="1"/>
  <c r="P70" i="24"/>
  <c r="P72" i="24"/>
  <c r="P65" i="24"/>
  <c r="P68" i="24"/>
  <c r="P69" i="24"/>
  <c r="P67" i="24"/>
  <c r="P71" i="24"/>
  <c r="C106" i="2"/>
  <c r="C99" i="2"/>
  <c r="C105" i="2"/>
  <c r="C102" i="2"/>
  <c r="C103" i="2"/>
  <c r="C104" i="2"/>
  <c r="C101" i="2"/>
  <c r="S115" i="2"/>
  <c r="L115" i="2"/>
  <c r="D100" i="2"/>
  <c r="G8" i="72"/>
  <c r="C71" i="14"/>
  <c r="F147" i="2"/>
  <c r="F101" i="2"/>
  <c r="F68" i="12"/>
  <c r="H68" i="12" s="1"/>
  <c r="F133" i="7"/>
  <c r="F126" i="7"/>
  <c r="F132" i="7"/>
  <c r="F130" i="7"/>
  <c r="F131" i="7"/>
  <c r="F128" i="7"/>
  <c r="F129" i="7"/>
  <c r="I94" i="24"/>
  <c r="F71" i="12"/>
  <c r="H71" i="12" s="1"/>
  <c r="G11" i="72"/>
  <c r="F150" i="2"/>
  <c r="F104" i="2"/>
  <c r="B74" i="14"/>
  <c r="F66" i="15"/>
  <c r="G130" i="2" l="1"/>
  <c r="E130" i="2" s="1"/>
  <c r="J88" i="24"/>
  <c r="J94" i="24" s="1"/>
  <c r="B86" i="15"/>
  <c r="I8" i="24"/>
  <c r="Q89" i="14"/>
  <c r="G95" i="77"/>
  <c r="G104" i="2"/>
  <c r="E104" i="2" s="1"/>
  <c r="F135" i="7"/>
  <c r="Q71" i="14"/>
  <c r="B68" i="15"/>
  <c r="H20" i="24"/>
  <c r="P73" i="24"/>
  <c r="Q75" i="14"/>
  <c r="H45" i="24"/>
  <c r="B72" i="15"/>
  <c r="B69" i="15"/>
  <c r="H26" i="24"/>
  <c r="Q72" i="14"/>
  <c r="M86" i="77"/>
  <c r="F86" i="77" s="1"/>
  <c r="Q74" i="14"/>
  <c r="H38" i="24"/>
  <c r="B71" i="15"/>
  <c r="G105" i="2"/>
  <c r="E105" i="2" s="1"/>
  <c r="G102" i="2"/>
  <c r="M87" i="77"/>
  <c r="F87" i="77" s="1"/>
  <c r="H32" i="24"/>
  <c r="Q73" i="14"/>
  <c r="B70" i="15"/>
  <c r="F97" i="77"/>
  <c r="G101" i="2"/>
  <c r="E101" i="2" s="1"/>
  <c r="F100" i="2"/>
  <c r="F146" i="2"/>
  <c r="G7" i="72"/>
  <c r="F67" i="12"/>
  <c r="H67" i="12" s="1"/>
  <c r="C70" i="14"/>
  <c r="C108" i="2"/>
  <c r="I152" i="2"/>
  <c r="M85" i="77"/>
  <c r="F85" i="77" s="1"/>
  <c r="M82" i="77"/>
  <c r="F82" i="77" s="1"/>
  <c r="F64" i="77"/>
  <c r="E69" i="14"/>
  <c r="G145" i="2"/>
  <c r="G66" i="12"/>
  <c r="I66" i="12" s="1"/>
  <c r="H6" i="72"/>
  <c r="G103" i="2"/>
  <c r="E103" i="2" s="1"/>
  <c r="F98" i="77"/>
  <c r="I101" i="2" l="1"/>
  <c r="F68" i="15" s="1"/>
  <c r="I130" i="2"/>
  <c r="F86" i="15" s="1"/>
  <c r="R8" i="24"/>
  <c r="Q8" i="24"/>
  <c r="I95" i="77"/>
  <c r="K95" i="77" s="1"/>
  <c r="E89" i="14"/>
  <c r="R89" i="14" s="1"/>
  <c r="R69" i="14"/>
  <c r="C66" i="15"/>
  <c r="I89" i="24"/>
  <c r="H9" i="24"/>
  <c r="F101" i="77"/>
  <c r="P38" i="24"/>
  <c r="P26" i="24"/>
  <c r="G70" i="12"/>
  <c r="I70" i="12" s="1"/>
  <c r="G149" i="2"/>
  <c r="H10" i="72"/>
  <c r="I10" i="72" s="1"/>
  <c r="D73" i="14"/>
  <c r="I6" i="72"/>
  <c r="F99" i="77"/>
  <c r="B67" i="15"/>
  <c r="Q70" i="14"/>
  <c r="H14" i="24"/>
  <c r="F108" i="2"/>
  <c r="G100" i="2"/>
  <c r="I100" i="2" s="1"/>
  <c r="I102" i="2"/>
  <c r="F69" i="15" s="1"/>
  <c r="E102" i="2"/>
  <c r="K102" i="2"/>
  <c r="I105" i="2"/>
  <c r="F72" i="15" s="1"/>
  <c r="F100" i="77"/>
  <c r="P20" i="24"/>
  <c r="G150" i="2"/>
  <c r="D74" i="14"/>
  <c r="H11" i="72"/>
  <c r="I11" i="72" s="1"/>
  <c r="G71" i="12"/>
  <c r="I71" i="12" s="1"/>
  <c r="J66" i="12"/>
  <c r="F96" i="77"/>
  <c r="H75" i="12"/>
  <c r="G68" i="12"/>
  <c r="I68" i="12" s="1"/>
  <c r="H8" i="72"/>
  <c r="I8" i="72" s="1"/>
  <c r="D71" i="14"/>
  <c r="G147" i="2"/>
  <c r="P32" i="24"/>
  <c r="I103" i="2"/>
  <c r="F70" i="15" s="1"/>
  <c r="G173" i="2"/>
  <c r="G15" i="72"/>
  <c r="G72" i="12"/>
  <c r="I72" i="12" s="1"/>
  <c r="G151" i="2"/>
  <c r="H12" i="72"/>
  <c r="I12" i="72" s="1"/>
  <c r="D75" i="14"/>
  <c r="X81" i="77"/>
  <c r="P45" i="24"/>
  <c r="I104" i="2"/>
  <c r="F71" i="15" s="1"/>
  <c r="I9" i="24" l="1"/>
  <c r="J89" i="24"/>
  <c r="C86" i="15"/>
  <c r="E86" i="15" s="1"/>
  <c r="F67" i="15"/>
  <c r="F75" i="15" s="1"/>
  <c r="I108" i="2"/>
  <c r="H109" i="2" s="1"/>
  <c r="C68" i="15"/>
  <c r="E68" i="15" s="1"/>
  <c r="H21" i="24"/>
  <c r="R71" i="14"/>
  <c r="F103" i="77"/>
  <c r="F106" i="77" s="1"/>
  <c r="H39" i="24"/>
  <c r="R74" i="14"/>
  <c r="C71" i="15"/>
  <c r="E71" i="15" s="1"/>
  <c r="G148" i="2"/>
  <c r="H9" i="72"/>
  <c r="I9" i="72" s="1"/>
  <c r="D72" i="14"/>
  <c r="G69" i="12"/>
  <c r="I69" i="12" s="1"/>
  <c r="J69" i="12" s="1"/>
  <c r="L69" i="12" s="1"/>
  <c r="F109" i="2"/>
  <c r="P14" i="24"/>
  <c r="C70" i="15"/>
  <c r="E70" i="15" s="1"/>
  <c r="H33" i="24"/>
  <c r="R73" i="14"/>
  <c r="L66" i="12"/>
  <c r="P9" i="24"/>
  <c r="Q9" i="24"/>
  <c r="J72" i="12"/>
  <c r="L72" i="12" s="1"/>
  <c r="B151" i="2" s="1"/>
  <c r="J68" i="12"/>
  <c r="L68" i="12" s="1"/>
  <c r="B147" i="2" s="1"/>
  <c r="J71" i="12"/>
  <c r="L71" i="12" s="1"/>
  <c r="B75" i="15"/>
  <c r="I95" i="24"/>
  <c r="J95" i="24"/>
  <c r="C72" i="15"/>
  <c r="E72" i="15" s="1"/>
  <c r="H46" i="24"/>
  <c r="R75" i="14"/>
  <c r="E100" i="2"/>
  <c r="G108" i="2"/>
  <c r="G109" i="2" s="1"/>
  <c r="J70" i="12"/>
  <c r="L70" i="12" s="1"/>
  <c r="B149" i="2" s="1"/>
  <c r="E66" i="15"/>
  <c r="R9" i="24" l="1"/>
  <c r="C149" i="2"/>
  <c r="E70" i="14"/>
  <c r="G146" i="2"/>
  <c r="G67" i="12"/>
  <c r="I67" i="12" s="1"/>
  <c r="H7" i="72"/>
  <c r="P46" i="24"/>
  <c r="I109" i="2"/>
  <c r="P39" i="24"/>
  <c r="P21" i="24"/>
  <c r="C147" i="2"/>
  <c r="D147" i="2" s="1"/>
  <c r="C151" i="2"/>
  <c r="D151" i="2" s="1"/>
  <c r="B145" i="2"/>
  <c r="B148" i="2"/>
  <c r="B150" i="2"/>
  <c r="P33" i="24"/>
  <c r="H27" i="24"/>
  <c r="R72" i="14"/>
  <c r="C69" i="15"/>
  <c r="E69" i="15" s="1"/>
  <c r="C145" i="2" l="1"/>
  <c r="E145" i="2" s="1"/>
  <c r="L145" i="2" s="1"/>
  <c r="I151" i="2"/>
  <c r="C67" i="15"/>
  <c r="H15" i="24"/>
  <c r="R70" i="14"/>
  <c r="C148" i="2"/>
  <c r="D148" i="2" s="1"/>
  <c r="H15" i="72"/>
  <c r="I7" i="72"/>
  <c r="I15" i="72" s="1"/>
  <c r="I23" i="72" s="1"/>
  <c r="I26" i="72" s="1"/>
  <c r="I149" i="2"/>
  <c r="P27" i="24"/>
  <c r="C150" i="2"/>
  <c r="D150" i="2" s="1"/>
  <c r="I147" i="2"/>
  <c r="I75" i="12"/>
  <c r="J67" i="12"/>
  <c r="D149" i="2"/>
  <c r="G168" i="2" l="1"/>
  <c r="L67" i="12"/>
  <c r="J75" i="12"/>
  <c r="G170" i="2"/>
  <c r="G172" i="2"/>
  <c r="I150" i="2"/>
  <c r="P15" i="24"/>
  <c r="I148" i="2"/>
  <c r="E67" i="15"/>
  <c r="E75" i="15" s="1"/>
  <c r="E79" i="15" s="1"/>
  <c r="F79" i="15" s="1"/>
  <c r="C75" i="15"/>
  <c r="D145" i="2"/>
  <c r="G169" i="2" l="1"/>
  <c r="G171" i="2"/>
  <c r="L75" i="12"/>
  <c r="M67" i="12" s="1"/>
  <c r="B146" i="2"/>
  <c r="M73" i="12" l="1"/>
  <c r="M72" i="12"/>
  <c r="M66" i="12"/>
  <c r="M69" i="12"/>
  <c r="M70" i="12"/>
  <c r="M68" i="12"/>
  <c r="M71" i="12"/>
  <c r="C146" i="2"/>
  <c r="D146" i="2" s="1"/>
  <c r="M75" i="12" l="1"/>
  <c r="B34" i="7" l="1"/>
  <c r="B36" i="7" s="1"/>
  <c r="I28" i="45"/>
  <c r="I30" i="45" s="1"/>
  <c r="L31" i="45" s="1"/>
  <c r="C7" i="17"/>
  <c r="C22" i="17"/>
  <c r="C32" i="7" l="1"/>
  <c r="C24" i="17"/>
  <c r="O30" i="12"/>
  <c r="C11" i="17"/>
  <c r="K34" i="7"/>
  <c r="K36" i="7" s="1"/>
  <c r="C26" i="7" l="1"/>
  <c r="E26" i="7" s="1"/>
  <c r="F26" i="7" s="1"/>
  <c r="O26" i="7" s="1"/>
  <c r="C28" i="7"/>
  <c r="E28" i="7" s="1"/>
  <c r="F28" i="7" s="1"/>
  <c r="O28" i="7" s="1"/>
  <c r="C27" i="7"/>
  <c r="E27" i="7" s="1"/>
  <c r="F27" i="7" s="1"/>
  <c r="O27" i="7" s="1"/>
  <c r="C23" i="7"/>
  <c r="E23" i="7" s="1"/>
  <c r="C25" i="7"/>
  <c r="E25" i="7" s="1"/>
  <c r="F25" i="7" s="1"/>
  <c r="O25" i="7" s="1"/>
  <c r="C24" i="7"/>
  <c r="E24" i="7" s="1"/>
  <c r="F24" i="7" s="1"/>
  <c r="O24" i="7" s="1"/>
  <c r="C29" i="7"/>
  <c r="E29" i="7" s="1"/>
  <c r="F29" i="7" s="1"/>
  <c r="O29" i="7" s="1"/>
  <c r="C30" i="7"/>
  <c r="E30" i="7" s="1"/>
  <c r="F30" i="7" s="1"/>
  <c r="O30" i="7" s="1"/>
  <c r="K46" i="2"/>
  <c r="L46" i="2" s="1"/>
  <c r="C28" i="17"/>
  <c r="F23" i="7" l="1"/>
  <c r="O23" i="7" s="1"/>
  <c r="E32" i="7"/>
  <c r="D22" i="17" l="1"/>
  <c r="B53" i="7"/>
  <c r="B55" i="7" s="1"/>
  <c r="I28" i="54"/>
  <c r="I30" i="54" s="1"/>
  <c r="L31" i="54" s="1"/>
  <c r="D7" i="17"/>
  <c r="K53" i="7" l="1"/>
  <c r="K55" i="7" s="1"/>
  <c r="O45" i="12"/>
  <c r="D11" i="17"/>
  <c r="C51" i="7"/>
  <c r="D24" i="17"/>
  <c r="C48" i="7" l="1"/>
  <c r="E48" i="7" s="1"/>
  <c r="F48" i="7" s="1"/>
  <c r="O48" i="7" s="1"/>
  <c r="C44" i="7"/>
  <c r="E44" i="7" s="1"/>
  <c r="F44" i="7" s="1"/>
  <c r="O44" i="7" s="1"/>
  <c r="C45" i="7"/>
  <c r="E45" i="7" s="1"/>
  <c r="F45" i="7" s="1"/>
  <c r="O45" i="7" s="1"/>
  <c r="C43" i="7"/>
  <c r="E43" i="7" s="1"/>
  <c r="F43" i="7" s="1"/>
  <c r="O43" i="7" s="1"/>
  <c r="C42" i="7"/>
  <c r="E42" i="7" s="1"/>
  <c r="C49" i="7"/>
  <c r="E49" i="7" s="1"/>
  <c r="F49" i="7" s="1"/>
  <c r="O49" i="7" s="1"/>
  <c r="C47" i="7"/>
  <c r="E47" i="7" s="1"/>
  <c r="F47" i="7" s="1"/>
  <c r="O47" i="7" s="1"/>
  <c r="C46" i="7"/>
  <c r="E46" i="7" s="1"/>
  <c r="F46" i="7" s="1"/>
  <c r="O46" i="7" s="1"/>
  <c r="K77" i="2"/>
  <c r="L77" i="2" s="1"/>
  <c r="D28" i="17"/>
  <c r="F42" i="7" l="1"/>
  <c r="O42" i="7" s="1"/>
  <c r="E51" i="7"/>
  <c r="E7" i="17" l="1"/>
  <c r="B71" i="7"/>
  <c r="B73" i="7" s="1"/>
  <c r="I28" i="63"/>
  <c r="I30" i="63" s="1"/>
  <c r="L31" i="63" s="1"/>
  <c r="E22" i="17"/>
  <c r="O60" i="12" l="1"/>
  <c r="K71" i="7"/>
  <c r="K73" i="7" s="1"/>
  <c r="E11" i="17"/>
  <c r="C69" i="7"/>
  <c r="E24" i="17"/>
  <c r="C65" i="7" l="1"/>
  <c r="E65" i="7" s="1"/>
  <c r="F65" i="7" s="1"/>
  <c r="O65" i="7" s="1"/>
  <c r="C66" i="7"/>
  <c r="E66" i="7" s="1"/>
  <c r="F66" i="7" s="1"/>
  <c r="O66" i="7" s="1"/>
  <c r="C63" i="7"/>
  <c r="E63" i="7" s="1"/>
  <c r="F63" i="7" s="1"/>
  <c r="O63" i="7" s="1"/>
  <c r="C67" i="7"/>
  <c r="E67" i="7" s="1"/>
  <c r="F67" i="7" s="1"/>
  <c r="O67" i="7" s="1"/>
  <c r="C62" i="7"/>
  <c r="E62" i="7" s="1"/>
  <c r="F62" i="7" s="1"/>
  <c r="O62" i="7" s="1"/>
  <c r="C64" i="7"/>
  <c r="E64" i="7" s="1"/>
  <c r="F64" i="7" s="1"/>
  <c r="O64" i="7" s="1"/>
  <c r="C61" i="7"/>
  <c r="E61" i="7" s="1"/>
  <c r="F61" i="7" s="1"/>
  <c r="O61" i="7" s="1"/>
  <c r="C60" i="7"/>
  <c r="E60" i="7" s="1"/>
  <c r="K108" i="2"/>
  <c r="L108" i="2" s="1"/>
  <c r="E28" i="17"/>
  <c r="E69" i="7" l="1"/>
  <c r="F60" i="7"/>
  <c r="O60" i="7" s="1"/>
  <c r="H79" i="7" l="1"/>
  <c r="G102" i="7"/>
  <c r="G107" i="7"/>
  <c r="H84" i="7"/>
  <c r="G101" i="7"/>
  <c r="H85" i="7"/>
  <c r="G108" i="7"/>
  <c r="H82" i="7"/>
  <c r="G105" i="7"/>
  <c r="H81" i="7"/>
  <c r="G104" i="7"/>
  <c r="G106" i="7"/>
  <c r="H83" i="7"/>
  <c r="H80" i="7"/>
  <c r="G103" i="7"/>
  <c r="T80" i="7" l="1"/>
  <c r="I80" i="7"/>
  <c r="K80" i="7" s="1"/>
  <c r="P80" i="7"/>
  <c r="P82" i="7"/>
  <c r="T82" i="7"/>
  <c r="I82" i="7"/>
  <c r="K82" i="7" s="1"/>
  <c r="P85" i="7"/>
  <c r="T85" i="7"/>
  <c r="I85" i="7"/>
  <c r="K85" i="7" s="1"/>
  <c r="P84" i="7"/>
  <c r="T84" i="7"/>
  <c r="I84" i="7"/>
  <c r="K84" i="7" s="1"/>
  <c r="I83" i="7"/>
  <c r="K83" i="7" s="1"/>
  <c r="P83" i="7"/>
  <c r="T83" i="7"/>
  <c r="P81" i="7"/>
  <c r="T81" i="7"/>
  <c r="I81" i="7"/>
  <c r="K81" i="7" s="1"/>
  <c r="T79" i="7"/>
  <c r="P79" i="7"/>
  <c r="I79" i="7"/>
  <c r="G117" i="7" l="1"/>
  <c r="G8" i="77"/>
  <c r="I69" i="24"/>
  <c r="B134" i="2"/>
  <c r="G118" i="7"/>
  <c r="B135" i="2"/>
  <c r="I70" i="24"/>
  <c r="G9" i="77"/>
  <c r="I72" i="24"/>
  <c r="B137" i="2"/>
  <c r="G11" i="77"/>
  <c r="G120" i="7"/>
  <c r="I87" i="7"/>
  <c r="K79" i="7"/>
  <c r="G119" i="7"/>
  <c r="G10" i="77"/>
  <c r="I71" i="24"/>
  <c r="B136" i="2"/>
  <c r="G6" i="77"/>
  <c r="G115" i="7"/>
  <c r="I67" i="24"/>
  <c r="B132" i="2"/>
  <c r="G7" i="77"/>
  <c r="B133" i="2"/>
  <c r="I68" i="24"/>
  <c r="G116" i="7"/>
  <c r="G34" i="77" l="1"/>
  <c r="I10" i="77"/>
  <c r="I66" i="24"/>
  <c r="G114" i="7"/>
  <c r="G5" i="77"/>
  <c r="K87" i="7"/>
  <c r="B131" i="2"/>
  <c r="E152" i="2"/>
  <c r="J152" i="2"/>
  <c r="E150" i="2"/>
  <c r="J150" i="2"/>
  <c r="E149" i="2"/>
  <c r="J149" i="2"/>
  <c r="E148" i="2"/>
  <c r="J148" i="2"/>
  <c r="I6" i="77"/>
  <c r="G30" i="77"/>
  <c r="G31" i="77"/>
  <c r="I7" i="77"/>
  <c r="E147" i="2"/>
  <c r="J147" i="2"/>
  <c r="E151" i="2"/>
  <c r="J151" i="2"/>
  <c r="G33" i="77"/>
  <c r="I9" i="77"/>
  <c r="G32" i="77"/>
  <c r="I8" i="77"/>
  <c r="I11" i="77"/>
  <c r="G35" i="77"/>
  <c r="G46" i="77" l="1"/>
  <c r="I31" i="77"/>
  <c r="D133" i="2"/>
  <c r="L148" i="2"/>
  <c r="S148" i="2"/>
  <c r="D137" i="2"/>
  <c r="S152" i="2"/>
  <c r="L152" i="2"/>
  <c r="I35" i="77"/>
  <c r="L50" i="77" s="1"/>
  <c r="G63" i="77"/>
  <c r="I30" i="77"/>
  <c r="L45" i="77" s="1"/>
  <c r="G58" i="77"/>
  <c r="D134" i="2"/>
  <c r="L149" i="2"/>
  <c r="S149" i="2"/>
  <c r="G12" i="77"/>
  <c r="I5" i="77"/>
  <c r="I12" i="77" s="1"/>
  <c r="G29" i="77"/>
  <c r="G49" i="77"/>
  <c r="I49" i="77" s="1"/>
  <c r="I34" i="77"/>
  <c r="D136" i="2"/>
  <c r="L151" i="2"/>
  <c r="S151" i="2"/>
  <c r="S150" i="2"/>
  <c r="D135" i="2"/>
  <c r="L150" i="2"/>
  <c r="G122" i="7"/>
  <c r="G127" i="7" s="1"/>
  <c r="I32" i="77"/>
  <c r="G47" i="77"/>
  <c r="I47" i="77" s="1"/>
  <c r="I33" i="77"/>
  <c r="G48" i="77"/>
  <c r="I48" i="77" s="1"/>
  <c r="S147" i="2"/>
  <c r="D132" i="2"/>
  <c r="L147" i="2"/>
  <c r="J146" i="2"/>
  <c r="B139" i="2"/>
  <c r="C131" i="2" s="1"/>
  <c r="E146" i="2"/>
  <c r="I73" i="24"/>
  <c r="Q66" i="24" s="1"/>
  <c r="G62" i="77" l="1"/>
  <c r="L49" i="77"/>
  <c r="L47" i="77"/>
  <c r="L146" i="2"/>
  <c r="G61" i="77"/>
  <c r="N86" i="77" s="1"/>
  <c r="G86" i="77" s="1"/>
  <c r="S146" i="2"/>
  <c r="D131" i="2"/>
  <c r="N83" i="77"/>
  <c r="G83" i="77" s="1"/>
  <c r="I58" i="77"/>
  <c r="I46" i="77"/>
  <c r="I51" i="77" s="1"/>
  <c r="G51" i="77"/>
  <c r="G60" i="77"/>
  <c r="F135" i="2"/>
  <c r="B94" i="14"/>
  <c r="C92" i="14"/>
  <c r="F133" i="2"/>
  <c r="Q70" i="24"/>
  <c r="Q65" i="24"/>
  <c r="Q68" i="24"/>
  <c r="Q72" i="24"/>
  <c r="Q71" i="24"/>
  <c r="Q69" i="24"/>
  <c r="Q67" i="24"/>
  <c r="C130" i="2"/>
  <c r="C137" i="2"/>
  <c r="C134" i="2"/>
  <c r="C133" i="2"/>
  <c r="C132" i="2"/>
  <c r="C135" i="2"/>
  <c r="C136" i="2"/>
  <c r="C91" i="14"/>
  <c r="F132" i="2"/>
  <c r="L48" i="77"/>
  <c r="B95" i="14"/>
  <c r="F136" i="2"/>
  <c r="G36" i="77"/>
  <c r="I29" i="77"/>
  <c r="G57" i="77"/>
  <c r="N88" i="77"/>
  <c r="G88" i="77" s="1"/>
  <c r="I63" i="77"/>
  <c r="B96" i="14"/>
  <c r="F137" i="2"/>
  <c r="L46" i="77"/>
  <c r="G126" i="7"/>
  <c r="G128" i="7"/>
  <c r="G131" i="7"/>
  <c r="G130" i="7"/>
  <c r="G129" i="7"/>
  <c r="G132" i="7"/>
  <c r="G133" i="7"/>
  <c r="I62" i="77"/>
  <c r="N87" i="77"/>
  <c r="G87" i="77" s="1"/>
  <c r="C93" i="14"/>
  <c r="F134" i="2"/>
  <c r="G59" i="77"/>
  <c r="I28" i="72"/>
  <c r="I30" i="72" s="1"/>
  <c r="L31" i="72" s="1"/>
  <c r="B89" i="7"/>
  <c r="B91" i="7" s="1"/>
  <c r="F7" i="17"/>
  <c r="F22" i="17"/>
  <c r="I61" i="77" l="1"/>
  <c r="I59" i="77"/>
  <c r="N84" i="77"/>
  <c r="G84" i="77" s="1"/>
  <c r="G101" i="77"/>
  <c r="I101" i="77" s="1"/>
  <c r="K101" i="77" s="1"/>
  <c r="X87" i="77" s="1"/>
  <c r="G135" i="7"/>
  <c r="G137" i="2"/>
  <c r="E137" i="2" s="1"/>
  <c r="G102" i="77"/>
  <c r="I102" i="77" s="1"/>
  <c r="K102" i="77" s="1"/>
  <c r="X88" i="77" s="1"/>
  <c r="G136" i="2"/>
  <c r="E136" i="2" s="1"/>
  <c r="B91" i="15"/>
  <c r="I38" i="24"/>
  <c r="Q94" i="14"/>
  <c r="Q96" i="14"/>
  <c r="I51" i="24"/>
  <c r="B93" i="15"/>
  <c r="I57" i="77"/>
  <c r="N82" i="77"/>
  <c r="G82" i="77" s="1"/>
  <c r="G64" i="77"/>
  <c r="Q95" i="14"/>
  <c r="I45" i="24"/>
  <c r="B92" i="15"/>
  <c r="G132" i="2"/>
  <c r="C139" i="2"/>
  <c r="G100" i="77"/>
  <c r="I100" i="77" s="1"/>
  <c r="K100" i="77" s="1"/>
  <c r="X86" i="77" s="1"/>
  <c r="G134" i="2"/>
  <c r="E134" i="2" s="1"/>
  <c r="I36" i="77"/>
  <c r="L44" i="77"/>
  <c r="L52" i="77" s="1"/>
  <c r="B88" i="15"/>
  <c r="Q91" i="14"/>
  <c r="I20" i="24"/>
  <c r="G133" i="2"/>
  <c r="E133" i="2" s="1"/>
  <c r="G135" i="2"/>
  <c r="E135" i="2" s="1"/>
  <c r="F131" i="2"/>
  <c r="C90" i="14"/>
  <c r="Q93" i="14"/>
  <c r="B90" i="15"/>
  <c r="I32" i="24"/>
  <c r="Q73" i="24"/>
  <c r="I26" i="24"/>
  <c r="B89" i="15"/>
  <c r="Q92" i="14"/>
  <c r="N85" i="77"/>
  <c r="G85" i="77" s="1"/>
  <c r="I60" i="77"/>
  <c r="G97" i="77"/>
  <c r="I97" i="77" s="1"/>
  <c r="K97" i="77" s="1"/>
  <c r="X83" i="77" s="1"/>
  <c r="C87" i="7"/>
  <c r="F11" i="17"/>
  <c r="F24" i="17"/>
  <c r="O75" i="12"/>
  <c r="K89" i="7"/>
  <c r="K91" i="7" s="1"/>
  <c r="I136" i="2" l="1"/>
  <c r="F92" i="15" s="1"/>
  <c r="G131" i="2"/>
  <c r="D92" i="14"/>
  <c r="Q20" i="24"/>
  <c r="R20" i="24"/>
  <c r="Q45" i="24"/>
  <c r="R45" i="24"/>
  <c r="I64" i="77"/>
  <c r="E96" i="14"/>
  <c r="R32" i="24"/>
  <c r="Q32" i="24"/>
  <c r="D94" i="14"/>
  <c r="I133" i="2"/>
  <c r="F89" i="15" s="1"/>
  <c r="D93" i="14"/>
  <c r="I132" i="2"/>
  <c r="F88" i="15" s="1"/>
  <c r="E132" i="2"/>
  <c r="Q38" i="24"/>
  <c r="R38" i="24"/>
  <c r="I134" i="2"/>
  <c r="F90" i="15" s="1"/>
  <c r="Q51" i="24"/>
  <c r="R51" i="24"/>
  <c r="I137" i="2"/>
  <c r="F93" i="15" s="1"/>
  <c r="G98" i="77"/>
  <c r="I98" i="77" s="1"/>
  <c r="K98" i="77" s="1"/>
  <c r="X84" i="77" s="1"/>
  <c r="G99" i="77"/>
  <c r="I99" i="77" s="1"/>
  <c r="K99" i="77" s="1"/>
  <c r="X85" i="77" s="1"/>
  <c r="Q26" i="24"/>
  <c r="R26" i="24"/>
  <c r="I14" i="24"/>
  <c r="Q90" i="14"/>
  <c r="B87" i="15"/>
  <c r="B95" i="15" s="1"/>
  <c r="I135" i="2"/>
  <c r="F91" i="15" s="1"/>
  <c r="F139" i="2"/>
  <c r="G96" i="77"/>
  <c r="D95" i="14"/>
  <c r="F28" i="17"/>
  <c r="K139" i="2"/>
  <c r="C81" i="7"/>
  <c r="E81" i="7" s="1"/>
  <c r="F81" i="7" s="1"/>
  <c r="O81" i="7" s="1"/>
  <c r="C85" i="7"/>
  <c r="E85" i="7" s="1"/>
  <c r="F85" i="7" s="1"/>
  <c r="O85" i="7" s="1"/>
  <c r="C80" i="7"/>
  <c r="E80" i="7" s="1"/>
  <c r="F80" i="7" s="1"/>
  <c r="O80" i="7" s="1"/>
  <c r="C83" i="7"/>
  <c r="E83" i="7" s="1"/>
  <c r="F83" i="7" s="1"/>
  <c r="O83" i="7" s="1"/>
  <c r="C79" i="7"/>
  <c r="E79" i="7" s="1"/>
  <c r="F79" i="7" s="1"/>
  <c r="O79" i="7" s="1"/>
  <c r="C78" i="7"/>
  <c r="E78" i="7" s="1"/>
  <c r="C84" i="7"/>
  <c r="E84" i="7" s="1"/>
  <c r="F84" i="7" s="1"/>
  <c r="O84" i="7" s="1"/>
  <c r="C82" i="7"/>
  <c r="E82" i="7" s="1"/>
  <c r="F82" i="7" s="1"/>
  <c r="O82" i="7" s="1"/>
  <c r="R94" i="14" l="1"/>
  <c r="C91" i="15"/>
  <c r="E91" i="15" s="1"/>
  <c r="I39" i="24"/>
  <c r="I27" i="24"/>
  <c r="R92" i="14"/>
  <c r="C89" i="15"/>
  <c r="E89" i="15" s="1"/>
  <c r="G103" i="77"/>
  <c r="G106" i="77" s="1"/>
  <c r="I96" i="77"/>
  <c r="R96" i="14"/>
  <c r="C93" i="15"/>
  <c r="E93" i="15" s="1"/>
  <c r="I52" i="24"/>
  <c r="E131" i="2"/>
  <c r="G139" i="2"/>
  <c r="C90" i="15"/>
  <c r="E90" i="15" s="1"/>
  <c r="I33" i="24"/>
  <c r="R93" i="14"/>
  <c r="R95" i="14"/>
  <c r="I46" i="24"/>
  <c r="C92" i="15"/>
  <c r="E92" i="15" s="1"/>
  <c r="Q14" i="24"/>
  <c r="R14" i="24"/>
  <c r="D91" i="14"/>
  <c r="I131" i="2"/>
  <c r="E87" i="7"/>
  <c r="F78" i="7"/>
  <c r="O78" i="7" s="1"/>
  <c r="R33" i="24" l="1"/>
  <c r="Q33" i="24"/>
  <c r="Q39" i="24"/>
  <c r="R39" i="24"/>
  <c r="F87" i="15"/>
  <c r="F95" i="15" s="1"/>
  <c r="I139" i="2"/>
  <c r="G140" i="2" s="1"/>
  <c r="K96" i="77"/>
  <c r="I103" i="77"/>
  <c r="I106" i="77" s="1"/>
  <c r="R27" i="24"/>
  <c r="Q27" i="24"/>
  <c r="Q46" i="24"/>
  <c r="R46" i="24"/>
  <c r="R52" i="24"/>
  <c r="Q52" i="24"/>
  <c r="C88" i="15"/>
  <c r="E88" i="15" s="1"/>
  <c r="I21" i="24"/>
  <c r="R91" i="14"/>
  <c r="E90" i="14"/>
  <c r="R90" i="14" l="1"/>
  <c r="C87" i="15"/>
  <c r="I15" i="24"/>
  <c r="H140" i="2"/>
  <c r="L139" i="2"/>
  <c r="F140" i="2"/>
  <c r="X82" i="77"/>
  <c r="X91" i="77" s="1"/>
  <c r="K103" i="77"/>
  <c r="R21" i="24"/>
  <c r="Q21" i="24"/>
  <c r="I140" i="2" l="1"/>
  <c r="Q15" i="24"/>
  <c r="R15" i="24"/>
  <c r="E87" i="15"/>
  <c r="E95" i="15" s="1"/>
  <c r="E99" i="15" s="1"/>
  <c r="F99" i="15" s="1"/>
  <c r="C95" i="15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sz val="8"/>
            <color indexed="81"/>
            <rFont val="Tahoma"/>
            <family val="2"/>
          </rPr>
          <t xml:space="preserve">Linked to revenue 
requirement model
</t>
        </r>
      </text>
    </comment>
    <comment ref="B6" authorId="0" shapeId="0">
      <text>
        <r>
          <rPr>
            <sz val="8"/>
            <color indexed="81"/>
            <rFont val="Tahoma"/>
            <family val="2"/>
          </rPr>
          <t xml:space="preserve">Linked to revenue 
requirement model
</t>
        </r>
      </text>
    </comment>
    <comment ref="B13" authorId="0" shapeId="0">
      <text>
        <r>
          <rPr>
            <sz val="8"/>
            <color indexed="81"/>
            <rFont val="Tahoma"/>
            <family val="2"/>
          </rPr>
          <t>Linked to revenue 
requirement model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C32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L33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L15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30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45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60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75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4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2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22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D22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1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41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D41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9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9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59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7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7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77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H20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P20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20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51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51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51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82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82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82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113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113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113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144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144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144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L49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C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I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R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X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AG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AM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C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I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R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X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AG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AM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</commentList>
</comments>
</file>

<file path=xl/sharedStrings.xml><?xml version="1.0" encoding="utf-8"?>
<sst xmlns="http://schemas.openxmlformats.org/spreadsheetml/2006/main" count="2255" uniqueCount="394">
  <si>
    <t>Customer Class</t>
  </si>
  <si>
    <t>TOTAL</t>
  </si>
  <si>
    <t>Proposed Fixed Rate</t>
  </si>
  <si>
    <t>Total Fixed Revenue</t>
  </si>
  <si>
    <t>Total Variable Revenue</t>
  </si>
  <si>
    <t>Transformer Allowance</t>
  </si>
  <si>
    <t>Annual kWh</t>
  </si>
  <si>
    <t>Annual kW For Dx</t>
  </si>
  <si>
    <t>Annual kW For Tx</t>
  </si>
  <si>
    <t>Annualized Customers</t>
  </si>
  <si>
    <t>Fixed Distribution Revenue</t>
  </si>
  <si>
    <t>Variable Distribution Revenue</t>
  </si>
  <si>
    <t>Calculated kWh</t>
  </si>
  <si>
    <t>Calculated kW</t>
  </si>
  <si>
    <t>Volumetric Rate Type</t>
  </si>
  <si>
    <t>kWh</t>
  </si>
  <si>
    <t>kW</t>
  </si>
  <si>
    <t>TOTALS</t>
  </si>
  <si>
    <t>Retail Transmission Connection Rate ($)</t>
  </si>
  <si>
    <t>Allocation Percentages</t>
  </si>
  <si>
    <t>Allocated $</t>
  </si>
  <si>
    <t>per KWh</t>
  </si>
  <si>
    <t>per kW</t>
  </si>
  <si>
    <t>Class</t>
  </si>
  <si>
    <t>Connection</t>
  </si>
  <si>
    <t>Customer</t>
  </si>
  <si>
    <t>Annualized Connections</t>
  </si>
  <si>
    <t>Total Distribution Revenue</t>
  </si>
  <si>
    <t>Sum of Quantity</t>
  </si>
  <si>
    <t>Transformer Allowance Credit</t>
  </si>
  <si>
    <t xml:space="preserve">   Total</t>
  </si>
  <si>
    <t>Expected</t>
  </si>
  <si>
    <t xml:space="preserve">     kW</t>
  </si>
  <si>
    <t xml:space="preserve">    Total</t>
  </si>
  <si>
    <r>
      <t xml:space="preserve">     </t>
    </r>
    <r>
      <rPr>
        <b/>
        <sz val="12"/>
        <rFont val="Arial"/>
        <family val="2"/>
      </rPr>
      <t>$</t>
    </r>
  </si>
  <si>
    <t>Transformer Ownership Allowance</t>
  </si>
  <si>
    <t>Service Revenue Requirement</t>
  </si>
  <si>
    <t>Total</t>
  </si>
  <si>
    <t>Less: Revenue Offsets</t>
  </si>
  <si>
    <t>Addback Transformer Allowances</t>
  </si>
  <si>
    <t xml:space="preserve">      Gross Revenues For Rates</t>
  </si>
  <si>
    <t>per kWh</t>
  </si>
  <si>
    <t>Monthly Service Charge</t>
  </si>
  <si>
    <t>Item Description</t>
  </si>
  <si>
    <t>Unit</t>
  </si>
  <si>
    <t>per month</t>
  </si>
  <si>
    <t>Distribution Volumetric Rate</t>
  </si>
  <si>
    <t>Schedule of Distribution Rates and Charges</t>
  </si>
  <si>
    <t>RATES SCHEDULE (Part 1)</t>
  </si>
  <si>
    <t>Dist. Rev. Before TX Allow.</t>
  </si>
  <si>
    <t>Dist Rev At Existing Rates %</t>
  </si>
  <si>
    <t>Rev Requirement %</t>
  </si>
  <si>
    <t>LV/ Adj.
Rates/kWh</t>
  </si>
  <si>
    <t>LV Adj.
Rates/ kW</t>
  </si>
  <si>
    <t xml:space="preserve">LV Adj.
Allocated </t>
  </si>
  <si>
    <t>Forecast Fixed/Variable Ratios</t>
  </si>
  <si>
    <t>Revenue Requirement</t>
  </si>
  <si>
    <t>Revenue Deficiency</t>
  </si>
  <si>
    <t>Budgeted Revenue Offsets</t>
  </si>
  <si>
    <t>Total Revenue</t>
  </si>
  <si>
    <t>Less Transformer Allowances:</t>
  </si>
  <si>
    <t>Net Revenue At Existing Rates</t>
  </si>
  <si>
    <t>Turn Rounding On</t>
  </si>
  <si>
    <t>Total Net Rev. Requirement</t>
  </si>
  <si>
    <t>Gross Distribution Revenue</t>
  </si>
  <si>
    <t>Transformer Ownership Credit</t>
  </si>
  <si>
    <t>Rate Class</t>
  </si>
  <si>
    <t>Rate Riders</t>
  </si>
  <si>
    <t>Two Year Rate Rider</t>
  </si>
  <si>
    <t>Three Year Rate Rider</t>
  </si>
  <si>
    <t>LRAM</t>
  </si>
  <si>
    <t>SSM</t>
  </si>
  <si>
    <t>$</t>
  </si>
  <si>
    <t>$/unit (kWh or kW)</t>
  </si>
  <si>
    <t>LRAM and SSM Rate Rider</t>
  </si>
  <si>
    <t>Number of Years to Use</t>
  </si>
  <si>
    <t>Rate Rider to Use</t>
  </si>
  <si>
    <t>(2 or 3)</t>
  </si>
  <si>
    <t>Rounding is turned on</t>
  </si>
  <si>
    <t>Difference Due to Rate Rounding</t>
  </si>
  <si>
    <t>Unit of Measure</t>
  </si>
  <si>
    <t># of Customers</t>
  </si>
  <si>
    <t># of Connections</t>
  </si>
  <si>
    <t xml:space="preserve">Description </t>
  </si>
  <si>
    <t>Transformer Allowance rate</t>
  </si>
  <si>
    <t>Basis for Allocation ($)</t>
  </si>
  <si>
    <t>Metrics</t>
  </si>
  <si>
    <t xml:space="preserve">      Total Base Revenue Requirement</t>
  </si>
  <si>
    <t>Current Volumetric Split</t>
  </si>
  <si>
    <t>Current Fixed Charge Spilt</t>
  </si>
  <si>
    <t>Fixed Rate Based on Current Fixed/Variable Revenue Proportions</t>
  </si>
  <si>
    <t xml:space="preserve">Dist. Rev. Including Transformer </t>
  </si>
  <si>
    <t>Dist. Rev. Excluding Transformer</t>
  </si>
  <si>
    <t>Proposed Revenue to Cost Ratio</t>
  </si>
  <si>
    <t>Proposed Revenue</t>
  </si>
  <si>
    <t xml:space="preserve">Miscellaneous Revenue </t>
  </si>
  <si>
    <t>Proposed Base Revenue</t>
  </si>
  <si>
    <t>Residential</t>
  </si>
  <si>
    <t>Large Use</t>
  </si>
  <si>
    <t>Street Lighting</t>
  </si>
  <si>
    <t>Total Check</t>
  </si>
  <si>
    <t># of Cust/Con</t>
  </si>
  <si>
    <t>Board Target Low</t>
  </si>
  <si>
    <t>Board Target High</t>
  </si>
  <si>
    <t>Billing Units (2011)</t>
  </si>
  <si>
    <t>Low Voltage Rider</t>
  </si>
  <si>
    <t>(for internal purposes only)</t>
  </si>
  <si>
    <t>Fixed Charges</t>
  </si>
  <si>
    <t>Volumetric Charges</t>
  </si>
  <si>
    <t>Proposed Variable Rate</t>
  </si>
  <si>
    <t>LV Charges</t>
  </si>
  <si>
    <t xml:space="preserve">Total Revenue </t>
  </si>
  <si>
    <t>Revenue Cost Ratio</t>
  </si>
  <si>
    <t>2014 Bridge</t>
  </si>
  <si>
    <t>2015 Test</t>
  </si>
  <si>
    <t>2015 Test Year Normalized</t>
  </si>
  <si>
    <t>Existing 2014 Rate Year - Distribution Revenue Rates</t>
  </si>
  <si>
    <t>Revenue Requirement - 2015 Cost Allocation Model - Line 40 from O1 in CA</t>
  </si>
  <si>
    <t>2015 Base Revenue Allocated based on Proportion of Revenue at Existing Rates</t>
  </si>
  <si>
    <t>Miscellaneous Revenue Allocated from 2015 Cost Allocation Model - Line 19 from O1 in CA</t>
  </si>
  <si>
    <t>Check Revenue Cost Ratios from 2015 Cost Allocation Model - Line 75 from O1 in CA</t>
  </si>
  <si>
    <t>Distribution Rate Allocation Between Fixed &amp; Variable Rates For 2015 Test Year</t>
  </si>
  <si>
    <t xml:space="preserve">Amounts </t>
  </si>
  <si>
    <t>2015 Test Year - LRAM and SSM Rider</t>
  </si>
  <si>
    <t>Proposed Rate Schedule - 2015 Test Year Filing</t>
  </si>
  <si>
    <t>2015 TEST YEAR - BASE REVENUE DISTRIBUTION RATES</t>
  </si>
  <si>
    <t>2015 TEST YEAR - Low Voltage Distribution Rates</t>
  </si>
  <si>
    <t>2015 Test Year Distribution Revenue Reconciliation</t>
  </si>
  <si>
    <t xml:space="preserve">Forecast Revenue For 2015 Test Year Based on Existing Rates </t>
  </si>
  <si>
    <t>2016 Test Year Normalized</t>
  </si>
  <si>
    <t>2017 Test Year Normalized</t>
  </si>
  <si>
    <t>2018 Test Year Normalized</t>
  </si>
  <si>
    <t>2019 Test Year Normalized</t>
  </si>
  <si>
    <t>2016 Test</t>
  </si>
  <si>
    <t>2017 Test</t>
  </si>
  <si>
    <t>2018 Test</t>
  </si>
  <si>
    <t>2019 Test</t>
  </si>
  <si>
    <t>Monthly Fixed Charge Previous Year</t>
  </si>
  <si>
    <t>Volumetric Charge Previous Year</t>
  </si>
  <si>
    <t>2015 Low Voltage Costs Allocated by Customer Class</t>
  </si>
  <si>
    <t>Forecast Revenue for 2015 Test Year Based on 2014 Rates</t>
  </si>
  <si>
    <t>Revenue Requirement - 2016 Cost Allocation Model - Line 40 from O1 in CA</t>
  </si>
  <si>
    <t>2016 Base Revenue Allocated based on Proportion of Revenue at Existing Rates</t>
  </si>
  <si>
    <t>2015 Rate ($)</t>
  </si>
  <si>
    <t>2016 Rate ($)</t>
  </si>
  <si>
    <t>2017 Rate ($)</t>
  </si>
  <si>
    <t>2018 Rate ($)</t>
  </si>
  <si>
    <t>2019 Rate ($)</t>
  </si>
  <si>
    <t>Check Revenue Cost Ratios from 2016 Cost Allocation Model - Line 75 from O1 in CA</t>
  </si>
  <si>
    <t>Distribution Rate Allocation Between Fixed &amp; Variable Rates For 2016 Test Year</t>
  </si>
  <si>
    <t>Miscellaneous Revenue Allocated from 2016 Cost Allocation Model - Line 19 from O1 in CA</t>
  </si>
  <si>
    <t>2016 Low Voltage Costs Allocated by Customer Class</t>
  </si>
  <si>
    <t>2016 Test Year - LRAM and SSM Rider</t>
  </si>
  <si>
    <t>Proposed Rate Schedule - 2016 Test Year Filing</t>
  </si>
  <si>
    <t>2016 TEST YEAR - BASE REVENUE DISTRIBUTION RATES</t>
  </si>
  <si>
    <t>2016 TEST YEAR - Low Voltage Distribution Rates</t>
  </si>
  <si>
    <t>2016 Test Year Distribution Revenue Reconciliation</t>
  </si>
  <si>
    <t>2017 Low Voltage Costs Allocated by Customer Class</t>
  </si>
  <si>
    <t>2017 Test Year - LRAM and SSM Rider</t>
  </si>
  <si>
    <t>Proposed Rate Schedule - 2017 Test Year Filing</t>
  </si>
  <si>
    <t>2017 TEST YEAR - BASE REVENUE DISTRIBUTION RATES</t>
  </si>
  <si>
    <t>2017 TEST YEAR - Low Voltage Distribution Rates</t>
  </si>
  <si>
    <t>2017 Test Year Distribution Revenue Reconciliation</t>
  </si>
  <si>
    <t>2018 Test Year - LRAM and SSM Rider</t>
  </si>
  <si>
    <t>Proposed Rate Schedule - 2018 Test Year Filing</t>
  </si>
  <si>
    <t>2018 TEST YEAR - BASE REVENUE DISTRIBUTION RATES</t>
  </si>
  <si>
    <t>2018 TEST YEAR - Low Voltage Distribution Rates</t>
  </si>
  <si>
    <t>2018 Test Year Distribution Revenue Reconciliation</t>
  </si>
  <si>
    <t>Revenue Requirement - 2017 Cost Allocation Model - Line 40 from O1 in CA</t>
  </si>
  <si>
    <t>2017 Base Revenue Allocated based on Proportion of Revenue at Existing Rates</t>
  </si>
  <si>
    <t>Miscellaneous Revenue Allocated from 2017 Cost Allocation Model - Line 19 from O1 in CA</t>
  </si>
  <si>
    <t>Check Revenue Cost Ratios from 2017 Cost Allocation Model - Line 75 from O1 in CA</t>
  </si>
  <si>
    <t>Revenue Requirement - 2018 Cost Allocation Model - Line 40 from O1 in CA</t>
  </si>
  <si>
    <t>2018 Base Revenue Allocated based on Proportion of Revenue at Existing Rates</t>
  </si>
  <si>
    <t>Miscellaneous Revenue Allocated from 2018 Cost Allocation Model - Line 19 from O1 in CA</t>
  </si>
  <si>
    <t>Check Revenue Cost Ratios from 2018 Cost Allocation Model - Line 75 from O1 in CA</t>
  </si>
  <si>
    <t>Revenue Requirement - 2019 Cost Allocation Model - Line 40 from O1 in CA</t>
  </si>
  <si>
    <t>2019 Base Revenue Allocated based on Proportion of Revenue at Existing Rates</t>
  </si>
  <si>
    <t>Miscellaneous Revenue Allocated from 2019 Cost Allocation Model - Line 19 from O1 in CA</t>
  </si>
  <si>
    <t>Check Revenue Cost Ratios from 2019 Cost Allocation Model - Line 75 from O1 in CA</t>
  </si>
  <si>
    <t>Forecast Revenue for 2016 Test Year Based on 2015 Rates</t>
  </si>
  <si>
    <t>Forecast Revenue for 2017 Test Year Based on 2016 Rates</t>
  </si>
  <si>
    <t>Forecast Revenue for 2018 Test Year Based on 2017 Rates</t>
  </si>
  <si>
    <t>Forecast Revenue for 2019 Test Year Based on 2018 Rates</t>
  </si>
  <si>
    <t>Distribution Rate Allocation Between Fixed &amp; Variable Rates For 2018 Test Year</t>
  </si>
  <si>
    <t>Distribution Rate Allocation Between Fixed &amp; Variable Rates For 2017 Test Year</t>
  </si>
  <si>
    <t>Distribution Rate Allocation Between Fixed &amp; Variable Rates For 2019 Test Year</t>
  </si>
  <si>
    <t>2019 Low Voltage Costs Allocated by Customer Class</t>
  </si>
  <si>
    <t>2018 Low Voltage Costs Allocated by Customer Class</t>
  </si>
  <si>
    <t>2019 Test Year - LRAM and SSM Rider</t>
  </si>
  <si>
    <t>Proposed Rate Schedule - 2019 Test Year Filing</t>
  </si>
  <si>
    <t>2019 TEST YEAR - BASE REVENUE DISTRIBUTION RATES</t>
  </si>
  <si>
    <t>2019 TEST YEAR - Low Voltage Distribution Rates</t>
  </si>
  <si>
    <t>2019 Test Year Distribution Revenue Reconciliation</t>
  </si>
  <si>
    <t>Oshawa PUC Networks Inc</t>
  </si>
  <si>
    <t>Rate Design Model, License Number ED-2002-0560, File Number EB-xxxx-xxxx</t>
  </si>
  <si>
    <t>2015 RATES - Low Voltage Adjustment</t>
  </si>
  <si>
    <t>2016 RATES - Low Voltage Adjustment</t>
  </si>
  <si>
    <t>2017 RATES - Low Voltage Adjustment</t>
  </si>
  <si>
    <t>2018 RATES - Low Voltage Adjustment</t>
  </si>
  <si>
    <t>2019 RATES - Low Voltage Adjustment</t>
  </si>
  <si>
    <t>2015 Cost Allocation Based Calculations</t>
  </si>
  <si>
    <t>2016 Cost Allocation Based Calculations</t>
  </si>
  <si>
    <t>2017 Cost Allocation Based Calculations</t>
  </si>
  <si>
    <t>2018 Cost Allocation Based Calculations</t>
  </si>
  <si>
    <t>2019 Cost Allocation Based Calculations</t>
  </si>
  <si>
    <t>Copy from Master Working File</t>
  </si>
  <si>
    <t>Unmetered Scattered Load</t>
  </si>
  <si>
    <t>Sentinel Lighting</t>
  </si>
  <si>
    <t>General Service Less Than 50 KW</t>
  </si>
  <si>
    <t>General Service 50 To 999 KW</t>
  </si>
  <si>
    <t>General Service Intermediate 1,000 To 4,999 KW</t>
  </si>
  <si>
    <t>GS Less Than 50 KW</t>
  </si>
  <si>
    <t>GS 50 To 999 KW</t>
  </si>
  <si>
    <t>GS Intermediate 1,000 To 4,999 KW</t>
  </si>
  <si>
    <t xml:space="preserve">     $</t>
  </si>
  <si>
    <t>Forecast Data For 2015  to 2019 Test Year Projection</t>
  </si>
  <si>
    <t>Minimum System with PLCC Adustment (Ceiling Fixed Charge From CA Model)</t>
  </si>
  <si>
    <t>2012 Test Year Normalized (Pre Settlement Conf)</t>
  </si>
  <si>
    <t>Change</t>
  </si>
  <si>
    <t>GS &lt; 50 kW</t>
  </si>
  <si>
    <t>GS 50 to 999 kW (I1 &amp; I4)</t>
  </si>
  <si>
    <t>GS 1,000 to 4,999 kW (I2)</t>
  </si>
  <si>
    <t>Large Use (I3)</t>
  </si>
  <si>
    <t>USL</t>
  </si>
  <si>
    <t>Sentinel Lights</t>
  </si>
  <si>
    <t>2012 Test Year Normalized APPROVED</t>
  </si>
  <si>
    <t>2015 vs 2012 Approved</t>
  </si>
  <si>
    <t>At Range Limit</t>
  </si>
  <si>
    <t>Year over Year Change %</t>
  </si>
  <si>
    <t>2014 Act</t>
  </si>
  <si>
    <t>Share of Base Revenue</t>
  </si>
  <si>
    <t>Forecast Revenue for 2014 Using 2012 Approved Load Forecast</t>
  </si>
  <si>
    <t>Monthly Fixed Charge 2014</t>
  </si>
  <si>
    <t>Volumetric Charge 2014</t>
  </si>
  <si>
    <t>%</t>
  </si>
  <si>
    <t>Below not part of Model</t>
  </si>
  <si>
    <t>Actual Dist. Revenue Excluding Transformer Allowance expected based on actual load projections</t>
  </si>
  <si>
    <t>2014 using actual rates and 2012 Load Forecast</t>
  </si>
  <si>
    <t>Total Rate Base 2015</t>
  </si>
  <si>
    <t>Below not part of model</t>
  </si>
  <si>
    <t>Column 'I' accross not part of model</t>
  </si>
  <si>
    <t>2013 Actual</t>
  </si>
  <si>
    <t>kWh's as % of Total 2015</t>
  </si>
  <si>
    <t>kWh's as % of Total 2012</t>
  </si>
  <si>
    <t>Total Rate Base 2012 Approved</t>
  </si>
  <si>
    <t>% of Total Rate Base</t>
  </si>
  <si>
    <r>
      <t xml:space="preserve">Increase / </t>
    </r>
    <r>
      <rPr>
        <sz val="10"/>
        <color rgb="FFFF0000"/>
        <rFont val="Arial"/>
        <family val="2"/>
      </rPr>
      <t>(Decrease)</t>
    </r>
  </si>
  <si>
    <t>Fixed</t>
  </si>
  <si>
    <t>Variable</t>
  </si>
  <si>
    <r>
      <t xml:space="preserve">Increase / </t>
    </r>
    <r>
      <rPr>
        <b/>
        <u/>
        <sz val="10"/>
        <color rgb="FFFF0000"/>
        <rFont val="Arial"/>
        <family val="2"/>
      </rPr>
      <t>(Decrease)</t>
    </r>
  </si>
  <si>
    <t>Forecast Data For 2015  to 2019Test Year Projection</t>
  </si>
  <si>
    <t>check v Rev Requirement Model</t>
  </si>
  <si>
    <t>difference</t>
  </si>
  <si>
    <t>Forecast Revenue For 2017 Test Year Based on Existing Rates (2016 Proposed)</t>
  </si>
  <si>
    <t>Forecast Revenue For 2016 Test Year Based on Existing Rates (2015 Proposed)</t>
  </si>
  <si>
    <t>Forecast Revenue For 2018 Test Year Based on Existing Rates (2017 Proposed)</t>
  </si>
  <si>
    <t>Forecast Revenue For 2019 Test Year Based on Existing Rates (2018 Proposed)</t>
  </si>
  <si>
    <t>Y</t>
  </si>
  <si>
    <t>2012 Approved</t>
  </si>
  <si>
    <t>2014-2019</t>
  </si>
  <si>
    <t>CAGR %</t>
  </si>
  <si>
    <t>Vs Revenue Reqt Model</t>
  </si>
  <si>
    <t>Original</t>
  </si>
  <si>
    <t>CHECK</t>
  </si>
  <si>
    <t>Should be 0</t>
  </si>
  <si>
    <t>2015</t>
  </si>
  <si>
    <t>2016</t>
  </si>
  <si>
    <t>2017</t>
  </si>
  <si>
    <t>2018</t>
  </si>
  <si>
    <t>2019</t>
  </si>
  <si>
    <t>SUMMARY Revenue Cost Ratios from Cost Allocation Model - Line 75 from O1 in CA</t>
  </si>
  <si>
    <t>GS Intermediate 1,000-4,999 KW</t>
  </si>
  <si>
    <t>2012</t>
  </si>
  <si>
    <t>2012 Share</t>
  </si>
  <si>
    <t xml:space="preserve"> (2012 Approved)</t>
  </si>
  <si>
    <t>Proposed Base Revenue (Col K)</t>
  </si>
  <si>
    <t>Proposed Fixed Charge Spilt</t>
  </si>
  <si>
    <t>2014 Rates From OEB Approved Tariff - Fixed Charge</t>
  </si>
  <si>
    <t>2014 Rates From OEB Approved Tariff - Variable Charge</t>
  </si>
  <si>
    <t>NEW</t>
  </si>
  <si>
    <t>2015 Proposed Fixed Rates</t>
  </si>
  <si>
    <t>2015 Proposed Variable Rates</t>
  </si>
  <si>
    <t>2016 Proposed Fixed Rates</t>
  </si>
  <si>
    <t>2016 Proposed Variable Rates</t>
  </si>
  <si>
    <t>2017 Proposed Fixed Rates</t>
  </si>
  <si>
    <t>2017 Proposed Variable Rates</t>
  </si>
  <si>
    <t>2018 Proposed Fixed Rates</t>
  </si>
  <si>
    <t>2018 Proposed Variable Rates</t>
  </si>
  <si>
    <t>Fixed Charge Analysis For 2015 Test Year</t>
  </si>
  <si>
    <t>Fixed Charge Analysis For 2016 Test Year</t>
  </si>
  <si>
    <t>Fixed Charge Analysis For 2017 Test Year</t>
  </si>
  <si>
    <t>Fixed Charge Analysis For 2018 Test Year</t>
  </si>
  <si>
    <t>Fixed Charge Analysis For 2019 Test Year</t>
  </si>
  <si>
    <t>Proposed Fixed Rate vs Rate Using OLD Split</t>
  </si>
  <si>
    <t>At 2014 Rates</t>
  </si>
  <si>
    <t>Proposed Rates</t>
  </si>
  <si>
    <t>2015 - 2019</t>
  </si>
  <si>
    <t>Rate Rider</t>
  </si>
  <si>
    <t>FIXED RATE COMPARATIVES</t>
  </si>
  <si>
    <t>OPUCN</t>
  </si>
  <si>
    <t>GS &lt; 50 KW</t>
  </si>
  <si>
    <t>Horizon</t>
  </si>
  <si>
    <t>Veridian</t>
  </si>
  <si>
    <t>Toronto Hydro</t>
  </si>
  <si>
    <t>In line with previously approved</t>
  </si>
  <si>
    <t>Consump- tion</t>
  </si>
  <si>
    <t>Hydro One Brampton</t>
  </si>
  <si>
    <t>Avg Large Ontario LDCs</t>
  </si>
  <si>
    <t>Summary Fixed Charge Analysis By Year</t>
  </si>
  <si>
    <t>Cambridge</t>
  </si>
  <si>
    <t>(approved v 47.0% and 26.0%)</t>
  </si>
  <si>
    <t>Ceiling Fixed</t>
  </si>
  <si>
    <t>Minimum Fixed</t>
  </si>
  <si>
    <t>Mid- Point</t>
  </si>
  <si>
    <t>Proposed</t>
  </si>
  <si>
    <t>(Settled at existing - applied for 55%/40%)</t>
  </si>
  <si>
    <t>Defiency</t>
  </si>
  <si>
    <t>Annual % Change</t>
  </si>
  <si>
    <t xml:space="preserve">Projected Billed Revenue from Other Distribution Charges &amp; Rate Riders </t>
  </si>
  <si>
    <t>Monthly Other Distribution &amp; DVA Rate Riders</t>
  </si>
  <si>
    <t>Volumetric Other Distribution &amp; DVA Rate Riders</t>
  </si>
  <si>
    <t>Monthly Smart Meter Rate Rider (to 31 Dec 2015)</t>
  </si>
  <si>
    <t>Monthly Stranded Meter Rate Rider  (to 31 Dec 2015)</t>
  </si>
  <si>
    <t>2014</t>
  </si>
  <si>
    <t>Volumetric DVA Rate Riders  (to 31 Dec 2015)</t>
  </si>
  <si>
    <t># Customers / Connections</t>
  </si>
  <si>
    <t>kWh / KW</t>
  </si>
  <si>
    <t>2014 - 2019</t>
  </si>
  <si>
    <t xml:space="preserve">Total Projected Billed Revenue from Distribution &amp; Other Charges/Rate Riders </t>
  </si>
  <si>
    <t>2015-2019 Total</t>
  </si>
  <si>
    <t>Use "Data"/"What-If Analysis"/"Goal Seek" to set cell L43 to Zero based on changes to cell K43</t>
  </si>
  <si>
    <t>Constant Growth Rate</t>
  </si>
  <si>
    <t xml:space="preserve">Total Projected Billed Revenue from Distribution &amp; Other Charges/Rate Riders  - At </t>
  </si>
  <si>
    <t>&lt;==== Get as Close to 0 as possible</t>
  </si>
  <si>
    <t>Volumetric Determinants for Rate Rider Calculation</t>
  </si>
  <si>
    <t>Line Losses</t>
  </si>
  <si>
    <t xml:space="preserve"> kWh</t>
  </si>
  <si>
    <t xml:space="preserve"> KW</t>
  </si>
  <si>
    <t>kWh's (for Loss Factor Bill Impact)</t>
  </si>
  <si>
    <t>Volumetric Line Loss Billing</t>
  </si>
  <si>
    <t>Check Calculations</t>
  </si>
  <si>
    <t>Diff</t>
  </si>
  <si>
    <t>Line Loss Billing - Monthly Per Customer Equivalent</t>
  </si>
  <si>
    <t>Rounding Difference Vs "Total including Interest to be charged or credited via Volumetric Rate Rider" - should be small</t>
  </si>
  <si>
    <t>Rate Riders (If using pure calculations - Difference in Billed Revenue / kWh or KW)</t>
  </si>
  <si>
    <t>Adjustments to Pure Calculated Rider to Clear</t>
  </si>
  <si>
    <t>At Existing Rates %</t>
  </si>
  <si>
    <t>No Mitigation</t>
  </si>
  <si>
    <t>Net Distribution Revenue Requirement (Excluding Transformer Allowance)</t>
  </si>
  <si>
    <t>AS FILED JAN 2019</t>
  </si>
  <si>
    <t>Difference in Billed Revenue - To be credited/(debited) to Customer via Volumetric Rate Rider</t>
  </si>
  <si>
    <t>Charged /</t>
  </si>
  <si>
    <t>(Credited)</t>
  </si>
  <si>
    <t>Rate Rider to Mitigate Fluctuations in Distribution Revenue Billing - Charge/(Credit)</t>
  </si>
  <si>
    <t>2019 # Customers</t>
  </si>
  <si>
    <t>Monthly Fixed Charge</t>
  </si>
  <si>
    <t>If Credit, have under-recovered.</t>
  </si>
  <si>
    <t>AS FILED MAY 2019</t>
  </si>
  <si>
    <t>Amount foregone</t>
  </si>
  <si>
    <t>Allocate via % of Proposed Base Revenue from Cost Allocation model</t>
  </si>
  <si>
    <t>Rate Rider to Recover Jan-Aug 2015 Foregone Revenue</t>
  </si>
  <si>
    <t>TABLE for ORAL HEARING Undertaking J3.4</t>
  </si>
  <si>
    <t>2016 Rate Rider</t>
  </si>
  <si>
    <t>Before Rate Rider Applied</t>
  </si>
  <si>
    <t>Including Rate Rider</t>
  </si>
  <si>
    <t>2016 Year over Year % Change</t>
  </si>
  <si>
    <t>Increase</t>
  </si>
  <si>
    <t>Total by Class</t>
  </si>
  <si>
    <t>&lt;==== Get as Close to 1,793,000 as possible</t>
  </si>
  <si>
    <t>Foregone Revenue from Oct-Dec 2015 as a result of not getting approved rates until Jan 1, 2016</t>
  </si>
  <si>
    <t>Rate Rider to Recover Oct-Dec 2015 Foregone Revenue</t>
  </si>
  <si>
    <t>Variable portion</t>
  </si>
  <si>
    <t>Transition to fully fixed residential rates</t>
  </si>
  <si>
    <t>Year</t>
  </si>
  <si>
    <t>Current (as-is)</t>
  </si>
  <si>
    <t>For Draft Rate Order:</t>
  </si>
  <si>
    <t>2014 Actuals ($)</t>
  </si>
  <si>
    <t>Consumption</t>
  </si>
  <si>
    <t>Customers/Connections</t>
  </si>
  <si>
    <t>Fixed Rate Determinants for Rate Rider Calculation</t>
  </si>
  <si>
    <t>Proposed Base Revenue 2015</t>
  </si>
  <si>
    <t>Resulting Rate Rider</t>
  </si>
  <si>
    <t>As calculated below</t>
  </si>
  <si>
    <t>Using % Proposed Base Revenue 2015 (2015 CA Model)</t>
  </si>
  <si>
    <t>2015 CA Model O1 before Adjs</t>
  </si>
  <si>
    <t>2016 CA Model O1 before Adjs</t>
  </si>
  <si>
    <t>Vs 2016</t>
  </si>
  <si>
    <t>`</t>
  </si>
  <si>
    <t>-</t>
  </si>
  <si>
    <t>Per Dec 2015 Board Approved (Interim)</t>
  </si>
  <si>
    <t>Changes to Dec 2015 Board Approved (Interim)</t>
  </si>
  <si>
    <t>Per Dec 2015 Board Decision</t>
  </si>
  <si>
    <t>Changes Vs Dec 2015 Board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</si>
</sst>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-* #,##0_-;\-* #,##0_-;_-* &quot;-&quot;??_-;_-@_-"/>
    <numFmt numFmtId="168" formatCode="&quot;$&quot;#,##0.00"/>
    <numFmt numFmtId="169" formatCode="_-&quot;$&quot;* #,##0_-;\-&quot;$&quot;* #,##0_-;_-&quot;$&quot;* &quot;-&quot;??_-;_-@_-"/>
    <numFmt numFmtId="170" formatCode="&quot;$&quot;#,##0.0000"/>
    <numFmt numFmtId="171" formatCode="0.0000"/>
    <numFmt numFmtId="172" formatCode="0.000%"/>
    <numFmt numFmtId="173" formatCode="_-&quot;$&quot;* #,##0.0000_-;\-&quot;$&quot;* #,##0.0000_-;_-&quot;$&quot;* &quot;-&quot;??_-;_-@_-"/>
    <numFmt numFmtId="174" formatCode="_-* #,##0.00000000_-;\-* #,##0.00000000_-;_-* &quot;-&quot;??_-;_-@_-"/>
    <numFmt numFmtId="175" formatCode="#,##0.0000_);\(#,##0.0000\)"/>
    <numFmt numFmtId="176" formatCode="#,##0.0000"/>
    <numFmt numFmtId="177" formatCode="0.0%"/>
    <numFmt numFmtId="178" formatCode="0.00000"/>
    <numFmt numFmtId="179" formatCode="0_ ;\-0\ "/>
    <numFmt numFmtId="180" formatCode="#,##0.00_ ;\-#,##0.00\ "/>
    <numFmt numFmtId="181" formatCode="&quot;$&quot;#,##0.0000_);[Red]\(#,##0.0000\)"/>
    <numFmt numFmtId="182" formatCode="&quot;$&quot;#,##0.00;\(&quot;$&quot;###0.00\)"/>
    <numFmt numFmtId="183" formatCode="&quot;$&quot;#,##0;\(&quot;$&quot;#,##0\)"/>
    <numFmt numFmtId="184" formatCode="#,##0\ ;[Red]\(#,##0\)"/>
    <numFmt numFmtId="185" formatCode="#,##0.00\ ;[Red]\(#,##0.00\)"/>
    <numFmt numFmtId="186" formatCode="#,##0.0000\ ;[Red]\(#,##0.0000\)"/>
    <numFmt numFmtId="187" formatCode="&quot;$&quot;#,##0\ ;[Red]&quot;$&quot;\(#,##0\)"/>
    <numFmt numFmtId="188" formatCode="_(&quot;$&quot;* #,##0.00_);_(&quot;$&quot;* \(#,##0.00\);_(&quot;$&quot;* &quot;-&quot;??_);_(@_)"/>
    <numFmt numFmtId="189" formatCode="#,##0.0%;[Red]\(#,##0.0%\)"/>
    <numFmt numFmtId="190" formatCode="#,##0.0000_ ;\-#,##0.0000\ "/>
    <numFmt numFmtId="191" formatCode="0.0000%"/>
    <numFmt numFmtId="192" formatCode="0.00000%"/>
    <numFmt numFmtId="193" formatCode="&quot;$&quot;#,##0.00\ ;[Red]&quot;$&quot;\(#,##0.00\)"/>
    <numFmt numFmtId="194" formatCode="&quot;$&quot;#,##0.0000\ ;[Red]&quot;$&quot;\(#,##0.0000\)"/>
    <numFmt numFmtId="195" formatCode="_-&quot;$&quot;* #,##0.0000_-;\-&quot;$&quot;* #,##0.0000_-;_-&quot;$&quot;* &quot;-&quot;????_-;_-@_-"/>
    <numFmt numFmtId="196" formatCode="#,##0.0%;[Red]\(#,##0.0\)%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i/>
      <sz val="20"/>
      <color indexed="12"/>
      <name val="Arial"/>
      <family val="2"/>
    </font>
    <font>
      <b/>
      <sz val="11"/>
      <name val="Arial"/>
      <family val="2"/>
    </font>
    <font>
      <i/>
      <sz val="16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u/>
      <sz val="14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b/>
      <u/>
      <sz val="10"/>
      <color rgb="FFFF000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color indexed="81"/>
      <name val="Tahoma"/>
      <family val="2"/>
    </font>
    <font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9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5" fillId="0" borderId="0" applyNumberFormat="0" applyBorder="0" applyAlignment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" fillId="0" borderId="0"/>
    <xf numFmtId="0" fontId="5" fillId="0" borderId="0" applyNumberFormat="0" applyFont="0" applyFill="0" applyAlignment="0" applyProtection="0"/>
    <xf numFmtId="0" fontId="3" fillId="0" borderId="0"/>
  </cellStyleXfs>
  <cellXfs count="669">
    <xf numFmtId="0" fontId="0" fillId="0" borderId="0" xfId="0"/>
    <xf numFmtId="167" fontId="0" fillId="0" borderId="0" xfId="1" applyNumberFormat="1" applyFont="1"/>
    <xf numFmtId="0" fontId="7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169" fontId="8" fillId="0" borderId="0" xfId="3" applyNumberFormat="1" applyFont="1" applyFill="1"/>
    <xf numFmtId="0" fontId="0" fillId="0" borderId="0" xfId="0" applyFill="1"/>
    <xf numFmtId="169" fontId="0" fillId="0" borderId="0" xfId="0" applyNumberFormat="1"/>
    <xf numFmtId="37" fontId="7" fillId="0" borderId="0" xfId="0" applyNumberFormat="1" applyFont="1" applyFill="1" applyBorder="1" applyAlignment="1">
      <alignment horizontal="left" vertical="center" wrapText="1"/>
    </xf>
    <xf numFmtId="169" fontId="6" fillId="0" borderId="0" xfId="3" applyNumberFormat="1" applyFont="1" applyFill="1" applyBorder="1"/>
    <xf numFmtId="173" fontId="6" fillId="0" borderId="0" xfId="3" applyNumberFormat="1" applyFont="1" applyFill="1" applyBorder="1"/>
    <xf numFmtId="167" fontId="6" fillId="0" borderId="0" xfId="1" applyNumberFormat="1" applyFont="1" applyFill="1" applyBorder="1"/>
    <xf numFmtId="169" fontId="7" fillId="0" borderId="0" xfId="3" applyNumberFormat="1" applyFont="1" applyFill="1" applyBorder="1" applyAlignment="1">
      <alignment horizontal="left" indent="1"/>
    </xf>
    <xf numFmtId="0" fontId="0" fillId="0" borderId="0" xfId="0" applyFill="1" applyBorder="1"/>
    <xf numFmtId="0" fontId="8" fillId="0" borderId="0" xfId="0" applyFont="1" applyFill="1" applyBorder="1"/>
    <xf numFmtId="169" fontId="8" fillId="0" borderId="0" xfId="3" applyNumberFormat="1" applyFont="1" applyFill="1" applyBorder="1"/>
    <xf numFmtId="37" fontId="0" fillId="0" borderId="0" xfId="0" applyNumberFormat="1"/>
    <xf numFmtId="0" fontId="0" fillId="2" borderId="0" xfId="0" applyFill="1" applyBorder="1"/>
    <xf numFmtId="0" fontId="0" fillId="0" borderId="0" xfId="0" applyBorder="1"/>
    <xf numFmtId="0" fontId="14" fillId="0" borderId="0" xfId="0" applyFont="1" applyFill="1" applyBorder="1" applyAlignment="1">
      <alignment vertical="center"/>
    </xf>
    <xf numFmtId="170" fontId="10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wrapText="1"/>
    </xf>
    <xf numFmtId="168" fontId="10" fillId="0" borderId="0" xfId="0" applyNumberFormat="1" applyFont="1" applyFill="1" applyBorder="1"/>
    <xf numFmtId="175" fontId="1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/>
    <xf numFmtId="0" fontId="13" fillId="0" borderId="0" xfId="0" applyFont="1" applyFill="1" applyBorder="1" applyAlignment="1">
      <alignment horizontal="center"/>
    </xf>
    <xf numFmtId="169" fontId="8" fillId="0" borderId="3" xfId="3" applyNumberFormat="1" applyFont="1" applyFill="1" applyBorder="1"/>
    <xf numFmtId="169" fontId="8" fillId="0" borderId="4" xfId="3" applyNumberFormat="1" applyFont="1" applyFill="1" applyBorder="1"/>
    <xf numFmtId="10" fontId="0" fillId="0" borderId="0" xfId="9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0" fillId="0" borderId="10" xfId="0" applyFill="1" applyBorder="1"/>
    <xf numFmtId="0" fontId="0" fillId="0" borderId="11" xfId="0" applyFill="1" applyBorder="1"/>
    <xf numFmtId="0" fontId="10" fillId="0" borderId="12" xfId="0" applyFont="1" applyFill="1" applyBorder="1"/>
    <xf numFmtId="0" fontId="8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0" borderId="12" xfId="0" applyFont="1" applyFill="1" applyBorder="1"/>
    <xf numFmtId="0" fontId="7" fillId="0" borderId="14" xfId="0" applyFont="1" applyFill="1" applyBorder="1" applyAlignment="1">
      <alignment horizontal="center"/>
    </xf>
    <xf numFmtId="37" fontId="7" fillId="0" borderId="15" xfId="0" applyNumberFormat="1" applyFont="1" applyFill="1" applyBorder="1" applyAlignment="1">
      <alignment horizontal="center"/>
    </xf>
    <xf numFmtId="10" fontId="7" fillId="0" borderId="15" xfId="9" applyNumberFormat="1" applyFont="1" applyFill="1" applyBorder="1" applyAlignment="1">
      <alignment horizontal="center"/>
    </xf>
    <xf numFmtId="10" fontId="6" fillId="0" borderId="12" xfId="9" applyNumberFormat="1" applyFont="1" applyFill="1" applyBorder="1" applyAlignment="1">
      <alignment horizontal="center"/>
    </xf>
    <xf numFmtId="4" fontId="6" fillId="0" borderId="12" xfId="1" applyNumberFormat="1" applyFon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10" fontId="0" fillId="0" borderId="12" xfId="9" applyNumberFormat="1" applyFont="1" applyFill="1" applyBorder="1" applyAlignment="1">
      <alignment horizontal="center"/>
    </xf>
    <xf numFmtId="9" fontId="7" fillId="0" borderId="4" xfId="9" applyFont="1" applyFill="1" applyBorder="1" applyAlignment="1">
      <alignment horizontal="center"/>
    </xf>
    <xf numFmtId="0" fontId="7" fillId="0" borderId="16" xfId="0" applyFont="1" applyFill="1" applyBorder="1" applyAlignment="1">
      <alignment horizontal="left" indent="1"/>
    </xf>
    <xf numFmtId="167" fontId="7" fillId="0" borderId="4" xfId="0" applyNumberFormat="1" applyFont="1" applyFill="1" applyBorder="1" applyAlignment="1">
      <alignment horizontal="left" indent="1"/>
    </xf>
    <xf numFmtId="172" fontId="7" fillId="0" borderId="17" xfId="9" applyNumberFormat="1" applyFont="1" applyFill="1" applyBorder="1"/>
    <xf numFmtId="169" fontId="7" fillId="0" borderId="4" xfId="3" applyNumberFormat="1" applyFont="1" applyFill="1" applyBorder="1" applyAlignment="1">
      <alignment horizontal="center"/>
    </xf>
    <xf numFmtId="10" fontId="7" fillId="0" borderId="4" xfId="9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170" fontId="7" fillId="0" borderId="4" xfId="0" applyNumberFormat="1" applyFont="1" applyFill="1" applyBorder="1" applyAlignment="1">
      <alignment horizontal="center"/>
    </xf>
    <xf numFmtId="37" fontId="7" fillId="0" borderId="12" xfId="0" applyNumberFormat="1" applyFont="1" applyFill="1" applyBorder="1"/>
    <xf numFmtId="170" fontId="6" fillId="0" borderId="12" xfId="3" applyNumberFormat="1" applyFont="1" applyFill="1" applyBorder="1" applyAlignment="1">
      <alignment horizontal="center"/>
    </xf>
    <xf numFmtId="169" fontId="6" fillId="0" borderId="12" xfId="3" applyNumberFormat="1" applyFont="1" applyFill="1" applyBorder="1"/>
    <xf numFmtId="173" fontId="6" fillId="0" borderId="12" xfId="3" applyNumberFormat="1" applyFont="1" applyFill="1" applyBorder="1"/>
    <xf numFmtId="180" fontId="6" fillId="0" borderId="12" xfId="1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left" indent="1"/>
    </xf>
    <xf numFmtId="0" fontId="7" fillId="0" borderId="1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 indent="1"/>
    </xf>
    <xf numFmtId="0" fontId="7" fillId="0" borderId="4" xfId="0" applyFont="1" applyFill="1" applyBorder="1" applyAlignment="1">
      <alignment horizontal="left" indent="1"/>
    </xf>
    <xf numFmtId="0" fontId="7" fillId="0" borderId="4" xfId="0" applyFont="1" applyFill="1" applyBorder="1" applyAlignment="1">
      <alignment horizontal="center"/>
    </xf>
    <xf numFmtId="167" fontId="7" fillId="0" borderId="18" xfId="0" applyNumberFormat="1" applyFont="1" applyFill="1" applyBorder="1" applyAlignment="1">
      <alignment horizontal="left" indent="1"/>
    </xf>
    <xf numFmtId="167" fontId="6" fillId="0" borderId="12" xfId="1" applyNumberFormat="1" applyFont="1" applyFill="1" applyBorder="1" applyAlignment="1">
      <alignment horizontal="center"/>
    </xf>
    <xf numFmtId="3" fontId="6" fillId="0" borderId="12" xfId="1" applyNumberFormat="1" applyFont="1" applyFill="1" applyBorder="1" applyAlignment="1">
      <alignment horizontal="center"/>
    </xf>
    <xf numFmtId="176" fontId="3" fillId="0" borderId="12" xfId="0" applyNumberFormat="1" applyFont="1" applyFill="1" applyBorder="1" applyAlignment="1">
      <alignment horizontal="center"/>
    </xf>
    <xf numFmtId="181" fontId="3" fillId="0" borderId="19" xfId="0" applyNumberFormat="1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169" fontId="7" fillId="0" borderId="4" xfId="3" applyNumberFormat="1" applyFont="1" applyFill="1" applyBorder="1"/>
    <xf numFmtId="38" fontId="0" fillId="0" borderId="12" xfId="0" applyNumberFormat="1" applyFill="1" applyBorder="1" applyAlignment="1">
      <alignment horizontal="center"/>
    </xf>
    <xf numFmtId="38" fontId="7" fillId="0" borderId="4" xfId="0" applyNumberFormat="1" applyFont="1" applyFill="1" applyBorder="1" applyAlignment="1">
      <alignment horizontal="center"/>
    </xf>
    <xf numFmtId="166" fontId="7" fillId="0" borderId="4" xfId="3" applyNumberFormat="1" applyFont="1" applyFill="1" applyBorder="1" applyAlignment="1">
      <alignment horizontal="center"/>
    </xf>
    <xf numFmtId="167" fontId="7" fillId="3" borderId="19" xfId="1" applyNumberFormat="1" applyFont="1" applyFill="1" applyBorder="1" applyAlignment="1">
      <alignment horizontal="center"/>
    </xf>
    <xf numFmtId="37" fontId="6" fillId="0" borderId="12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/>
    <xf numFmtId="37" fontId="6" fillId="0" borderId="12" xfId="0" applyNumberFormat="1" applyFont="1" applyFill="1" applyBorder="1"/>
    <xf numFmtId="37" fontId="0" fillId="0" borderId="12" xfId="0" applyNumberFormat="1" applyFill="1" applyBorder="1"/>
    <xf numFmtId="3" fontId="6" fillId="0" borderId="12" xfId="1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horizontal="center"/>
    </xf>
    <xf numFmtId="165" fontId="0" fillId="0" borderId="12" xfId="3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/>
    <xf numFmtId="166" fontId="0" fillId="0" borderId="0" xfId="3" applyNumberFormat="1" applyFont="1" applyFill="1" applyBorder="1" applyAlignment="1"/>
    <xf numFmtId="169" fontId="7" fillId="0" borderId="26" xfId="3" applyNumberFormat="1" applyFont="1" applyFill="1" applyBorder="1" applyAlignment="1"/>
    <xf numFmtId="0" fontId="0" fillId="0" borderId="0" xfId="0" applyFill="1" applyAlignment="1"/>
    <xf numFmtId="169" fontId="0" fillId="0" borderId="0" xfId="3" applyNumberFormat="1" applyFont="1" applyFill="1" applyBorder="1" applyAlignment="1"/>
    <xf numFmtId="169" fontId="7" fillId="0" borderId="15" xfId="3" applyNumberFormat="1" applyFont="1" applyFill="1" applyBorder="1" applyAlignment="1"/>
    <xf numFmtId="169" fontId="0" fillId="0" borderId="0" xfId="3" applyNumberFormat="1" applyFont="1" applyFill="1" applyAlignment="1"/>
    <xf numFmtId="172" fontId="7" fillId="0" borderId="0" xfId="9" applyNumberFormat="1" applyFont="1" applyFill="1" applyBorder="1"/>
    <xf numFmtId="183" fontId="6" fillId="0" borderId="12" xfId="3" applyNumberFormat="1" applyFont="1" applyFill="1" applyBorder="1"/>
    <xf numFmtId="183" fontId="7" fillId="0" borderId="4" xfId="3" applyNumberFormat="1" applyFont="1" applyFill="1" applyBorder="1"/>
    <xf numFmtId="3" fontId="7" fillId="0" borderId="1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12" xfId="9" applyNumberFormat="1" applyFont="1" applyFill="1" applyBorder="1" applyAlignment="1">
      <alignment horizontal="center"/>
    </xf>
    <xf numFmtId="177" fontId="6" fillId="0" borderId="12" xfId="1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3" fontId="0" fillId="0" borderId="0" xfId="0" applyNumberFormat="1"/>
    <xf numFmtId="3" fontId="7" fillId="0" borderId="4" xfId="3" applyNumberFormat="1" applyFont="1" applyFill="1" applyBorder="1" applyAlignment="1">
      <alignment horizontal="center"/>
    </xf>
    <xf numFmtId="3" fontId="0" fillId="0" borderId="12" xfId="9" applyNumberFormat="1" applyFont="1" applyFill="1" applyBorder="1" applyAlignment="1">
      <alignment horizontal="center"/>
    </xf>
    <xf numFmtId="3" fontId="7" fillId="0" borderId="18" xfId="0" applyNumberFormat="1" applyFont="1" applyFill="1" applyBorder="1" applyAlignment="1">
      <alignment horizontal="left" indent="1"/>
    </xf>
    <xf numFmtId="9" fontId="6" fillId="0" borderId="12" xfId="9" applyNumberFormat="1" applyFont="1" applyFill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0" fillId="0" borderId="12" xfId="0" applyBorder="1"/>
    <xf numFmtId="37" fontId="0" fillId="0" borderId="0" xfId="0" applyNumberFormat="1" applyFill="1"/>
    <xf numFmtId="3" fontId="7" fillId="0" borderId="0" xfId="0" applyNumberFormat="1" applyFont="1" applyFill="1" applyBorder="1" applyAlignment="1">
      <alignment horizontal="center"/>
    </xf>
    <xf numFmtId="10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37" fontId="7" fillId="0" borderId="12" xfId="0" applyNumberFormat="1" applyFont="1" applyFill="1" applyBorder="1" applyAlignment="1">
      <alignment wrapText="1"/>
    </xf>
    <xf numFmtId="171" fontId="6" fillId="0" borderId="12" xfId="0" applyNumberFormat="1" applyFont="1" applyFill="1" applyBorder="1" applyAlignment="1">
      <alignment wrapText="1"/>
    </xf>
    <xf numFmtId="171" fontId="6" fillId="0" borderId="12" xfId="0" applyNumberFormat="1" applyFont="1" applyFill="1" applyBorder="1" applyAlignment="1">
      <alignment horizontal="center" wrapText="1"/>
    </xf>
    <xf numFmtId="171" fontId="6" fillId="0" borderId="24" xfId="0" applyNumberFormat="1" applyFont="1" applyFill="1" applyBorder="1" applyAlignment="1">
      <alignment wrapText="1"/>
    </xf>
    <xf numFmtId="0" fontId="7" fillId="0" borderId="12" xfId="0" applyFont="1" applyFill="1" applyBorder="1" applyAlignment="1">
      <alignment horizontal="center" wrapText="1"/>
    </xf>
    <xf numFmtId="4" fontId="7" fillId="0" borderId="18" xfId="0" applyNumberFormat="1" applyFont="1" applyFill="1" applyBorder="1" applyAlignment="1">
      <alignment horizontal="center" wrapText="1"/>
    </xf>
    <xf numFmtId="4" fontId="7" fillId="0" borderId="18" xfId="0" applyNumberFormat="1" applyFont="1" applyFill="1" applyBorder="1" applyAlignment="1">
      <alignment wrapText="1"/>
    </xf>
    <xf numFmtId="4" fontId="6" fillId="0" borderId="12" xfId="0" applyNumberFormat="1" applyFont="1" applyFill="1" applyBorder="1" applyAlignment="1">
      <alignment horizontal="center" wrapText="1"/>
    </xf>
    <xf numFmtId="3" fontId="6" fillId="0" borderId="12" xfId="0" applyNumberFormat="1" applyFont="1" applyFill="1" applyBorder="1" applyAlignment="1">
      <alignment horizontal="center" wrapText="1"/>
    </xf>
    <xf numFmtId="3" fontId="7" fillId="0" borderId="12" xfId="0" applyNumberFormat="1" applyFont="1" applyFill="1" applyBorder="1" applyAlignment="1">
      <alignment wrapText="1"/>
    </xf>
    <xf numFmtId="3" fontId="6" fillId="0" borderId="24" xfId="0" applyNumberFormat="1" applyFont="1" applyFill="1" applyBorder="1" applyAlignment="1">
      <alignment horizontal="center" wrapText="1"/>
    </xf>
    <xf numFmtId="169" fontId="0" fillId="0" borderId="0" xfId="0" applyNumberFormat="1" applyFill="1"/>
    <xf numFmtId="3" fontId="7" fillId="0" borderId="4" xfId="0" applyNumberFormat="1" applyFont="1" applyFill="1" applyBorder="1" applyAlignment="1">
      <alignment horizontal="right"/>
    </xf>
    <xf numFmtId="3" fontId="7" fillId="0" borderId="18" xfId="0" applyNumberFormat="1" applyFont="1" applyFill="1" applyBorder="1" applyAlignment="1">
      <alignment horizontal="right"/>
    </xf>
    <xf numFmtId="3" fontId="7" fillId="0" borderId="18" xfId="1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169" fontId="7" fillId="0" borderId="18" xfId="3" applyNumberFormat="1" applyFont="1" applyFill="1" applyBorder="1" applyAlignment="1">
      <alignment horizontal="right" indent="1"/>
    </xf>
    <xf numFmtId="167" fontId="7" fillId="0" borderId="18" xfId="0" applyNumberFormat="1" applyFont="1" applyFill="1" applyBorder="1" applyAlignment="1">
      <alignment horizontal="right" indent="1"/>
    </xf>
    <xf numFmtId="0" fontId="5" fillId="0" borderId="0" xfId="0" applyFont="1"/>
    <xf numFmtId="0" fontId="8" fillId="4" borderId="12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0" fontId="7" fillId="4" borderId="19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wrapText="1"/>
    </xf>
    <xf numFmtId="169" fontId="8" fillId="3" borderId="0" xfId="3" applyNumberFormat="1" applyFont="1" applyFill="1"/>
    <xf numFmtId="169" fontId="8" fillId="3" borderId="26" xfId="3" applyNumberFormat="1" applyFont="1" applyFill="1" applyBorder="1"/>
    <xf numFmtId="3" fontId="10" fillId="3" borderId="12" xfId="0" applyNumberFormat="1" applyFont="1" applyFill="1" applyBorder="1" applyAlignment="1"/>
    <xf numFmtId="0" fontId="7" fillId="4" borderId="12" xfId="0" applyFont="1" applyFill="1" applyBorder="1" applyAlignment="1">
      <alignment horizontal="center"/>
    </xf>
    <xf numFmtId="3" fontId="7" fillId="4" borderId="12" xfId="0" applyNumberFormat="1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37" fontId="7" fillId="4" borderId="12" xfId="9" applyNumberFormat="1" applyFont="1" applyFill="1" applyBorder="1" applyAlignment="1">
      <alignment horizontal="center" wrapText="1"/>
    </xf>
    <xf numFmtId="37" fontId="7" fillId="4" borderId="30" xfId="9" applyNumberFormat="1" applyFont="1" applyFill="1" applyBorder="1" applyAlignment="1">
      <alignment horizontal="center" wrapText="1"/>
    </xf>
    <xf numFmtId="3" fontId="6" fillId="3" borderId="12" xfId="3" applyNumberFormat="1" applyFon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3" fontId="7" fillId="4" borderId="12" xfId="0" applyNumberFormat="1" applyFont="1" applyFill="1" applyBorder="1" applyAlignment="1">
      <alignment horizontal="center" wrapText="1"/>
    </xf>
    <xf numFmtId="4" fontId="6" fillId="3" borderId="12" xfId="1" applyNumberFormat="1" applyFont="1" applyFill="1" applyBorder="1" applyAlignment="1">
      <alignment horizontal="center"/>
    </xf>
    <xf numFmtId="167" fontId="7" fillId="4" borderId="12" xfId="1" applyNumberFormat="1" applyFont="1" applyFill="1" applyBorder="1" applyAlignment="1">
      <alignment horizontal="center"/>
    </xf>
    <xf numFmtId="10" fontId="7" fillId="4" borderId="12" xfId="9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44" fontId="7" fillId="4" borderId="12" xfId="3" applyFont="1" applyFill="1" applyBorder="1" applyAlignment="1">
      <alignment horizontal="center" wrapText="1"/>
    </xf>
    <xf numFmtId="178" fontId="7" fillId="4" borderId="12" xfId="0" applyNumberFormat="1" applyFont="1" applyFill="1" applyBorder="1" applyAlignment="1">
      <alignment horizontal="center" wrapText="1"/>
    </xf>
    <xf numFmtId="179" fontId="7" fillId="4" borderId="12" xfId="0" applyNumberFormat="1" applyFont="1" applyFill="1" applyBorder="1" applyAlignment="1">
      <alignment horizontal="center" wrapText="1"/>
    </xf>
    <xf numFmtId="175" fontId="7" fillId="4" borderId="12" xfId="0" applyNumberFormat="1" applyFont="1" applyFill="1" applyBorder="1" applyAlignment="1">
      <alignment horizontal="center"/>
    </xf>
    <xf numFmtId="169" fontId="7" fillId="0" borderId="4" xfId="3" applyNumberFormat="1" applyFont="1" applyFill="1" applyBorder="1" applyAlignment="1"/>
    <xf numFmtId="0" fontId="7" fillId="4" borderId="32" xfId="0" applyFont="1" applyFill="1" applyBorder="1" applyAlignment="1">
      <alignment horizontal="center" vertical="center" wrapText="1"/>
    </xf>
    <xf numFmtId="176" fontId="6" fillId="6" borderId="12" xfId="1" applyNumberFormat="1" applyFont="1" applyFill="1" applyBorder="1" applyAlignment="1">
      <alignment horizontal="center"/>
    </xf>
    <xf numFmtId="10" fontId="6" fillId="3" borderId="12" xfId="3" applyNumberFormat="1" applyFont="1" applyFill="1" applyBorder="1" applyAlignment="1">
      <alignment horizontal="center"/>
    </xf>
    <xf numFmtId="15" fontId="0" fillId="0" borderId="0" xfId="0" applyNumberFormat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6" fillId="0" borderId="0" xfId="0" applyFont="1" applyFill="1"/>
    <xf numFmtId="169" fontId="0" fillId="0" borderId="0" xfId="0" applyNumberFormat="1" applyFill="1"/>
    <xf numFmtId="37" fontId="0" fillId="0" borderId="0" xfId="0" applyNumberFormat="1" applyFill="1"/>
    <xf numFmtId="0" fontId="7" fillId="4" borderId="12" xfId="0" applyFont="1" applyFill="1" applyBorder="1" applyAlignment="1">
      <alignment horizontal="center"/>
    </xf>
    <xf numFmtId="182" fontId="0" fillId="0" borderId="0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176" fontId="0" fillId="0" borderId="12" xfId="0" applyNumberForma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0" borderId="0" xfId="0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6" fillId="0" borderId="0" xfId="0" applyFont="1" applyFill="1"/>
    <xf numFmtId="169" fontId="0" fillId="0" borderId="0" xfId="0" applyNumberFormat="1" applyFill="1"/>
    <xf numFmtId="37" fontId="0" fillId="0" borderId="0" xfId="0" applyNumberFormat="1" applyFill="1"/>
    <xf numFmtId="0" fontId="8" fillId="4" borderId="3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39" fontId="13" fillId="0" borderId="0" xfId="0" applyNumberFormat="1" applyFont="1" applyBorder="1" applyAlignment="1">
      <alignment horizontal="center"/>
    </xf>
    <xf numFmtId="165" fontId="0" fillId="0" borderId="0" xfId="3" applyNumberFormat="1" applyFont="1" applyFill="1" applyBorder="1" applyAlignment="1"/>
    <xf numFmtId="37" fontId="8" fillId="0" borderId="21" xfId="0" applyNumberFormat="1" applyFont="1" applyFill="1" applyBorder="1" applyAlignment="1">
      <alignment wrapText="1"/>
    </xf>
    <xf numFmtId="0" fontId="8" fillId="0" borderId="36" xfId="0" applyFont="1" applyFill="1" applyBorder="1" applyAlignment="1">
      <alignment wrapText="1"/>
    </xf>
    <xf numFmtId="0" fontId="0" fillId="0" borderId="36" xfId="0" applyBorder="1"/>
    <xf numFmtId="0" fontId="0" fillId="0" borderId="37" xfId="0" applyBorder="1"/>
    <xf numFmtId="0" fontId="17" fillId="0" borderId="20" xfId="0" applyFont="1" applyFill="1" applyBorder="1" applyAlignment="1">
      <alignment wrapText="1"/>
    </xf>
    <xf numFmtId="39" fontId="13" fillId="0" borderId="38" xfId="0" applyNumberFormat="1" applyFont="1" applyBorder="1" applyAlignment="1">
      <alignment horizontal="center"/>
    </xf>
    <xf numFmtId="175" fontId="13" fillId="0" borderId="38" xfId="0" applyNumberFormat="1" applyFont="1" applyBorder="1" applyAlignment="1">
      <alignment horizontal="center"/>
    </xf>
    <xf numFmtId="0" fontId="17" fillId="0" borderId="39" xfId="0" applyFont="1" applyFill="1" applyBorder="1" applyAlignment="1">
      <alignment wrapText="1"/>
    </xf>
    <xf numFmtId="168" fontId="10" fillId="0" borderId="2" xfId="0" applyNumberFormat="1" applyFont="1" applyFill="1" applyBorder="1"/>
    <xf numFmtId="170" fontId="10" fillId="0" borderId="2" xfId="0" applyNumberFormat="1" applyFont="1" applyFill="1" applyBorder="1" applyAlignment="1">
      <alignment horizontal="center"/>
    </xf>
    <xf numFmtId="175" fontId="13" fillId="0" borderId="2" xfId="0" applyNumberFormat="1" applyFont="1" applyBorder="1" applyAlignment="1">
      <alignment horizontal="center"/>
    </xf>
    <xf numFmtId="175" fontId="13" fillId="0" borderId="40" xfId="0" applyNumberFormat="1" applyFont="1" applyBorder="1" applyAlignment="1">
      <alignment horizontal="center"/>
    </xf>
    <xf numFmtId="0" fontId="8" fillId="0" borderId="37" xfId="0" applyFont="1" applyFill="1" applyBorder="1" applyAlignment="1">
      <alignment wrapText="1"/>
    </xf>
    <xf numFmtId="167" fontId="0" fillId="0" borderId="0" xfId="1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167" fontId="0" fillId="0" borderId="0" xfId="1" applyNumberFormat="1" applyFont="1" applyFill="1" applyBorder="1" applyAlignment="1">
      <alignment horizontal="right"/>
    </xf>
    <xf numFmtId="167" fontId="7" fillId="0" borderId="0" xfId="1" applyNumberFormat="1" applyFont="1" applyFill="1" applyBorder="1" applyAlignment="1">
      <alignment horizontal="right"/>
    </xf>
    <xf numFmtId="174" fontId="0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7" fontId="7" fillId="0" borderId="0" xfId="1" applyNumberFormat="1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 applyAlignment="1"/>
    <xf numFmtId="0" fontId="5" fillId="4" borderId="1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7" fillId="8" borderId="0" xfId="0" applyFont="1" applyFill="1"/>
    <xf numFmtId="0" fontId="3" fillId="0" borderId="21" xfId="0" applyFont="1" applyFill="1" applyBorder="1"/>
    <xf numFmtId="0" fontId="3" fillId="0" borderId="6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0" xfId="0" applyFont="1" applyFill="1" applyBorder="1"/>
    <xf numFmtId="0" fontId="7" fillId="0" borderId="0" xfId="0" applyFont="1" applyAlignment="1">
      <alignment horizontal="left"/>
    </xf>
    <xf numFmtId="0" fontId="0" fillId="0" borderId="0" xfId="0" applyAlignment="1"/>
    <xf numFmtId="0" fontId="10" fillId="0" borderId="0" xfId="0" applyFont="1" applyAlignment="1"/>
    <xf numFmtId="0" fontId="5" fillId="4" borderId="24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0" xfId="0" applyFont="1" applyFill="1" applyAlignment="1"/>
    <xf numFmtId="0" fontId="0" fillId="0" borderId="41" xfId="0" applyFill="1" applyBorder="1" applyAlignment="1"/>
    <xf numFmtId="0" fontId="0" fillId="0" borderId="11" xfId="0" applyFill="1" applyBorder="1" applyAlignment="1"/>
    <xf numFmtId="0" fontId="10" fillId="0" borderId="12" xfId="0" applyFont="1" applyFill="1" applyBorder="1" applyAlignment="1"/>
    <xf numFmtId="165" fontId="10" fillId="0" borderId="12" xfId="0" applyNumberFormat="1" applyFont="1" applyFill="1" applyBorder="1" applyAlignment="1"/>
    <xf numFmtId="0" fontId="5" fillId="0" borderId="12" xfId="0" applyFont="1" applyFill="1" applyBorder="1" applyAlignment="1">
      <alignment horizontal="center"/>
    </xf>
    <xf numFmtId="3" fontId="10" fillId="0" borderId="12" xfId="0" applyNumberFormat="1" applyFont="1" applyFill="1" applyBorder="1" applyAlignment="1"/>
    <xf numFmtId="0" fontId="0" fillId="0" borderId="0" xfId="0" applyFont="1" applyAlignment="1"/>
    <xf numFmtId="0" fontId="5" fillId="0" borderId="0" xfId="0" applyFont="1" applyAlignment="1"/>
    <xf numFmtId="182" fontId="0" fillId="3" borderId="19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Continuous"/>
    </xf>
    <xf numFmtId="0" fontId="7" fillId="4" borderId="24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/>
    <xf numFmtId="0" fontId="3" fillId="0" borderId="6" xfId="0" applyFont="1" applyFill="1" applyBorder="1" applyAlignment="1"/>
    <xf numFmtId="184" fontId="3" fillId="3" borderId="22" xfId="0" applyNumberFormat="1" applyFont="1" applyFill="1" applyBorder="1" applyAlignment="1">
      <alignment horizontal="center"/>
    </xf>
    <xf numFmtId="184" fontId="23" fillId="0" borderId="0" xfId="12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184" fontId="3" fillId="3" borderId="23" xfId="0" applyNumberFormat="1" applyFont="1" applyFill="1" applyBorder="1" applyAlignment="1">
      <alignment horizontal="center"/>
    </xf>
    <xf numFmtId="184" fontId="3" fillId="3" borderId="25" xfId="0" applyNumberFormat="1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5" xfId="0" applyFont="1" applyFill="1" applyBorder="1" applyAlignment="1"/>
    <xf numFmtId="0" fontId="3" fillId="0" borderId="27" xfId="0" applyFont="1" applyFill="1" applyBorder="1" applyAlignment="1"/>
    <xf numFmtId="184" fontId="3" fillId="3" borderId="33" xfId="0" applyNumberFormat="1" applyFont="1" applyFill="1" applyBorder="1" applyAlignment="1">
      <alignment horizontal="center"/>
    </xf>
    <xf numFmtId="0" fontId="3" fillId="0" borderId="28" xfId="0" applyFont="1" applyFill="1" applyBorder="1" applyAlignment="1"/>
    <xf numFmtId="184" fontId="3" fillId="3" borderId="11" xfId="0" applyNumberFormat="1" applyFont="1" applyFill="1" applyBorder="1" applyAlignment="1">
      <alignment horizontal="center"/>
    </xf>
    <xf numFmtId="0" fontId="3" fillId="0" borderId="29" xfId="0" applyFont="1" applyFill="1" applyBorder="1" applyAlignment="1"/>
    <xf numFmtId="184" fontId="3" fillId="0" borderId="25" xfId="0" applyNumberFormat="1" applyFont="1" applyFill="1" applyBorder="1" applyAlignment="1">
      <alignment horizontal="center"/>
    </xf>
    <xf numFmtId="0" fontId="3" fillId="0" borderId="20" xfId="0" applyFont="1" applyFill="1" applyBorder="1" applyAlignment="1"/>
    <xf numFmtId="184" fontId="3" fillId="0" borderId="22" xfId="0" applyNumberFormat="1" applyFont="1" applyFill="1" applyBorder="1" applyAlignment="1">
      <alignment horizontal="center"/>
    </xf>
    <xf numFmtId="184" fontId="3" fillId="0" borderId="23" xfId="0" applyNumberFormat="1" applyFont="1" applyFill="1" applyBorder="1" applyAlignment="1">
      <alignment horizontal="center"/>
    </xf>
    <xf numFmtId="182" fontId="0" fillId="3" borderId="19" xfId="0" applyNumberFormat="1" applyFill="1" applyBorder="1" applyAlignment="1">
      <alignment horizontal="right"/>
    </xf>
    <xf numFmtId="184" fontId="21" fillId="3" borderId="22" xfId="0" applyNumberFormat="1" applyFont="1" applyFill="1" applyBorder="1" applyAlignment="1">
      <alignment horizontal="center"/>
    </xf>
    <xf numFmtId="184" fontId="21" fillId="3" borderId="25" xfId="0" applyNumberFormat="1" applyFont="1" applyFill="1" applyBorder="1" applyAlignment="1">
      <alignment horizontal="center"/>
    </xf>
    <xf numFmtId="184" fontId="21" fillId="3" borderId="33" xfId="0" applyNumberFormat="1" applyFont="1" applyFill="1" applyBorder="1" applyAlignment="1">
      <alignment horizontal="center"/>
    </xf>
    <xf numFmtId="184" fontId="0" fillId="0" borderId="0" xfId="0" applyNumberFormat="1"/>
    <xf numFmtId="175" fontId="7" fillId="4" borderId="19" xfId="0" applyNumberFormat="1" applyFont="1" applyFill="1" applyBorder="1" applyAlignment="1">
      <alignment horizontal="right" indent="2"/>
    </xf>
    <xf numFmtId="185" fontId="3" fillId="3" borderId="13" xfId="0" applyNumberFormat="1" applyFont="1" applyFill="1" applyBorder="1" applyAlignment="1">
      <alignment horizontal="right" indent="1"/>
    </xf>
    <xf numFmtId="186" fontId="3" fillId="3" borderId="13" xfId="0" applyNumberFormat="1" applyFont="1" applyFill="1" applyBorder="1" applyAlignment="1">
      <alignment horizontal="right" indent="1"/>
    </xf>
    <xf numFmtId="0" fontId="3" fillId="0" borderId="12" xfId="0" applyFont="1" applyFill="1" applyBorder="1"/>
    <xf numFmtId="0" fontId="0" fillId="6" borderId="0" xfId="0" applyFill="1"/>
    <xf numFmtId="3" fontId="0" fillId="6" borderId="0" xfId="0" applyNumberFormat="1" applyFill="1"/>
    <xf numFmtId="0" fontId="0" fillId="6" borderId="0" xfId="0" quotePrefix="1" applyFill="1"/>
    <xf numFmtId="43" fontId="0" fillId="6" borderId="0" xfId="0" applyNumberFormat="1" applyFill="1"/>
    <xf numFmtId="37" fontId="3" fillId="0" borderId="12" xfId="0" applyNumberFormat="1" applyFont="1" applyFill="1" applyBorder="1"/>
    <xf numFmtId="3" fontId="3" fillId="3" borderId="12" xfId="3" applyNumberFormat="1" applyFont="1" applyFill="1" applyBorder="1" applyAlignment="1">
      <alignment horizontal="center"/>
    </xf>
    <xf numFmtId="187" fontId="0" fillId="0" borderId="0" xfId="0" applyNumberFormat="1" applyFill="1" applyBorder="1"/>
    <xf numFmtId="187" fontId="8" fillId="0" borderId="0" xfId="3" applyNumberFormat="1" applyFont="1" applyFill="1"/>
    <xf numFmtId="187" fontId="0" fillId="0" borderId="0" xfId="0" applyNumberFormat="1"/>
    <xf numFmtId="177" fontId="6" fillId="3" borderId="12" xfId="3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7" fillId="4" borderId="24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3" borderId="21" xfId="0" applyFont="1" applyFill="1" applyBorder="1"/>
    <xf numFmtId="0" fontId="20" fillId="0" borderId="0" xfId="0" applyFont="1"/>
    <xf numFmtId="0" fontId="0" fillId="0" borderId="0" xfId="0" applyFill="1" applyAlignment="1"/>
    <xf numFmtId="0" fontId="7" fillId="0" borderId="21" xfId="0" applyFont="1" applyFill="1" applyBorder="1"/>
    <xf numFmtId="0" fontId="7" fillId="0" borderId="20" xfId="0" applyFont="1" applyFill="1" applyBorder="1"/>
    <xf numFmtId="0" fontId="0" fillId="0" borderId="0" xfId="0" applyAlignment="1">
      <alignment horizontal="center"/>
    </xf>
    <xf numFmtId="0" fontId="7" fillId="4" borderId="24" xfId="0" applyFont="1" applyFill="1" applyBorder="1" applyAlignment="1">
      <alignment horizontal="right" vertical="center" wrapText="1" indent="1"/>
    </xf>
    <xf numFmtId="37" fontId="3" fillId="3" borderId="24" xfId="0" applyNumberFormat="1" applyFont="1" applyFill="1" applyBorder="1" applyAlignment="1">
      <alignment horizontal="right" indent="1"/>
    </xf>
    <xf numFmtId="37" fontId="3" fillId="3" borderId="13" xfId="0" applyNumberFormat="1" applyFont="1" applyFill="1" applyBorder="1" applyAlignment="1">
      <alignment horizontal="right" indent="1"/>
    </xf>
    <xf numFmtId="37" fontId="3" fillId="3" borderId="22" xfId="0" applyNumberFormat="1" applyFont="1" applyFill="1" applyBorder="1" applyAlignment="1">
      <alignment horizontal="right" indent="1"/>
    </xf>
    <xf numFmtId="37" fontId="3" fillId="3" borderId="23" xfId="0" applyNumberFormat="1" applyFont="1" applyFill="1" applyBorder="1" applyAlignment="1">
      <alignment horizontal="right" indent="1"/>
    </xf>
    <xf numFmtId="37" fontId="3" fillId="3" borderId="25" xfId="0" applyNumberFormat="1" applyFont="1" applyFill="1" applyBorder="1" applyAlignment="1">
      <alignment horizontal="right" indent="1"/>
    </xf>
    <xf numFmtId="37" fontId="3" fillId="3" borderId="33" xfId="0" applyNumberFormat="1" applyFont="1" applyFill="1" applyBorder="1" applyAlignment="1">
      <alignment horizontal="right" indent="1"/>
    </xf>
    <xf numFmtId="37" fontId="3" fillId="3" borderId="11" xfId="0" applyNumberFormat="1" applyFont="1" applyFill="1" applyBorder="1" applyAlignment="1">
      <alignment horizontal="right" indent="1"/>
    </xf>
    <xf numFmtId="37" fontId="3" fillId="3" borderId="42" xfId="0" applyNumberFormat="1" applyFont="1" applyFill="1" applyBorder="1" applyAlignment="1">
      <alignment horizontal="right" indent="1"/>
    </xf>
    <xf numFmtId="37" fontId="3" fillId="0" borderId="35" xfId="0" applyNumberFormat="1" applyFont="1" applyFill="1" applyBorder="1" applyAlignment="1">
      <alignment horizontal="right" indent="1"/>
    </xf>
    <xf numFmtId="37" fontId="3" fillId="0" borderId="43" xfId="0" applyNumberFormat="1" applyFont="1" applyFill="1" applyBorder="1" applyAlignment="1">
      <alignment horizontal="right" indent="1"/>
    </xf>
    <xf numFmtId="37" fontId="3" fillId="0" borderId="44" xfId="0" applyNumberFormat="1" applyFont="1" applyFill="1" applyBorder="1" applyAlignment="1">
      <alignment horizontal="right" indent="1"/>
    </xf>
    <xf numFmtId="184" fontId="0" fillId="0" borderId="0" xfId="0" applyNumberFormat="1" applyFill="1" applyBorder="1"/>
    <xf numFmtId="184" fontId="0" fillId="0" borderId="0" xfId="0" applyNumberFormat="1"/>
    <xf numFmtId="0" fontId="7" fillId="0" borderId="39" xfId="0" applyFont="1" applyFill="1" applyBorder="1"/>
    <xf numFmtId="0" fontId="3" fillId="0" borderId="0" xfId="0" applyFont="1" applyAlignment="1">
      <alignment horizontal="center" wrapText="1"/>
    </xf>
    <xf numFmtId="0" fontId="7" fillId="0" borderId="34" xfId="0" applyFont="1" applyFill="1" applyBorder="1" applyAlignment="1"/>
    <xf numFmtId="0" fontId="0" fillId="0" borderId="0" xfId="0" applyFill="1"/>
    <xf numFmtId="0" fontId="11" fillId="0" borderId="0" xfId="0" applyFont="1" applyFill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left"/>
    </xf>
    <xf numFmtId="187" fontId="0" fillId="0" borderId="15" xfId="0" applyNumberFormat="1" applyFill="1" applyBorder="1"/>
    <xf numFmtId="0" fontId="0" fillId="0" borderId="0" xfId="0" applyFill="1"/>
    <xf numFmtId="0" fontId="19" fillId="0" borderId="0" xfId="0" applyFont="1" applyFill="1"/>
    <xf numFmtId="184" fontId="0" fillId="6" borderId="0" xfId="0" applyNumberFormat="1" applyFill="1"/>
    <xf numFmtId="185" fontId="0" fillId="0" borderId="0" xfId="0" applyNumberFormat="1"/>
    <xf numFmtId="186" fontId="3" fillId="0" borderId="0" xfId="0" applyNumberFormat="1" applyFont="1" applyAlignment="1">
      <alignment horizontal="right"/>
    </xf>
    <xf numFmtId="0" fontId="5" fillId="4" borderId="19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85" fontId="10" fillId="0" borderId="0" xfId="0" applyNumberFormat="1" applyFont="1" applyBorder="1" applyAlignment="1">
      <alignment horizontal="center"/>
    </xf>
    <xf numFmtId="186" fontId="10" fillId="0" borderId="0" xfId="0" applyNumberFormat="1" applyFont="1" applyBorder="1" applyAlignment="1">
      <alignment horizontal="center"/>
    </xf>
    <xf numFmtId="177" fontId="10" fillId="0" borderId="0" xfId="9" applyNumberFormat="1" applyFont="1" applyBorder="1" applyAlignment="1">
      <alignment horizontal="center"/>
    </xf>
    <xf numFmtId="0" fontId="0" fillId="8" borderId="0" xfId="0" applyFill="1" applyBorder="1"/>
    <xf numFmtId="0" fontId="10" fillId="8" borderId="0" xfId="0" applyFont="1" applyFill="1" applyBorder="1"/>
    <xf numFmtId="0" fontId="10" fillId="8" borderId="0" xfId="0" applyFont="1" applyFill="1" applyBorder="1" applyAlignment="1">
      <alignment horizontal="center"/>
    </xf>
    <xf numFmtId="0" fontId="7" fillId="0" borderId="0" xfId="0" applyFont="1" applyBorder="1"/>
    <xf numFmtId="184" fontId="0" fillId="0" borderId="0" xfId="0" applyNumberFormat="1" applyBorder="1"/>
    <xf numFmtId="184" fontId="0" fillId="0" borderId="4" xfId="0" applyNumberFormat="1" applyBorder="1"/>
    <xf numFmtId="177" fontId="10" fillId="0" borderId="4" xfId="0" applyNumberFormat="1" applyFont="1" applyBorder="1" applyAlignment="1">
      <alignment horizontal="center"/>
    </xf>
    <xf numFmtId="3" fontId="0" fillId="0" borderId="0" xfId="0" applyNumberFormat="1" applyBorder="1"/>
    <xf numFmtId="0" fontId="3" fillId="0" borderId="0" xfId="0" applyFont="1"/>
    <xf numFmtId="189" fontId="0" fillId="0" borderId="13" xfId="9" applyNumberFormat="1" applyFont="1" applyFill="1" applyBorder="1" applyAlignment="1">
      <alignment horizontal="center"/>
    </xf>
    <xf numFmtId="189" fontId="0" fillId="6" borderId="13" xfId="9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1" fillId="0" borderId="0" xfId="0" applyFont="1" applyFill="1" applyAlignment="1">
      <alignment horizontal="left"/>
    </xf>
    <xf numFmtId="189" fontId="0" fillId="6" borderId="24" xfId="9" applyNumberFormat="1" applyFont="1" applyFill="1" applyBorder="1" applyAlignment="1">
      <alignment horizontal="center"/>
    </xf>
    <xf numFmtId="189" fontId="0" fillId="0" borderId="0" xfId="0" applyNumberFormat="1" applyAlignment="1">
      <alignment horizontal="center"/>
    </xf>
    <xf numFmtId="189" fontId="0" fillId="0" borderId="24" xfId="9" applyNumberFormat="1" applyFont="1" applyFill="1" applyBorder="1" applyAlignment="1">
      <alignment horizontal="center"/>
    </xf>
    <xf numFmtId="184" fontId="0" fillId="0" borderId="0" xfId="0" applyNumberFormat="1" applyAlignment="1">
      <alignment horizontal="center"/>
    </xf>
    <xf numFmtId="0" fontId="3" fillId="6" borderId="0" xfId="0" applyFont="1" applyFill="1"/>
    <xf numFmtId="189" fontId="0" fillId="6" borderId="22" xfId="9" applyNumberFormat="1" applyFont="1" applyFill="1" applyBorder="1" applyAlignment="1">
      <alignment horizontal="center"/>
    </xf>
    <xf numFmtId="177" fontId="0" fillId="0" borderId="0" xfId="9" applyNumberFormat="1" applyFont="1"/>
    <xf numFmtId="189" fontId="0" fillId="0" borderId="22" xfId="9" applyNumberFormat="1" applyFont="1" applyFill="1" applyBorder="1" applyAlignment="1">
      <alignment horizontal="center"/>
    </xf>
    <xf numFmtId="0" fontId="7" fillId="2" borderId="35" xfId="22" applyNumberFormat="1" applyFont="1" applyFill="1" applyBorder="1" applyAlignment="1">
      <alignment horizontal="center"/>
    </xf>
    <xf numFmtId="0" fontId="7" fillId="2" borderId="49" xfId="22" applyNumberFormat="1" applyFont="1" applyFill="1" applyBorder="1" applyAlignment="1">
      <alignment horizontal="center"/>
    </xf>
    <xf numFmtId="0" fontId="7" fillId="2" borderId="46" xfId="22" applyNumberFormat="1" applyFont="1" applyFill="1" applyBorder="1" applyAlignment="1">
      <alignment horizontal="center" vertical="center" wrapText="1"/>
    </xf>
    <xf numFmtId="0" fontId="7" fillId="2" borderId="38" xfId="22" applyNumberFormat="1" applyFont="1" applyFill="1" applyBorder="1" applyAlignment="1">
      <alignment horizontal="center" vertical="center"/>
    </xf>
    <xf numFmtId="0" fontId="7" fillId="9" borderId="38" xfId="22" applyFont="1" applyFill="1" applyBorder="1"/>
    <xf numFmtId="165" fontId="27" fillId="9" borderId="50" xfId="22" applyNumberFormat="1" applyFont="1" applyFill="1" applyBorder="1"/>
    <xf numFmtId="165" fontId="7" fillId="9" borderId="51" xfId="22" applyNumberFormat="1" applyFont="1" applyFill="1" applyBorder="1"/>
    <xf numFmtId="0" fontId="7" fillId="9" borderId="38" xfId="22" applyFont="1" applyFill="1" applyBorder="1"/>
    <xf numFmtId="165" fontId="27" fillId="9" borderId="50" xfId="22" applyNumberFormat="1" applyFont="1" applyFill="1" applyBorder="1"/>
    <xf numFmtId="165" fontId="7" fillId="9" borderId="51" xfId="22" applyNumberFormat="1" applyFont="1" applyFill="1" applyBorder="1"/>
    <xf numFmtId="37" fontId="3" fillId="3" borderId="47" xfId="0" applyNumberFormat="1" applyFont="1" applyFill="1" applyBorder="1" applyAlignment="1">
      <alignment horizontal="right" indent="1"/>
    </xf>
    <xf numFmtId="37" fontId="3" fillId="3" borderId="45" xfId="0" applyNumberFormat="1" applyFont="1" applyFill="1" applyBorder="1" applyAlignment="1">
      <alignment horizontal="right" indent="1"/>
    </xf>
    <xf numFmtId="37" fontId="3" fillId="3" borderId="48" xfId="0" applyNumberFormat="1" applyFont="1" applyFill="1" applyBorder="1" applyAlignment="1">
      <alignment horizontal="right" indent="1"/>
    </xf>
    <xf numFmtId="0" fontId="7" fillId="0" borderId="52" xfId="0" applyFont="1" applyFill="1" applyBorder="1"/>
    <xf numFmtId="0" fontId="7" fillId="0" borderId="53" xfId="0" applyFont="1" applyFill="1" applyBorder="1"/>
    <xf numFmtId="0" fontId="7" fillId="0" borderId="54" xfId="0" applyFont="1" applyFill="1" applyBorder="1"/>
    <xf numFmtId="172" fontId="0" fillId="0" borderId="0" xfId="9" applyNumberFormat="1" applyFont="1"/>
    <xf numFmtId="189" fontId="0" fillId="0" borderId="0" xfId="9" applyNumberFormat="1" applyFont="1" applyFill="1" applyBorder="1" applyAlignment="1">
      <alignment horizontal="right"/>
    </xf>
    <xf numFmtId="177" fontId="0" fillId="0" borderId="0" xfId="9" applyNumberFormat="1" applyFont="1" applyFill="1"/>
    <xf numFmtId="10" fontId="0" fillId="0" borderId="0" xfId="9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185" fontId="3" fillId="3" borderId="13" xfId="0" applyNumberFormat="1" applyFont="1" applyFill="1" applyBorder="1" applyAlignment="1">
      <alignment horizontal="right"/>
    </xf>
    <xf numFmtId="186" fontId="3" fillId="3" borderId="13" xfId="0" applyNumberFormat="1" applyFont="1" applyFill="1" applyBorder="1" applyAlignment="1">
      <alignment horizontal="right"/>
    </xf>
    <xf numFmtId="189" fontId="10" fillId="0" borderId="0" xfId="9" applyNumberFormat="1" applyFont="1" applyBorder="1" applyAlignment="1">
      <alignment horizontal="center"/>
    </xf>
    <xf numFmtId="189" fontId="10" fillId="0" borderId="0" xfId="0" applyNumberFormat="1" applyFont="1" applyBorder="1" applyAlignment="1">
      <alignment horizontal="center"/>
    </xf>
    <xf numFmtId="0" fontId="0" fillId="0" borderId="0" xfId="0" applyFill="1"/>
    <xf numFmtId="0" fontId="7" fillId="4" borderId="12" xfId="0" applyFont="1" applyFill="1" applyBorder="1" applyAlignment="1">
      <alignment horizontal="center" wrapText="1"/>
    </xf>
    <xf numFmtId="184" fontId="0" fillId="0" borderId="21" xfId="0" applyNumberFormat="1" applyBorder="1"/>
    <xf numFmtId="0" fontId="3" fillId="0" borderId="36" xfId="0" applyFont="1" applyBorder="1"/>
    <xf numFmtId="184" fontId="0" fillId="0" borderId="39" xfId="0" applyNumberFormat="1" applyBorder="1"/>
    <xf numFmtId="0" fontId="3" fillId="0" borderId="2" xfId="0" applyFont="1" applyBorder="1"/>
    <xf numFmtId="0" fontId="0" fillId="0" borderId="2" xfId="0" applyBorder="1"/>
    <xf numFmtId="0" fontId="0" fillId="0" borderId="40" xfId="0" applyBorder="1"/>
    <xf numFmtId="190" fontId="6" fillId="0" borderId="0" xfId="1" applyNumberFormat="1" applyFont="1" applyFill="1" applyBorder="1" applyAlignment="1">
      <alignment horizontal="center"/>
    </xf>
    <xf numFmtId="184" fontId="0" fillId="8" borderId="0" xfId="0" applyNumberFormat="1" applyFill="1"/>
    <xf numFmtId="177" fontId="3" fillId="6" borderId="12" xfId="9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6" fontId="0" fillId="0" borderId="0" xfId="0" applyNumberFormat="1" applyAlignment="1">
      <alignment horizontal="center"/>
    </xf>
    <xf numFmtId="192" fontId="0" fillId="0" borderId="0" xfId="9" applyNumberFormat="1" applyFont="1" applyAlignment="1">
      <alignment horizontal="center"/>
    </xf>
    <xf numFmtId="0" fontId="0" fillId="0" borderId="0" xfId="0" applyFill="1"/>
    <xf numFmtId="9" fontId="6" fillId="8" borderId="12" xfId="9" applyNumberFormat="1" applyFont="1" applyFill="1" applyBorder="1" applyAlignment="1">
      <alignment horizontal="center"/>
    </xf>
    <xf numFmtId="9" fontId="0" fillId="8" borderId="12" xfId="0" applyNumberForma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7" fillId="0" borderId="0" xfId="9" applyNumberFormat="1" applyFont="1" applyFill="1" applyBorder="1" applyAlignment="1">
      <alignment horizontal="center" wrapText="1"/>
    </xf>
    <xf numFmtId="9" fontId="0" fillId="0" borderId="0" xfId="0" applyNumberFormat="1" applyFill="1" applyBorder="1" applyAlignment="1">
      <alignment horizontal="center"/>
    </xf>
    <xf numFmtId="10" fontId="3" fillId="10" borderId="0" xfId="9" applyNumberFormat="1" applyFont="1" applyFill="1" applyAlignment="1">
      <alignment horizontal="center"/>
    </xf>
    <xf numFmtId="0" fontId="0" fillId="10" borderId="0" xfId="0" applyFill="1" applyAlignment="1">
      <alignment horizontal="center"/>
    </xf>
    <xf numFmtId="10" fontId="3" fillId="10" borderId="0" xfId="9" applyNumberFormat="1" applyFont="1" applyFill="1" applyAlignment="1">
      <alignment horizontal="center" wrapText="1"/>
    </xf>
    <xf numFmtId="10" fontId="0" fillId="10" borderId="0" xfId="9" applyNumberFormat="1" applyFont="1" applyFill="1" applyAlignment="1">
      <alignment horizontal="center"/>
    </xf>
    <xf numFmtId="10" fontId="20" fillId="10" borderId="0" xfId="9" applyNumberFormat="1" applyFont="1" applyFill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3" fontId="7" fillId="8" borderId="0" xfId="0" quotePrefix="1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3" fontId="29" fillId="0" borderId="0" xfId="0" applyNumberFormat="1" applyFont="1" applyBorder="1" applyAlignment="1">
      <alignment horizontal="center"/>
    </xf>
    <xf numFmtId="0" fontId="29" fillId="0" borderId="0" xfId="0" applyFont="1" applyBorder="1"/>
    <xf numFmtId="3" fontId="7" fillId="10" borderId="0" xfId="0" quotePrefix="1" applyNumberFormat="1" applyFont="1" applyFill="1" applyAlignment="1">
      <alignment horizontal="center"/>
    </xf>
    <xf numFmtId="10" fontId="6" fillId="10" borderId="12" xfId="3" applyNumberFormat="1" applyFont="1" applyFill="1" applyBorder="1" applyAlignment="1">
      <alignment horizontal="center"/>
    </xf>
    <xf numFmtId="177" fontId="6" fillId="10" borderId="12" xfId="3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0" fontId="6" fillId="0" borderId="0" xfId="9" applyNumberFormat="1" applyFont="1" applyFill="1" applyBorder="1" applyAlignment="1">
      <alignment horizontal="center"/>
    </xf>
    <xf numFmtId="191" fontId="3" fillId="0" borderId="0" xfId="9" applyNumberFormat="1" applyFont="1" applyFill="1" applyBorder="1" applyAlignment="1">
      <alignment horizontal="center"/>
    </xf>
    <xf numFmtId="184" fontId="0" fillId="0" borderId="0" xfId="0" applyNumberFormat="1" applyFill="1"/>
    <xf numFmtId="177" fontId="0" fillId="0" borderId="4" xfId="9" applyNumberFormat="1" applyFont="1" applyBorder="1"/>
    <xf numFmtId="0" fontId="7" fillId="4" borderId="12" xfId="0" applyFont="1" applyFill="1" applyBorder="1" applyAlignment="1">
      <alignment horizontal="right" wrapText="1"/>
    </xf>
    <xf numFmtId="37" fontId="7" fillId="4" borderId="30" xfId="9" applyNumberFormat="1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right" wrapText="1" indent="1"/>
    </xf>
    <xf numFmtId="0" fontId="7" fillId="8" borderId="12" xfId="0" applyFont="1" applyFill="1" applyBorder="1" applyAlignment="1">
      <alignment horizontal="center" wrapText="1"/>
    </xf>
    <xf numFmtId="0" fontId="7" fillId="8" borderId="0" xfId="0" applyFont="1" applyFill="1" applyAlignment="1">
      <alignment vertical="center"/>
    </xf>
    <xf numFmtId="9" fontId="0" fillId="0" borderId="0" xfId="9" applyFont="1" applyAlignment="1">
      <alignment horizontal="center"/>
    </xf>
    <xf numFmtId="0" fontId="0" fillId="6" borderId="0" xfId="0" applyFill="1" applyAlignment="1">
      <alignment horizontal="center"/>
    </xf>
    <xf numFmtId="184" fontId="7" fillId="0" borderId="0" xfId="0" applyNumberFormat="1" applyFont="1" applyAlignment="1">
      <alignment horizontal="center" wrapText="1"/>
    </xf>
    <xf numFmtId="0" fontId="24" fillId="0" borderId="0" xfId="0" applyFont="1" applyFill="1" applyAlignment="1">
      <alignment horizontal="left"/>
    </xf>
    <xf numFmtId="37" fontId="3" fillId="0" borderId="12" xfId="0" applyNumberFormat="1" applyFont="1" applyFill="1" applyBorder="1" applyAlignment="1"/>
    <xf numFmtId="0" fontId="7" fillId="0" borderId="16" xfId="0" applyFont="1" applyFill="1" applyBorder="1" applyAlignment="1">
      <alignment horizontal="left"/>
    </xf>
    <xf numFmtId="3" fontId="0" fillId="0" borderId="0" xfId="0" applyNumberFormat="1" applyAlignment="1"/>
    <xf numFmtId="3" fontId="7" fillId="0" borderId="4" xfId="3" applyNumberFormat="1" applyFont="1" applyFill="1" applyBorder="1" applyAlignment="1">
      <alignment horizontal="right"/>
    </xf>
    <xf numFmtId="0" fontId="24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177" fontId="0" fillId="0" borderId="0" xfId="9" applyNumberFormat="1" applyFont="1" applyAlignment="1"/>
    <xf numFmtId="0" fontId="7" fillId="11" borderId="24" xfId="0" applyFont="1" applyFill="1" applyBorder="1" applyAlignment="1">
      <alignment horizontal="left" wrapText="1"/>
    </xf>
    <xf numFmtId="0" fontId="7" fillId="11" borderId="13" xfId="0" applyFont="1" applyFill="1" applyBorder="1" applyAlignment="1">
      <alignment horizontal="left" wrapText="1"/>
    </xf>
    <xf numFmtId="3" fontId="7" fillId="11" borderId="13" xfId="0" quotePrefix="1" applyNumberFormat="1" applyFont="1" applyFill="1" applyBorder="1" applyAlignment="1">
      <alignment horizontal="right" wrapText="1"/>
    </xf>
    <xf numFmtId="0" fontId="7" fillId="11" borderId="31" xfId="0" applyFont="1" applyFill="1" applyBorder="1" applyAlignment="1">
      <alignment horizontal="left" wrapText="1"/>
    </xf>
    <xf numFmtId="0" fontId="7" fillId="11" borderId="55" xfId="0" applyFont="1" applyFill="1" applyBorder="1" applyAlignment="1">
      <alignment horizontal="left" wrapText="1"/>
    </xf>
    <xf numFmtId="37" fontId="3" fillId="0" borderId="14" xfId="0" applyNumberFormat="1" applyFont="1" applyFill="1" applyBorder="1" applyAlignment="1"/>
    <xf numFmtId="3" fontId="7" fillId="11" borderId="57" xfId="0" quotePrefix="1" applyNumberFormat="1" applyFont="1" applyFill="1" applyBorder="1" applyAlignment="1">
      <alignment horizontal="right" wrapText="1"/>
    </xf>
    <xf numFmtId="3" fontId="6" fillId="0" borderId="30" xfId="1" applyNumberFormat="1" applyFont="1" applyFill="1" applyBorder="1" applyAlignment="1">
      <alignment horizontal="right"/>
    </xf>
    <xf numFmtId="3" fontId="7" fillId="11" borderId="24" xfId="0" quotePrefix="1" applyNumberFormat="1" applyFont="1" applyFill="1" applyBorder="1" applyAlignment="1">
      <alignment horizontal="right" wrapText="1"/>
    </xf>
    <xf numFmtId="184" fontId="6" fillId="0" borderId="12" xfId="1" applyNumberFormat="1" applyFont="1" applyFill="1" applyBorder="1" applyAlignment="1">
      <alignment horizontal="right"/>
    </xf>
    <xf numFmtId="184" fontId="7" fillId="0" borderId="4" xfId="3" applyNumberFormat="1" applyFont="1" applyFill="1" applyBorder="1" applyAlignment="1">
      <alignment horizontal="right"/>
    </xf>
    <xf numFmtId="184" fontId="24" fillId="0" borderId="0" xfId="0" applyNumberFormat="1" applyFont="1" applyFill="1" applyAlignment="1">
      <alignment horizontal="left"/>
    </xf>
    <xf numFmtId="3" fontId="7" fillId="11" borderId="56" xfId="0" quotePrefix="1" applyNumberFormat="1" applyFont="1" applyFill="1" applyBorder="1" applyAlignment="1">
      <alignment horizontal="right" wrapText="1"/>
    </xf>
    <xf numFmtId="3" fontId="3" fillId="0" borderId="12" xfId="1" applyNumberFormat="1" applyFont="1" applyFill="1" applyBorder="1" applyAlignment="1">
      <alignment horizontal="center"/>
    </xf>
    <xf numFmtId="186" fontId="6" fillId="0" borderId="12" xfId="1" applyNumberFormat="1" applyFont="1" applyFill="1" applyBorder="1" applyAlignment="1">
      <alignment horizontal="right"/>
    </xf>
    <xf numFmtId="0" fontId="7" fillId="11" borderId="10" xfId="0" applyFont="1" applyFill="1" applyBorder="1" applyAlignment="1">
      <alignment horizontal="left" wrapText="1"/>
    </xf>
    <xf numFmtId="3" fontId="7" fillId="11" borderId="11" xfId="0" quotePrefix="1" applyNumberFormat="1" applyFont="1" applyFill="1" applyBorder="1" applyAlignment="1">
      <alignment horizontal="right" wrapText="1"/>
    </xf>
    <xf numFmtId="3" fontId="7" fillId="11" borderId="22" xfId="0" quotePrefix="1" applyNumberFormat="1" applyFont="1" applyFill="1" applyBorder="1" applyAlignment="1">
      <alignment horizontal="right" wrapText="1"/>
    </xf>
    <xf numFmtId="0" fontId="0" fillId="0" borderId="0" xfId="0" applyFill="1" applyBorder="1" applyAlignment="1"/>
    <xf numFmtId="184" fontId="30" fillId="0" borderId="12" xfId="1" applyNumberFormat="1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0" fontId="30" fillId="0" borderId="0" xfId="0" applyFont="1"/>
    <xf numFmtId="0" fontId="7" fillId="4" borderId="12" xfId="0" applyFont="1" applyFill="1" applyBorder="1" applyAlignment="1">
      <alignment horizontal="center" wrapText="1"/>
    </xf>
    <xf numFmtId="3" fontId="7" fillId="4" borderId="12" xfId="0" quotePrefix="1" applyNumberFormat="1" applyFont="1" applyFill="1" applyBorder="1" applyAlignment="1">
      <alignment horizontal="center" wrapText="1"/>
    </xf>
    <xf numFmtId="177" fontId="0" fillId="0" borderId="12" xfId="9" applyNumberFormat="1" applyFont="1" applyFill="1" applyBorder="1" applyAlignment="1">
      <alignment horizontal="center"/>
    </xf>
    <xf numFmtId="177" fontId="6" fillId="0" borderId="12" xfId="9" applyNumberFormat="1" applyFont="1" applyFill="1" applyBorder="1" applyAlignment="1">
      <alignment horizontal="center"/>
    </xf>
    <xf numFmtId="180" fontId="0" fillId="0" borderId="0" xfId="0" applyNumberFormat="1"/>
    <xf numFmtId="4" fontId="0" fillId="0" borderId="0" xfId="0" applyNumberFormat="1" applyAlignment="1">
      <alignment horizontal="center"/>
    </xf>
    <xf numFmtId="0" fontId="33" fillId="0" borderId="0" xfId="0" applyFont="1" applyFill="1" applyAlignment="1">
      <alignment horizontal="left"/>
    </xf>
    <xf numFmtId="185" fontId="24" fillId="0" borderId="0" xfId="0" applyNumberFormat="1" applyFont="1" applyFill="1" applyAlignment="1">
      <alignment horizontal="left"/>
    </xf>
    <xf numFmtId="186" fontId="24" fillId="0" borderId="0" xfId="0" applyNumberFormat="1" applyFont="1" applyFill="1" applyAlignment="1">
      <alignment horizontal="left"/>
    </xf>
    <xf numFmtId="193" fontId="6" fillId="0" borderId="12" xfId="1" applyNumberFormat="1" applyFont="1" applyFill="1" applyBorder="1" applyAlignment="1">
      <alignment horizontal="right"/>
    </xf>
    <xf numFmtId="193" fontId="24" fillId="0" borderId="0" xfId="0" applyNumberFormat="1" applyFont="1" applyFill="1" applyAlignment="1">
      <alignment horizontal="left"/>
    </xf>
    <xf numFmtId="193" fontId="3" fillId="0" borderId="12" xfId="0" applyNumberFormat="1" applyFont="1" applyFill="1" applyBorder="1" applyAlignment="1"/>
    <xf numFmtId="194" fontId="6" fillId="0" borderId="12" xfId="1" applyNumberFormat="1" applyFont="1" applyFill="1" applyBorder="1" applyAlignment="1">
      <alignment horizontal="right"/>
    </xf>
    <xf numFmtId="194" fontId="24" fillId="0" borderId="0" xfId="0" applyNumberFormat="1" applyFont="1" applyFill="1" applyAlignment="1">
      <alignment horizontal="left"/>
    </xf>
    <xf numFmtId="194" fontId="0" fillId="0" borderId="0" xfId="0" applyNumberFormat="1" applyAlignment="1"/>
    <xf numFmtId="194" fontId="0" fillId="0" borderId="0" xfId="9" applyNumberFormat="1" applyFont="1" applyAlignment="1"/>
    <xf numFmtId="194" fontId="0" fillId="0" borderId="0" xfId="0" applyNumberFormat="1"/>
    <xf numFmtId="44" fontId="6" fillId="0" borderId="12" xfId="1" applyNumberFormat="1" applyFont="1" applyFill="1" applyBorder="1" applyAlignment="1">
      <alignment horizontal="right"/>
    </xf>
    <xf numFmtId="195" fontId="6" fillId="0" borderId="12" xfId="1" applyNumberFormat="1" applyFont="1" applyFill="1" applyBorder="1" applyAlignment="1">
      <alignment horizontal="right"/>
    </xf>
    <xf numFmtId="0" fontId="7" fillId="11" borderId="24" xfId="0" applyFont="1" applyFill="1" applyBorder="1" applyAlignment="1">
      <alignment horizontal="left" vertical="top" wrapText="1"/>
    </xf>
    <xf numFmtId="3" fontId="7" fillId="11" borderId="24" xfId="0" quotePrefix="1" applyNumberFormat="1" applyFont="1" applyFill="1" applyBorder="1" applyAlignment="1">
      <alignment horizontal="right" vertical="top" wrapText="1"/>
    </xf>
    <xf numFmtId="0" fontId="3" fillId="8" borderId="0" xfId="0" applyFont="1" applyFill="1" applyAlignment="1">
      <alignment horizontal="right" wrapText="1"/>
    </xf>
    <xf numFmtId="10" fontId="0" fillId="8" borderId="0" xfId="9" applyNumberFormat="1" applyFont="1" applyFill="1" applyAlignment="1"/>
    <xf numFmtId="3" fontId="3" fillId="8" borderId="0" xfId="0" applyNumberFormat="1" applyFont="1" applyFill="1" applyAlignment="1">
      <alignment horizontal="right"/>
    </xf>
    <xf numFmtId="3" fontId="0" fillId="8" borderId="0" xfId="0" applyNumberFormat="1" applyFill="1" applyAlignment="1"/>
    <xf numFmtId="0" fontId="33" fillId="0" borderId="34" xfId="0" applyFont="1" applyFill="1" applyBorder="1" applyAlignment="1">
      <alignment horizontal="left" indent="2"/>
    </xf>
    <xf numFmtId="0" fontId="0" fillId="8" borderId="0" xfId="0" applyFill="1"/>
    <xf numFmtId="37" fontId="7" fillId="8" borderId="0" xfId="0" applyNumberFormat="1" applyFont="1" applyFill="1" applyBorder="1" applyAlignment="1"/>
    <xf numFmtId="3" fontId="7" fillId="8" borderId="0" xfId="0" applyNumberFormat="1" applyFont="1" applyFill="1"/>
    <xf numFmtId="169" fontId="3" fillId="0" borderId="0" xfId="0" applyNumberFormat="1" applyFont="1" applyFill="1" applyAlignment="1">
      <alignment horizontal="left"/>
    </xf>
    <xf numFmtId="0" fontId="3" fillId="8" borderId="0" xfId="0" applyFont="1" applyFill="1"/>
    <xf numFmtId="3" fontId="7" fillId="11" borderId="12" xfId="0" quotePrefix="1" applyNumberFormat="1" applyFont="1" applyFill="1" applyBorder="1" applyAlignment="1">
      <alignment horizontal="right" wrapText="1"/>
    </xf>
    <xf numFmtId="193" fontId="3" fillId="0" borderId="12" xfId="0" applyNumberFormat="1" applyFont="1" applyFill="1" applyBorder="1" applyAlignment="1">
      <alignment horizontal="right"/>
    </xf>
    <xf numFmtId="3" fontId="0" fillId="0" borderId="56" xfId="0" applyNumberFormat="1" applyBorder="1"/>
    <xf numFmtId="3" fontId="0" fillId="0" borderId="11" xfId="0" applyNumberFormat="1" applyBorder="1"/>
    <xf numFmtId="3" fontId="3" fillId="0" borderId="0" xfId="0" applyNumberFormat="1" applyFont="1" applyBorder="1"/>
    <xf numFmtId="3" fontId="3" fillId="6" borderId="34" xfId="0" quotePrefix="1" applyNumberFormat="1" applyFont="1" applyFill="1" applyBorder="1"/>
    <xf numFmtId="3" fontId="0" fillId="6" borderId="57" xfId="0" applyNumberFormat="1" applyFill="1" applyBorder="1"/>
    <xf numFmtId="184" fontId="0" fillId="0" borderId="41" xfId="0" applyNumberFormat="1" applyBorder="1" applyAlignment="1">
      <alignment horizontal="center"/>
    </xf>
    <xf numFmtId="184" fontId="0" fillId="6" borderId="14" xfId="0" applyNumberFormat="1" applyFill="1" applyBorder="1" applyAlignment="1">
      <alignment horizontal="center"/>
    </xf>
    <xf numFmtId="186" fontId="0" fillId="0" borderId="0" xfId="0" applyNumberFormat="1"/>
    <xf numFmtId="0" fontId="30" fillId="0" borderId="0" xfId="0" applyFont="1" applyAlignment="1"/>
    <xf numFmtId="3" fontId="7" fillId="11" borderId="24" xfId="0" quotePrefix="1" applyNumberFormat="1" applyFont="1" applyFill="1" applyBorder="1" applyAlignment="1">
      <alignment horizontal="right"/>
    </xf>
    <xf numFmtId="3" fontId="7" fillId="11" borderId="13" xfId="0" quotePrefix="1" applyNumberFormat="1" applyFont="1" applyFill="1" applyBorder="1" applyAlignment="1">
      <alignment horizontal="right"/>
    </xf>
    <xf numFmtId="186" fontId="0" fillId="0" borderId="0" xfId="0" applyNumberFormat="1" applyAlignment="1"/>
    <xf numFmtId="0" fontId="3" fillId="8" borderId="34" xfId="0" applyFont="1" applyFill="1" applyBorder="1" applyAlignment="1">
      <alignment horizontal="centerContinuous"/>
    </xf>
    <xf numFmtId="186" fontId="0" fillId="11" borderId="0" xfId="0" applyNumberFormat="1" applyFill="1"/>
    <xf numFmtId="184" fontId="3" fillId="0" borderId="0" xfId="9" applyNumberFormat="1" applyFont="1" applyFill="1" applyBorder="1" applyAlignment="1">
      <alignment horizontal="center"/>
    </xf>
    <xf numFmtId="184" fontId="6" fillId="0" borderId="0" xfId="9" applyNumberFormat="1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33" fillId="0" borderId="0" xfId="0" applyFont="1" applyFill="1" applyAlignment="1"/>
    <xf numFmtId="0" fontId="3" fillId="0" borderId="0" xfId="0" applyFont="1" applyFill="1"/>
    <xf numFmtId="0" fontId="7" fillId="6" borderId="12" xfId="0" applyFont="1" applyFill="1" applyBorder="1" applyAlignment="1">
      <alignment horizontal="center"/>
    </xf>
    <xf numFmtId="37" fontId="3" fillId="8" borderId="12" xfId="0" applyNumberFormat="1" applyFont="1" applyFill="1" applyBorder="1" applyAlignment="1"/>
    <xf numFmtId="184" fontId="6" fillId="8" borderId="12" xfId="1" applyNumberFormat="1" applyFont="1" applyFill="1" applyBorder="1" applyAlignment="1">
      <alignment horizontal="right"/>
    </xf>
    <xf numFmtId="184" fontId="24" fillId="8" borderId="0" xfId="0" applyNumberFormat="1" applyFont="1" applyFill="1" applyAlignment="1">
      <alignment horizontal="left"/>
    </xf>
    <xf numFmtId="186" fontId="0" fillId="8" borderId="0" xfId="0" applyNumberFormat="1" applyFill="1"/>
    <xf numFmtId="0" fontId="7" fillId="4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12" borderId="0" xfId="0" applyFill="1"/>
    <xf numFmtId="184" fontId="0" fillId="8" borderId="0" xfId="0" applyNumberFormat="1" applyFill="1" applyAlignment="1"/>
    <xf numFmtId="3" fontId="7" fillId="11" borderId="10" xfId="0" applyNumberFormat="1" applyFont="1" applyFill="1" applyBorder="1" applyAlignment="1">
      <alignment horizontal="right" wrapText="1"/>
    </xf>
    <xf numFmtId="193" fontId="0" fillId="0" borderId="0" xfId="0" applyNumberFormat="1"/>
    <xf numFmtId="3" fontId="3" fillId="0" borderId="0" xfId="0" applyNumberFormat="1" applyFont="1"/>
    <xf numFmtId="184" fontId="0" fillId="5" borderId="0" xfId="0" applyNumberFormat="1" applyFill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186" fontId="3" fillId="8" borderId="0" xfId="0" applyNumberFormat="1" applyFont="1" applyFill="1"/>
    <xf numFmtId="44" fontId="0" fillId="0" borderId="0" xfId="0" applyNumberFormat="1" applyFill="1" applyBorder="1"/>
    <xf numFmtId="10" fontId="0" fillId="13" borderId="12" xfId="9" applyNumberFormat="1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/>
    <xf numFmtId="0" fontId="19" fillId="13" borderId="0" xfId="0" applyFont="1" applyFill="1"/>
    <xf numFmtId="0" fontId="3" fillId="13" borderId="0" xfId="0" applyFont="1" applyFill="1" applyAlignment="1">
      <alignment horizontal="right"/>
    </xf>
    <xf numFmtId="10" fontId="23" fillId="13" borderId="0" xfId="9" applyNumberFormat="1" applyFont="1" applyFill="1" applyBorder="1" applyAlignment="1">
      <alignment horizontal="right" vertical="top"/>
    </xf>
    <xf numFmtId="0" fontId="3" fillId="13" borderId="0" xfId="0" applyFont="1" applyFill="1" applyAlignment="1"/>
    <xf numFmtId="10" fontId="0" fillId="13" borderId="0" xfId="0" applyNumberFormat="1" applyFill="1" applyAlignment="1"/>
    <xf numFmtId="0" fontId="0" fillId="13" borderId="0" xfId="0" applyFill="1" applyAlignment="1">
      <alignment horizontal="left"/>
    </xf>
    <xf numFmtId="0" fontId="0" fillId="13" borderId="0" xfId="0" applyFill="1" applyAlignment="1"/>
    <xf numFmtId="0" fontId="3" fillId="13" borderId="0" xfId="0" applyFont="1" applyFill="1" applyAlignment="1">
      <alignment horizontal="left"/>
    </xf>
    <xf numFmtId="0" fontId="0" fillId="13" borderId="0" xfId="0" applyFill="1" applyBorder="1" applyAlignment="1"/>
    <xf numFmtId="177" fontId="6" fillId="0" borderId="12" xfId="9" applyNumberFormat="1" applyFont="1" applyFill="1" applyBorder="1" applyAlignment="1">
      <alignment horizontal="right"/>
    </xf>
    <xf numFmtId="3" fontId="7" fillId="11" borderId="24" xfId="0" quotePrefix="1" applyNumberFormat="1" applyFont="1" applyFill="1" applyBorder="1" applyAlignment="1">
      <alignment horizontal="center" wrapText="1"/>
    </xf>
    <xf numFmtId="177" fontId="7" fillId="0" borderId="4" xfId="9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9" fillId="0" borderId="0" xfId="0" applyFont="1"/>
    <xf numFmtId="196" fontId="0" fillId="0" borderId="12" xfId="19" applyNumberFormat="1" applyFont="1" applyBorder="1" applyAlignment="1">
      <alignment horizontal="right"/>
    </xf>
    <xf numFmtId="0" fontId="7" fillId="11" borderId="24" xfId="0" applyFont="1" applyFill="1" applyBorder="1" applyAlignment="1">
      <alignment horizontal="right" wrapText="1"/>
    </xf>
    <xf numFmtId="9" fontId="3" fillId="0" borderId="0" xfId="9" applyFont="1" applyFill="1" applyBorder="1" applyAlignment="1">
      <alignment horizontal="right"/>
    </xf>
    <xf numFmtId="177" fontId="3" fillId="0" borderId="0" xfId="9" applyNumberFormat="1" applyFont="1" applyFill="1" applyBorder="1" applyAlignment="1">
      <alignment horizontal="right"/>
    </xf>
    <xf numFmtId="184" fontId="3" fillId="0" borderId="0" xfId="0" applyNumberFormat="1" applyFont="1" applyFill="1" applyAlignment="1">
      <alignment horizontal="right"/>
    </xf>
    <xf numFmtId="0" fontId="7" fillId="4" borderId="12" xfId="0" applyFont="1" applyFill="1" applyBorder="1" applyAlignment="1">
      <alignment horizontal="center" wrapText="1"/>
    </xf>
    <xf numFmtId="187" fontId="3" fillId="8" borderId="0" xfId="0" applyNumberFormat="1" applyFont="1" applyFill="1" applyAlignment="1"/>
    <xf numFmtId="37" fontId="3" fillId="0" borderId="0" xfId="0" applyNumberFormat="1" applyFont="1" applyFill="1" applyBorder="1"/>
    <xf numFmtId="0" fontId="0" fillId="8" borderId="12" xfId="0" applyFill="1" applyBorder="1" applyAlignment="1">
      <alignment wrapText="1"/>
    </xf>
    <xf numFmtId="0" fontId="3" fillId="8" borderId="12" xfId="0" applyFont="1" applyFill="1" applyBorder="1" applyAlignment="1">
      <alignment wrapText="1"/>
    </xf>
    <xf numFmtId="9" fontId="0" fillId="0" borderId="12" xfId="0" applyNumberFormat="1" applyBorder="1"/>
    <xf numFmtId="9" fontId="0" fillId="0" borderId="0" xfId="0" applyNumberFormat="1"/>
    <xf numFmtId="0" fontId="10" fillId="0" borderId="0" xfId="0" applyFont="1" applyAlignment="1">
      <alignment horizontal="center"/>
    </xf>
    <xf numFmtId="186" fontId="10" fillId="0" borderId="2" xfId="0" applyNumberFormat="1" applyFont="1" applyBorder="1" applyAlignment="1">
      <alignment horizontal="center"/>
    </xf>
    <xf numFmtId="0" fontId="8" fillId="4" borderId="19" xfId="0" applyFont="1" applyFill="1" applyBorder="1" applyAlignment="1">
      <alignment horizontal="center" vertical="center" wrapText="1"/>
    </xf>
    <xf numFmtId="177" fontId="13" fillId="0" borderId="0" xfId="9" applyNumberFormat="1" applyFont="1" applyBorder="1" applyAlignment="1">
      <alignment horizontal="center"/>
    </xf>
    <xf numFmtId="177" fontId="13" fillId="0" borderId="38" xfId="9" applyNumberFormat="1" applyFont="1" applyBorder="1" applyAlignment="1">
      <alignment horizontal="center"/>
    </xf>
    <xf numFmtId="177" fontId="13" fillId="0" borderId="2" xfId="9" applyNumberFormat="1" applyFont="1" applyBorder="1" applyAlignment="1">
      <alignment horizontal="center"/>
    </xf>
    <xf numFmtId="177" fontId="13" fillId="0" borderId="40" xfId="9" applyNumberFormat="1" applyFont="1" applyBorder="1" applyAlignment="1">
      <alignment horizontal="center"/>
    </xf>
    <xf numFmtId="185" fontId="6" fillId="0" borderId="12" xfId="1" applyNumberFormat="1" applyFont="1" applyFill="1" applyBorder="1" applyAlignment="1">
      <alignment horizontal="right"/>
    </xf>
    <xf numFmtId="3" fontId="7" fillId="6" borderId="24" xfId="0" quotePrefix="1" applyNumberFormat="1" applyFont="1" applyFill="1" applyBorder="1" applyAlignment="1">
      <alignment horizontal="center" wrapText="1"/>
    </xf>
    <xf numFmtId="3" fontId="7" fillId="6" borderId="24" xfId="0" quotePrefix="1" applyNumberFormat="1" applyFont="1" applyFill="1" applyBorder="1" applyAlignment="1">
      <alignment horizontal="right" wrapText="1"/>
    </xf>
    <xf numFmtId="177" fontId="6" fillId="6" borderId="12" xfId="9" applyNumberFormat="1" applyFont="1" applyFill="1" applyBorder="1" applyAlignment="1">
      <alignment horizontal="center"/>
    </xf>
    <xf numFmtId="184" fontId="6" fillId="6" borderId="12" xfId="1" applyNumberFormat="1" applyFont="1" applyFill="1" applyBorder="1" applyAlignment="1">
      <alignment horizontal="right"/>
    </xf>
    <xf numFmtId="185" fontId="6" fillId="6" borderId="12" xfId="1" applyNumberFormat="1" applyFont="1" applyFill="1" applyBorder="1" applyAlignment="1">
      <alignment horizontal="right"/>
    </xf>
    <xf numFmtId="177" fontId="7" fillId="6" borderId="4" xfId="9" applyNumberFormat="1" applyFont="1" applyFill="1" applyBorder="1" applyAlignment="1">
      <alignment horizontal="center"/>
    </xf>
    <xf numFmtId="184" fontId="7" fillId="6" borderId="4" xfId="3" applyNumberFormat="1" applyFont="1" applyFill="1" applyBorder="1" applyAlignment="1">
      <alignment horizontal="right"/>
    </xf>
    <xf numFmtId="3" fontId="7" fillId="6" borderId="0" xfId="0" applyNumberFormat="1" applyFont="1" applyFill="1" applyAlignment="1">
      <alignment horizontal="right" wrapText="1"/>
    </xf>
    <xf numFmtId="177" fontId="0" fillId="0" borderId="0" xfId="0" applyNumberFormat="1" applyAlignment="1">
      <alignment horizontal="center"/>
    </xf>
    <xf numFmtId="0" fontId="7" fillId="14" borderId="32" xfId="0" applyFont="1" applyFill="1" applyBorder="1" applyAlignment="1">
      <alignment horizontal="center" vertical="center" wrapText="1"/>
    </xf>
    <xf numFmtId="184" fontId="3" fillId="14" borderId="22" xfId="0" applyNumberFormat="1" applyFont="1" applyFill="1" applyBorder="1" applyAlignment="1">
      <alignment horizontal="center"/>
    </xf>
    <xf numFmtId="184" fontId="3" fillId="14" borderId="23" xfId="0" applyNumberFormat="1" applyFont="1" applyFill="1" applyBorder="1" applyAlignment="1">
      <alignment horizontal="center"/>
    </xf>
    <xf numFmtId="184" fontId="3" fillId="14" borderId="25" xfId="0" applyNumberFormat="1" applyFont="1" applyFill="1" applyBorder="1" applyAlignment="1">
      <alignment horizontal="center"/>
    </xf>
    <xf numFmtId="184" fontId="3" fillId="14" borderId="33" xfId="0" applyNumberFormat="1" applyFont="1" applyFill="1" applyBorder="1" applyAlignment="1">
      <alignment horizontal="center"/>
    </xf>
    <xf numFmtId="184" fontId="3" fillId="14" borderId="11" xfId="0" applyNumberFormat="1" applyFont="1" applyFill="1" applyBorder="1" applyAlignment="1">
      <alignment horizontal="center"/>
    </xf>
    <xf numFmtId="0" fontId="11" fillId="14" borderId="0" xfId="0" applyFont="1" applyFill="1"/>
    <xf numFmtId="0" fontId="0" fillId="14" borderId="0" xfId="0" applyFill="1"/>
    <xf numFmtId="0" fontId="7" fillId="14" borderId="0" xfId="0" applyFont="1" applyFill="1"/>
    <xf numFmtId="0" fontId="8" fillId="14" borderId="0" xfId="0" applyFont="1" applyFill="1"/>
    <xf numFmtId="0" fontId="8" fillId="14" borderId="0" xfId="0" applyFont="1" applyFill="1" applyBorder="1"/>
    <xf numFmtId="169" fontId="8" fillId="14" borderId="0" xfId="3" applyNumberFormat="1" applyFont="1" applyFill="1" applyBorder="1"/>
    <xf numFmtId="0" fontId="0" fillId="14" borderId="0" xfId="0" applyFill="1" applyBorder="1"/>
    <xf numFmtId="0" fontId="11" fillId="8" borderId="0" xfId="0" applyFont="1" applyFill="1"/>
    <xf numFmtId="187" fontId="8" fillId="14" borderId="0" xfId="3" applyNumberFormat="1" applyFont="1" applyFill="1"/>
    <xf numFmtId="187" fontId="8" fillId="14" borderId="3" xfId="3" applyNumberFormat="1" applyFont="1" applyFill="1" applyBorder="1"/>
    <xf numFmtId="187" fontId="0" fillId="14" borderId="0" xfId="0" applyNumberFormat="1" applyFill="1"/>
    <xf numFmtId="187" fontId="8" fillId="14" borderId="4" xfId="3" applyNumberFormat="1" applyFont="1" applyFill="1" applyBorder="1"/>
    <xf numFmtId="0" fontId="5" fillId="14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37" fontId="8" fillId="0" borderId="21" xfId="0" applyNumberFormat="1" applyFont="1" applyFill="1" applyBorder="1" applyAlignment="1"/>
    <xf numFmtId="0" fontId="17" fillId="0" borderId="20" xfId="0" applyFont="1" applyFill="1" applyBorder="1" applyAlignment="1"/>
    <xf numFmtId="0" fontId="17" fillId="0" borderId="39" xfId="0" applyFont="1" applyFill="1" applyBorder="1" applyAlignment="1"/>
    <xf numFmtId="0" fontId="17" fillId="0" borderId="0" xfId="0" applyFont="1" applyFill="1" applyBorder="1" applyAlignment="1"/>
    <xf numFmtId="37" fontId="8" fillId="0" borderId="21" xfId="0" applyNumberFormat="1" applyFont="1" applyFill="1" applyBorder="1" applyAlignment="1">
      <alignment horizontal="left"/>
    </xf>
    <xf numFmtId="3" fontId="10" fillId="8" borderId="12" xfId="0" applyNumberFormat="1" applyFont="1" applyFill="1" applyBorder="1" applyAlignment="1"/>
    <xf numFmtId="184" fontId="3" fillId="8" borderId="22" xfId="0" applyNumberFormat="1" applyFont="1" applyFill="1" applyBorder="1" applyAlignment="1">
      <alignment horizontal="center"/>
    </xf>
    <xf numFmtId="184" fontId="3" fillId="8" borderId="23" xfId="0" applyNumberFormat="1" applyFont="1" applyFill="1" applyBorder="1" applyAlignment="1">
      <alignment horizontal="center"/>
    </xf>
    <xf numFmtId="184" fontId="3" fillId="8" borderId="25" xfId="0" applyNumberFormat="1" applyFont="1" applyFill="1" applyBorder="1" applyAlignment="1">
      <alignment horizontal="center"/>
    </xf>
    <xf numFmtId="184" fontId="3" fillId="8" borderId="33" xfId="0" applyNumberFormat="1" applyFont="1" applyFill="1" applyBorder="1" applyAlignment="1">
      <alignment horizontal="center"/>
    </xf>
    <xf numFmtId="184" fontId="3" fillId="8" borderId="11" xfId="0" applyNumberFormat="1" applyFont="1" applyFill="1" applyBorder="1" applyAlignment="1">
      <alignment horizontal="center"/>
    </xf>
    <xf numFmtId="0" fontId="7" fillId="7" borderId="0" xfId="0" applyFont="1" applyFill="1" applyAlignment="1"/>
    <xf numFmtId="0" fontId="7" fillId="4" borderId="0" xfId="0" applyFont="1" applyFill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 applyAlignment="1">
      <alignment horizontal="center" wrapText="1"/>
    </xf>
    <xf numFmtId="0" fontId="7" fillId="0" borderId="0" xfId="0" applyFont="1" applyFill="1"/>
    <xf numFmtId="0" fontId="7" fillId="4" borderId="2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2" fillId="0" borderId="34" xfId="0" applyFont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18" fillId="4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8" borderId="21" xfId="0" applyFont="1" applyFill="1" applyBorder="1" applyAlignment="1">
      <alignment horizontal="center" wrapText="1"/>
    </xf>
    <xf numFmtId="0" fontId="3" fillId="8" borderId="37" xfId="0" applyFont="1" applyFill="1" applyBorder="1" applyAlignment="1">
      <alignment horizontal="center" wrapText="1"/>
    </xf>
    <xf numFmtId="0" fontId="3" fillId="8" borderId="20" xfId="0" applyFont="1" applyFill="1" applyBorder="1" applyAlignment="1">
      <alignment horizontal="center" wrapText="1"/>
    </xf>
    <xf numFmtId="0" fontId="3" fillId="8" borderId="38" xfId="0" applyFont="1" applyFill="1" applyBorder="1" applyAlignment="1">
      <alignment horizontal="center" wrapText="1"/>
    </xf>
    <xf numFmtId="0" fontId="3" fillId="8" borderId="39" xfId="0" applyFont="1" applyFill="1" applyBorder="1" applyAlignment="1">
      <alignment horizontal="center" wrapText="1"/>
    </xf>
    <xf numFmtId="0" fontId="3" fillId="8" borderId="40" xfId="0" applyFont="1" applyFill="1" applyBorder="1" applyAlignment="1">
      <alignment horizontal="center" wrapText="1"/>
    </xf>
    <xf numFmtId="0" fontId="3" fillId="11" borderId="31" xfId="0" applyFont="1" applyFill="1" applyBorder="1" applyAlignment="1">
      <alignment horizontal="left" wrapText="1"/>
    </xf>
    <xf numFmtId="0" fontId="3" fillId="11" borderId="58" xfId="0" applyFont="1" applyFill="1" applyBorder="1" applyAlignment="1">
      <alignment horizontal="left" wrapText="1"/>
    </xf>
    <xf numFmtId="0" fontId="3" fillId="11" borderId="10" xfId="0" applyFont="1" applyFill="1" applyBorder="1" applyAlignment="1">
      <alignment horizontal="left" wrapText="1"/>
    </xf>
    <xf numFmtId="0" fontId="3" fillId="11" borderId="0" xfId="0" applyFont="1" applyFill="1" applyBorder="1" applyAlignment="1">
      <alignment horizontal="left" wrapText="1"/>
    </xf>
    <xf numFmtId="0" fontId="3" fillId="11" borderId="41" xfId="0" applyFont="1" applyFill="1" applyBorder="1" applyAlignment="1">
      <alignment horizontal="left" wrapText="1"/>
    </xf>
    <xf numFmtId="3" fontId="7" fillId="11" borderId="55" xfId="0" quotePrefix="1" applyNumberFormat="1" applyFont="1" applyFill="1" applyBorder="1" applyAlignment="1">
      <alignment horizontal="center"/>
    </xf>
    <xf numFmtId="3" fontId="7" fillId="11" borderId="34" xfId="0" quotePrefix="1" applyNumberFormat="1" applyFont="1" applyFill="1" applyBorder="1" applyAlignment="1">
      <alignment horizontal="center"/>
    </xf>
    <xf numFmtId="3" fontId="7" fillId="11" borderId="57" xfId="0" quotePrefix="1" applyNumberFormat="1" applyFont="1" applyFill="1" applyBorder="1" applyAlignment="1">
      <alignment horizontal="center"/>
    </xf>
    <xf numFmtId="37" fontId="7" fillId="4" borderId="12" xfId="0" applyNumberFormat="1" applyFont="1" applyFill="1" applyBorder="1" applyAlignment="1">
      <alignment horizontal="center" vertical="center" wrapText="1"/>
    </xf>
    <xf numFmtId="37" fontId="12" fillId="0" borderId="0" xfId="0" applyNumberFormat="1" applyFont="1" applyFill="1" applyAlignment="1">
      <alignment horizontal="center" vertical="center" wrapText="1"/>
    </xf>
    <xf numFmtId="37" fontId="7" fillId="4" borderId="12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6" fillId="0" borderId="0" xfId="0" applyFont="1" applyFill="1"/>
    <xf numFmtId="0" fontId="7" fillId="4" borderId="24" xfId="0" applyFont="1" applyFill="1" applyBorder="1" applyAlignment="1">
      <alignment horizontal="center" wrapText="1"/>
    </xf>
    <xf numFmtId="0" fontId="7" fillId="4" borderId="2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5" fillId="0" borderId="59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4" borderId="0" xfId="0" applyFont="1" applyFill="1" applyAlignment="1">
      <alignment horizontal="left"/>
    </xf>
    <xf numFmtId="0" fontId="16" fillId="0" borderId="0" xfId="0" applyFont="1" applyFill="1" applyBorder="1" applyAlignment="1">
      <alignment horizontal="center"/>
    </xf>
    <xf numFmtId="169" fontId="0" fillId="0" borderId="0" xfId="0" applyNumberForma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9" fillId="0" borderId="0" xfId="0" applyFont="1" applyFill="1"/>
    <xf numFmtId="37" fontId="0" fillId="0" borderId="0" xfId="0" applyNumberFormat="1" applyFill="1"/>
    <xf numFmtId="0" fontId="7" fillId="14" borderId="31" xfId="0" applyFont="1" applyFill="1" applyBorder="1" applyAlignment="1">
      <alignment horizontal="center" wrapText="1"/>
    </xf>
    <xf numFmtId="0" fontId="7" fillId="14" borderId="56" xfId="0" applyFont="1" applyFill="1" applyBorder="1" applyAlignment="1">
      <alignment horizontal="center" wrapText="1"/>
    </xf>
    <xf numFmtId="0" fontId="7" fillId="14" borderId="55" xfId="0" applyFont="1" applyFill="1" applyBorder="1" applyAlignment="1">
      <alignment horizontal="center" wrapText="1"/>
    </xf>
    <xf numFmtId="0" fontId="7" fillId="14" borderId="57" xfId="0" applyFont="1" applyFill="1" applyBorder="1" applyAlignment="1">
      <alignment horizontal="center" wrapText="1"/>
    </xf>
  </cellXfs>
  <cellStyles count="28">
    <cellStyle name="Comma" xfId="1" builtinId="3"/>
    <cellStyle name="Comma 2" xfId="15"/>
    <cellStyle name="Comma 2 2" xfId="18"/>
    <cellStyle name="Comma0" xfId="2"/>
    <cellStyle name="Currency" xfId="3" builtinId="4"/>
    <cellStyle name="Currency 2" xfId="24"/>
    <cellStyle name="Currency 2 8" xfId="23"/>
    <cellStyle name="Currency 4" xfId="11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Heading 2 2" xfId="26"/>
    <cellStyle name="Normal" xfId="0" builtinId="0"/>
    <cellStyle name="Normal 10 2" xfId="22"/>
    <cellStyle name="Normal 2" xfId="14"/>
    <cellStyle name="Normal 2 2" xfId="17"/>
    <cellStyle name="Normal 2 2 5" xfId="21"/>
    <cellStyle name="Normal 2 3" xfId="27"/>
    <cellStyle name="Normal 2 7" xfId="20"/>
    <cellStyle name="Normal 204" xfId="12"/>
    <cellStyle name="Normal 3" xfId="25"/>
    <cellStyle name="Percent" xfId="9" builtinId="5"/>
    <cellStyle name="Percent 2" xfId="16"/>
    <cellStyle name="Percent 2 2" xfId="19"/>
    <cellStyle name="STYLE1" xfId="13"/>
    <cellStyle name="Total" xfId="10" builtinId="25" customBuiltin="1"/>
  </cellStyles>
  <dxfs count="0"/>
  <tableStyles count="0" defaultTableStyle="TableStyleMedium9" defaultPivotStyle="PivotStyleLight16"/>
  <colors>
    <mruColors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agers\2014%20IRM%20Rate%20Application%20(EB-2013-0162)\Models%20&amp;%20Workings\Oshawa_2014_IRM_Rate_Generator_V2.3_201308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DISTRIBUTED GENERATION [DGEN]</v>
          </cell>
        </row>
        <row r="2">
          <cell r="A2" t="str">
            <v>EMBEDDED DISTRIBUTOR</v>
          </cell>
        </row>
        <row r="3">
          <cell r="A3" t="str">
            <v>EMBEDDED DISTRIBUTOR</v>
          </cell>
        </row>
        <row r="4">
          <cell r="A4" t="str">
            <v>FARMS - SINGLE PHASE ENERGY-BILLED [F1]</v>
          </cell>
        </row>
        <row r="5">
          <cell r="A5" t="str">
            <v>FARMS - THREE PHASE ENERGY-BILLED [F3]</v>
          </cell>
        </row>
        <row r="6">
          <cell r="A6" t="str">
            <v>GENERAL SERVICE - COMMERCIAL</v>
          </cell>
        </row>
        <row r="7">
          <cell r="A7" t="str">
            <v>GENERAL SERVICE - INSTITUTIONAL</v>
          </cell>
        </row>
        <row r="8">
          <cell r="A8" t="str">
            <v>GENERAL SERVICE 1,000 TO 2,999 KW</v>
          </cell>
        </row>
        <row r="9">
          <cell r="A9" t="str">
            <v>GENERAL SERVICE 1,000 TO 4,999 KW - INTERVAL METERS</v>
          </cell>
        </row>
        <row r="10">
          <cell r="A10" t="str">
            <v>GENERAL SERVICE 1,000 TO 4,999 KW (CO-GENERATION)</v>
          </cell>
        </row>
        <row r="11">
          <cell r="A11" t="str">
            <v>GENERAL SERVICE 1,000 TO 4,999 KW</v>
          </cell>
        </row>
        <row r="12">
          <cell r="A12" t="str">
            <v>GENERAL SERVICE 1,500 TO 4,999 KW</v>
          </cell>
        </row>
        <row r="13">
          <cell r="A13" t="str">
            <v>GENERAL SERVICE 2,500 TO 4,999 KW</v>
          </cell>
        </row>
        <row r="14">
          <cell r="A14" t="str">
            <v>GENERAL SERVICE 3,000 TO 4,999 KW - INTERMEDIATE USE</v>
          </cell>
        </row>
        <row r="15">
          <cell r="A15" t="str">
            <v>GENERAL SERVICE 3,000 TO 4,999 KW - INTERVAL METERED</v>
          </cell>
        </row>
        <row r="16">
          <cell r="A16" t="str">
            <v>GENERAL SERVICE 3,000 TO 4,999 KW - TIME OF USE</v>
          </cell>
        </row>
        <row r="17">
          <cell r="A17" t="str">
            <v>GENERAL SERVICE 3,000 TO 4,999 KW</v>
          </cell>
        </row>
        <row r="18">
          <cell r="A18" t="str">
            <v>GENERAL SERVICE 50 TO 1,000 KW - INTERVAL METERS</v>
          </cell>
        </row>
        <row r="19">
          <cell r="A19" t="str">
            <v>GENERAL SERVICE 50 TO 1,000 KW - NON INTERVAL METERS</v>
          </cell>
        </row>
        <row r="20">
          <cell r="A20" t="str">
            <v>GENERAL SERVICE 50 TO 1,000 KW</v>
          </cell>
        </row>
        <row r="21">
          <cell r="A21" t="str">
            <v>GENERAL SERVICE 50 TO 1,499 KW - INTERVAL METERED</v>
          </cell>
        </row>
        <row r="22">
          <cell r="A22" t="str">
            <v>GENERAL SERVICE 50 TO 1,499 KW</v>
          </cell>
        </row>
        <row r="23">
          <cell r="A23" t="str">
            <v>GENERAL SERVICE 50 TO 2,499 KW</v>
          </cell>
        </row>
        <row r="24">
          <cell r="A24" t="str">
            <v>GENERAL SERVICE 50 TO 2,999 KW - INTERVAL METERED</v>
          </cell>
        </row>
        <row r="25">
          <cell r="A25" t="str">
            <v>GENERAL SERVICE 50 TO 2,999 KW - TIME OF USE</v>
          </cell>
        </row>
        <row r="26">
          <cell r="A26" t="str">
            <v>GENERAL SERVICE 50 TO 2,999 KW</v>
          </cell>
        </row>
        <row r="27">
          <cell r="A27" t="str">
            <v>GENERAL SERVICE 50 TO 4,999 KW - INTERVAL METERED</v>
          </cell>
        </row>
        <row r="28">
          <cell r="A28" t="str">
            <v>GENERAL SERVICE 50 TO 4,999 KW - TIME OF USE</v>
          </cell>
        </row>
        <row r="29">
          <cell r="A29" t="str">
            <v>GENERAL SERVICE 50 TO 4,999 KW (COGENERATION)</v>
          </cell>
        </row>
        <row r="30">
          <cell r="A30" t="str">
            <v>GENERAL SERVICE 50 TO 4,999 KW (FORMERLY TIME OF USE)</v>
          </cell>
        </row>
        <row r="31">
          <cell r="A31" t="str">
            <v>GENERAL SERVICE 50 TO 4,999 KW</v>
          </cell>
        </row>
        <row r="32">
          <cell r="A32" t="str">
            <v>GENERAL SERVICE 50 TO 499 KW</v>
          </cell>
        </row>
        <row r="33">
          <cell r="A33" t="str">
            <v>GENERAL SERVICE 50 TO 699 KW</v>
          </cell>
        </row>
        <row r="34">
          <cell r="A34" t="str">
            <v>GENERAL SERVICE 50 TO 999 KW - INTERVAL METERED</v>
          </cell>
        </row>
        <row r="35">
          <cell r="A35" t="str">
            <v>GENERAL SERVICE 50 TO 999 KW</v>
          </cell>
        </row>
        <row r="36">
          <cell r="A36" t="str">
            <v>GENERAL SERVICE 500 TO 4,999 KW</v>
          </cell>
        </row>
        <row r="37">
          <cell r="A37" t="str">
            <v>GENERAL SERVICE 700 TO 4,999 KW</v>
          </cell>
        </row>
        <row r="38">
          <cell r="A38" t="str">
            <v>GENERAL SERVICE DEMAND BILLED (50 KW AND ABOVE) [GSD]</v>
          </cell>
        </row>
        <row r="39">
          <cell r="A39" t="str">
            <v>GENERAL SERVICE ENERGY BILLED (LESS THAN 50 KW) [GSE-METERED]</v>
          </cell>
        </row>
        <row r="40">
          <cell r="A40" t="str">
            <v>GENERAL SERVICE ENERGY BILLED (LESS THAN TO 50 KW) [GSE-UNMETERED]</v>
          </cell>
        </row>
        <row r="41">
          <cell r="A41" t="str">
            <v>GENERAL SERVICE EQUAL TO OR GREATER THAN 1,500 KW - INTERVAL METERED</v>
          </cell>
        </row>
        <row r="42">
          <cell r="A42" t="str">
            <v>GENERAL SERVICE EQUAL TO OR GREATER THAN 1,500 KW</v>
          </cell>
        </row>
        <row r="43">
          <cell r="A43" t="str">
            <v>GENERAL SERVICE GREATER THAN 1,000 KW</v>
          </cell>
        </row>
        <row r="44">
          <cell r="A44" t="str">
            <v>GENERAL SERVICE INTERMEDIATE 1,000 TO 4,999 KW</v>
          </cell>
        </row>
        <row r="45">
          <cell r="A45" t="str">
            <v>GENERAL SERVICE INTERMEDIATE RATE CLASS 1,000 TO 4,999 KW (FORMERLY GENERAL SERVICE &gt; 50 KW CUSTOMERS)</v>
          </cell>
        </row>
        <row r="46">
          <cell r="A46" t="str">
            <v>GENERAL SERVICE INTERMEDIATE RATE CLASS 1,000 TO 4,999 KW (FORMERLY LARGE USE CUSTOMERS)</v>
          </cell>
        </row>
        <row r="47">
          <cell r="A47" t="str">
            <v>GENERAL SERVICE LESS THAN 50 KW - SINGLE PHASE ENERGY-BILLED [G1]</v>
          </cell>
        </row>
        <row r="48">
          <cell r="A48" t="str">
            <v>GENERAL SERVICE LESS THAN 50 KW - THREE PHASE ENERGY-BILLED [G3]</v>
          </cell>
        </row>
        <row r="49">
          <cell r="A49" t="str">
            <v>GENERAL SERVICE LESS THAN 50 KW - TRANSMISSION CLASS ENERGY-BILLED [T]</v>
          </cell>
        </row>
        <row r="50">
          <cell r="A50" t="str">
            <v>GENERAL SERVICE LESS THAN 50 KW - URBAN ENERGY-BILLED [UG]</v>
          </cell>
        </row>
        <row r="51">
          <cell r="A51" t="str">
            <v>GENERAL SERVICE LESS THAN 50 KW</v>
          </cell>
        </row>
        <row r="52">
          <cell r="A52" t="str">
            <v>GENERAL SERVICE SINGLE PHASE - G1</v>
          </cell>
        </row>
        <row r="53">
          <cell r="A53" t="str">
            <v>GENERAL SERVICE THREE PHASE - G3</v>
          </cell>
        </row>
        <row r="54">
          <cell r="A54" t="str">
            <v>INTERMEDIATE USERS</v>
          </cell>
        </row>
        <row r="55">
          <cell r="A55" t="str">
            <v>INTERMEDIATE WITH SELF GENERATION</v>
          </cell>
        </row>
        <row r="56">
          <cell r="A56" t="str">
            <v>LARGE USE - 3TS</v>
          </cell>
        </row>
        <row r="57">
          <cell r="A57" t="str">
            <v>LARGE USE - FORD ANNEX</v>
          </cell>
        </row>
        <row r="58">
          <cell r="A58" t="str">
            <v>LARGE USE - REGULAR</v>
          </cell>
        </row>
        <row r="59">
          <cell r="A59" t="str">
            <v>LARGE USE &gt; 5000 KW</v>
          </cell>
        </row>
        <row r="60">
          <cell r="A60" t="str">
            <v>LARGE USE</v>
          </cell>
        </row>
        <row r="61">
          <cell r="A61" t="str">
            <v>microFIT</v>
          </cell>
        </row>
        <row r="62">
          <cell r="A62" t="str">
            <v>RESIDENTIAL - HENSALL</v>
          </cell>
        </row>
        <row r="63">
          <cell r="A63" t="str">
            <v>RESIDENTIAL - HIGH DENSITY [R1]</v>
          </cell>
        </row>
        <row r="64">
          <cell r="A64" t="str">
            <v>RESIDENTIAL - LOW DENSITY [R2]</v>
          </cell>
        </row>
        <row r="65">
          <cell r="A65" t="str">
            <v>RESIDENTIAL - MEDIUM DENSITY [R1]</v>
          </cell>
        </row>
        <row r="66">
          <cell r="A66" t="str">
            <v>RESIDENTIAL - NORMAL DENSITY [R2]</v>
          </cell>
        </row>
        <row r="67">
          <cell r="A67" t="str">
            <v>RESIDENTIAL - TIME OF USE</v>
          </cell>
        </row>
        <row r="68">
          <cell r="A68" t="str">
            <v>RESIDENTIAL - URBAN [UR]</v>
          </cell>
        </row>
        <row r="69">
          <cell r="A69" t="str">
            <v>RESIDENTIAL REGULAR</v>
          </cell>
        </row>
        <row r="70">
          <cell r="A70" t="str">
            <v>RESIDENTIAL</v>
          </cell>
        </row>
        <row r="71">
          <cell r="A71" t="str">
            <v>RESIDENTIAL SUBURBAN SEASONAL</v>
          </cell>
        </row>
        <row r="72">
          <cell r="A72" t="str">
            <v>RESIDENTIAL SUBURBAN</v>
          </cell>
        </row>
        <row r="73">
          <cell r="A73" t="str">
            <v>RESIDENTIAL SUBURBAN YEAR ROUND</v>
          </cell>
        </row>
        <row r="74">
          <cell r="A74" t="str">
            <v>RESIDENTIAL URBAN</v>
          </cell>
        </row>
        <row r="75">
          <cell r="A75" t="str">
            <v>RESIDENTIAL URBAN YEAR-ROUND</v>
          </cell>
        </row>
        <row r="76">
          <cell r="A76" t="str">
            <v>SEASONAL RESIDENTIAL - HIGH DENSITY [R3]</v>
          </cell>
        </row>
        <row r="77">
          <cell r="A77" t="str">
            <v>SEASONAL RESIDENTIAL - NORMAL DENSITY [R4]</v>
          </cell>
        </row>
        <row r="78">
          <cell r="A78" t="str">
            <v>SEASONAL RESIDENTIAL</v>
          </cell>
        </row>
        <row r="79">
          <cell r="A79" t="str">
            <v>SENTINEL LIGHTING</v>
          </cell>
        </row>
        <row r="80">
          <cell r="A80" t="str">
            <v>SMALL COMMERCIAL AND USL - PER CONNECTION</v>
          </cell>
        </row>
        <row r="81">
          <cell r="A81" t="str">
            <v>SMALL COMMERCIAL AND USL - PER METER</v>
          </cell>
        </row>
        <row r="82">
          <cell r="A82" t="str">
            <v>STANDARD A GENERAL SERVICE AIR ACCESS</v>
          </cell>
        </row>
        <row r="83">
          <cell r="A83" t="str">
            <v>STANDARD A GENERAL SERVICE ROAD/RAIL</v>
          </cell>
        </row>
        <row r="84">
          <cell r="A84" t="str">
            <v>STANDARD A RESIDENTIAL AIR ACCESS</v>
          </cell>
        </row>
        <row r="85">
          <cell r="A85" t="str">
            <v>STANDARD A RESIDENTIAL ROAD/RAIL</v>
          </cell>
        </row>
        <row r="86">
          <cell r="A86" t="str">
            <v>STANDBY - GENERAL SERVICE 1,000 - 5,000 KW</v>
          </cell>
        </row>
        <row r="87">
          <cell r="A87" t="str">
            <v>STANDBY - GENERAL SERVICE 50 - 1,000 KW</v>
          </cell>
        </row>
        <row r="88">
          <cell r="A88" t="str">
            <v>STANDBY - LARGE USE</v>
          </cell>
        </row>
        <row r="89">
          <cell r="A89" t="str">
            <v>STANDBY DISTRIBUTION SERVICE</v>
          </cell>
        </row>
        <row r="90">
          <cell r="A90" t="str">
            <v>STANDBY POWER - APPROVED ON AN INTERIM BASIS</v>
          </cell>
        </row>
        <row r="91">
          <cell r="A91" t="str">
            <v>STANDBY POWER GENERAL SERVICE 1,500 TO 4,999 KW</v>
          </cell>
        </row>
        <row r="92">
          <cell r="A92" t="str">
            <v>STANDBY POWER GENERAL SERVICE 50 TO 1,499 KW</v>
          </cell>
        </row>
        <row r="93">
          <cell r="A93" t="str">
            <v>STANDBY POWER GENERAL SERVICE LARGE USE</v>
          </cell>
        </row>
        <row r="94">
          <cell r="A94" t="str">
            <v>STANDBY POWER</v>
          </cell>
        </row>
        <row r="95">
          <cell r="A95" t="str">
            <v>STREET LIGHTING</v>
          </cell>
        </row>
        <row r="96">
          <cell r="A96" t="str">
            <v>SUB TRANSMISSION [ST]</v>
          </cell>
        </row>
        <row r="97">
          <cell r="A97" t="str">
            <v>UNMETERED SCATTERED LOAD</v>
          </cell>
        </row>
        <row r="98">
          <cell r="A98" t="str">
            <v>URBAN GENERAL SERVICE DEMAND BILLED (50 KW AND ABOVE) [UGD]</v>
          </cell>
        </row>
        <row r="99">
          <cell r="A99" t="str">
            <v>URBAN GENERAL SERVICE ENERGY BILLED (LESS THAN 50 KW) [UGE]</v>
          </cell>
        </row>
        <row r="100">
          <cell r="A100" t="str">
            <v>WESTPORT SEWAGE TREATMENT PLANT</v>
          </cell>
        </row>
        <row r="101">
          <cell r="A101" t="str">
            <v>YEAR-ROUND RESIDENTIAL - R2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activeCell="E38" sqref="E38"/>
    </sheetView>
  </sheetViews>
  <sheetFormatPr defaultRowHeight="12.75"/>
  <cols>
    <col min="1" max="1" width="53.796875" customWidth="1"/>
    <col min="2" max="2" width="18.796875" customWidth="1"/>
    <col min="3" max="6" width="16.796875" bestFit="1" customWidth="1"/>
    <col min="7" max="10" width="9.46484375" customWidth="1"/>
  </cols>
  <sheetData>
    <row r="1" spans="1:12" ht="13.15">
      <c r="A1" s="607" t="s">
        <v>194</v>
      </c>
      <c r="B1" s="607"/>
      <c r="C1" s="607"/>
      <c r="D1" s="607"/>
      <c r="E1" s="607"/>
      <c r="F1" s="607"/>
    </row>
    <row r="2" spans="1:12" ht="13.15">
      <c r="A2" s="607" t="s">
        <v>195</v>
      </c>
      <c r="B2" s="607"/>
      <c r="C2" s="607"/>
      <c r="D2" s="607"/>
      <c r="E2" s="607"/>
      <c r="F2" s="607"/>
    </row>
    <row r="3" spans="1:12" ht="17.649999999999999">
      <c r="A3" s="5"/>
      <c r="B3" s="595">
        <v>2015</v>
      </c>
      <c r="C3" s="595">
        <v>2016</v>
      </c>
      <c r="D3" s="595">
        <v>2017</v>
      </c>
      <c r="E3" s="595">
        <v>2018</v>
      </c>
      <c r="F3" s="595">
        <v>2019</v>
      </c>
    </row>
    <row r="4" spans="1:12" ht="17.649999999999999">
      <c r="A4" s="5"/>
      <c r="D4" s="31"/>
      <c r="E4" s="7"/>
      <c r="F4" s="7"/>
      <c r="G4" s="7"/>
      <c r="H4" s="7"/>
      <c r="I4" s="7"/>
      <c r="J4" s="7"/>
      <c r="K4" s="7"/>
      <c r="L4" s="7"/>
    </row>
    <row r="5" spans="1:12" ht="15">
      <c r="A5" s="4" t="s">
        <v>36</v>
      </c>
      <c r="B5" s="139">
        <v>22294299.105568457</v>
      </c>
      <c r="C5" s="139">
        <v>23911127.39394312</v>
      </c>
      <c r="D5" s="139">
        <v>24657648.406286586</v>
      </c>
      <c r="E5" s="139">
        <v>25130180.327870287</v>
      </c>
      <c r="F5" s="139">
        <v>26412383.825894691</v>
      </c>
      <c r="G5" s="7"/>
      <c r="H5" s="7"/>
      <c r="I5" s="7"/>
      <c r="J5" s="7"/>
      <c r="K5" s="7"/>
      <c r="L5" s="7"/>
    </row>
    <row r="6" spans="1:12" ht="15">
      <c r="A6" s="4" t="s">
        <v>38</v>
      </c>
      <c r="B6" s="139">
        <v>1319113.017160198</v>
      </c>
      <c r="C6" s="139">
        <v>1472342.2217248676</v>
      </c>
      <c r="D6" s="139">
        <v>1578649.1781861789</v>
      </c>
      <c r="E6" s="139">
        <v>1389649.886392134</v>
      </c>
      <c r="F6" s="139">
        <v>1438252.4134143393</v>
      </c>
      <c r="G6" s="7"/>
      <c r="H6" s="7"/>
      <c r="I6" s="7"/>
      <c r="J6" s="7"/>
      <c r="K6" s="7"/>
      <c r="L6" s="7"/>
    </row>
    <row r="7" spans="1:12" ht="15">
      <c r="A7" s="4" t="s">
        <v>87</v>
      </c>
      <c r="B7" s="28">
        <f>+B5-B6</f>
        <v>20975186.088408258</v>
      </c>
      <c r="C7" s="28">
        <f t="shared" ref="C7:F7" si="0">+C5-C6</f>
        <v>22438785.172218252</v>
      </c>
      <c r="D7" s="28">
        <f t="shared" si="0"/>
        <v>23078999.228100408</v>
      </c>
      <c r="E7" s="28">
        <f t="shared" si="0"/>
        <v>23740530.441478152</v>
      </c>
      <c r="F7" s="28">
        <f t="shared" si="0"/>
        <v>24974131.412480351</v>
      </c>
      <c r="G7" s="7"/>
      <c r="H7" s="7"/>
      <c r="I7" s="7"/>
      <c r="J7" s="7"/>
      <c r="K7" s="7"/>
      <c r="L7" s="7"/>
    </row>
    <row r="8" spans="1:12">
      <c r="G8" s="7"/>
      <c r="H8" s="7"/>
      <c r="I8" s="7"/>
      <c r="J8" s="7"/>
      <c r="K8" s="7"/>
      <c r="L8" s="7"/>
    </row>
    <row r="9" spans="1:12" ht="15">
      <c r="A9" s="4"/>
      <c r="G9" s="7"/>
      <c r="H9" s="7"/>
      <c r="I9" s="7"/>
      <c r="J9" s="7"/>
      <c r="K9" s="7"/>
      <c r="L9" s="7"/>
    </row>
    <row r="10" spans="1:12" ht="15">
      <c r="A10" s="4" t="s">
        <v>39</v>
      </c>
      <c r="B10" s="6">
        <f>-'Transformer Allowance'!C26</f>
        <v>234027.66424266351</v>
      </c>
      <c r="C10" s="6">
        <f>-'Transformer Allowance'!C37</f>
        <v>234342.54247241493</v>
      </c>
      <c r="D10" s="6">
        <f>-'Transformer Allowance'!C48</f>
        <v>234091.70991672005</v>
      </c>
      <c r="E10" s="6">
        <f>-'Transformer Allowance'!C59</f>
        <v>213546.76631148125</v>
      </c>
      <c r="F10" s="6">
        <f>-'Transformer Allowance'!C70</f>
        <v>213117.83188587896</v>
      </c>
    </row>
    <row r="11" spans="1:12" ht="15.4" thickBot="1">
      <c r="A11" s="4" t="s">
        <v>40</v>
      </c>
      <c r="B11" s="29">
        <f>+B7+B10</f>
        <v>21209213.75265092</v>
      </c>
      <c r="C11" s="29">
        <f t="shared" ref="C11:F11" si="1">+C7+C10</f>
        <v>22673127.714690667</v>
      </c>
      <c r="D11" s="29">
        <f t="shared" si="1"/>
        <v>23313090.938017126</v>
      </c>
      <c r="E11" s="29">
        <f t="shared" si="1"/>
        <v>23954077.207789633</v>
      </c>
      <c r="F11" s="29">
        <f t="shared" si="1"/>
        <v>25187249.244366229</v>
      </c>
    </row>
    <row r="12" spans="1:12" ht="13.15" thickTop="1"/>
    <row r="13" spans="1:12" s="14" customFormat="1" ht="15.4" thickBot="1">
      <c r="A13" s="131" t="s">
        <v>110</v>
      </c>
      <c r="B13" s="140"/>
      <c r="C13" s="140"/>
      <c r="D13" s="140"/>
      <c r="E13" s="140"/>
      <c r="F13" s="140"/>
    </row>
    <row r="14" spans="1:12" s="14" customFormat="1" ht="15.4" thickTop="1">
      <c r="A14" s="15"/>
      <c r="B14" s="16"/>
      <c r="D14"/>
    </row>
    <row r="15" spans="1:12" s="14" customFormat="1" ht="15">
      <c r="A15" s="15"/>
      <c r="B15" s="278"/>
      <c r="C15" s="278"/>
      <c r="D15" s="278"/>
      <c r="E15" s="278"/>
      <c r="F15" s="278"/>
      <c r="G15" s="276"/>
      <c r="H15" s="276"/>
    </row>
    <row r="16" spans="1:12" s="14" customFormat="1" ht="15">
      <c r="A16" s="15"/>
      <c r="B16" s="278"/>
      <c r="C16" s="278"/>
      <c r="D16" s="278"/>
      <c r="E16" s="278"/>
      <c r="F16" s="278"/>
      <c r="G16" s="276"/>
      <c r="H16" s="276"/>
    </row>
    <row r="17" spans="1:8" ht="15">
      <c r="A17" s="4"/>
      <c r="B17" s="278"/>
      <c r="C17" s="278"/>
      <c r="D17" s="278"/>
      <c r="E17" s="278"/>
      <c r="F17" s="278"/>
      <c r="G17" s="277"/>
      <c r="H17" s="278"/>
    </row>
    <row r="18" spans="1:8">
      <c r="B18" s="278"/>
      <c r="C18" s="278"/>
      <c r="D18" s="278"/>
      <c r="E18" s="278"/>
      <c r="F18" s="278"/>
      <c r="G18" s="278"/>
      <c r="H18" s="278"/>
    </row>
    <row r="19" spans="1:8" ht="15">
      <c r="A19" s="4"/>
      <c r="B19" s="277"/>
      <c r="C19" s="278"/>
      <c r="D19" s="278"/>
      <c r="E19" s="278"/>
      <c r="F19" s="278"/>
      <c r="G19" s="278"/>
      <c r="H19" s="278"/>
    </row>
    <row r="20" spans="1:8" ht="17.649999999999999">
      <c r="A20" s="589" t="s">
        <v>393</v>
      </c>
      <c r="B20" s="594">
        <v>2015</v>
      </c>
      <c r="C20" s="594">
        <v>2016</v>
      </c>
      <c r="D20" s="594">
        <v>2017</v>
      </c>
      <c r="E20" s="594">
        <v>2018</v>
      </c>
      <c r="F20" s="594">
        <v>2019</v>
      </c>
    </row>
    <row r="21" spans="1:8" ht="17.649999999999999">
      <c r="A21" s="582"/>
      <c r="B21" s="583"/>
      <c r="C21" s="583"/>
      <c r="D21" s="584"/>
      <c r="E21" s="583"/>
      <c r="F21" s="583"/>
    </row>
    <row r="22" spans="1:8" ht="15">
      <c r="A22" s="585" t="s">
        <v>36</v>
      </c>
      <c r="B22" s="590">
        <f t="shared" ref="B22:F24" si="2">B5-B33</f>
        <v>0</v>
      </c>
      <c r="C22" s="590">
        <f t="shared" si="2"/>
        <v>0</v>
      </c>
      <c r="D22" s="590">
        <f t="shared" si="2"/>
        <v>0</v>
      </c>
      <c r="E22" s="590">
        <f t="shared" si="2"/>
        <v>-1240413.9061055258</v>
      </c>
      <c r="F22" s="590">
        <f t="shared" si="2"/>
        <v>-1449908.8753650486</v>
      </c>
    </row>
    <row r="23" spans="1:8" ht="15">
      <c r="A23" s="585" t="s">
        <v>38</v>
      </c>
      <c r="B23" s="590">
        <f t="shared" si="2"/>
        <v>0</v>
      </c>
      <c r="C23" s="590">
        <f t="shared" si="2"/>
        <v>0</v>
      </c>
      <c r="D23" s="590">
        <f t="shared" si="2"/>
        <v>0</v>
      </c>
      <c r="E23" s="590">
        <f t="shared" si="2"/>
        <v>-5790.6017178613693</v>
      </c>
      <c r="F23" s="590">
        <f t="shared" si="2"/>
        <v>-17779.126499922946</v>
      </c>
    </row>
    <row r="24" spans="1:8" ht="15">
      <c r="A24" s="585" t="s">
        <v>87</v>
      </c>
      <c r="B24" s="591">
        <f t="shared" si="2"/>
        <v>0</v>
      </c>
      <c r="C24" s="591">
        <f t="shared" si="2"/>
        <v>0</v>
      </c>
      <c r="D24" s="591">
        <f t="shared" si="2"/>
        <v>0</v>
      </c>
      <c r="E24" s="591">
        <f t="shared" si="2"/>
        <v>-1234623.3043876663</v>
      </c>
      <c r="F24" s="591">
        <f t="shared" si="2"/>
        <v>-1432129.7488651276</v>
      </c>
    </row>
    <row r="25" spans="1:8">
      <c r="A25" s="583"/>
      <c r="B25" s="592"/>
      <c r="C25" s="592"/>
      <c r="D25" s="592"/>
      <c r="E25" s="592"/>
      <c r="F25" s="592"/>
    </row>
    <row r="26" spans="1:8" ht="15">
      <c r="A26" s="585"/>
      <c r="B26" s="592"/>
      <c r="C26" s="592"/>
      <c r="D26" s="592"/>
      <c r="E26" s="592"/>
      <c r="F26" s="592"/>
    </row>
    <row r="27" spans="1:8" ht="15">
      <c r="A27" s="585" t="s">
        <v>39</v>
      </c>
      <c r="B27" s="590">
        <f t="shared" ref="B27:F28" si="3">B10-B38</f>
        <v>0</v>
      </c>
      <c r="C27" s="590">
        <f t="shared" si="3"/>
        <v>0</v>
      </c>
      <c r="D27" s="590">
        <f t="shared" si="3"/>
        <v>0</v>
      </c>
      <c r="E27" s="590">
        <f t="shared" si="3"/>
        <v>-29931.07231466478</v>
      </c>
      <c r="F27" s="590">
        <f t="shared" si="3"/>
        <v>-30462.399656248337</v>
      </c>
    </row>
    <row r="28" spans="1:8" ht="15.4" thickBot="1">
      <c r="A28" s="585" t="s">
        <v>40</v>
      </c>
      <c r="B28" s="593">
        <f t="shared" si="3"/>
        <v>0</v>
      </c>
      <c r="C28" s="593">
        <f t="shared" si="3"/>
        <v>0</v>
      </c>
      <c r="D28" s="593">
        <f t="shared" si="3"/>
        <v>0</v>
      </c>
      <c r="E28" s="593">
        <f t="shared" si="3"/>
        <v>-1264554.376702331</v>
      </c>
      <c r="F28" s="593">
        <f t="shared" si="3"/>
        <v>-1462592.1485213786</v>
      </c>
    </row>
    <row r="29" spans="1:8" ht="13.15" thickTop="1">
      <c r="A29" s="583"/>
      <c r="B29" s="583"/>
      <c r="C29" s="583"/>
      <c r="D29" s="583"/>
      <c r="E29" s="583"/>
      <c r="F29" s="583"/>
    </row>
    <row r="30" spans="1:8">
      <c r="A30" s="583"/>
      <c r="B30" s="583"/>
      <c r="C30" s="583"/>
      <c r="D30" s="583"/>
      <c r="E30" s="583"/>
      <c r="F30" s="583"/>
    </row>
    <row r="31" spans="1:8" ht="17.649999999999999">
      <c r="A31" s="589" t="s">
        <v>392</v>
      </c>
      <c r="B31" s="594">
        <v>2015</v>
      </c>
      <c r="C31" s="594">
        <v>2016</v>
      </c>
      <c r="D31" s="594">
        <v>2017</v>
      </c>
      <c r="E31" s="594">
        <v>2018</v>
      </c>
      <c r="F31" s="594">
        <v>2019</v>
      </c>
    </row>
    <row r="32" spans="1:8" ht="17.649999999999999">
      <c r="A32" s="582"/>
      <c r="B32" s="583"/>
      <c r="C32" s="583"/>
      <c r="D32" s="584"/>
      <c r="E32" s="583"/>
      <c r="F32" s="583"/>
    </row>
    <row r="33" spans="1:6" ht="15">
      <c r="A33" s="585" t="s">
        <v>36</v>
      </c>
      <c r="B33" s="590">
        <v>22294299.105568457</v>
      </c>
      <c r="C33" s="590">
        <v>23911127.39394312</v>
      </c>
      <c r="D33" s="590">
        <v>24657648.406286586</v>
      </c>
      <c r="E33" s="590">
        <v>26370594.233975813</v>
      </c>
      <c r="F33" s="590">
        <v>27862292.70125974</v>
      </c>
    </row>
    <row r="34" spans="1:6" ht="15">
      <c r="A34" s="585" t="s">
        <v>38</v>
      </c>
      <c r="B34" s="590">
        <v>1319113.017160198</v>
      </c>
      <c r="C34" s="590">
        <v>1472342.2217248676</v>
      </c>
      <c r="D34" s="590">
        <v>1578649.1781861789</v>
      </c>
      <c r="E34" s="590">
        <v>1395440.4881099954</v>
      </c>
      <c r="F34" s="590">
        <v>1456031.5399142622</v>
      </c>
    </row>
    <row r="35" spans="1:6" ht="15">
      <c r="A35" s="585" t="s">
        <v>87</v>
      </c>
      <c r="B35" s="591">
        <v>20975186.088408258</v>
      </c>
      <c r="C35" s="591">
        <v>22438785.172218252</v>
      </c>
      <c r="D35" s="591">
        <v>23078999.228100408</v>
      </c>
      <c r="E35" s="591">
        <v>24975153.745865818</v>
      </c>
      <c r="F35" s="591">
        <v>26406261.161345478</v>
      </c>
    </row>
    <row r="36" spans="1:6">
      <c r="A36" s="583"/>
      <c r="B36" s="592"/>
      <c r="C36" s="592"/>
      <c r="D36" s="592"/>
      <c r="E36" s="592"/>
      <c r="F36" s="592"/>
    </row>
    <row r="37" spans="1:6" ht="15">
      <c r="A37" s="585"/>
      <c r="B37" s="592"/>
      <c r="C37" s="592"/>
      <c r="D37" s="592"/>
      <c r="E37" s="592"/>
      <c r="F37" s="592"/>
    </row>
    <row r="38" spans="1:6" ht="15">
      <c r="A38" s="585" t="s">
        <v>39</v>
      </c>
      <c r="B38" s="590">
        <v>234027.66424266351</v>
      </c>
      <c r="C38" s="590">
        <v>234342.54247241493</v>
      </c>
      <c r="D38" s="590">
        <v>234091.70991672005</v>
      </c>
      <c r="E38" s="590">
        <v>243477.83862614603</v>
      </c>
      <c r="F38" s="590">
        <v>243580.23154212729</v>
      </c>
    </row>
    <row r="39" spans="1:6" ht="15.4" thickBot="1">
      <c r="A39" s="585" t="s">
        <v>40</v>
      </c>
      <c r="B39" s="593">
        <v>21209213.75265092</v>
      </c>
      <c r="C39" s="593">
        <v>22673127.714690667</v>
      </c>
      <c r="D39" s="593">
        <v>23313090.938017126</v>
      </c>
      <c r="E39" s="593">
        <v>25218631.584491964</v>
      </c>
      <c r="F39" s="593">
        <v>26649841.392887607</v>
      </c>
    </row>
    <row r="40" spans="1:6" ht="13.15" thickTop="1">
      <c r="A40" s="583"/>
      <c r="B40" s="583"/>
      <c r="C40" s="583"/>
      <c r="D40" s="583"/>
      <c r="E40" s="583"/>
      <c r="F40" s="583"/>
    </row>
    <row r="41" spans="1:6" ht="15">
      <c r="A41" s="586"/>
      <c r="B41" s="587"/>
      <c r="C41" s="588"/>
      <c r="D41" s="583"/>
      <c r="E41" s="588"/>
      <c r="F41" s="588"/>
    </row>
  </sheetData>
  <mergeCells count="6">
    <mergeCell ref="A2:B2"/>
    <mergeCell ref="A1:B1"/>
    <mergeCell ref="C1:D1"/>
    <mergeCell ref="E1:F1"/>
    <mergeCell ref="C2:D2"/>
    <mergeCell ref="E2:F2"/>
  </mergeCells>
  <phoneticPr fontId="0" type="noConversion"/>
  <pageMargins left="0.75" right="0.75" top="1" bottom="1" header="0.5" footer="0.5"/>
  <pageSetup orientation="portrait" horizontalDpi="355" verticalDpi="355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showGridLines="0" topLeftCell="A10" zoomScale="98" zoomScaleNormal="98" workbookViewId="0">
      <selection activeCell="J44" sqref="J44"/>
    </sheetView>
  </sheetViews>
  <sheetFormatPr defaultColWidth="9.19921875" defaultRowHeight="12.75"/>
  <cols>
    <col min="1" max="1" width="31.53125" style="281" customWidth="1"/>
    <col min="2" max="2" width="16.19921875" style="101" customWidth="1"/>
    <col min="3" max="3" width="15.73046875" style="101" customWidth="1"/>
    <col min="4" max="4" width="12.19921875" style="281" customWidth="1"/>
    <col min="5" max="7" width="10.73046875" style="281" customWidth="1"/>
    <col min="8" max="8" width="11.46484375" style="281" customWidth="1"/>
    <col min="9" max="9" width="15.73046875" style="281" customWidth="1"/>
    <col min="10" max="10" width="32.265625" style="281" customWidth="1"/>
    <col min="11" max="11" width="16.19921875" style="281" customWidth="1"/>
    <col min="12" max="12" width="15.73046875" style="101" customWidth="1"/>
    <col min="13" max="13" width="17.46484375" style="101" customWidth="1"/>
    <col min="14" max="14" width="31.53125" style="281" customWidth="1"/>
    <col min="15" max="15" width="15.46484375" style="281" customWidth="1"/>
    <col min="16" max="16" width="13.53125" style="281" customWidth="1"/>
    <col min="17" max="21" width="10.73046875" style="281" customWidth="1"/>
    <col min="22" max="16384" width="9.19921875" style="281"/>
  </cols>
  <sheetData>
    <row r="1" spans="1:22" ht="17.649999999999999">
      <c r="A1" s="461" t="s">
        <v>370</v>
      </c>
      <c r="B1" s="425"/>
      <c r="C1" s="425"/>
      <c r="D1" s="425"/>
      <c r="E1" s="425"/>
      <c r="F1" s="425"/>
      <c r="G1" s="425"/>
      <c r="H1" s="425"/>
      <c r="I1" s="425"/>
    </row>
    <row r="2" spans="1:22" ht="17.649999999999999">
      <c r="A2" s="461"/>
      <c r="B2" s="425"/>
      <c r="C2" s="425"/>
      <c r="D2" s="425"/>
      <c r="E2" s="425"/>
      <c r="F2" s="425"/>
      <c r="G2" s="425"/>
      <c r="H2" s="425"/>
      <c r="I2" s="425"/>
    </row>
    <row r="3" spans="1:22" ht="17.649999999999999">
      <c r="A3" s="200" t="s">
        <v>359</v>
      </c>
      <c r="B3" s="553">
        <v>605641</v>
      </c>
      <c r="C3" s="545" t="s">
        <v>360</v>
      </c>
      <c r="D3" s="425"/>
      <c r="E3" s="425"/>
      <c r="F3" s="425"/>
      <c r="G3" s="425"/>
      <c r="H3" s="425"/>
      <c r="I3" s="425"/>
    </row>
    <row r="4" spans="1:22" ht="17.649999999999999">
      <c r="A4" s="461"/>
      <c r="B4" s="425"/>
      <c r="C4" s="425"/>
      <c r="D4" s="425"/>
      <c r="E4" s="425"/>
      <c r="F4" s="425"/>
      <c r="G4" s="425"/>
      <c r="H4" s="425"/>
      <c r="I4" s="425"/>
    </row>
    <row r="5" spans="1:22" ht="55.5" customHeight="1">
      <c r="A5" s="436" t="s">
        <v>0</v>
      </c>
      <c r="B5" s="445"/>
      <c r="C5" s="543" t="s">
        <v>381</v>
      </c>
      <c r="D5" s="441" t="s">
        <v>37</v>
      </c>
      <c r="E5" s="441" t="s">
        <v>267</v>
      </c>
      <c r="F5" s="441" t="s">
        <v>268</v>
      </c>
      <c r="G5" s="441" t="s">
        <v>269</v>
      </c>
      <c r="H5" s="441" t="s">
        <v>270</v>
      </c>
      <c r="I5" s="425"/>
      <c r="J5" s="567" t="s">
        <v>384</v>
      </c>
      <c r="K5" s="270"/>
      <c r="L5" s="568" t="s">
        <v>382</v>
      </c>
      <c r="M5" s="574" t="s">
        <v>383</v>
      </c>
    </row>
    <row r="6" spans="1:22">
      <c r="A6" s="438" t="s">
        <v>97</v>
      </c>
      <c r="B6" s="440"/>
      <c r="C6" s="458">
        <f>'Cost Allocation Study'!K5/'Cost Allocation Study'!K$14</f>
        <v>0.61241900508715941</v>
      </c>
      <c r="D6" s="442">
        <f>D$14*C6</f>
        <v>370906.0586599923</v>
      </c>
      <c r="E6" s="442">
        <f>$D6*E$15</f>
        <v>370906.0586599923</v>
      </c>
      <c r="F6" s="442">
        <f t="shared" ref="F6:H13" si="0">$D6*F$15</f>
        <v>0</v>
      </c>
      <c r="G6" s="442">
        <f t="shared" si="0"/>
        <v>0</v>
      </c>
      <c r="H6" s="442">
        <f t="shared" si="0"/>
        <v>0</v>
      </c>
      <c r="I6" s="551">
        <f>SUM(E6:H6)-D6</f>
        <v>0</v>
      </c>
      <c r="J6" s="569">
        <f>'Cost Allocation Study'!K5/'Cost Allocation Study'!K$14</f>
        <v>0.61241900508715941</v>
      </c>
      <c r="K6" s="570">
        <f>K$14*J6</f>
        <v>370906.0586599923</v>
      </c>
      <c r="L6" s="571">
        <f>ROUND(K6/D19/12,2)</f>
        <v>0.6</v>
      </c>
      <c r="M6" s="571">
        <f t="shared" ref="M6:M13" si="1">ROUND(E6/D19/12,2)</f>
        <v>0.6</v>
      </c>
    </row>
    <row r="7" spans="1:22">
      <c r="A7" s="438" t="s">
        <v>212</v>
      </c>
      <c r="B7" s="440"/>
      <c r="C7" s="458">
        <f>'Cost Allocation Study'!K6/'Cost Allocation Study'!K$14</f>
        <v>0.12901793201043274</v>
      </c>
      <c r="D7" s="442">
        <f t="shared" ref="D7:D13" si="2">D$14*C7</f>
        <v>78138.549360730496</v>
      </c>
      <c r="E7" s="442">
        <f t="shared" ref="E7:E13" si="3">$D7*E$15</f>
        <v>78138.549360730496</v>
      </c>
      <c r="F7" s="442">
        <f t="shared" si="0"/>
        <v>0</v>
      </c>
      <c r="G7" s="442">
        <f t="shared" si="0"/>
        <v>0</v>
      </c>
      <c r="H7" s="442">
        <f t="shared" si="0"/>
        <v>0</v>
      </c>
      <c r="I7" s="551">
        <f t="shared" ref="I7:I13" si="4">SUM(E7:H7)-D7</f>
        <v>0</v>
      </c>
      <c r="J7" s="569">
        <f>'Cost Allocation Study'!K6/'Cost Allocation Study'!K$14</f>
        <v>0.12901793201043274</v>
      </c>
      <c r="K7" s="570">
        <f t="shared" ref="K7:K13" si="5">K$14*J7</f>
        <v>78138.549360730496</v>
      </c>
      <c r="L7" s="571">
        <f t="shared" ref="L7:L13" si="6">ROUND(K7/D20/12,2)</f>
        <v>1.6</v>
      </c>
      <c r="M7" s="571">
        <f t="shared" si="1"/>
        <v>1.6</v>
      </c>
    </row>
    <row r="8" spans="1:22">
      <c r="A8" s="438" t="s">
        <v>213</v>
      </c>
      <c r="B8" s="440"/>
      <c r="C8" s="458">
        <f>'Cost Allocation Study'!K7/'Cost Allocation Study'!K$14</f>
        <v>0.18091347988384593</v>
      </c>
      <c r="D8" s="442">
        <f t="shared" si="2"/>
        <v>109568.62087033234</v>
      </c>
      <c r="E8" s="442">
        <f t="shared" si="3"/>
        <v>109568.62087033234</v>
      </c>
      <c r="F8" s="442">
        <f t="shared" si="0"/>
        <v>0</v>
      </c>
      <c r="G8" s="442">
        <f t="shared" si="0"/>
        <v>0</v>
      </c>
      <c r="H8" s="442">
        <f t="shared" si="0"/>
        <v>0</v>
      </c>
      <c r="I8" s="551">
        <f t="shared" si="4"/>
        <v>0</v>
      </c>
      <c r="J8" s="569">
        <f>'Cost Allocation Study'!K7/'Cost Allocation Study'!K$14</f>
        <v>0.18091347988384593</v>
      </c>
      <c r="K8" s="570">
        <f t="shared" si="5"/>
        <v>109568.62087033234</v>
      </c>
      <c r="L8" s="571">
        <f t="shared" si="6"/>
        <v>17.739999999999998</v>
      </c>
      <c r="M8" s="571">
        <f t="shared" si="1"/>
        <v>17.739999999999998</v>
      </c>
    </row>
    <row r="9" spans="1:22">
      <c r="A9" s="438" t="s">
        <v>214</v>
      </c>
      <c r="B9" s="440"/>
      <c r="C9" s="458">
        <f>'Cost Allocation Study'!K8/'Cost Allocation Study'!K$14</f>
        <v>2.2897424674266302E-2</v>
      </c>
      <c r="D9" s="442">
        <f t="shared" si="2"/>
        <v>13867.619177147317</v>
      </c>
      <c r="E9" s="442">
        <f t="shared" si="3"/>
        <v>13867.619177147317</v>
      </c>
      <c r="F9" s="442">
        <f t="shared" si="0"/>
        <v>0</v>
      </c>
      <c r="G9" s="442">
        <f t="shared" si="0"/>
        <v>0</v>
      </c>
      <c r="H9" s="442">
        <f t="shared" si="0"/>
        <v>0</v>
      </c>
      <c r="I9" s="551">
        <f t="shared" si="4"/>
        <v>0</v>
      </c>
      <c r="J9" s="569">
        <f>'Cost Allocation Study'!K8/'Cost Allocation Study'!K$14</f>
        <v>2.2897424674266302E-2</v>
      </c>
      <c r="K9" s="570">
        <f t="shared" si="5"/>
        <v>13867.619177147317</v>
      </c>
      <c r="L9" s="571">
        <f t="shared" si="6"/>
        <v>96.3</v>
      </c>
      <c r="M9" s="571">
        <f t="shared" si="1"/>
        <v>96.3</v>
      </c>
    </row>
    <row r="10" spans="1:22">
      <c r="A10" s="438" t="s">
        <v>98</v>
      </c>
      <c r="B10" s="440"/>
      <c r="C10" s="458">
        <f>'Cost Allocation Study'!K9/'Cost Allocation Study'!K$14</f>
        <v>1.0781098147593631E-2</v>
      </c>
      <c r="D10" s="442">
        <f t="shared" si="2"/>
        <v>6529.4750632067544</v>
      </c>
      <c r="E10" s="442">
        <f t="shared" si="3"/>
        <v>6529.4750632067544</v>
      </c>
      <c r="F10" s="442">
        <f t="shared" si="0"/>
        <v>0</v>
      </c>
      <c r="G10" s="442">
        <f t="shared" si="0"/>
        <v>0</v>
      </c>
      <c r="H10" s="442">
        <f t="shared" si="0"/>
        <v>0</v>
      </c>
      <c r="I10" s="551">
        <f t="shared" si="4"/>
        <v>0</v>
      </c>
      <c r="J10" s="569">
        <f>'Cost Allocation Study'!K9/'Cost Allocation Study'!K$14</f>
        <v>1.0781098147593631E-2</v>
      </c>
      <c r="K10" s="570">
        <f t="shared" si="5"/>
        <v>6529.4750632067544</v>
      </c>
      <c r="L10" s="571">
        <f t="shared" si="6"/>
        <v>544.12</v>
      </c>
      <c r="M10" s="571">
        <f t="shared" si="1"/>
        <v>544.12</v>
      </c>
    </row>
    <row r="11" spans="1:22">
      <c r="A11" s="438" t="s">
        <v>99</v>
      </c>
      <c r="B11" s="440"/>
      <c r="C11" s="458">
        <f>'Cost Allocation Study'!K10/'Cost Allocation Study'!K$14</f>
        <v>4.1058150567546747E-2</v>
      </c>
      <c r="D11" s="442">
        <f t="shared" si="2"/>
        <v>24866.49936787958</v>
      </c>
      <c r="E11" s="442">
        <f t="shared" si="3"/>
        <v>24866.49936787958</v>
      </c>
      <c r="F11" s="442">
        <f t="shared" si="0"/>
        <v>0</v>
      </c>
      <c r="G11" s="442">
        <f t="shared" si="0"/>
        <v>0</v>
      </c>
      <c r="H11" s="442">
        <f t="shared" si="0"/>
        <v>0</v>
      </c>
      <c r="I11" s="551">
        <f t="shared" si="4"/>
        <v>0</v>
      </c>
      <c r="J11" s="569">
        <f>'Cost Allocation Study'!K10/'Cost Allocation Study'!K$14</f>
        <v>4.1058150567546747E-2</v>
      </c>
      <c r="K11" s="570">
        <f t="shared" si="5"/>
        <v>24866.49936787958</v>
      </c>
      <c r="L11" s="571">
        <f t="shared" si="6"/>
        <v>0.16</v>
      </c>
      <c r="M11" s="571">
        <f t="shared" si="1"/>
        <v>0.16</v>
      </c>
    </row>
    <row r="12" spans="1:22">
      <c r="A12" s="438" t="s">
        <v>208</v>
      </c>
      <c r="B12" s="440"/>
      <c r="C12" s="458">
        <f>'Cost Allocation Study'!K11/'Cost Allocation Study'!K$14</f>
        <v>9.8718293664261649E-5</v>
      </c>
      <c r="D12" s="442">
        <f t="shared" si="2"/>
        <v>59.787846093117089</v>
      </c>
      <c r="E12" s="442">
        <f t="shared" si="3"/>
        <v>59.787846093117089</v>
      </c>
      <c r="F12" s="442">
        <f t="shared" si="0"/>
        <v>0</v>
      </c>
      <c r="G12" s="442">
        <f t="shared" si="0"/>
        <v>0</v>
      </c>
      <c r="H12" s="442">
        <f t="shared" si="0"/>
        <v>0</v>
      </c>
      <c r="I12" s="551">
        <f t="shared" si="4"/>
        <v>0</v>
      </c>
      <c r="J12" s="569">
        <f>'Cost Allocation Study'!K11/'Cost Allocation Study'!K$14</f>
        <v>9.8718293664261649E-5</v>
      </c>
      <c r="K12" s="570">
        <f t="shared" si="5"/>
        <v>59.787846093117089</v>
      </c>
      <c r="L12" s="571">
        <f t="shared" si="6"/>
        <v>0.22</v>
      </c>
      <c r="M12" s="571">
        <f t="shared" si="1"/>
        <v>0.22</v>
      </c>
    </row>
    <row r="13" spans="1:22">
      <c r="A13" s="438" t="s">
        <v>207</v>
      </c>
      <c r="B13" s="440"/>
      <c r="C13" s="458">
        <f>'Cost Allocation Study'!K12/'Cost Allocation Study'!K$14</f>
        <v>2.8141913354908315E-3</v>
      </c>
      <c r="D13" s="442">
        <f t="shared" si="2"/>
        <v>1704.3896546180026</v>
      </c>
      <c r="E13" s="442">
        <f t="shared" si="3"/>
        <v>1704.3896546180026</v>
      </c>
      <c r="F13" s="442">
        <f t="shared" si="0"/>
        <v>0</v>
      </c>
      <c r="G13" s="442">
        <f t="shared" si="0"/>
        <v>0</v>
      </c>
      <c r="H13" s="442">
        <f t="shared" si="0"/>
        <v>0</v>
      </c>
      <c r="I13" s="551">
        <f t="shared" si="4"/>
        <v>0</v>
      </c>
      <c r="J13" s="569">
        <f>'Cost Allocation Study'!K12/'Cost Allocation Study'!K$14</f>
        <v>2.8141913354908315E-3</v>
      </c>
      <c r="K13" s="570">
        <f t="shared" si="5"/>
        <v>1704.3896546180026</v>
      </c>
      <c r="L13" s="571">
        <f t="shared" si="6"/>
        <v>0.48</v>
      </c>
      <c r="M13" s="571">
        <f t="shared" si="1"/>
        <v>0.48</v>
      </c>
    </row>
    <row r="14" spans="1:22" ht="13.5" thickBot="1">
      <c r="A14" s="427" t="s">
        <v>1</v>
      </c>
      <c r="B14" s="429"/>
      <c r="C14" s="544">
        <f>SUM(C6:C13)</f>
        <v>0.99999999999999978</v>
      </c>
      <c r="D14" s="443">
        <f>B3</f>
        <v>605641</v>
      </c>
      <c r="E14" s="443">
        <f>$D14*E15</f>
        <v>605641</v>
      </c>
      <c r="F14" s="443">
        <f t="shared" ref="F14:H14" si="7">$D14*F15</f>
        <v>0</v>
      </c>
      <c r="G14" s="443">
        <f t="shared" si="7"/>
        <v>0</v>
      </c>
      <c r="H14" s="443">
        <f t="shared" si="7"/>
        <v>0</v>
      </c>
      <c r="I14" s="551">
        <f>SUM(E14:H14)-D14</f>
        <v>0</v>
      </c>
      <c r="J14" s="572">
        <f>SUM(J6:J13)</f>
        <v>0.99999999999999978</v>
      </c>
      <c r="K14" s="573">
        <f>B3</f>
        <v>605641</v>
      </c>
      <c r="L14" s="571"/>
      <c r="M14" s="271"/>
      <c r="N14" s="336" t="s">
        <v>388</v>
      </c>
    </row>
    <row r="15" spans="1:22" ht="18" thickTop="1">
      <c r="D15" s="550">
        <f>SUM(E15:H15)</f>
        <v>1</v>
      </c>
      <c r="E15" s="549">
        <v>1</v>
      </c>
      <c r="F15" s="549"/>
      <c r="G15" s="549"/>
      <c r="H15" s="549"/>
      <c r="I15" s="425"/>
      <c r="V15" s="307"/>
    </row>
    <row r="16" spans="1:22" ht="17.649999999999999">
      <c r="A16" s="461" t="s">
        <v>380</v>
      </c>
      <c r="B16" s="425"/>
      <c r="C16" s="425"/>
      <c r="D16" s="425"/>
      <c r="E16" s="425"/>
      <c r="F16" s="425"/>
      <c r="G16" s="425"/>
      <c r="H16" s="425"/>
      <c r="I16" s="425"/>
      <c r="J16" s="461" t="str">
        <f>A16</f>
        <v>Fixed Rate Determinants for Rate Rider Calculation</v>
      </c>
      <c r="K16" s="425"/>
      <c r="L16" s="425"/>
      <c r="M16" s="425"/>
      <c r="N16" s="461" t="s">
        <v>371</v>
      </c>
      <c r="O16" s="425"/>
      <c r="P16" s="425"/>
      <c r="Q16" s="425"/>
    </row>
    <row r="17" spans="1:24" ht="17.649999999999999">
      <c r="A17" s="433" t="s">
        <v>0</v>
      </c>
      <c r="B17" s="441"/>
      <c r="C17" s="441"/>
      <c r="D17" s="441" t="s">
        <v>267</v>
      </c>
      <c r="E17" s="441"/>
      <c r="F17" s="441"/>
      <c r="G17" s="441"/>
      <c r="H17" s="430"/>
      <c r="J17" s="433" t="s">
        <v>0</v>
      </c>
      <c r="K17" s="441"/>
      <c r="L17" s="441" t="s">
        <v>267</v>
      </c>
      <c r="M17" s="281"/>
      <c r="N17" s="433" t="s">
        <v>0</v>
      </c>
      <c r="O17" s="441"/>
      <c r="P17" s="441" t="s">
        <v>267</v>
      </c>
    </row>
    <row r="18" spans="1:24" ht="27">
      <c r="A18" s="434"/>
      <c r="B18" s="435"/>
      <c r="C18" s="435"/>
      <c r="D18" s="435" t="s">
        <v>379</v>
      </c>
      <c r="E18" s="435"/>
      <c r="F18" s="435"/>
      <c r="G18" s="435"/>
      <c r="H18" s="430"/>
      <c r="J18" s="434"/>
      <c r="K18" s="435"/>
      <c r="L18" s="435" t="s">
        <v>378</v>
      </c>
      <c r="M18" s="281"/>
      <c r="N18" s="434"/>
      <c r="O18" s="435"/>
      <c r="P18" s="435" t="s">
        <v>298</v>
      </c>
    </row>
    <row r="19" spans="1:24" ht="18" customHeight="1">
      <c r="A19" s="426" t="s">
        <v>97</v>
      </c>
      <c r="B19" s="446" t="s">
        <v>81</v>
      </c>
      <c r="C19" s="452"/>
      <c r="D19" s="452">
        <f>'Forecast Data For 2015 to 2019'!D5</f>
        <v>51741.998652925271</v>
      </c>
      <c r="E19" s="452"/>
      <c r="F19" s="452"/>
      <c r="G19" s="452"/>
      <c r="H19" s="453"/>
      <c r="I19" s="454"/>
      <c r="J19" s="426" t="s">
        <v>97</v>
      </c>
      <c r="K19" s="446" t="str">
        <f>B19</f>
        <v># of Customers</v>
      </c>
      <c r="L19" s="452">
        <f>D19</f>
        <v>51741.998652925271</v>
      </c>
      <c r="M19" s="281"/>
      <c r="N19" s="426" t="s">
        <v>97</v>
      </c>
      <c r="O19" s="69" t="str">
        <f>B31</f>
        <v># of Customers</v>
      </c>
      <c r="P19" s="447">
        <f>D31</f>
        <v>0.6</v>
      </c>
    </row>
    <row r="20" spans="1:24" ht="18" customHeight="1">
      <c r="A20" s="426" t="s">
        <v>212</v>
      </c>
      <c r="B20" s="446" t="s">
        <v>81</v>
      </c>
      <c r="C20" s="452"/>
      <c r="D20" s="452">
        <f>'Forecast Data For 2015 to 2019'!D7</f>
        <v>4062.4930652948956</v>
      </c>
      <c r="E20" s="452"/>
      <c r="F20" s="452"/>
      <c r="G20" s="452"/>
      <c r="H20" s="453"/>
      <c r="I20" s="454"/>
      <c r="J20" s="426" t="s">
        <v>212</v>
      </c>
      <c r="K20" s="446" t="str">
        <f t="shared" ref="K20:K26" si="8">B20</f>
        <v># of Customers</v>
      </c>
      <c r="L20" s="452">
        <f t="shared" ref="L20:L26" si="9">D20</f>
        <v>4062.4930652948956</v>
      </c>
      <c r="M20" s="281"/>
      <c r="N20" s="426" t="s">
        <v>212</v>
      </c>
      <c r="O20" s="69" t="str">
        <f t="shared" ref="O20:O26" si="10">B32</f>
        <v># of Customers</v>
      </c>
      <c r="P20" s="447">
        <f t="shared" ref="P20:P26" si="11">D32</f>
        <v>1.6</v>
      </c>
    </row>
    <row r="21" spans="1:24" ht="18" customHeight="1">
      <c r="A21" s="426" t="s">
        <v>389</v>
      </c>
      <c r="B21" s="446" t="s">
        <v>81</v>
      </c>
      <c r="C21" s="452"/>
      <c r="D21" s="452">
        <f>'Forecast Data For 2015 to 2019'!D9</f>
        <v>514.6</v>
      </c>
      <c r="E21" s="452"/>
      <c r="F21" s="452"/>
      <c r="G21" s="452"/>
      <c r="H21" s="453"/>
      <c r="I21" s="454"/>
      <c r="J21" s="426" t="s">
        <v>213</v>
      </c>
      <c r="K21" s="446" t="str">
        <f t="shared" si="8"/>
        <v># of Customers</v>
      </c>
      <c r="L21" s="452">
        <f t="shared" si="9"/>
        <v>514.6</v>
      </c>
      <c r="M21" s="281"/>
      <c r="N21" s="426" t="s">
        <v>213</v>
      </c>
      <c r="O21" s="69" t="str">
        <f t="shared" si="10"/>
        <v># of Customers</v>
      </c>
      <c r="P21" s="447">
        <f t="shared" si="11"/>
        <v>17.739999999999998</v>
      </c>
    </row>
    <row r="22" spans="1:24" ht="18" customHeight="1">
      <c r="A22" s="426" t="s">
        <v>214</v>
      </c>
      <c r="B22" s="446" t="s">
        <v>81</v>
      </c>
      <c r="C22" s="452"/>
      <c r="D22" s="452">
        <f>'Forecast Data For 2015 to 2019'!D12</f>
        <v>12</v>
      </c>
      <c r="E22" s="452"/>
      <c r="F22" s="452"/>
      <c r="G22" s="452"/>
      <c r="H22" s="453"/>
      <c r="I22" s="454"/>
      <c r="J22" s="426" t="s">
        <v>214</v>
      </c>
      <c r="K22" s="446" t="str">
        <f t="shared" si="8"/>
        <v># of Customers</v>
      </c>
      <c r="L22" s="452">
        <f t="shared" si="9"/>
        <v>12</v>
      </c>
      <c r="M22" s="281"/>
      <c r="N22" s="426" t="s">
        <v>214</v>
      </c>
      <c r="O22" s="69" t="str">
        <f t="shared" si="10"/>
        <v># of Customers</v>
      </c>
      <c r="P22" s="447">
        <f t="shared" si="11"/>
        <v>96.3</v>
      </c>
    </row>
    <row r="23" spans="1:24" ht="18" customHeight="1">
      <c r="A23" s="426" t="s">
        <v>98</v>
      </c>
      <c r="B23" s="446" t="s">
        <v>81</v>
      </c>
      <c r="C23" s="452"/>
      <c r="D23" s="452">
        <f>'Forecast Data For 2015 to 2019'!D15</f>
        <v>1</v>
      </c>
      <c r="E23" s="452"/>
      <c r="F23" s="452"/>
      <c r="G23" s="452"/>
      <c r="H23" s="453"/>
      <c r="I23" s="454"/>
      <c r="J23" s="426" t="s">
        <v>98</v>
      </c>
      <c r="K23" s="446" t="str">
        <f t="shared" si="8"/>
        <v># of Customers</v>
      </c>
      <c r="L23" s="452">
        <f t="shared" si="9"/>
        <v>1</v>
      </c>
      <c r="M23" s="281"/>
      <c r="N23" s="426" t="s">
        <v>98</v>
      </c>
      <c r="O23" s="69" t="str">
        <f t="shared" si="10"/>
        <v># of Customers</v>
      </c>
      <c r="P23" s="447">
        <f t="shared" si="11"/>
        <v>544.12</v>
      </c>
    </row>
    <row r="24" spans="1:24" ht="18" customHeight="1">
      <c r="A24" s="426" t="s">
        <v>99</v>
      </c>
      <c r="B24" s="446" t="s">
        <v>82</v>
      </c>
      <c r="C24" s="452"/>
      <c r="D24" s="452">
        <f>'Forecast Data For 2015 to 2019'!D18</f>
        <v>12960.023254578835</v>
      </c>
      <c r="E24" s="452"/>
      <c r="F24" s="452"/>
      <c r="G24" s="452"/>
      <c r="H24" s="453"/>
      <c r="I24" s="454"/>
      <c r="J24" s="426" t="s">
        <v>99</v>
      </c>
      <c r="K24" s="446" t="str">
        <f t="shared" si="8"/>
        <v># of Connections</v>
      </c>
      <c r="L24" s="452">
        <f t="shared" si="9"/>
        <v>12960.023254578835</v>
      </c>
      <c r="M24" s="281"/>
      <c r="N24" s="426" t="s">
        <v>99</v>
      </c>
      <c r="O24" s="69" t="str">
        <f t="shared" si="10"/>
        <v># of Connections</v>
      </c>
      <c r="P24" s="447">
        <f t="shared" si="11"/>
        <v>0.16</v>
      </c>
    </row>
    <row r="25" spans="1:24" ht="18" customHeight="1">
      <c r="A25" s="426" t="s">
        <v>208</v>
      </c>
      <c r="B25" s="446" t="s">
        <v>82</v>
      </c>
      <c r="C25" s="452"/>
      <c r="D25" s="452">
        <f>'Forecast Data For 2015 to 2019'!D21</f>
        <v>22.46752679842146</v>
      </c>
      <c r="E25" s="452"/>
      <c r="F25" s="452"/>
      <c r="G25" s="452"/>
      <c r="H25" s="453"/>
      <c r="I25" s="454"/>
      <c r="J25" s="426" t="s">
        <v>208</v>
      </c>
      <c r="K25" s="446" t="str">
        <f t="shared" si="8"/>
        <v># of Connections</v>
      </c>
      <c r="L25" s="452">
        <f t="shared" si="9"/>
        <v>22.46752679842146</v>
      </c>
      <c r="M25" s="281"/>
      <c r="N25" s="426" t="s">
        <v>208</v>
      </c>
      <c r="O25" s="69" t="str">
        <f t="shared" si="10"/>
        <v># of Connections</v>
      </c>
      <c r="P25" s="447">
        <f t="shared" si="11"/>
        <v>0.22</v>
      </c>
    </row>
    <row r="26" spans="1:24" ht="18" customHeight="1">
      <c r="A26" s="426" t="s">
        <v>207</v>
      </c>
      <c r="B26" s="446" t="s">
        <v>82</v>
      </c>
      <c r="C26" s="452"/>
      <c r="D26" s="452">
        <f>'Forecast Data For 2015 to 2019'!D24</f>
        <v>296.14085622751179</v>
      </c>
      <c r="E26" s="452"/>
      <c r="F26" s="452"/>
      <c r="G26" s="452"/>
      <c r="H26" s="453"/>
      <c r="I26" s="454"/>
      <c r="J26" s="426" t="s">
        <v>207</v>
      </c>
      <c r="K26" s="446" t="str">
        <f t="shared" si="8"/>
        <v># of Connections</v>
      </c>
      <c r="L26" s="452">
        <f t="shared" si="9"/>
        <v>296.14085622751179</v>
      </c>
      <c r="M26" s="224"/>
      <c r="N26" s="426" t="s">
        <v>207</v>
      </c>
      <c r="O26" s="69" t="str">
        <f t="shared" si="10"/>
        <v># of Connections</v>
      </c>
      <c r="P26" s="447">
        <f t="shared" si="11"/>
        <v>0.48</v>
      </c>
    </row>
    <row r="27" spans="1:24">
      <c r="J27" s="224"/>
      <c r="K27" s="224"/>
      <c r="L27" s="224"/>
      <c r="M27" s="224"/>
      <c r="N27" s="224"/>
      <c r="O27" s="224"/>
      <c r="P27" s="224"/>
    </row>
    <row r="28" spans="1:24" ht="17.649999999999999">
      <c r="A28" s="461" t="s">
        <v>371</v>
      </c>
      <c r="B28" s="425"/>
      <c r="C28" s="425"/>
      <c r="D28" s="425"/>
      <c r="E28" s="425"/>
      <c r="F28" s="425"/>
      <c r="G28" s="425"/>
      <c r="H28" s="425"/>
      <c r="I28" s="425"/>
      <c r="J28" s="500" t="s">
        <v>67</v>
      </c>
      <c r="K28" s="500"/>
      <c r="L28" s="500"/>
      <c r="M28" s="500"/>
      <c r="N28" s="500"/>
      <c r="O28" s="224"/>
      <c r="P28" s="224"/>
    </row>
    <row r="29" spans="1:24" ht="13.15">
      <c r="A29" s="433" t="s">
        <v>0</v>
      </c>
      <c r="B29" s="441"/>
      <c r="C29" s="441"/>
      <c r="D29" s="441" t="s">
        <v>267</v>
      </c>
      <c r="E29" s="441"/>
      <c r="F29" s="441"/>
      <c r="G29" s="441"/>
      <c r="J29" s="497"/>
      <c r="K29" s="497" t="s">
        <v>267</v>
      </c>
      <c r="L29" s="497"/>
      <c r="M29" s="497"/>
      <c r="N29" s="497"/>
      <c r="O29" s="224"/>
      <c r="P29" s="224"/>
      <c r="Q29" s="497" t="s">
        <v>266</v>
      </c>
      <c r="R29" s="497" t="s">
        <v>267</v>
      </c>
      <c r="S29" s="497" t="s">
        <v>268</v>
      </c>
      <c r="T29" s="497" t="s">
        <v>269</v>
      </c>
      <c r="U29" s="497" t="s">
        <v>270</v>
      </c>
    </row>
    <row r="30" spans="1:24" ht="13.15">
      <c r="A30" s="434"/>
      <c r="B30" s="435"/>
      <c r="C30" s="435"/>
      <c r="D30" s="435" t="s">
        <v>298</v>
      </c>
      <c r="E30" s="435"/>
      <c r="F30" s="435"/>
      <c r="G30" s="435"/>
      <c r="J30" s="498"/>
      <c r="K30" s="498" t="s">
        <v>298</v>
      </c>
      <c r="L30" s="498"/>
      <c r="M30" s="498"/>
      <c r="N30" s="498"/>
      <c r="O30" s="224"/>
      <c r="P30" s="224"/>
      <c r="Q30" s="638" t="s">
        <v>346</v>
      </c>
      <c r="R30" s="639"/>
      <c r="S30" s="639"/>
      <c r="T30" s="639"/>
      <c r="U30" s="640"/>
    </row>
    <row r="31" spans="1:24" ht="18" customHeight="1">
      <c r="A31" s="426" t="s">
        <v>97</v>
      </c>
      <c r="B31" s="69" t="str">
        <f>B19</f>
        <v># of Customers</v>
      </c>
      <c r="C31" s="447"/>
      <c r="D31" s="566">
        <f t="shared" ref="D31:D38" si="12">M6+R31</f>
        <v>0.6</v>
      </c>
      <c r="E31" s="447"/>
      <c r="F31" s="447"/>
      <c r="G31" s="447"/>
      <c r="J31" s="447"/>
      <c r="L31" s="566"/>
      <c r="M31" s="447"/>
      <c r="N31" s="447"/>
      <c r="O31" s="499"/>
      <c r="P31" s="224"/>
      <c r="Q31" s="513"/>
      <c r="R31" s="513"/>
      <c r="S31" s="528"/>
      <c r="T31" s="528"/>
      <c r="U31" s="513"/>
      <c r="V31" s="501">
        <f>SUM(Q31:U31)</f>
        <v>0</v>
      </c>
      <c r="X31" s="307">
        <f>K45</f>
        <v>1636.3316410696134</v>
      </c>
    </row>
    <row r="32" spans="1:24" ht="18" customHeight="1">
      <c r="A32" s="426" t="s">
        <v>212</v>
      </c>
      <c r="B32" s="69" t="str">
        <f t="shared" ref="B32:B38" si="13">B20</f>
        <v># of Customers</v>
      </c>
      <c r="C32" s="447"/>
      <c r="D32" s="566">
        <f t="shared" si="12"/>
        <v>1.6</v>
      </c>
      <c r="E32" s="447"/>
      <c r="F32" s="447"/>
      <c r="G32" s="447"/>
      <c r="J32" s="447"/>
      <c r="L32" s="566"/>
      <c r="M32" s="447"/>
      <c r="N32" s="447"/>
      <c r="O32" s="499"/>
      <c r="P32" s="224"/>
      <c r="Q32" s="513"/>
      <c r="R32" s="528"/>
      <c r="S32" s="513"/>
      <c r="T32" s="513"/>
      <c r="U32" s="513"/>
      <c r="V32" s="501">
        <f t="shared" ref="V32:V38" si="14">SUM(Q32:U32)</f>
        <v>0</v>
      </c>
      <c r="X32" s="307">
        <f t="shared" ref="X32:X38" si="15">K46</f>
        <v>-138.68250706850085</v>
      </c>
    </row>
    <row r="33" spans="1:24" ht="18" customHeight="1">
      <c r="A33" s="426" t="s">
        <v>213</v>
      </c>
      <c r="B33" s="69" t="str">
        <f t="shared" si="13"/>
        <v># of Customers</v>
      </c>
      <c r="C33" s="447"/>
      <c r="D33" s="566">
        <f t="shared" si="12"/>
        <v>17.739999999999998</v>
      </c>
      <c r="E33" s="447"/>
      <c r="F33" s="447"/>
      <c r="G33" s="447"/>
      <c r="I33" s="369"/>
      <c r="J33" s="447"/>
      <c r="L33" s="566"/>
      <c r="M33" s="447"/>
      <c r="N33" s="447"/>
      <c r="O33" s="499"/>
      <c r="P33" s="224"/>
      <c r="Q33" s="513"/>
      <c r="R33" s="513"/>
      <c r="S33" s="513"/>
      <c r="T33" s="513"/>
      <c r="U33" s="513"/>
      <c r="V33" s="501">
        <f t="shared" si="14"/>
        <v>0</v>
      </c>
      <c r="X33" s="307">
        <f t="shared" si="15"/>
        <v>-20.572870332354796</v>
      </c>
    </row>
    <row r="34" spans="1:24" ht="18" customHeight="1">
      <c r="A34" s="426" t="s">
        <v>214</v>
      </c>
      <c r="B34" s="69" t="str">
        <f t="shared" si="13"/>
        <v># of Customers</v>
      </c>
      <c r="C34" s="447"/>
      <c r="D34" s="566">
        <f t="shared" si="12"/>
        <v>96.3</v>
      </c>
      <c r="E34" s="447"/>
      <c r="F34" s="447"/>
      <c r="G34" s="447"/>
      <c r="J34" s="447"/>
      <c r="L34" s="566"/>
      <c r="M34" s="447"/>
      <c r="N34" s="447"/>
      <c r="O34" s="499"/>
      <c r="P34" s="224"/>
      <c r="Q34" s="495"/>
      <c r="R34" s="495"/>
      <c r="S34" s="495"/>
      <c r="T34" s="495"/>
      <c r="U34" s="495"/>
      <c r="V34" s="501">
        <f t="shared" si="14"/>
        <v>0</v>
      </c>
      <c r="X34" s="307">
        <f t="shared" si="15"/>
        <v>-0.41917714731789602</v>
      </c>
    </row>
    <row r="35" spans="1:24" ht="18" customHeight="1">
      <c r="A35" s="426" t="s">
        <v>98</v>
      </c>
      <c r="B35" s="69" t="str">
        <f t="shared" si="13"/>
        <v># of Customers</v>
      </c>
      <c r="C35" s="447"/>
      <c r="D35" s="566">
        <f t="shared" si="12"/>
        <v>544.12</v>
      </c>
      <c r="E35" s="447"/>
      <c r="F35" s="447"/>
      <c r="G35" s="447"/>
      <c r="J35" s="447"/>
      <c r="L35" s="566"/>
      <c r="M35" s="447"/>
      <c r="N35" s="447"/>
      <c r="O35" s="499"/>
      <c r="P35" s="224"/>
      <c r="Q35" s="495"/>
      <c r="R35" s="495"/>
      <c r="S35" s="495"/>
      <c r="T35" s="495"/>
      <c r="U35" s="495"/>
      <c r="V35" s="501">
        <f t="shared" si="14"/>
        <v>0</v>
      </c>
      <c r="X35" s="307">
        <f t="shared" si="15"/>
        <v>-3.506320675387542E-2</v>
      </c>
    </row>
    <row r="36" spans="1:24" ht="18" customHeight="1">
      <c r="A36" s="426" t="s">
        <v>99</v>
      </c>
      <c r="B36" s="69" t="str">
        <f t="shared" si="13"/>
        <v># of Connections</v>
      </c>
      <c r="C36" s="447"/>
      <c r="D36" s="566">
        <f t="shared" si="12"/>
        <v>0.16</v>
      </c>
      <c r="E36" s="447"/>
      <c r="F36" s="447"/>
      <c r="G36" s="447"/>
      <c r="J36" s="447"/>
      <c r="L36" s="566"/>
      <c r="M36" s="447"/>
      <c r="N36" s="447"/>
      <c r="O36" s="499"/>
      <c r="P36" s="224"/>
      <c r="Q36" s="495"/>
      <c r="R36" s="495"/>
      <c r="S36" s="495"/>
      <c r="T36" s="495"/>
      <c r="U36" s="495"/>
      <c r="V36" s="501">
        <f t="shared" si="14"/>
        <v>0</v>
      </c>
      <c r="X36" s="307">
        <f t="shared" si="15"/>
        <v>16.745280911782174</v>
      </c>
    </row>
    <row r="37" spans="1:24" ht="18" customHeight="1">
      <c r="A37" s="426" t="s">
        <v>208</v>
      </c>
      <c r="B37" s="69" t="str">
        <f t="shared" si="13"/>
        <v># of Connections</v>
      </c>
      <c r="C37" s="447"/>
      <c r="D37" s="566">
        <f t="shared" si="12"/>
        <v>0.22</v>
      </c>
      <c r="E37" s="447"/>
      <c r="F37" s="447"/>
      <c r="G37" s="447"/>
      <c r="J37" s="447"/>
      <c r="L37" s="566"/>
      <c r="M37" s="447"/>
      <c r="N37" s="447"/>
      <c r="O37" s="499"/>
      <c r="P37" s="224"/>
      <c r="Q37" s="495"/>
      <c r="R37" s="495"/>
      <c r="S37" s="495"/>
      <c r="T37" s="495"/>
      <c r="U37" s="495"/>
      <c r="V37" s="501">
        <f t="shared" si="14"/>
        <v>0</v>
      </c>
      <c r="X37" s="307">
        <f t="shared" si="15"/>
        <v>-0.47357534528443068</v>
      </c>
    </row>
    <row r="38" spans="1:24" ht="18" customHeight="1">
      <c r="A38" s="426" t="s">
        <v>207</v>
      </c>
      <c r="B38" s="69" t="str">
        <f t="shared" si="13"/>
        <v># of Connections</v>
      </c>
      <c r="C38" s="447"/>
      <c r="D38" s="566">
        <f t="shared" si="12"/>
        <v>0.48</v>
      </c>
      <c r="E38" s="447"/>
      <c r="F38" s="447"/>
      <c r="G38" s="447"/>
      <c r="J38" s="447"/>
      <c r="L38" s="566"/>
      <c r="M38" s="447"/>
      <c r="N38" s="447"/>
      <c r="O38" s="499"/>
      <c r="P38" s="224"/>
      <c r="Q38" s="513"/>
      <c r="R38" s="513"/>
      <c r="S38" s="513"/>
      <c r="T38" s="513"/>
      <c r="U38" s="513"/>
      <c r="V38" s="501">
        <f t="shared" si="14"/>
        <v>0</v>
      </c>
      <c r="X38" s="307">
        <f t="shared" si="15"/>
        <v>1.3816772524651242</v>
      </c>
    </row>
    <row r="39" spans="1:24" ht="5.25" customHeight="1">
      <c r="J39" s="224"/>
      <c r="K39" s="224"/>
      <c r="L39" s="428"/>
      <c r="M39" s="428"/>
      <c r="N39" s="224"/>
      <c r="O39" s="224"/>
      <c r="P39" s="224"/>
    </row>
    <row r="40" spans="1:24" ht="4.5" customHeight="1"/>
    <row r="41" spans="1:24" ht="13.5" thickBot="1">
      <c r="A41" s="482" t="s">
        <v>264</v>
      </c>
      <c r="B41" s="483"/>
      <c r="C41" s="483"/>
      <c r="D41" s="212"/>
      <c r="E41" s="212"/>
      <c r="F41" s="212"/>
      <c r="G41" s="212"/>
      <c r="H41" s="212"/>
      <c r="I41" s="212"/>
      <c r="J41" s="212"/>
      <c r="K41" s="212"/>
      <c r="L41" s="483"/>
      <c r="M41" s="483"/>
      <c r="N41" s="212"/>
      <c r="X41" s="333">
        <f>SUM(X31:X40)</f>
        <v>1494.2754061336489</v>
      </c>
    </row>
    <row r="42" spans="1:24" ht="18" thickTop="1">
      <c r="A42" s="436" t="s">
        <v>0</v>
      </c>
      <c r="B42" s="445"/>
      <c r="C42" s="441" t="s">
        <v>266</v>
      </c>
      <c r="D42" s="441" t="s">
        <v>267</v>
      </c>
      <c r="E42" s="441" t="s">
        <v>268</v>
      </c>
      <c r="F42" s="441" t="s">
        <v>269</v>
      </c>
      <c r="G42" s="441" t="s">
        <v>270</v>
      </c>
      <c r="H42" s="430"/>
      <c r="I42" s="441" t="s">
        <v>297</v>
      </c>
      <c r="K42" s="633" t="s">
        <v>344</v>
      </c>
      <c r="L42" s="634"/>
      <c r="M42" s="488"/>
    </row>
    <row r="43" spans="1:24" ht="17.649999999999999">
      <c r="A43" s="448"/>
      <c r="B43" s="449"/>
      <c r="C43" s="450" t="s">
        <v>352</v>
      </c>
      <c r="D43" s="450" t="s">
        <v>352</v>
      </c>
      <c r="E43" s="450" t="s">
        <v>352</v>
      </c>
      <c r="F43" s="450" t="s">
        <v>352</v>
      </c>
      <c r="G43" s="450" t="s">
        <v>352</v>
      </c>
      <c r="H43" s="430"/>
      <c r="I43" s="450" t="s">
        <v>352</v>
      </c>
      <c r="K43" s="635"/>
      <c r="L43" s="636"/>
      <c r="M43" s="489"/>
    </row>
    <row r="44" spans="1:24" ht="17.649999999999999">
      <c r="A44" s="437"/>
      <c r="B44" s="439"/>
      <c r="C44" s="435" t="s">
        <v>353</v>
      </c>
      <c r="D44" s="435" t="s">
        <v>353</v>
      </c>
      <c r="E44" s="435" t="s">
        <v>353</v>
      </c>
      <c r="F44" s="435" t="s">
        <v>353</v>
      </c>
      <c r="G44" s="435" t="s">
        <v>353</v>
      </c>
      <c r="H44" s="430"/>
      <c r="I44" s="435" t="s">
        <v>353</v>
      </c>
      <c r="K44" s="637"/>
      <c r="L44" s="636"/>
      <c r="M44" s="489"/>
    </row>
    <row r="45" spans="1:24" ht="17.649999999999999">
      <c r="A45" s="438" t="s">
        <v>97</v>
      </c>
      <c r="B45" s="440"/>
      <c r="C45" s="442">
        <f t="shared" ref="C45:G52" si="16">C19*C31</f>
        <v>0</v>
      </c>
      <c r="D45" s="442">
        <f t="shared" ref="D45:D52" si="17">D19*D31*12</f>
        <v>372542.39030106191</v>
      </c>
      <c r="E45" s="442">
        <f t="shared" si="16"/>
        <v>0</v>
      </c>
      <c r="F45" s="442">
        <f t="shared" si="16"/>
        <v>0</v>
      </c>
      <c r="G45" s="442">
        <f t="shared" si="16"/>
        <v>0</v>
      </c>
      <c r="H45" s="425"/>
      <c r="I45" s="442">
        <f>SUM(C45:G45)</f>
        <v>372542.39030106191</v>
      </c>
      <c r="K45" s="493">
        <f>I45-D6</f>
        <v>1636.3316410696134</v>
      </c>
      <c r="L45" s="490" t="s">
        <v>357</v>
      </c>
      <c r="M45" s="489"/>
    </row>
    <row r="46" spans="1:24" ht="17.649999999999999">
      <c r="A46" s="438" t="s">
        <v>212</v>
      </c>
      <c r="B46" s="440"/>
      <c r="C46" s="442">
        <f t="shared" si="16"/>
        <v>0</v>
      </c>
      <c r="D46" s="442">
        <f t="shared" si="17"/>
        <v>77999.866853661995</v>
      </c>
      <c r="E46" s="442">
        <f t="shared" si="16"/>
        <v>0</v>
      </c>
      <c r="F46" s="442">
        <f t="shared" si="16"/>
        <v>0</v>
      </c>
      <c r="G46" s="442">
        <f t="shared" si="16"/>
        <v>0</v>
      </c>
      <c r="H46" s="425"/>
      <c r="I46" s="442">
        <f t="shared" ref="I46:I52" si="18">SUM(C46:G46)</f>
        <v>77999.866853661995</v>
      </c>
      <c r="K46" s="493">
        <f t="shared" ref="K46:K52" si="19">I46-D7</f>
        <v>-138.68250706850085</v>
      </c>
      <c r="L46" s="490" t="s">
        <v>357</v>
      </c>
      <c r="M46" s="489"/>
    </row>
    <row r="47" spans="1:24" ht="17.649999999999999">
      <c r="A47" s="438" t="s">
        <v>213</v>
      </c>
      <c r="B47" s="440"/>
      <c r="C47" s="442">
        <f t="shared" si="16"/>
        <v>0</v>
      </c>
      <c r="D47" s="442">
        <f t="shared" si="17"/>
        <v>109548.04799999998</v>
      </c>
      <c r="E47" s="442">
        <f t="shared" si="16"/>
        <v>0</v>
      </c>
      <c r="F47" s="442">
        <f t="shared" si="16"/>
        <v>0</v>
      </c>
      <c r="G47" s="442">
        <f t="shared" si="16"/>
        <v>0</v>
      </c>
      <c r="H47" s="425"/>
      <c r="I47" s="442">
        <f t="shared" si="18"/>
        <v>109548.04799999998</v>
      </c>
      <c r="K47" s="493">
        <f t="shared" si="19"/>
        <v>-20.572870332354796</v>
      </c>
      <c r="L47" s="490" t="s">
        <v>357</v>
      </c>
      <c r="M47" s="489"/>
    </row>
    <row r="48" spans="1:24" ht="17.649999999999999">
      <c r="A48" s="438" t="s">
        <v>214</v>
      </c>
      <c r="B48" s="440"/>
      <c r="C48" s="442">
        <f t="shared" si="16"/>
        <v>0</v>
      </c>
      <c r="D48" s="442">
        <f t="shared" si="17"/>
        <v>13867.199999999999</v>
      </c>
      <c r="E48" s="442">
        <f t="shared" si="16"/>
        <v>0</v>
      </c>
      <c r="F48" s="442">
        <f t="shared" si="16"/>
        <v>0</v>
      </c>
      <c r="G48" s="442">
        <f t="shared" si="16"/>
        <v>0</v>
      </c>
      <c r="H48" s="425"/>
      <c r="I48" s="442">
        <f t="shared" si="18"/>
        <v>13867.199999999999</v>
      </c>
      <c r="K48" s="493">
        <f t="shared" si="19"/>
        <v>-0.41917714731789602</v>
      </c>
      <c r="L48" s="490" t="s">
        <v>357</v>
      </c>
      <c r="M48" s="489"/>
    </row>
    <row r="49" spans="1:13" ht="17.649999999999999">
      <c r="A49" s="438" t="s">
        <v>98</v>
      </c>
      <c r="B49" s="440"/>
      <c r="C49" s="442">
        <f t="shared" si="16"/>
        <v>0</v>
      </c>
      <c r="D49" s="442">
        <f t="shared" si="17"/>
        <v>6529.4400000000005</v>
      </c>
      <c r="E49" s="442">
        <f t="shared" si="16"/>
        <v>0</v>
      </c>
      <c r="F49" s="442">
        <f t="shared" si="16"/>
        <v>0</v>
      </c>
      <c r="G49" s="442">
        <f t="shared" si="16"/>
        <v>0</v>
      </c>
      <c r="H49" s="425"/>
      <c r="I49" s="442">
        <f t="shared" si="18"/>
        <v>6529.4400000000005</v>
      </c>
      <c r="K49" s="493">
        <f t="shared" si="19"/>
        <v>-3.506320675387542E-2</v>
      </c>
      <c r="L49" s="490" t="s">
        <v>357</v>
      </c>
      <c r="M49" s="489"/>
    </row>
    <row r="50" spans="1:13" ht="17.649999999999999">
      <c r="A50" s="438" t="s">
        <v>99</v>
      </c>
      <c r="B50" s="440"/>
      <c r="C50" s="442">
        <f t="shared" si="16"/>
        <v>0</v>
      </c>
      <c r="D50" s="442">
        <f t="shared" si="17"/>
        <v>24883.244648791362</v>
      </c>
      <c r="E50" s="442">
        <f t="shared" si="16"/>
        <v>0</v>
      </c>
      <c r="F50" s="442">
        <f t="shared" si="16"/>
        <v>0</v>
      </c>
      <c r="G50" s="442">
        <f t="shared" si="16"/>
        <v>0</v>
      </c>
      <c r="H50" s="425"/>
      <c r="I50" s="442">
        <f t="shared" si="18"/>
        <v>24883.244648791362</v>
      </c>
      <c r="K50" s="493">
        <f t="shared" si="19"/>
        <v>16.745280911782174</v>
      </c>
      <c r="L50" s="490" t="s">
        <v>357</v>
      </c>
      <c r="M50" s="489"/>
    </row>
    <row r="51" spans="1:13" ht="17.649999999999999">
      <c r="A51" s="438" t="s">
        <v>208</v>
      </c>
      <c r="B51" s="440"/>
      <c r="C51" s="442">
        <f t="shared" si="16"/>
        <v>0</v>
      </c>
      <c r="D51" s="442">
        <f t="shared" si="17"/>
        <v>59.314270747832659</v>
      </c>
      <c r="E51" s="442">
        <f t="shared" si="16"/>
        <v>0</v>
      </c>
      <c r="F51" s="442">
        <f t="shared" si="16"/>
        <v>0</v>
      </c>
      <c r="G51" s="442">
        <f t="shared" si="16"/>
        <v>0</v>
      </c>
      <c r="H51" s="425"/>
      <c r="I51" s="442">
        <f t="shared" si="18"/>
        <v>59.314270747832659</v>
      </c>
      <c r="K51" s="493">
        <f t="shared" si="19"/>
        <v>-0.47357534528443068</v>
      </c>
      <c r="L51" s="490" t="s">
        <v>357</v>
      </c>
      <c r="M51" s="489"/>
    </row>
    <row r="52" spans="1:13" ht="17.649999999999999">
      <c r="A52" s="438" t="s">
        <v>207</v>
      </c>
      <c r="B52" s="440"/>
      <c r="C52" s="442">
        <f t="shared" si="16"/>
        <v>0</v>
      </c>
      <c r="D52" s="442">
        <f t="shared" si="17"/>
        <v>1705.7713318704677</v>
      </c>
      <c r="E52" s="442">
        <f t="shared" si="16"/>
        <v>0</v>
      </c>
      <c r="F52" s="442">
        <f t="shared" si="16"/>
        <v>0</v>
      </c>
      <c r="G52" s="442">
        <f t="shared" si="16"/>
        <v>0</v>
      </c>
      <c r="H52" s="425"/>
      <c r="I52" s="442">
        <f t="shared" si="18"/>
        <v>1705.7713318704677</v>
      </c>
      <c r="K52" s="493">
        <f t="shared" si="19"/>
        <v>1.3816772524651242</v>
      </c>
      <c r="L52" s="490" t="s">
        <v>357</v>
      </c>
      <c r="M52" s="489"/>
    </row>
    <row r="53" spans="1:13" ht="18" thickBot="1">
      <c r="A53" s="427" t="s">
        <v>1</v>
      </c>
      <c r="B53" s="429"/>
      <c r="C53" s="443">
        <f>SUM(C45:C52)</f>
        <v>0</v>
      </c>
      <c r="D53" s="443">
        <f>SUM(D45:D52)</f>
        <v>607135.2754061335</v>
      </c>
      <c r="E53" s="443">
        <f>SUM(E45:E52)</f>
        <v>0</v>
      </c>
      <c r="F53" s="443">
        <f>SUM(F45:F52)</f>
        <v>0</v>
      </c>
      <c r="G53" s="443">
        <f>SUM(G45:G52)</f>
        <v>0</v>
      </c>
      <c r="H53" s="444"/>
      <c r="I53" s="443">
        <f>SUM(I45:I52)</f>
        <v>607135.2754061335</v>
      </c>
      <c r="K53" s="494">
        <f>SUM(K45:K52)</f>
        <v>1494.2754061336489</v>
      </c>
      <c r="L53" s="491" t="s">
        <v>334</v>
      </c>
      <c r="M53" s="492"/>
    </row>
    <row r="54" spans="1:13" ht="4.5" customHeight="1" thickTop="1"/>
    <row r="55" spans="1:13" ht="5.25" customHeight="1"/>
    <row r="56" spans="1:13">
      <c r="C56" s="307">
        <f>C53+C14</f>
        <v>0.99999999999999978</v>
      </c>
      <c r="D56" s="307">
        <f>D53-E14</f>
        <v>1494.2754061334999</v>
      </c>
      <c r="E56" s="307">
        <f t="shared" ref="E56:G56" si="20">E53-F14</f>
        <v>0</v>
      </c>
      <c r="F56" s="307">
        <f t="shared" si="20"/>
        <v>0</v>
      </c>
      <c r="G56" s="307">
        <f t="shared" si="20"/>
        <v>0</v>
      </c>
      <c r="H56" s="307"/>
      <c r="I56" s="307">
        <f>I53-D14</f>
        <v>1494.2754061334999</v>
      </c>
    </row>
    <row r="62" spans="1:13">
      <c r="A62" s="546" t="s">
        <v>362</v>
      </c>
    </row>
    <row r="63" spans="1:13">
      <c r="F63" s="224"/>
      <c r="G63" s="224"/>
    </row>
    <row r="64" spans="1:13" ht="39" customHeight="1">
      <c r="A64" s="461" t="s">
        <v>361</v>
      </c>
      <c r="B64" s="425"/>
      <c r="C64" s="425"/>
      <c r="D64" s="425"/>
      <c r="F64" s="224"/>
      <c r="G64" s="224"/>
    </row>
    <row r="65" spans="1:14" ht="26.25">
      <c r="A65" s="433" t="s">
        <v>0</v>
      </c>
      <c r="B65" s="548" t="s">
        <v>368</v>
      </c>
      <c r="C65" s="441"/>
      <c r="D65" s="441" t="s">
        <v>363</v>
      </c>
      <c r="E65" s="441"/>
      <c r="G65" s="224"/>
      <c r="H65" s="224"/>
      <c r="L65" s="281"/>
      <c r="N65" s="101"/>
    </row>
    <row r="66" spans="1:14">
      <c r="A66" s="426" t="s">
        <v>97</v>
      </c>
      <c r="B66" s="426">
        <f>D6</f>
        <v>370906.0586599923</v>
      </c>
      <c r="C66" s="69" t="str">
        <f>B19</f>
        <v># of Customers</v>
      </c>
      <c r="D66" s="447">
        <f>D31</f>
        <v>0.6</v>
      </c>
      <c r="E66" s="464"/>
      <c r="G66" s="224"/>
      <c r="H66" s="224"/>
      <c r="L66" s="281"/>
      <c r="N66" s="101"/>
    </row>
    <row r="67" spans="1:14">
      <c r="A67" s="426" t="s">
        <v>212</v>
      </c>
      <c r="B67" s="426">
        <f t="shared" ref="B67:B73" si="21">D7</f>
        <v>78138.549360730496</v>
      </c>
      <c r="C67" s="69" t="str">
        <f t="shared" ref="C67:C73" si="22">B20</f>
        <v># of Customers</v>
      </c>
      <c r="D67" s="447">
        <f t="shared" ref="D67:D73" si="23">D32</f>
        <v>1.6</v>
      </c>
      <c r="E67" s="464"/>
      <c r="G67" s="224"/>
      <c r="H67" s="224"/>
      <c r="L67" s="281"/>
      <c r="N67" s="101"/>
    </row>
    <row r="68" spans="1:14">
      <c r="A68" s="426" t="s">
        <v>213</v>
      </c>
      <c r="B68" s="426">
        <f t="shared" si="21"/>
        <v>109568.62087033234</v>
      </c>
      <c r="C68" s="69" t="str">
        <f t="shared" si="22"/>
        <v># of Customers</v>
      </c>
      <c r="D68" s="447">
        <f t="shared" si="23"/>
        <v>17.739999999999998</v>
      </c>
      <c r="E68" s="464"/>
      <c r="G68" s="224"/>
      <c r="H68" s="224"/>
      <c r="L68" s="281"/>
      <c r="N68" s="101"/>
    </row>
    <row r="69" spans="1:14">
      <c r="A69" s="426" t="s">
        <v>214</v>
      </c>
      <c r="B69" s="426">
        <f t="shared" si="21"/>
        <v>13867.619177147317</v>
      </c>
      <c r="C69" s="69" t="str">
        <f t="shared" si="22"/>
        <v># of Customers</v>
      </c>
      <c r="D69" s="447">
        <f t="shared" si="23"/>
        <v>96.3</v>
      </c>
      <c r="E69" s="464"/>
      <c r="G69" s="224"/>
      <c r="H69" s="224"/>
      <c r="L69" s="281"/>
      <c r="N69" s="101"/>
    </row>
    <row r="70" spans="1:14">
      <c r="A70" s="426" t="s">
        <v>98</v>
      </c>
      <c r="B70" s="426">
        <f t="shared" si="21"/>
        <v>6529.4750632067544</v>
      </c>
      <c r="C70" s="69" t="str">
        <f t="shared" si="22"/>
        <v># of Customers</v>
      </c>
      <c r="D70" s="447">
        <f t="shared" si="23"/>
        <v>544.12</v>
      </c>
      <c r="E70" s="464"/>
      <c r="G70" s="224"/>
      <c r="H70" s="224"/>
      <c r="L70" s="281"/>
      <c r="N70" s="101"/>
    </row>
    <row r="71" spans="1:14">
      <c r="A71" s="426" t="s">
        <v>99</v>
      </c>
      <c r="B71" s="426">
        <f t="shared" si="21"/>
        <v>24866.49936787958</v>
      </c>
      <c r="C71" s="69" t="str">
        <f t="shared" si="22"/>
        <v># of Connections</v>
      </c>
      <c r="D71" s="447">
        <f t="shared" si="23"/>
        <v>0.16</v>
      </c>
      <c r="E71" s="464"/>
      <c r="G71" s="224"/>
      <c r="H71" s="224"/>
      <c r="L71" s="281"/>
      <c r="N71" s="101"/>
    </row>
    <row r="72" spans="1:14">
      <c r="A72" s="426" t="s">
        <v>208</v>
      </c>
      <c r="B72" s="426">
        <f t="shared" si="21"/>
        <v>59.787846093117089</v>
      </c>
      <c r="C72" s="69" t="str">
        <f t="shared" si="22"/>
        <v># of Connections</v>
      </c>
      <c r="D72" s="447">
        <f t="shared" si="23"/>
        <v>0.22</v>
      </c>
      <c r="E72" s="464"/>
      <c r="G72" s="224"/>
      <c r="H72" s="224"/>
      <c r="L72" s="281"/>
      <c r="N72" s="101"/>
    </row>
    <row r="73" spans="1:14">
      <c r="A73" s="426" t="s">
        <v>207</v>
      </c>
      <c r="B73" s="426">
        <f t="shared" si="21"/>
        <v>1704.3896546180026</v>
      </c>
      <c r="C73" s="69" t="str">
        <f t="shared" si="22"/>
        <v># of Connections</v>
      </c>
      <c r="D73" s="447">
        <f t="shared" si="23"/>
        <v>0.48</v>
      </c>
      <c r="E73" s="464"/>
      <c r="G73" s="224"/>
      <c r="H73" s="224"/>
      <c r="L73" s="281"/>
      <c r="N73" s="101"/>
    </row>
    <row r="74" spans="1:14">
      <c r="B74" s="101">
        <f>SUM(B66:B73)</f>
        <v>605640.99999999977</v>
      </c>
      <c r="F74" s="224"/>
      <c r="G74" s="224"/>
    </row>
    <row r="75" spans="1:14">
      <c r="B75" s="101" t="s">
        <v>366</v>
      </c>
      <c r="F75" s="224"/>
      <c r="G75" s="224"/>
    </row>
    <row r="76" spans="1:14" ht="26.25">
      <c r="A76" s="433" t="s">
        <v>0</v>
      </c>
      <c r="B76" s="441" t="s">
        <v>364</v>
      </c>
      <c r="C76" s="441" t="s">
        <v>365</v>
      </c>
      <c r="D76" s="441" t="s">
        <v>367</v>
      </c>
      <c r="F76" s="224"/>
      <c r="G76" s="224"/>
    </row>
    <row r="77" spans="1:14">
      <c r="A77" s="426" t="s">
        <v>97</v>
      </c>
      <c r="B77" s="547">
        <v>7.1144292197686795E-2</v>
      </c>
      <c r="C77" s="547">
        <v>0.14552241585890499</v>
      </c>
      <c r="D77" s="542">
        <f>C77-B77</f>
        <v>7.4378123661218196E-2</v>
      </c>
      <c r="F77" s="224"/>
      <c r="G77" s="224"/>
    </row>
    <row r="78" spans="1:14">
      <c r="A78" s="426" t="s">
        <v>212</v>
      </c>
      <c r="B78" s="547">
        <v>2.9261603752736464E-2</v>
      </c>
      <c r="C78" s="547">
        <v>8.992590421572691E-2</v>
      </c>
      <c r="D78" s="542">
        <f t="shared" ref="D78:D84" si="24">C78-B78</f>
        <v>6.0664300462990442E-2</v>
      </c>
      <c r="F78" s="224"/>
      <c r="G78" s="224"/>
    </row>
    <row r="79" spans="1:14">
      <c r="A79" s="426" t="s">
        <v>213</v>
      </c>
      <c r="B79" s="547">
        <v>2.8771834952510834E-2</v>
      </c>
      <c r="C79" s="547">
        <v>9.2601623690139259E-2</v>
      </c>
      <c r="D79" s="542">
        <f t="shared" si="24"/>
        <v>6.3829788737628429E-2</v>
      </c>
    </row>
    <row r="80" spans="1:14">
      <c r="A80" s="426" t="s">
        <v>214</v>
      </c>
      <c r="B80" s="547">
        <v>3.9037957800019729E-2</v>
      </c>
      <c r="C80" s="547">
        <v>7.6701000385289694E-2</v>
      </c>
      <c r="D80" s="542">
        <f t="shared" si="24"/>
        <v>3.7663042585269965E-2</v>
      </c>
    </row>
    <row r="81" spans="1:4">
      <c r="A81" s="426" t="s">
        <v>98</v>
      </c>
      <c r="B81" s="547">
        <v>5.1629515338503594E-2</v>
      </c>
      <c r="C81" s="547">
        <v>0.10699800553929284</v>
      </c>
      <c r="D81" s="542">
        <f t="shared" si="24"/>
        <v>5.5368490200789246E-2</v>
      </c>
    </row>
    <row r="82" spans="1:4">
      <c r="A82" s="426" t="s">
        <v>99</v>
      </c>
      <c r="B82" s="547">
        <v>-0.13716869571609783</v>
      </c>
      <c r="C82" s="547">
        <v>-7.5768275116871023E-2</v>
      </c>
      <c r="D82" s="542">
        <f t="shared" si="24"/>
        <v>6.1400420599226804E-2</v>
      </c>
    </row>
    <row r="83" spans="1:4">
      <c r="A83" s="426" t="s">
        <v>208</v>
      </c>
      <c r="B83" s="547">
        <v>4.1744743432964491E-2</v>
      </c>
      <c r="C83" s="547">
        <v>0.12477446767491242</v>
      </c>
      <c r="D83" s="542">
        <f t="shared" si="24"/>
        <v>8.3029724241947933E-2</v>
      </c>
    </row>
    <row r="84" spans="1:4">
      <c r="A84" s="426" t="s">
        <v>207</v>
      </c>
      <c r="B84" s="547">
        <v>0.10654333554672205</v>
      </c>
      <c r="C84" s="547">
        <v>0.18480325985294827</v>
      </c>
      <c r="D84" s="542">
        <f t="shared" si="24"/>
        <v>7.825992430622622E-2</v>
      </c>
    </row>
  </sheetData>
  <mergeCells count="2">
    <mergeCell ref="Q30:U30"/>
    <mergeCell ref="K42:L44"/>
  </mergeCells>
  <printOptions horizontalCentered="1"/>
  <pageMargins left="0.15748031496062992" right="0.15748031496062992" top="0.98425196850393704" bottom="0.59055118110236227" header="0.51181102362204722" footer="0.31496062992125984"/>
  <pageSetup scale="77" orientation="portrait" horizontalDpi="355" verticalDpi="355" r:id="rId1"/>
  <headerFooter alignWithMargins="0"/>
  <rowBreaks count="1" manualBreakCount="1">
    <brk id="15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workbookViewId="0">
      <selection activeCell="E70" sqref="E70"/>
    </sheetView>
  </sheetViews>
  <sheetFormatPr defaultRowHeight="12.75"/>
  <cols>
    <col min="1" max="1" width="32.73046875" bestFit="1" customWidth="1"/>
    <col min="2" max="2" width="16" customWidth="1"/>
    <col min="3" max="3" width="24.73046875" customWidth="1"/>
    <col min="4" max="4" width="14.265625" customWidth="1"/>
    <col min="5" max="5" width="13.73046875" customWidth="1"/>
    <col min="6" max="6" width="13.46484375" bestFit="1" customWidth="1"/>
  </cols>
  <sheetData>
    <row r="1" spans="1:6">
      <c r="A1" s="625" t="str">
        <f>+'Revenue Input'!A1</f>
        <v>Oshawa PUC Networks Inc</v>
      </c>
      <c r="B1" s="625"/>
      <c r="C1" s="625"/>
      <c r="D1" s="625"/>
      <c r="E1" s="625"/>
      <c r="F1" s="625"/>
    </row>
    <row r="2" spans="1:6">
      <c r="A2" s="617"/>
      <c r="B2" s="617"/>
      <c r="C2" s="617"/>
      <c r="D2" s="617"/>
      <c r="E2" s="617"/>
      <c r="F2" s="617"/>
    </row>
    <row r="3" spans="1:6" s="33" customFormat="1" ht="20.65">
      <c r="A3" s="642" t="s">
        <v>139</v>
      </c>
      <c r="B3" s="642"/>
      <c r="C3" s="642"/>
      <c r="D3" s="642"/>
      <c r="E3" s="642"/>
      <c r="F3" s="642"/>
    </row>
    <row r="4" spans="1:6" ht="38.25" customHeight="1">
      <c r="A4" s="641" t="s">
        <v>0</v>
      </c>
      <c r="B4" s="641" t="s">
        <v>18</v>
      </c>
      <c r="C4" s="641"/>
      <c r="D4" s="643" t="s">
        <v>85</v>
      </c>
      <c r="E4" s="643" t="s">
        <v>19</v>
      </c>
      <c r="F4" s="643" t="s">
        <v>20</v>
      </c>
    </row>
    <row r="5" spans="1:6" ht="13.15">
      <c r="A5" s="641"/>
      <c r="B5" s="151" t="s">
        <v>21</v>
      </c>
      <c r="C5" s="152" t="s">
        <v>22</v>
      </c>
      <c r="D5" s="643"/>
      <c r="E5" s="643"/>
      <c r="F5" s="643"/>
    </row>
    <row r="6" spans="1:6" ht="18" customHeight="1">
      <c r="A6" s="57" t="str">
        <f>'Rates By Rate Class'!A21</f>
        <v>Residential</v>
      </c>
      <c r="B6" s="160">
        <v>0</v>
      </c>
      <c r="C6" s="160">
        <v>0</v>
      </c>
      <c r="D6" s="83">
        <f>+B6*'Revenue at Prior Year Rates'!B6</f>
        <v>0</v>
      </c>
      <c r="E6" s="45">
        <f>IFERROR(D6/$D$15,0)</f>
        <v>0</v>
      </c>
      <c r="F6" s="83">
        <f t="shared" ref="F6:F14" si="0">+$F$15*E6</f>
        <v>0</v>
      </c>
    </row>
    <row r="7" spans="1:6" ht="18" customHeight="1">
      <c r="A7" s="57" t="str">
        <f>'Rates By Rate Class'!A22</f>
        <v>GS Less Than 50 KW</v>
      </c>
      <c r="B7" s="160"/>
      <c r="C7" s="160"/>
      <c r="D7" s="83">
        <f>+B7*'Revenue at Prior Year Rates'!B7</f>
        <v>0</v>
      </c>
      <c r="E7" s="45">
        <f t="shared" ref="E7:E14" si="1">IFERROR(D7/$D$15,0)</f>
        <v>0</v>
      </c>
      <c r="F7" s="83">
        <f t="shared" si="0"/>
        <v>0</v>
      </c>
    </row>
    <row r="8" spans="1:6" ht="18" customHeight="1">
      <c r="A8" s="57" t="str">
        <f>'Rates By Rate Class'!A23</f>
        <v>GS 50 To 999 KW</v>
      </c>
      <c r="B8" s="160"/>
      <c r="C8" s="160"/>
      <c r="D8" s="83">
        <f>+C8*'Revenue at Prior Year Rates'!C8</f>
        <v>0</v>
      </c>
      <c r="E8" s="45">
        <f t="shared" si="1"/>
        <v>0</v>
      </c>
      <c r="F8" s="83">
        <f t="shared" si="0"/>
        <v>0</v>
      </c>
    </row>
    <row r="9" spans="1:6" ht="18" customHeight="1">
      <c r="A9" s="57" t="str">
        <f>'Rates By Rate Class'!A24</f>
        <v>GS Intermediate 1,000 To 4,999 KW</v>
      </c>
      <c r="B9" s="160"/>
      <c r="C9" s="160"/>
      <c r="D9" s="83">
        <f>+C9*'Revenue at Prior Year Rates'!C9</f>
        <v>0</v>
      </c>
      <c r="E9" s="45">
        <f t="shared" si="1"/>
        <v>0</v>
      </c>
      <c r="F9" s="83">
        <f t="shared" si="0"/>
        <v>0</v>
      </c>
    </row>
    <row r="10" spans="1:6" ht="18" customHeight="1">
      <c r="A10" s="57" t="str">
        <f>'Rates By Rate Class'!A25</f>
        <v>Large Use</v>
      </c>
      <c r="B10" s="160"/>
      <c r="C10" s="160"/>
      <c r="D10" s="83">
        <f>+C10*'Revenue at Prior Year Rates'!C10</f>
        <v>0</v>
      </c>
      <c r="E10" s="45">
        <f t="shared" si="1"/>
        <v>0</v>
      </c>
      <c r="F10" s="83">
        <f t="shared" si="0"/>
        <v>0</v>
      </c>
    </row>
    <row r="11" spans="1:6" ht="18" customHeight="1">
      <c r="A11" s="57" t="str">
        <f>'Rates By Rate Class'!A26</f>
        <v>Street Lighting</v>
      </c>
      <c r="B11" s="160"/>
      <c r="C11" s="160"/>
      <c r="D11" s="83">
        <f>+C11*'Revenue at Prior Year Rates'!C11</f>
        <v>0</v>
      </c>
      <c r="E11" s="45">
        <f t="shared" si="1"/>
        <v>0</v>
      </c>
      <c r="F11" s="83">
        <f t="shared" si="0"/>
        <v>0</v>
      </c>
    </row>
    <row r="12" spans="1:6" ht="18" customHeight="1">
      <c r="A12" s="57" t="str">
        <f>'Rates By Rate Class'!A27</f>
        <v>Sentinel Lighting</v>
      </c>
      <c r="B12" s="160"/>
      <c r="C12" s="160"/>
      <c r="D12" s="83">
        <f>+C12*'Revenue at Prior Year Rates'!C12</f>
        <v>0</v>
      </c>
      <c r="E12" s="45">
        <f t="shared" si="1"/>
        <v>0</v>
      </c>
      <c r="F12" s="83">
        <f t="shared" si="0"/>
        <v>0</v>
      </c>
    </row>
    <row r="13" spans="1:6" ht="18" customHeight="1">
      <c r="A13" s="57" t="str">
        <f>'Rates By Rate Class'!A28</f>
        <v>Unmetered Scattered Load</v>
      </c>
      <c r="B13" s="160"/>
      <c r="C13" s="160"/>
      <c r="D13" s="83">
        <f>+C13*'Revenue at Prior Year Rates'!C13</f>
        <v>0</v>
      </c>
      <c r="E13" s="45">
        <f t="shared" si="1"/>
        <v>0</v>
      </c>
      <c r="F13" s="83">
        <f t="shared" si="0"/>
        <v>0</v>
      </c>
    </row>
    <row r="14" spans="1:6" ht="18" customHeight="1">
      <c r="A14" s="57">
        <f>'Rates By Rate Class'!A29</f>
        <v>0</v>
      </c>
      <c r="B14" s="160"/>
      <c r="C14" s="160"/>
      <c r="D14" s="83">
        <f>+B14*'Revenue at Prior Year Rates'!B14</f>
        <v>0</v>
      </c>
      <c r="E14" s="45">
        <f t="shared" si="1"/>
        <v>0</v>
      </c>
      <c r="F14" s="83">
        <f t="shared" si="0"/>
        <v>0</v>
      </c>
    </row>
    <row r="15" spans="1:6" ht="18" customHeight="1" thickBot="1">
      <c r="A15" s="66" t="s">
        <v>17</v>
      </c>
      <c r="B15" s="51"/>
      <c r="C15" s="65"/>
      <c r="D15" s="125">
        <f>SUM(D6:D14)</f>
        <v>0</v>
      </c>
      <c r="E15" s="54">
        <f>SUM(E6:E14)</f>
        <v>0</v>
      </c>
      <c r="F15" s="125">
        <f>'Revenue Input'!B13</f>
        <v>0</v>
      </c>
    </row>
    <row r="16" spans="1:6" ht="13.15" thickTop="1"/>
    <row r="17" spans="1:6" ht="13.15">
      <c r="B17" s="31"/>
      <c r="C17" s="31"/>
    </row>
    <row r="18" spans="1:6" ht="20.65">
      <c r="A18" s="642" t="s">
        <v>151</v>
      </c>
      <c r="B18" s="642"/>
      <c r="C18" s="642"/>
      <c r="D18" s="642"/>
      <c r="E18" s="642"/>
      <c r="F18" s="642"/>
    </row>
    <row r="19" spans="1:6" ht="13.15">
      <c r="A19" s="641" t="s">
        <v>0</v>
      </c>
      <c r="B19" s="641" t="s">
        <v>18</v>
      </c>
      <c r="C19" s="641"/>
      <c r="D19" s="643" t="s">
        <v>85</v>
      </c>
      <c r="E19" s="643" t="s">
        <v>19</v>
      </c>
      <c r="F19" s="643" t="s">
        <v>20</v>
      </c>
    </row>
    <row r="20" spans="1:6" ht="13.15">
      <c r="A20" s="641"/>
      <c r="B20" s="151" t="s">
        <v>21</v>
      </c>
      <c r="C20" s="152" t="s">
        <v>22</v>
      </c>
      <c r="D20" s="643"/>
      <c r="E20" s="643"/>
      <c r="F20" s="643"/>
    </row>
    <row r="21" spans="1:6" ht="13.15">
      <c r="A21" s="57" t="str">
        <f>'Rates By Rate Class'!A21</f>
        <v>Residential</v>
      </c>
      <c r="B21" s="160"/>
      <c r="C21" s="160"/>
      <c r="D21" s="83">
        <f>+B21*'Revenue at Prior Year Rates'!B21</f>
        <v>0</v>
      </c>
      <c r="E21" s="45">
        <f>IFERROR(D21/$D$30,0)</f>
        <v>0</v>
      </c>
      <c r="F21" s="83">
        <f t="shared" ref="F21:F29" si="2">+$F$30*E21</f>
        <v>0</v>
      </c>
    </row>
    <row r="22" spans="1:6" ht="13.15">
      <c r="A22" s="57" t="str">
        <f>'Rates By Rate Class'!A22</f>
        <v>GS Less Than 50 KW</v>
      </c>
      <c r="B22" s="160"/>
      <c r="C22" s="160"/>
      <c r="D22" s="83">
        <f>+B22*'Revenue at Prior Year Rates'!B22</f>
        <v>0</v>
      </c>
      <c r="E22" s="45">
        <f t="shared" ref="E22:E29" si="3">IFERROR(D22/$D$30,0)</f>
        <v>0</v>
      </c>
      <c r="F22" s="83">
        <f t="shared" si="2"/>
        <v>0</v>
      </c>
    </row>
    <row r="23" spans="1:6" ht="13.15">
      <c r="A23" s="57" t="str">
        <f>'Rates By Rate Class'!A23</f>
        <v>GS 50 To 999 KW</v>
      </c>
      <c r="B23" s="160"/>
      <c r="C23" s="160"/>
      <c r="D23" s="83">
        <f>+C23*'Revenue at Prior Year Rates'!C23</f>
        <v>0</v>
      </c>
      <c r="E23" s="45">
        <f t="shared" si="3"/>
        <v>0</v>
      </c>
      <c r="F23" s="83">
        <f t="shared" si="2"/>
        <v>0</v>
      </c>
    </row>
    <row r="24" spans="1:6" ht="13.15">
      <c r="A24" s="57" t="str">
        <f>'Rates By Rate Class'!A24</f>
        <v>GS Intermediate 1,000 To 4,999 KW</v>
      </c>
      <c r="B24" s="160"/>
      <c r="C24" s="160"/>
      <c r="D24" s="83">
        <f>+C24*'Revenue at Prior Year Rates'!C24</f>
        <v>0</v>
      </c>
      <c r="E24" s="45">
        <f t="shared" si="3"/>
        <v>0</v>
      </c>
      <c r="F24" s="83">
        <f t="shared" si="2"/>
        <v>0</v>
      </c>
    </row>
    <row r="25" spans="1:6" ht="13.15">
      <c r="A25" s="57" t="str">
        <f>'Rates By Rate Class'!A25</f>
        <v>Large Use</v>
      </c>
      <c r="B25" s="160"/>
      <c r="C25" s="160"/>
      <c r="D25" s="83">
        <f>+C25*'Revenue at Prior Year Rates'!C25</f>
        <v>0</v>
      </c>
      <c r="E25" s="45">
        <f t="shared" si="3"/>
        <v>0</v>
      </c>
      <c r="F25" s="83">
        <f t="shared" si="2"/>
        <v>0</v>
      </c>
    </row>
    <row r="26" spans="1:6" ht="13.15">
      <c r="A26" s="57" t="str">
        <f>'Rates By Rate Class'!A26</f>
        <v>Street Lighting</v>
      </c>
      <c r="B26" s="160"/>
      <c r="C26" s="160"/>
      <c r="D26" s="83">
        <f>+C26*'Revenue at Prior Year Rates'!C26</f>
        <v>0</v>
      </c>
      <c r="E26" s="45">
        <f t="shared" si="3"/>
        <v>0</v>
      </c>
      <c r="F26" s="83">
        <f t="shared" si="2"/>
        <v>0</v>
      </c>
    </row>
    <row r="27" spans="1:6" ht="13.15">
      <c r="A27" s="57" t="str">
        <f>'Rates By Rate Class'!A27</f>
        <v>Sentinel Lighting</v>
      </c>
      <c r="B27" s="160"/>
      <c r="C27" s="160"/>
      <c r="D27" s="83">
        <f>+C27*'Revenue at Prior Year Rates'!C27</f>
        <v>0</v>
      </c>
      <c r="E27" s="45">
        <f t="shared" si="3"/>
        <v>0</v>
      </c>
      <c r="F27" s="83">
        <f t="shared" si="2"/>
        <v>0</v>
      </c>
    </row>
    <row r="28" spans="1:6" ht="13.15">
      <c r="A28" s="57" t="str">
        <f>'Rates By Rate Class'!A28</f>
        <v>Unmetered Scattered Load</v>
      </c>
      <c r="B28" s="160"/>
      <c r="C28" s="160"/>
      <c r="D28" s="83">
        <f>+C28*'Revenue at Prior Year Rates'!C28</f>
        <v>0</v>
      </c>
      <c r="E28" s="45">
        <f t="shared" si="3"/>
        <v>0</v>
      </c>
      <c r="F28" s="83">
        <f t="shared" si="2"/>
        <v>0</v>
      </c>
    </row>
    <row r="29" spans="1:6" ht="13.15">
      <c r="A29" s="57">
        <f>'Rates By Rate Class'!A29</f>
        <v>0</v>
      </c>
      <c r="B29" s="160"/>
      <c r="C29" s="160"/>
      <c r="D29" s="83">
        <f>+B29*'Revenue at Prior Year Rates'!B29</f>
        <v>0</v>
      </c>
      <c r="E29" s="45">
        <f t="shared" si="3"/>
        <v>0</v>
      </c>
      <c r="F29" s="83">
        <f t="shared" si="2"/>
        <v>0</v>
      </c>
    </row>
    <row r="30" spans="1:6" ht="13.5" thickBot="1">
      <c r="A30" s="66" t="s">
        <v>17</v>
      </c>
      <c r="B30" s="51"/>
      <c r="C30" s="65"/>
      <c r="D30" s="125">
        <f>SUM(D21:D29)</f>
        <v>0</v>
      </c>
      <c r="E30" s="54">
        <f>SUM(E21:E29)</f>
        <v>0</v>
      </c>
      <c r="F30" s="125">
        <f>'Revenue Input'!C13</f>
        <v>0</v>
      </c>
    </row>
    <row r="31" spans="1:6" ht="13.15" thickTop="1"/>
    <row r="33" spans="1:6" ht="20.65">
      <c r="A33" s="642" t="s">
        <v>157</v>
      </c>
      <c r="B33" s="642"/>
      <c r="C33" s="642"/>
      <c r="D33" s="642"/>
      <c r="E33" s="642"/>
      <c r="F33" s="642"/>
    </row>
    <row r="34" spans="1:6" ht="13.15">
      <c r="A34" s="641" t="s">
        <v>0</v>
      </c>
      <c r="B34" s="641" t="s">
        <v>18</v>
      </c>
      <c r="C34" s="641"/>
      <c r="D34" s="643" t="s">
        <v>85</v>
      </c>
      <c r="E34" s="643" t="s">
        <v>19</v>
      </c>
      <c r="F34" s="643" t="s">
        <v>20</v>
      </c>
    </row>
    <row r="35" spans="1:6" ht="13.15">
      <c r="A35" s="641"/>
      <c r="B35" s="151" t="s">
        <v>21</v>
      </c>
      <c r="C35" s="152" t="s">
        <v>22</v>
      </c>
      <c r="D35" s="643"/>
      <c r="E35" s="643"/>
      <c r="F35" s="643"/>
    </row>
    <row r="36" spans="1:6" ht="13.15">
      <c r="A36" s="57" t="str">
        <f>'Rates By Rate Class'!A21</f>
        <v>Residential</v>
      </c>
      <c r="B36" s="160"/>
      <c r="C36" s="160"/>
      <c r="D36" s="83">
        <f>+B36*'Revenue at Prior Year Rates'!B36</f>
        <v>0</v>
      </c>
      <c r="E36" s="45">
        <f>IFERROR(D36/$D$45,0)</f>
        <v>0</v>
      </c>
      <c r="F36" s="83">
        <f t="shared" ref="F36:F44" si="4">+$F$45*E36</f>
        <v>0</v>
      </c>
    </row>
    <row r="37" spans="1:6" ht="13.15">
      <c r="A37" s="57" t="str">
        <f>'Rates By Rate Class'!A22</f>
        <v>GS Less Than 50 KW</v>
      </c>
      <c r="B37" s="160"/>
      <c r="C37" s="160"/>
      <c r="D37" s="83">
        <f>+B37*'Revenue at Prior Year Rates'!B37</f>
        <v>0</v>
      </c>
      <c r="E37" s="45">
        <f t="shared" ref="E37:E44" si="5">IFERROR(D37/$D$45,0)</f>
        <v>0</v>
      </c>
      <c r="F37" s="83">
        <f t="shared" si="4"/>
        <v>0</v>
      </c>
    </row>
    <row r="38" spans="1:6" ht="13.15">
      <c r="A38" s="57" t="str">
        <f>'Rates By Rate Class'!A23</f>
        <v>GS 50 To 999 KW</v>
      </c>
      <c r="B38" s="160"/>
      <c r="C38" s="160"/>
      <c r="D38" s="83">
        <f>+C38*'Revenue at Prior Year Rates'!C38</f>
        <v>0</v>
      </c>
      <c r="E38" s="45">
        <f t="shared" si="5"/>
        <v>0</v>
      </c>
      <c r="F38" s="83">
        <f t="shared" si="4"/>
        <v>0</v>
      </c>
    </row>
    <row r="39" spans="1:6" ht="13.15">
      <c r="A39" s="57" t="str">
        <f>'Rates By Rate Class'!A24</f>
        <v>GS Intermediate 1,000 To 4,999 KW</v>
      </c>
      <c r="B39" s="160"/>
      <c r="C39" s="160"/>
      <c r="D39" s="83">
        <f>+C39*'Revenue at Prior Year Rates'!C39</f>
        <v>0</v>
      </c>
      <c r="E39" s="45">
        <f t="shared" si="5"/>
        <v>0</v>
      </c>
      <c r="F39" s="83">
        <f t="shared" si="4"/>
        <v>0</v>
      </c>
    </row>
    <row r="40" spans="1:6" ht="13.15">
      <c r="A40" s="57" t="str">
        <f>'Rates By Rate Class'!A25</f>
        <v>Large Use</v>
      </c>
      <c r="B40" s="160"/>
      <c r="C40" s="160"/>
      <c r="D40" s="83">
        <f>+C40*'Revenue at Prior Year Rates'!C40</f>
        <v>0</v>
      </c>
      <c r="E40" s="45">
        <f t="shared" si="5"/>
        <v>0</v>
      </c>
      <c r="F40" s="83">
        <f t="shared" si="4"/>
        <v>0</v>
      </c>
    </row>
    <row r="41" spans="1:6" ht="13.15">
      <c r="A41" s="57" t="str">
        <f>'Rates By Rate Class'!A26</f>
        <v>Street Lighting</v>
      </c>
      <c r="B41" s="160"/>
      <c r="C41" s="160"/>
      <c r="D41" s="83">
        <f>+C41*'Revenue at Prior Year Rates'!C41</f>
        <v>0</v>
      </c>
      <c r="E41" s="45">
        <f t="shared" si="5"/>
        <v>0</v>
      </c>
      <c r="F41" s="83">
        <f t="shared" si="4"/>
        <v>0</v>
      </c>
    </row>
    <row r="42" spans="1:6" ht="13.15">
      <c r="A42" s="57" t="str">
        <f>'Rates By Rate Class'!A27</f>
        <v>Sentinel Lighting</v>
      </c>
      <c r="B42" s="160"/>
      <c r="C42" s="160"/>
      <c r="D42" s="83">
        <f>+C42*'Revenue at Prior Year Rates'!C42</f>
        <v>0</v>
      </c>
      <c r="E42" s="45">
        <f t="shared" si="5"/>
        <v>0</v>
      </c>
      <c r="F42" s="83">
        <f t="shared" si="4"/>
        <v>0</v>
      </c>
    </row>
    <row r="43" spans="1:6" ht="13.15">
      <c r="A43" s="57" t="str">
        <f>'Rates By Rate Class'!A28</f>
        <v>Unmetered Scattered Load</v>
      </c>
      <c r="B43" s="160"/>
      <c r="C43" s="160"/>
      <c r="D43" s="83">
        <f>+C43*'Revenue at Prior Year Rates'!C43</f>
        <v>0</v>
      </c>
      <c r="E43" s="45">
        <f t="shared" si="5"/>
        <v>0</v>
      </c>
      <c r="F43" s="83">
        <f t="shared" si="4"/>
        <v>0</v>
      </c>
    </row>
    <row r="44" spans="1:6" ht="13.15">
      <c r="A44" s="57">
        <f>'Rates By Rate Class'!A29</f>
        <v>0</v>
      </c>
      <c r="B44" s="160"/>
      <c r="C44" s="160"/>
      <c r="D44" s="83">
        <f>+B44*'Revenue at Prior Year Rates'!B44</f>
        <v>0</v>
      </c>
      <c r="E44" s="45">
        <f t="shared" si="5"/>
        <v>0</v>
      </c>
      <c r="F44" s="83">
        <f t="shared" si="4"/>
        <v>0</v>
      </c>
    </row>
    <row r="45" spans="1:6" ht="13.5" thickBot="1">
      <c r="A45" s="66" t="s">
        <v>17</v>
      </c>
      <c r="B45" s="51"/>
      <c r="C45" s="65"/>
      <c r="D45" s="125">
        <f>SUM(D36:D44)</f>
        <v>0</v>
      </c>
      <c r="E45" s="54">
        <f>SUM(E36:E44)</f>
        <v>0</v>
      </c>
      <c r="F45" s="125">
        <f>'Revenue Input'!D13</f>
        <v>0</v>
      </c>
    </row>
    <row r="46" spans="1:6" ht="13.15" thickTop="1"/>
    <row r="48" spans="1:6" ht="20.65">
      <c r="A48" s="642" t="s">
        <v>188</v>
      </c>
      <c r="B48" s="642"/>
      <c r="C48" s="642"/>
      <c r="D48" s="642"/>
      <c r="E48" s="642"/>
      <c r="F48" s="642"/>
    </row>
    <row r="49" spans="1:6" ht="13.15">
      <c r="A49" s="641" t="s">
        <v>0</v>
      </c>
      <c r="B49" s="641" t="s">
        <v>18</v>
      </c>
      <c r="C49" s="641"/>
      <c r="D49" s="643" t="s">
        <v>85</v>
      </c>
      <c r="E49" s="643" t="s">
        <v>19</v>
      </c>
      <c r="F49" s="643" t="s">
        <v>20</v>
      </c>
    </row>
    <row r="50" spans="1:6" ht="13.15">
      <c r="A50" s="641"/>
      <c r="B50" s="151" t="s">
        <v>21</v>
      </c>
      <c r="C50" s="152" t="s">
        <v>22</v>
      </c>
      <c r="D50" s="643"/>
      <c r="E50" s="643"/>
      <c r="F50" s="643"/>
    </row>
    <row r="51" spans="1:6" ht="13.15">
      <c r="A51" s="57" t="str">
        <f>'Rates By Rate Class'!A21</f>
        <v>Residential</v>
      </c>
      <c r="B51" s="160"/>
      <c r="C51" s="160"/>
      <c r="D51" s="83">
        <f>+B51*'Revenue at Prior Year Rates'!B51</f>
        <v>0</v>
      </c>
      <c r="E51" s="45">
        <f>IFERROR(D51/$D$60,0)</f>
        <v>0</v>
      </c>
      <c r="F51" s="83">
        <f t="shared" ref="F51:F59" si="6">+$F$60*E51</f>
        <v>0</v>
      </c>
    </row>
    <row r="52" spans="1:6" ht="13.15">
      <c r="A52" s="57" t="str">
        <f>'Rates By Rate Class'!A22</f>
        <v>GS Less Than 50 KW</v>
      </c>
      <c r="B52" s="160"/>
      <c r="C52" s="160"/>
      <c r="D52" s="83">
        <f>+B52*'Revenue at Prior Year Rates'!B52</f>
        <v>0</v>
      </c>
      <c r="E52" s="45">
        <f t="shared" ref="E52:E59" si="7">IFERROR(D52/$D$60,0)</f>
        <v>0</v>
      </c>
      <c r="F52" s="83">
        <f t="shared" si="6"/>
        <v>0</v>
      </c>
    </row>
    <row r="53" spans="1:6" ht="13.15">
      <c r="A53" s="57" t="str">
        <f>'Rates By Rate Class'!A23</f>
        <v>GS 50 To 999 KW</v>
      </c>
      <c r="B53" s="160"/>
      <c r="C53" s="160"/>
      <c r="D53" s="83">
        <f>+C53*'Revenue at Prior Year Rates'!C53</f>
        <v>0</v>
      </c>
      <c r="E53" s="45">
        <f t="shared" si="7"/>
        <v>0</v>
      </c>
      <c r="F53" s="83">
        <f t="shared" si="6"/>
        <v>0</v>
      </c>
    </row>
    <row r="54" spans="1:6" ht="13.15">
      <c r="A54" s="57" t="str">
        <f>'Rates By Rate Class'!A24</f>
        <v>GS Intermediate 1,000 To 4,999 KW</v>
      </c>
      <c r="B54" s="160"/>
      <c r="C54" s="160"/>
      <c r="D54" s="83">
        <f>+C54*'Revenue at Prior Year Rates'!C54</f>
        <v>0</v>
      </c>
      <c r="E54" s="45">
        <f t="shared" si="7"/>
        <v>0</v>
      </c>
      <c r="F54" s="83">
        <f t="shared" si="6"/>
        <v>0</v>
      </c>
    </row>
    <row r="55" spans="1:6" ht="13.15">
      <c r="A55" s="57" t="str">
        <f>'Rates By Rate Class'!A25</f>
        <v>Large Use</v>
      </c>
      <c r="B55" s="160"/>
      <c r="C55" s="160"/>
      <c r="D55" s="83">
        <f>+C55*'Revenue at Prior Year Rates'!C55</f>
        <v>0</v>
      </c>
      <c r="E55" s="45">
        <f t="shared" si="7"/>
        <v>0</v>
      </c>
      <c r="F55" s="83">
        <f t="shared" si="6"/>
        <v>0</v>
      </c>
    </row>
    <row r="56" spans="1:6" ht="13.15">
      <c r="A56" s="57" t="str">
        <f>'Rates By Rate Class'!A26</f>
        <v>Street Lighting</v>
      </c>
      <c r="B56" s="160"/>
      <c r="C56" s="160"/>
      <c r="D56" s="83">
        <f>+C56*'Revenue at Prior Year Rates'!C56</f>
        <v>0</v>
      </c>
      <c r="E56" s="45">
        <f t="shared" si="7"/>
        <v>0</v>
      </c>
      <c r="F56" s="83">
        <f t="shared" si="6"/>
        <v>0</v>
      </c>
    </row>
    <row r="57" spans="1:6" ht="13.15">
      <c r="A57" s="57" t="str">
        <f>'Rates By Rate Class'!A27</f>
        <v>Sentinel Lighting</v>
      </c>
      <c r="B57" s="160"/>
      <c r="C57" s="160"/>
      <c r="D57" s="83">
        <f>+C57*'Revenue at Prior Year Rates'!C57</f>
        <v>0</v>
      </c>
      <c r="E57" s="45">
        <f t="shared" si="7"/>
        <v>0</v>
      </c>
      <c r="F57" s="83">
        <f t="shared" si="6"/>
        <v>0</v>
      </c>
    </row>
    <row r="58" spans="1:6" ht="13.15">
      <c r="A58" s="57" t="str">
        <f>'Rates By Rate Class'!A28</f>
        <v>Unmetered Scattered Load</v>
      </c>
      <c r="B58" s="160"/>
      <c r="C58" s="160"/>
      <c r="D58" s="83">
        <f>+C58*'Revenue at Prior Year Rates'!C58</f>
        <v>0</v>
      </c>
      <c r="E58" s="45">
        <f t="shared" si="7"/>
        <v>0</v>
      </c>
      <c r="F58" s="83">
        <f t="shared" si="6"/>
        <v>0</v>
      </c>
    </row>
    <row r="59" spans="1:6" ht="13.15">
      <c r="A59" s="57">
        <f>'Rates By Rate Class'!A29</f>
        <v>0</v>
      </c>
      <c r="B59" s="160"/>
      <c r="C59" s="160"/>
      <c r="D59" s="83">
        <f>+B59*'Revenue at Prior Year Rates'!B59</f>
        <v>0</v>
      </c>
      <c r="E59" s="45">
        <f t="shared" si="7"/>
        <v>0</v>
      </c>
      <c r="F59" s="83">
        <f t="shared" si="6"/>
        <v>0</v>
      </c>
    </row>
    <row r="60" spans="1:6" ht="13.5" thickBot="1">
      <c r="A60" s="66" t="s">
        <v>17</v>
      </c>
      <c r="B60" s="51"/>
      <c r="C60" s="65"/>
      <c r="D60" s="125">
        <f>SUM(D51:D59)</f>
        <v>0</v>
      </c>
      <c r="E60" s="54">
        <f>SUM(E51:E59)</f>
        <v>0</v>
      </c>
      <c r="F60" s="125">
        <f>'Revenue Input'!E13</f>
        <v>0</v>
      </c>
    </row>
    <row r="61" spans="1:6" ht="13.15" thickTop="1"/>
    <row r="63" spans="1:6" ht="20.65">
      <c r="A63" s="642" t="s">
        <v>187</v>
      </c>
      <c r="B63" s="642"/>
      <c r="C63" s="642"/>
      <c r="D63" s="642"/>
      <c r="E63" s="642"/>
      <c r="F63" s="642"/>
    </row>
    <row r="64" spans="1:6" ht="13.15">
      <c r="A64" s="641" t="s">
        <v>0</v>
      </c>
      <c r="B64" s="641" t="s">
        <v>18</v>
      </c>
      <c r="C64" s="641"/>
      <c r="D64" s="643" t="s">
        <v>85</v>
      </c>
      <c r="E64" s="643" t="s">
        <v>19</v>
      </c>
      <c r="F64" s="643" t="s">
        <v>20</v>
      </c>
    </row>
    <row r="65" spans="1:6" ht="13.15">
      <c r="A65" s="641"/>
      <c r="B65" s="151" t="s">
        <v>21</v>
      </c>
      <c r="C65" s="152" t="s">
        <v>22</v>
      </c>
      <c r="D65" s="643"/>
      <c r="E65" s="643"/>
      <c r="F65" s="643"/>
    </row>
    <row r="66" spans="1:6" ht="13.15">
      <c r="A66" s="57" t="str">
        <f>'Rates By Rate Class'!A21</f>
        <v>Residential</v>
      </c>
      <c r="B66" s="160"/>
      <c r="C66" s="160"/>
      <c r="D66" s="83">
        <f>+B66*'Revenue at Prior Year Rates'!B66</f>
        <v>0</v>
      </c>
      <c r="E66" s="45">
        <f>IFERROR(D66/$D$75,0)</f>
        <v>0</v>
      </c>
      <c r="F66" s="83">
        <f t="shared" ref="F66:F74" si="8">+$F$75*E66</f>
        <v>0</v>
      </c>
    </row>
    <row r="67" spans="1:6" ht="13.15">
      <c r="A67" s="57" t="str">
        <f>'Rates By Rate Class'!A22</f>
        <v>GS Less Than 50 KW</v>
      </c>
      <c r="B67" s="160"/>
      <c r="C67" s="160"/>
      <c r="D67" s="83">
        <f>+B67*'Revenue at Prior Year Rates'!B67</f>
        <v>0</v>
      </c>
      <c r="E67" s="45">
        <f t="shared" ref="E67:E74" si="9">IFERROR(D67/$D$75,0)</f>
        <v>0</v>
      </c>
      <c r="F67" s="83">
        <f t="shared" si="8"/>
        <v>0</v>
      </c>
    </row>
    <row r="68" spans="1:6" ht="13.15">
      <c r="A68" s="57" t="str">
        <f>'Rates By Rate Class'!A23</f>
        <v>GS 50 To 999 KW</v>
      </c>
      <c r="B68" s="160"/>
      <c r="C68" s="160"/>
      <c r="D68" s="83">
        <f>+C68*'Revenue at Prior Year Rates'!C68</f>
        <v>0</v>
      </c>
      <c r="E68" s="45">
        <f t="shared" si="9"/>
        <v>0</v>
      </c>
      <c r="F68" s="83">
        <f t="shared" si="8"/>
        <v>0</v>
      </c>
    </row>
    <row r="69" spans="1:6" ht="13.15">
      <c r="A69" s="57" t="str">
        <f>'Rates By Rate Class'!A24</f>
        <v>GS Intermediate 1,000 To 4,999 KW</v>
      </c>
      <c r="B69" s="160"/>
      <c r="C69" s="160"/>
      <c r="D69" s="83">
        <f>+C69*'Revenue at Prior Year Rates'!C69</f>
        <v>0</v>
      </c>
      <c r="E69" s="45">
        <f t="shared" si="9"/>
        <v>0</v>
      </c>
      <c r="F69" s="83">
        <f t="shared" si="8"/>
        <v>0</v>
      </c>
    </row>
    <row r="70" spans="1:6" ht="13.15">
      <c r="A70" s="57" t="str">
        <f>'Rates By Rate Class'!A25</f>
        <v>Large Use</v>
      </c>
      <c r="B70" s="160"/>
      <c r="C70" s="160"/>
      <c r="D70" s="83">
        <f>+C70*'Revenue at Prior Year Rates'!C70</f>
        <v>0</v>
      </c>
      <c r="E70" s="45">
        <f t="shared" si="9"/>
        <v>0</v>
      </c>
      <c r="F70" s="83">
        <f t="shared" si="8"/>
        <v>0</v>
      </c>
    </row>
    <row r="71" spans="1:6" ht="13.15">
      <c r="A71" s="57" t="str">
        <f>'Rates By Rate Class'!A26</f>
        <v>Street Lighting</v>
      </c>
      <c r="B71" s="160"/>
      <c r="C71" s="160"/>
      <c r="D71" s="83">
        <f>+C71*'Revenue at Prior Year Rates'!C71</f>
        <v>0</v>
      </c>
      <c r="E71" s="45">
        <f t="shared" si="9"/>
        <v>0</v>
      </c>
      <c r="F71" s="83">
        <f t="shared" si="8"/>
        <v>0</v>
      </c>
    </row>
    <row r="72" spans="1:6" ht="13.15">
      <c r="A72" s="57" t="str">
        <f>'Rates By Rate Class'!A27</f>
        <v>Sentinel Lighting</v>
      </c>
      <c r="B72" s="160"/>
      <c r="C72" s="160"/>
      <c r="D72" s="83">
        <f>+C72*'Revenue at Prior Year Rates'!C72</f>
        <v>0</v>
      </c>
      <c r="E72" s="45">
        <f t="shared" si="9"/>
        <v>0</v>
      </c>
      <c r="F72" s="83">
        <f t="shared" si="8"/>
        <v>0</v>
      </c>
    </row>
    <row r="73" spans="1:6" ht="13.15">
      <c r="A73" s="57" t="str">
        <f>'Rates By Rate Class'!A28</f>
        <v>Unmetered Scattered Load</v>
      </c>
      <c r="B73" s="160"/>
      <c r="C73" s="160"/>
      <c r="D73" s="83">
        <f>+C73*'Revenue at Prior Year Rates'!C73</f>
        <v>0</v>
      </c>
      <c r="E73" s="45">
        <f t="shared" si="9"/>
        <v>0</v>
      </c>
      <c r="F73" s="83">
        <f t="shared" si="8"/>
        <v>0</v>
      </c>
    </row>
    <row r="74" spans="1:6" ht="13.15">
      <c r="A74" s="57">
        <f>'Rates By Rate Class'!A29</f>
        <v>0</v>
      </c>
      <c r="B74" s="160"/>
      <c r="C74" s="160"/>
      <c r="D74" s="83">
        <f>+B74*'Revenue at Prior Year Rates'!B74</f>
        <v>0</v>
      </c>
      <c r="E74" s="45">
        <f t="shared" si="9"/>
        <v>0</v>
      </c>
      <c r="F74" s="83">
        <f t="shared" si="8"/>
        <v>0</v>
      </c>
    </row>
    <row r="75" spans="1:6" ht="13.5" thickBot="1">
      <c r="A75" s="66" t="s">
        <v>17</v>
      </c>
      <c r="B75" s="51"/>
      <c r="C75" s="65"/>
      <c r="D75" s="125">
        <f>SUM(D66:D74)</f>
        <v>0</v>
      </c>
      <c r="E75" s="54">
        <f>SUM(E66:E74)</f>
        <v>0</v>
      </c>
      <c r="F75" s="125">
        <f>'Revenue Input'!E13</f>
        <v>0</v>
      </c>
    </row>
    <row r="76" spans="1:6" ht="13.15" thickTop="1"/>
  </sheetData>
  <mergeCells count="32">
    <mergeCell ref="A63:F63"/>
    <mergeCell ref="A64:A65"/>
    <mergeCell ref="B64:C64"/>
    <mergeCell ref="D64:D65"/>
    <mergeCell ref="E64:E65"/>
    <mergeCell ref="F64:F65"/>
    <mergeCell ref="A48:F48"/>
    <mergeCell ref="A49:A50"/>
    <mergeCell ref="B49:C49"/>
    <mergeCell ref="D49:D50"/>
    <mergeCell ref="E49:E50"/>
    <mergeCell ref="F49:F50"/>
    <mergeCell ref="A33:F33"/>
    <mergeCell ref="A34:A35"/>
    <mergeCell ref="B34:C34"/>
    <mergeCell ref="D34:D35"/>
    <mergeCell ref="E34:E35"/>
    <mergeCell ref="F34:F35"/>
    <mergeCell ref="A18:F18"/>
    <mergeCell ref="A19:A20"/>
    <mergeCell ref="B19:C19"/>
    <mergeCell ref="D19:D20"/>
    <mergeCell ref="E19:E20"/>
    <mergeCell ref="F19:F20"/>
    <mergeCell ref="B4:C4"/>
    <mergeCell ref="A3:F3"/>
    <mergeCell ref="A1:F1"/>
    <mergeCell ref="A2:F2"/>
    <mergeCell ref="A4:A5"/>
    <mergeCell ref="D4:D5"/>
    <mergeCell ref="E4:E5"/>
    <mergeCell ref="F4:F5"/>
  </mergeCells>
  <phoneticPr fontId="0" type="noConversion"/>
  <pageMargins left="0.75" right="0.75" top="1" bottom="1" header="0.5" footer="0.5"/>
  <pageSetup orientation="landscape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workbookViewId="0">
      <selection activeCell="C10" sqref="C10"/>
    </sheetView>
  </sheetViews>
  <sheetFormatPr defaultRowHeight="12.75"/>
  <cols>
    <col min="1" max="1" width="32.73046875" bestFit="1" customWidth="1"/>
    <col min="2" max="2" width="13.19921875" customWidth="1"/>
    <col min="3" max="3" width="15.73046875" bestFit="1" customWidth="1"/>
    <col min="4" max="4" width="14.265625" bestFit="1" customWidth="1"/>
    <col min="5" max="5" width="10.796875" bestFit="1" customWidth="1"/>
    <col min="6" max="6" width="10.53125" bestFit="1" customWidth="1"/>
    <col min="7" max="7" width="10" bestFit="1" customWidth="1"/>
  </cols>
  <sheetData>
    <row r="1" spans="1:7">
      <c r="A1" s="625" t="str">
        <f>+'Revenue Input'!A1</f>
        <v>Oshawa PUC Networks Inc</v>
      </c>
      <c r="B1" s="625"/>
      <c r="C1" s="625"/>
      <c r="D1" s="625"/>
      <c r="E1" s="625"/>
      <c r="F1" s="625"/>
      <c r="G1" s="625"/>
    </row>
    <row r="2" spans="1:7" ht="6.75" customHeight="1">
      <c r="A2" s="617"/>
      <c r="B2" s="617"/>
      <c r="C2" s="617"/>
      <c r="D2" s="617"/>
      <c r="E2" s="617"/>
      <c r="F2" s="617"/>
      <c r="G2" s="617"/>
    </row>
    <row r="3" spans="1:7" ht="20.65">
      <c r="A3" s="645" t="s">
        <v>196</v>
      </c>
      <c r="B3" s="645"/>
      <c r="C3" s="645"/>
      <c r="D3" s="645"/>
      <c r="E3" s="645"/>
      <c r="F3" s="645"/>
      <c r="G3" s="645"/>
    </row>
    <row r="4" spans="1:7" ht="8.25" customHeight="1">
      <c r="A4" s="644"/>
      <c r="B4" s="644"/>
      <c r="C4" s="644"/>
      <c r="D4" s="644"/>
      <c r="E4" s="644"/>
      <c r="F4" s="644"/>
      <c r="G4" s="644"/>
    </row>
    <row r="5" spans="1:7" ht="26.25">
      <c r="A5" s="153" t="s">
        <v>0</v>
      </c>
      <c r="B5" s="138" t="s">
        <v>54</v>
      </c>
      <c r="C5" s="138" t="s">
        <v>12</v>
      </c>
      <c r="D5" s="138" t="s">
        <v>13</v>
      </c>
      <c r="E5" s="138" t="s">
        <v>14</v>
      </c>
      <c r="F5" s="138" t="s">
        <v>52</v>
      </c>
      <c r="G5" s="138" t="s">
        <v>53</v>
      </c>
    </row>
    <row r="6" spans="1:7" ht="18" customHeight="1">
      <c r="A6" s="57" t="str">
        <f>'Allocation Low Voltage Costs'!A6</f>
        <v>Residential</v>
      </c>
      <c r="B6" s="83">
        <f>+'Allocation Low Voltage Costs'!F6</f>
        <v>0</v>
      </c>
      <c r="C6" s="83">
        <f>+'Revenue at Prior Year Rates'!B6</f>
        <v>488310441.84458584</v>
      </c>
      <c r="D6" s="83"/>
      <c r="E6" s="68" t="s">
        <v>15</v>
      </c>
      <c r="F6" s="128">
        <f>+B6/C6</f>
        <v>0</v>
      </c>
      <c r="G6" s="128"/>
    </row>
    <row r="7" spans="1:7" ht="18" customHeight="1">
      <c r="A7" s="57" t="str">
        <f>'Allocation Low Voltage Costs'!A7</f>
        <v>GS Less Than 50 KW</v>
      </c>
      <c r="B7" s="83">
        <f>+'Allocation Low Voltage Costs'!F7</f>
        <v>0</v>
      </c>
      <c r="C7" s="83">
        <f>+'Revenue at Prior Year Rates'!B7</f>
        <v>134064266.11914393</v>
      </c>
      <c r="D7" s="83"/>
      <c r="E7" s="68" t="s">
        <v>15</v>
      </c>
      <c r="F7" s="128">
        <f>+B7/C7</f>
        <v>0</v>
      </c>
      <c r="G7" s="128"/>
    </row>
    <row r="8" spans="1:7" ht="18" customHeight="1">
      <c r="A8" s="57" t="str">
        <f>'Allocation Low Voltage Costs'!A8</f>
        <v>GS 50 To 999 KW</v>
      </c>
      <c r="B8" s="83">
        <f>+'Allocation Low Voltage Costs'!F8</f>
        <v>0</v>
      </c>
      <c r="C8" s="83">
        <f>+'Revenue at Prior Year Rates'!B8</f>
        <v>337307808.8671304</v>
      </c>
      <c r="D8" s="83">
        <f>+'Revenue at Prior Year Rates'!C8</f>
        <v>851954.05092458322</v>
      </c>
      <c r="E8" s="68" t="s">
        <v>16</v>
      </c>
      <c r="F8" s="128"/>
      <c r="G8" s="128">
        <f t="shared" ref="G8:G12" si="0">+B8/D8</f>
        <v>0</v>
      </c>
    </row>
    <row r="9" spans="1:7" ht="18" customHeight="1">
      <c r="A9" s="57" t="str">
        <f>'Allocation Low Voltage Costs'!A9</f>
        <v>GS Intermediate 1,000 To 4,999 KW</v>
      </c>
      <c r="B9" s="83">
        <f>+'Allocation Low Voltage Costs'!F9</f>
        <v>0</v>
      </c>
      <c r="C9" s="83">
        <f>+'Revenue at Prior Year Rates'!B9</f>
        <v>88420452.222880453</v>
      </c>
      <c r="D9" s="83">
        <f>+'Revenue at Prior Year Rates'!C9</f>
        <v>195333.21024632914</v>
      </c>
      <c r="E9" s="68" t="s">
        <v>16</v>
      </c>
      <c r="F9" s="128"/>
      <c r="G9" s="128">
        <f t="shared" si="0"/>
        <v>0</v>
      </c>
    </row>
    <row r="10" spans="1:7" ht="18" customHeight="1">
      <c r="A10" s="57" t="str">
        <f>'Allocation Low Voltage Costs'!A10</f>
        <v>Large Use</v>
      </c>
      <c r="B10" s="83">
        <f>+'Allocation Low Voltage Costs'!F10</f>
        <v>0</v>
      </c>
      <c r="C10" s="83">
        <f>+'Revenue at Prior Year Rates'!B10</f>
        <v>42639586.096446052</v>
      </c>
      <c r="D10" s="83">
        <f>+'Revenue at Prior Year Rates'!C10</f>
        <v>96450.280123117438</v>
      </c>
      <c r="E10" s="68" t="s">
        <v>16</v>
      </c>
      <c r="F10" s="128"/>
      <c r="G10" s="128">
        <f t="shared" si="0"/>
        <v>0</v>
      </c>
    </row>
    <row r="11" spans="1:7" ht="18" customHeight="1">
      <c r="A11" s="57" t="str">
        <f>'Allocation Low Voltage Costs'!A11</f>
        <v>Street Lighting</v>
      </c>
      <c r="B11" s="83">
        <f>+'Allocation Low Voltage Costs'!F11</f>
        <v>0</v>
      </c>
      <c r="C11" s="83">
        <f>+'Revenue at Prior Year Rates'!B11</f>
        <v>8578851.707184026</v>
      </c>
      <c r="D11" s="83">
        <f>+'Revenue at Prior Year Rates'!C11</f>
        <v>23911.673714127413</v>
      </c>
      <c r="E11" s="68" t="s">
        <v>16</v>
      </c>
      <c r="F11" s="128"/>
      <c r="G11" s="128">
        <f t="shared" si="0"/>
        <v>0</v>
      </c>
    </row>
    <row r="12" spans="1:7" ht="18" customHeight="1">
      <c r="A12" s="57" t="str">
        <f>'Allocation Low Voltage Costs'!A12</f>
        <v>Sentinel Lighting</v>
      </c>
      <c r="B12" s="83">
        <f>+'Allocation Low Voltage Costs'!F12</f>
        <v>0</v>
      </c>
      <c r="C12" s="83">
        <f>+'Revenue at Prior Year Rates'!B12</f>
        <v>34297.182591568067</v>
      </c>
      <c r="D12" s="83">
        <f>+'Revenue at Prior Year Rates'!C12</f>
        <v>100.15889621450508</v>
      </c>
      <c r="E12" s="68" t="s">
        <v>16</v>
      </c>
      <c r="F12" s="128"/>
      <c r="G12" s="128">
        <f t="shared" si="0"/>
        <v>0</v>
      </c>
    </row>
    <row r="13" spans="1:7" ht="18" customHeight="1">
      <c r="A13" s="57" t="str">
        <f>'Allocation Low Voltage Costs'!A13</f>
        <v>Unmetered Scattered Load</v>
      </c>
      <c r="B13" s="83">
        <f>+'Allocation Low Voltage Costs'!F13</f>
        <v>0</v>
      </c>
      <c r="C13" s="83">
        <f>+'Revenue at Prior Year Rates'!B13</f>
        <v>2686537.3140891874</v>
      </c>
      <c r="D13" s="83">
        <f>+'Revenue at Prior Year Rates'!C13</f>
        <v>0</v>
      </c>
      <c r="E13" s="68" t="s">
        <v>15</v>
      </c>
      <c r="F13" s="128">
        <f>+B13/C13</f>
        <v>0</v>
      </c>
      <c r="G13" s="128"/>
    </row>
    <row r="14" spans="1:7" ht="21" customHeight="1">
      <c r="A14" s="57"/>
      <c r="B14" s="83"/>
      <c r="C14" s="83"/>
      <c r="D14" s="83"/>
      <c r="E14" s="68"/>
      <c r="F14" s="128"/>
      <c r="G14" s="128"/>
    </row>
    <row r="15" spans="1:7" ht="18" customHeight="1" thickBot="1">
      <c r="A15" s="62" t="s">
        <v>17</v>
      </c>
      <c r="B15" s="126">
        <f>SUM(B6:B14)</f>
        <v>0</v>
      </c>
      <c r="C15" s="126">
        <f>SUM(C6:C14)</f>
        <v>1102042241.3540518</v>
      </c>
      <c r="D15" s="127">
        <f>SUM(D6:D14)</f>
        <v>1167749.3739043716</v>
      </c>
      <c r="E15" s="67"/>
      <c r="F15" s="129"/>
      <c r="G15" s="130"/>
    </row>
    <row r="16" spans="1:7" ht="13.15" thickTop="1"/>
    <row r="17" spans="1:7" ht="20.65">
      <c r="A17" s="645" t="s">
        <v>197</v>
      </c>
      <c r="B17" s="645"/>
      <c r="C17" s="645"/>
      <c r="D17" s="645"/>
      <c r="E17" s="645"/>
      <c r="F17" s="645"/>
      <c r="G17" s="645"/>
    </row>
    <row r="18" spans="1:7" ht="15">
      <c r="A18" s="644"/>
      <c r="B18" s="644"/>
      <c r="C18" s="644"/>
      <c r="D18" s="644"/>
      <c r="E18" s="644"/>
      <c r="F18" s="644"/>
      <c r="G18" s="644"/>
    </row>
    <row r="19" spans="1:7" ht="26.25">
      <c r="A19" s="170" t="s">
        <v>0</v>
      </c>
      <c r="B19" s="166" t="s">
        <v>54</v>
      </c>
      <c r="C19" s="166" t="s">
        <v>12</v>
      </c>
      <c r="D19" s="166" t="s">
        <v>13</v>
      </c>
      <c r="E19" s="166" t="s">
        <v>14</v>
      </c>
      <c r="F19" s="166" t="s">
        <v>52</v>
      </c>
      <c r="G19" s="166" t="s">
        <v>53</v>
      </c>
    </row>
    <row r="20" spans="1:7" ht="13.15">
      <c r="A20" s="57" t="str">
        <f>'Allocation Low Voltage Costs'!A6</f>
        <v>Residential</v>
      </c>
      <c r="B20" s="83">
        <f>+'Allocation Low Voltage Costs'!F21</f>
        <v>0</v>
      </c>
      <c r="C20" s="83">
        <f>+'Revenue at Prior Year Rates'!B21</f>
        <v>491380160.90018409</v>
      </c>
      <c r="D20" s="83"/>
      <c r="E20" s="68" t="s">
        <v>15</v>
      </c>
      <c r="F20" s="128">
        <f>+B20/C20</f>
        <v>0</v>
      </c>
      <c r="G20" s="128"/>
    </row>
    <row r="21" spans="1:7" ht="13.15">
      <c r="A21" s="57" t="str">
        <f>'Allocation Low Voltage Costs'!A7</f>
        <v>GS Less Than 50 KW</v>
      </c>
      <c r="B21" s="83">
        <f>+'Allocation Low Voltage Costs'!F22</f>
        <v>0</v>
      </c>
      <c r="C21" s="83">
        <f>+'Revenue at Prior Year Rates'!B22</f>
        <v>134854491.64774501</v>
      </c>
      <c r="D21" s="83"/>
      <c r="E21" s="68" t="s">
        <v>15</v>
      </c>
      <c r="F21" s="128">
        <f>+B21/C21</f>
        <v>0</v>
      </c>
      <c r="G21" s="128"/>
    </row>
    <row r="22" spans="1:7" ht="13.15">
      <c r="A22" s="57" t="str">
        <f>'Allocation Low Voltage Costs'!A8</f>
        <v>GS 50 To 999 KW</v>
      </c>
      <c r="B22" s="83">
        <f>+'Allocation Low Voltage Costs'!F23</f>
        <v>0</v>
      </c>
      <c r="C22" s="83">
        <f>+'Revenue at Prior Year Rates'!B23</f>
        <v>340651147.74867117</v>
      </c>
      <c r="D22" s="83">
        <f>+'Revenue at Prior Year Rates'!C23</f>
        <v>860398.47773257422</v>
      </c>
      <c r="E22" s="68" t="s">
        <v>16</v>
      </c>
      <c r="F22" s="128"/>
      <c r="G22" s="128">
        <f t="shared" ref="G22:G26" si="1">+B22/D22</f>
        <v>0</v>
      </c>
    </row>
    <row r="23" spans="1:7" ht="13.15">
      <c r="A23" s="57" t="str">
        <f>'Allocation Low Voltage Costs'!A9</f>
        <v>GS Intermediate 1,000 To 4,999 KW</v>
      </c>
      <c r="B23" s="83">
        <f>+'Allocation Low Voltage Costs'!F24</f>
        <v>0</v>
      </c>
      <c r="C23" s="83">
        <f>+'Revenue at Prior Year Rates'!B24</f>
        <v>88120101.619900286</v>
      </c>
      <c r="D23" s="83">
        <f>+'Revenue at Prior Year Rates'!C24</f>
        <v>194669.69353718983</v>
      </c>
      <c r="E23" s="68" t="s">
        <v>16</v>
      </c>
      <c r="F23" s="128"/>
      <c r="G23" s="128">
        <f t="shared" si="1"/>
        <v>0</v>
      </c>
    </row>
    <row r="24" spans="1:7" ht="13.15">
      <c r="A24" s="57" t="str">
        <f>'Allocation Low Voltage Costs'!A10</f>
        <v>Large Use</v>
      </c>
      <c r="B24" s="83">
        <f>+'Allocation Low Voltage Costs'!F25</f>
        <v>0</v>
      </c>
      <c r="C24" s="83">
        <f>+'Revenue at Prior Year Rates'!B25</f>
        <v>42660606.445226006</v>
      </c>
      <c r="D24" s="83">
        <f>+'Revenue at Prior Year Rates'!C25</f>
        <v>96497.827923500081</v>
      </c>
      <c r="E24" s="68" t="s">
        <v>16</v>
      </c>
      <c r="F24" s="128"/>
      <c r="G24" s="128">
        <f t="shared" si="1"/>
        <v>0</v>
      </c>
    </row>
    <row r="25" spans="1:7" ht="13.15">
      <c r="A25" s="57" t="str">
        <f>'Allocation Low Voltage Costs'!A11</f>
        <v>Street Lighting</v>
      </c>
      <c r="B25" s="83">
        <f>+'Allocation Low Voltage Costs'!F26</f>
        <v>0</v>
      </c>
      <c r="C25" s="83">
        <f>+'Revenue at Prior Year Rates'!B26</f>
        <v>5237833.7421617098</v>
      </c>
      <c r="D25" s="83">
        <f>+'Revenue at Prior Year Rates'!C26</f>
        <v>14599.316515348542</v>
      </c>
      <c r="E25" s="68" t="s">
        <v>16</v>
      </c>
      <c r="F25" s="128"/>
      <c r="G25" s="128">
        <f t="shared" si="1"/>
        <v>0</v>
      </c>
    </row>
    <row r="26" spans="1:7" ht="13.15">
      <c r="A26" s="57" t="str">
        <f>'Allocation Low Voltage Costs'!A12</f>
        <v>Sentinel Lighting</v>
      </c>
      <c r="B26" s="83">
        <f>+'Allocation Low Voltage Costs'!F27</f>
        <v>0</v>
      </c>
      <c r="C26" s="83">
        <f>+'Revenue at Prior Year Rates'!B27</f>
        <v>32909.529916775595</v>
      </c>
      <c r="D26" s="83">
        <f>+'Revenue at Prior Year Rates'!C27</f>
        <v>96.106500369299738</v>
      </c>
      <c r="E26" s="68" t="s">
        <v>16</v>
      </c>
      <c r="F26" s="128"/>
      <c r="G26" s="128">
        <f t="shared" si="1"/>
        <v>0</v>
      </c>
    </row>
    <row r="27" spans="1:7" ht="13.15">
      <c r="A27" s="57" t="str">
        <f>'Allocation Low Voltage Costs'!A13</f>
        <v>Unmetered Scattered Load</v>
      </c>
      <c r="B27" s="83">
        <f>+'Allocation Low Voltage Costs'!F28</f>
        <v>0</v>
      </c>
      <c r="C27" s="83">
        <f>+'Revenue at Prior Year Rates'!B28</f>
        <v>2667193.4637021297</v>
      </c>
      <c r="D27" s="83">
        <f>+'Revenue at Prior Year Rates'!C28</f>
        <v>0</v>
      </c>
      <c r="E27" s="68" t="s">
        <v>15</v>
      </c>
      <c r="F27" s="128">
        <f>+B27/C27</f>
        <v>0</v>
      </c>
      <c r="G27" s="128"/>
    </row>
    <row r="28" spans="1:7" ht="13.15">
      <c r="A28" s="57">
        <f>'Allocation Low Voltage Costs'!A14</f>
        <v>0</v>
      </c>
      <c r="B28" s="83">
        <f>+'Allocation Low Voltage Costs'!F29</f>
        <v>0</v>
      </c>
      <c r="C28" s="83">
        <f>+'Revenue at Prior Year Rates'!B29</f>
        <v>0</v>
      </c>
      <c r="D28" s="83"/>
      <c r="E28" s="68"/>
      <c r="F28" s="128"/>
      <c r="G28" s="128"/>
    </row>
    <row r="29" spans="1:7" ht="13.5" thickBot="1">
      <c r="A29" s="62" t="s">
        <v>17</v>
      </c>
      <c r="B29" s="126">
        <f>SUM(B20:B28)</f>
        <v>0</v>
      </c>
      <c r="C29" s="126">
        <f>SUM(C20:C28)</f>
        <v>1105604445.0975072</v>
      </c>
      <c r="D29" s="127">
        <f>SUM(D20:D28)</f>
        <v>1166261.4222089818</v>
      </c>
      <c r="E29" s="67"/>
      <c r="F29" s="129"/>
      <c r="G29" s="130"/>
    </row>
    <row r="30" spans="1:7" ht="13.15" thickTop="1"/>
    <row r="31" spans="1:7" ht="20.65">
      <c r="A31" s="645" t="s">
        <v>198</v>
      </c>
      <c r="B31" s="645"/>
      <c r="C31" s="645"/>
      <c r="D31" s="645"/>
      <c r="E31" s="645"/>
      <c r="F31" s="645"/>
      <c r="G31" s="645"/>
    </row>
    <row r="32" spans="1:7" ht="15">
      <c r="A32" s="644"/>
      <c r="B32" s="644"/>
      <c r="C32" s="644"/>
      <c r="D32" s="644"/>
      <c r="E32" s="644"/>
      <c r="F32" s="644"/>
      <c r="G32" s="644"/>
    </row>
    <row r="33" spans="1:7" ht="26.25">
      <c r="A33" s="170" t="s">
        <v>0</v>
      </c>
      <c r="B33" s="166" t="s">
        <v>54</v>
      </c>
      <c r="C33" s="166" t="s">
        <v>12</v>
      </c>
      <c r="D33" s="166" t="s">
        <v>13</v>
      </c>
      <c r="E33" s="166" t="s">
        <v>14</v>
      </c>
      <c r="F33" s="166" t="s">
        <v>52</v>
      </c>
      <c r="G33" s="166" t="s">
        <v>53</v>
      </c>
    </row>
    <row r="34" spans="1:7" ht="13.15">
      <c r="A34" s="57" t="str">
        <f>'Allocation Low Voltage Costs'!A6</f>
        <v>Residential</v>
      </c>
      <c r="B34" s="83">
        <f>+'Allocation Low Voltage Costs'!F36</f>
        <v>0</v>
      </c>
      <c r="C34" s="83">
        <f>+'Revenue at Prior Year Rates'!B36</f>
        <v>492297000.53160763</v>
      </c>
      <c r="D34" s="83"/>
      <c r="E34" s="68" t="s">
        <v>15</v>
      </c>
      <c r="F34" s="128">
        <f>+B34/C34</f>
        <v>0</v>
      </c>
      <c r="G34" s="128"/>
    </row>
    <row r="35" spans="1:7" ht="13.15">
      <c r="A35" s="57" t="str">
        <f>'Allocation Low Voltage Costs'!A7</f>
        <v>GS Less Than 50 KW</v>
      </c>
      <c r="B35" s="83">
        <f>+'Allocation Low Voltage Costs'!F37</f>
        <v>0</v>
      </c>
      <c r="C35" s="83">
        <f>+'Revenue at Prior Year Rates'!B37</f>
        <v>135063742.04659477</v>
      </c>
      <c r="D35" s="83"/>
      <c r="E35" s="68" t="s">
        <v>15</v>
      </c>
      <c r="F35" s="128">
        <f>+B35/C35</f>
        <v>0</v>
      </c>
      <c r="G35" s="128"/>
    </row>
    <row r="36" spans="1:7" ht="13.15">
      <c r="A36" s="57" t="str">
        <f>'Allocation Low Voltage Costs'!A8</f>
        <v>GS 50 To 999 KW</v>
      </c>
      <c r="B36" s="83">
        <f>+'Allocation Low Voltage Costs'!F38</f>
        <v>0</v>
      </c>
      <c r="C36" s="83">
        <f>+'Revenue at Prior Year Rates'!B38</f>
        <v>342688526.37423319</v>
      </c>
      <c r="D36" s="83">
        <f>+'Revenue at Prior Year Rates'!C38</f>
        <v>865544.379866131</v>
      </c>
      <c r="E36" s="68" t="s">
        <v>16</v>
      </c>
      <c r="F36" s="128"/>
      <c r="G36" s="128">
        <f t="shared" ref="G36:G40" si="2">+B36/D36</f>
        <v>0</v>
      </c>
    </row>
    <row r="37" spans="1:7" ht="13.15">
      <c r="A37" s="57" t="str">
        <f>'Allocation Low Voltage Costs'!A9</f>
        <v>GS Intermediate 1,000 To 4,999 KW</v>
      </c>
      <c r="B37" s="83">
        <f>+'Allocation Low Voltage Costs'!F39</f>
        <v>0</v>
      </c>
      <c r="C37" s="83">
        <f>+'Revenue at Prior Year Rates'!B39</f>
        <v>87493646.788693547</v>
      </c>
      <c r="D37" s="83">
        <f>+'Revenue at Prior Year Rates'!C39</f>
        <v>193285.76673996553</v>
      </c>
      <c r="E37" s="68" t="s">
        <v>16</v>
      </c>
      <c r="F37" s="128"/>
      <c r="G37" s="128">
        <f t="shared" si="2"/>
        <v>0</v>
      </c>
    </row>
    <row r="38" spans="1:7" ht="13.15">
      <c r="A38" s="57" t="str">
        <f>'Allocation Low Voltage Costs'!A10</f>
        <v>Large Use</v>
      </c>
      <c r="B38" s="83">
        <f>+'Allocation Low Voltage Costs'!F40</f>
        <v>0</v>
      </c>
      <c r="C38" s="83">
        <f>+'Revenue at Prior Year Rates'!B40</f>
        <v>42752494.396360196</v>
      </c>
      <c r="D38" s="83">
        <f>+'Revenue at Prior Year Rates'!C40</f>
        <v>96705.677469853224</v>
      </c>
      <c r="E38" s="68" t="s">
        <v>16</v>
      </c>
      <c r="F38" s="128"/>
      <c r="G38" s="128">
        <f t="shared" si="2"/>
        <v>0</v>
      </c>
    </row>
    <row r="39" spans="1:7" ht="13.15">
      <c r="A39" s="57" t="str">
        <f>'Allocation Low Voltage Costs'!A11</f>
        <v>Street Lighting</v>
      </c>
      <c r="B39" s="83">
        <f>+'Allocation Low Voltage Costs'!F41</f>
        <v>0</v>
      </c>
      <c r="C39" s="83">
        <f>+'Revenue at Prior Year Rates'!B41</f>
        <v>4853625.207928787</v>
      </c>
      <c r="D39" s="83">
        <f>+'Revenue at Prior Year Rates'!C41</f>
        <v>13528.419217862043</v>
      </c>
      <c r="E39" s="68" t="s">
        <v>16</v>
      </c>
      <c r="F39" s="128"/>
      <c r="G39" s="128">
        <f t="shared" si="2"/>
        <v>0</v>
      </c>
    </row>
    <row r="40" spans="1:7" ht="13.15">
      <c r="A40" s="57" t="str">
        <f>'Allocation Low Voltage Costs'!A12</f>
        <v>Sentinel Lighting</v>
      </c>
      <c r="B40" s="83">
        <f>+'Allocation Low Voltage Costs'!F42</f>
        <v>0</v>
      </c>
      <c r="C40" s="83">
        <f>+'Revenue at Prior Year Rates'!B42</f>
        <v>31630.444959402575</v>
      </c>
      <c r="D40" s="83">
        <f>+'Revenue at Prior Year Rates'!C42</f>
        <v>92.371157468960305</v>
      </c>
      <c r="E40" s="68" t="s">
        <v>16</v>
      </c>
      <c r="F40" s="128"/>
      <c r="G40" s="128">
        <f t="shared" si="2"/>
        <v>0</v>
      </c>
    </row>
    <row r="41" spans="1:7" ht="13.15">
      <c r="A41" s="57" t="str">
        <f>'Allocation Low Voltage Costs'!A13</f>
        <v>Unmetered Scattered Load</v>
      </c>
      <c r="B41" s="83">
        <f>+'Allocation Low Voltage Costs'!F43</f>
        <v>0</v>
      </c>
      <c r="C41" s="83">
        <f>+'Revenue at Prior Year Rates'!B43</f>
        <v>2652384.9112346303</v>
      </c>
      <c r="D41" s="83">
        <f>+'Revenue at Prior Year Rates'!C43</f>
        <v>0</v>
      </c>
      <c r="E41" s="68" t="s">
        <v>15</v>
      </c>
      <c r="F41" s="128">
        <f>+B41/C41</f>
        <v>0</v>
      </c>
      <c r="G41" s="128"/>
    </row>
    <row r="42" spans="1:7" ht="13.15">
      <c r="A42" s="57">
        <f>'Allocation Low Voltage Costs'!A14</f>
        <v>0</v>
      </c>
      <c r="B42" s="83">
        <f>+'Allocation Low Voltage Costs'!F44</f>
        <v>0</v>
      </c>
      <c r="C42" s="83">
        <f>+'Revenue at Prior Year Rates'!B44</f>
        <v>0</v>
      </c>
      <c r="D42" s="83"/>
      <c r="E42" s="68"/>
      <c r="F42" s="128"/>
      <c r="G42" s="128"/>
    </row>
    <row r="43" spans="1:7" ht="13.5" thickBot="1">
      <c r="A43" s="62" t="s">
        <v>17</v>
      </c>
      <c r="B43" s="126">
        <f>SUM(B34:B42)</f>
        <v>0</v>
      </c>
      <c r="C43" s="126">
        <f>SUM(C34:C42)</f>
        <v>1107833050.7016122</v>
      </c>
      <c r="D43" s="127">
        <f>SUM(D34:D42)</f>
        <v>1169156.6144512808</v>
      </c>
      <c r="E43" s="67"/>
      <c r="F43" s="129"/>
      <c r="G43" s="130"/>
    </row>
    <row r="44" spans="1:7" ht="13.15" thickTop="1"/>
    <row r="45" spans="1:7" ht="20.65">
      <c r="A45" s="645" t="s">
        <v>199</v>
      </c>
      <c r="B45" s="645"/>
      <c r="C45" s="645"/>
      <c r="D45" s="645"/>
      <c r="E45" s="645"/>
      <c r="F45" s="645"/>
      <c r="G45" s="645"/>
    </row>
    <row r="46" spans="1:7" ht="15">
      <c r="A46" s="644"/>
      <c r="B46" s="644"/>
      <c r="C46" s="644"/>
      <c r="D46" s="644"/>
      <c r="E46" s="644"/>
      <c r="F46" s="644"/>
      <c r="G46" s="644"/>
    </row>
    <row r="47" spans="1:7" ht="26.25">
      <c r="A47" s="174" t="s">
        <v>0</v>
      </c>
      <c r="B47" s="178" t="s">
        <v>54</v>
      </c>
      <c r="C47" s="178" t="s">
        <v>12</v>
      </c>
      <c r="D47" s="178" t="s">
        <v>13</v>
      </c>
      <c r="E47" s="178" t="s">
        <v>14</v>
      </c>
      <c r="F47" s="178" t="s">
        <v>52</v>
      </c>
      <c r="G47" s="178" t="s">
        <v>53</v>
      </c>
    </row>
    <row r="48" spans="1:7" ht="13.15">
      <c r="A48" s="57" t="str">
        <f>'Allocation Low Voltage Costs'!A6</f>
        <v>Residential</v>
      </c>
      <c r="B48" s="83">
        <f>+'Allocation Low Voltage Costs'!F51</f>
        <v>0</v>
      </c>
      <c r="C48" s="83">
        <f>+'Revenue at Prior Year Rates'!B51</f>
        <v>480011939.38473219</v>
      </c>
      <c r="D48" s="83"/>
      <c r="E48" s="68" t="s">
        <v>15</v>
      </c>
      <c r="F48" s="128">
        <f>+B48/C48</f>
        <v>0</v>
      </c>
      <c r="G48" s="128"/>
    </row>
    <row r="49" spans="1:7" ht="13.15">
      <c r="A49" s="57" t="str">
        <f>'Allocation Low Voltage Costs'!A7</f>
        <v>GS Less Than 50 KW</v>
      </c>
      <c r="B49" s="83">
        <f>+'Allocation Low Voltage Costs'!F52</f>
        <v>0</v>
      </c>
      <c r="C49" s="83">
        <f>+'Revenue at Prior Year Rates'!B52</f>
        <v>129585178.21250525</v>
      </c>
      <c r="D49" s="83"/>
      <c r="E49" s="68" t="s">
        <v>15</v>
      </c>
      <c r="F49" s="128">
        <f>+B49/C49</f>
        <v>0</v>
      </c>
      <c r="G49" s="128"/>
    </row>
    <row r="50" spans="1:7" ht="13.15">
      <c r="A50" s="57" t="str">
        <f>'Allocation Low Voltage Costs'!A8</f>
        <v>GS 50 To 999 KW</v>
      </c>
      <c r="B50" s="83">
        <f>+'Allocation Low Voltage Costs'!F53</f>
        <v>0</v>
      </c>
      <c r="C50" s="83">
        <f>+'Revenue at Prior Year Rates'!B53</f>
        <v>329595262.30701321</v>
      </c>
      <c r="D50" s="83">
        <f>+'Revenue at Prior Year Rates'!C53</f>
        <v>834069.22595941229</v>
      </c>
      <c r="E50" s="68" t="s">
        <v>16</v>
      </c>
      <c r="F50" s="128"/>
      <c r="G50" s="128">
        <f t="shared" ref="G50:G54" si="3">+B50/D50</f>
        <v>0</v>
      </c>
    </row>
    <row r="51" spans="1:7" ht="13.15">
      <c r="A51" s="57" t="str">
        <f>'Allocation Low Voltage Costs'!A9</f>
        <v>GS Intermediate 1,000 To 4,999 KW</v>
      </c>
      <c r="B51" s="83">
        <f>+'Allocation Low Voltage Costs'!F54</f>
        <v>0</v>
      </c>
      <c r="C51" s="83">
        <f>+'Revenue at Prior Year Rates'!B54</f>
        <v>75038332.350385889</v>
      </c>
      <c r="D51" s="83">
        <f>+'Revenue at Prior Year Rates'!C54</f>
        <v>167714.00346680533</v>
      </c>
      <c r="E51" s="68" t="s">
        <v>16</v>
      </c>
      <c r="F51" s="128"/>
      <c r="G51" s="128">
        <f t="shared" si="3"/>
        <v>0</v>
      </c>
    </row>
    <row r="52" spans="1:7" ht="13.15">
      <c r="A52" s="57" t="str">
        <f>'Allocation Low Voltage Costs'!A10</f>
        <v>Large Use</v>
      </c>
      <c r="B52" s="83">
        <f>+'Allocation Low Voltage Costs'!F55</f>
        <v>0</v>
      </c>
      <c r="C52" s="83">
        <f>+'Revenue at Prior Year Rates'!B55</f>
        <v>39807306.868036307</v>
      </c>
      <c r="D52" s="83">
        <f>+'Revenue at Prior Year Rates'!C55</f>
        <v>90488.372107827323</v>
      </c>
      <c r="E52" s="68" t="s">
        <v>16</v>
      </c>
      <c r="F52" s="128"/>
      <c r="G52" s="128">
        <f t="shared" si="3"/>
        <v>0</v>
      </c>
    </row>
    <row r="53" spans="1:7" ht="13.15">
      <c r="A53" s="57" t="str">
        <f>'Allocation Low Voltage Costs'!A11</f>
        <v>Street Lighting</v>
      </c>
      <c r="B53" s="83">
        <f>+'Allocation Low Voltage Costs'!F56</f>
        <v>0</v>
      </c>
      <c r="C53" s="83">
        <f>+'Revenue at Prior Year Rates'!B56</f>
        <v>4912438.1569634676</v>
      </c>
      <c r="D53" s="83">
        <f>+'Revenue at Prior Year Rates'!C56</f>
        <v>13345.422407816242</v>
      </c>
      <c r="E53" s="68" t="s">
        <v>16</v>
      </c>
      <c r="F53" s="128"/>
      <c r="G53" s="128">
        <f t="shared" si="3"/>
        <v>0</v>
      </c>
    </row>
    <row r="54" spans="1:7" ht="13.15">
      <c r="A54" s="57" t="str">
        <f>'Allocation Low Voltage Costs'!A12</f>
        <v>Sentinel Lighting</v>
      </c>
      <c r="B54" s="83">
        <f>+'Allocation Low Voltage Costs'!F57</f>
        <v>0</v>
      </c>
      <c r="C54" s="83">
        <f>+'Revenue at Prior Year Rates'!B57</f>
        <v>33345.033034021741</v>
      </c>
      <c r="D54" s="83">
        <f>+'Revenue at Prior Year Rates'!C57</f>
        <v>96.768186330400098</v>
      </c>
      <c r="E54" s="68" t="s">
        <v>16</v>
      </c>
      <c r="F54" s="128"/>
      <c r="G54" s="128">
        <f t="shared" si="3"/>
        <v>0</v>
      </c>
    </row>
    <row r="55" spans="1:7" ht="13.15">
      <c r="A55" s="57" t="str">
        <f>'Allocation Low Voltage Costs'!A13</f>
        <v>Unmetered Scattered Load</v>
      </c>
      <c r="B55" s="83">
        <f>+'Allocation Low Voltage Costs'!F58</f>
        <v>0</v>
      </c>
      <c r="C55" s="83">
        <f>+'Revenue at Prior Year Rates'!B58</f>
        <v>2612658.5895418967</v>
      </c>
      <c r="D55" s="83">
        <f>+'Revenue at Prior Year Rates'!C58</f>
        <v>0</v>
      </c>
      <c r="E55" s="68" t="s">
        <v>15</v>
      </c>
      <c r="F55" s="128">
        <f>+B55/C55</f>
        <v>0</v>
      </c>
      <c r="G55" s="128"/>
    </row>
    <row r="56" spans="1:7" ht="13.15">
      <c r="A56" s="57">
        <f>'Allocation Low Voltage Costs'!A14</f>
        <v>0</v>
      </c>
      <c r="B56" s="83">
        <f>+'Allocation Low Voltage Costs'!F59</f>
        <v>0</v>
      </c>
      <c r="C56" s="83">
        <f>+'Revenue at Prior Year Rates'!B59</f>
        <v>0</v>
      </c>
      <c r="D56" s="83"/>
      <c r="E56" s="68"/>
      <c r="F56" s="128"/>
      <c r="G56" s="128"/>
    </row>
    <row r="57" spans="1:7" ht="13.5" thickBot="1">
      <c r="A57" s="62" t="s">
        <v>17</v>
      </c>
      <c r="B57" s="126">
        <f>SUM(B48:B56)</f>
        <v>0</v>
      </c>
      <c r="C57" s="126">
        <f>SUM(C48:C56)</f>
        <v>1061596460.9022121</v>
      </c>
      <c r="D57" s="127">
        <f>SUM(D48:D56)</f>
        <v>1105713.7921281913</v>
      </c>
      <c r="E57" s="67"/>
      <c r="F57" s="129"/>
      <c r="G57" s="130"/>
    </row>
    <row r="58" spans="1:7" ht="13.15" thickTop="1"/>
    <row r="59" spans="1:7" ht="20.65">
      <c r="A59" s="645" t="s">
        <v>200</v>
      </c>
      <c r="B59" s="645"/>
      <c r="C59" s="645"/>
      <c r="D59" s="645"/>
      <c r="E59" s="645"/>
      <c r="F59" s="645"/>
      <c r="G59" s="645"/>
    </row>
    <row r="60" spans="1:7" ht="15">
      <c r="A60" s="644"/>
      <c r="B60" s="644"/>
      <c r="C60" s="644"/>
      <c r="D60" s="644"/>
      <c r="E60" s="644"/>
      <c r="F60" s="644"/>
      <c r="G60" s="644"/>
    </row>
    <row r="61" spans="1:7" ht="26.25">
      <c r="A61" s="174" t="s">
        <v>0</v>
      </c>
      <c r="B61" s="178" t="s">
        <v>54</v>
      </c>
      <c r="C61" s="178" t="s">
        <v>12</v>
      </c>
      <c r="D61" s="178" t="s">
        <v>13</v>
      </c>
      <c r="E61" s="178" t="s">
        <v>14</v>
      </c>
      <c r="F61" s="178" t="s">
        <v>52</v>
      </c>
      <c r="G61" s="178" t="s">
        <v>53</v>
      </c>
    </row>
    <row r="62" spans="1:7" ht="13.15">
      <c r="A62" s="57" t="str">
        <f>'Allocation Low Voltage Costs'!A6</f>
        <v>Residential</v>
      </c>
      <c r="B62" s="83">
        <f>+'Allocation Low Voltage Costs'!F66</f>
        <v>0</v>
      </c>
      <c r="C62" s="83">
        <f>+'Revenue at Prior Year Rates'!B66</f>
        <v>478548339.49470502</v>
      </c>
      <c r="D62" s="83"/>
      <c r="E62" s="68" t="s">
        <v>15</v>
      </c>
      <c r="F62" s="128">
        <f>+B62/C62</f>
        <v>0</v>
      </c>
      <c r="G62" s="128"/>
    </row>
    <row r="63" spans="1:7" ht="13.15">
      <c r="A63" s="57" t="str">
        <f>'Allocation Low Voltage Costs'!A7</f>
        <v>GS Less Than 50 KW</v>
      </c>
      <c r="B63" s="83">
        <f>+'Allocation Low Voltage Costs'!F67</f>
        <v>0</v>
      </c>
      <c r="C63" s="83">
        <f>+'Revenue at Prior Year Rates'!B67</f>
        <v>129015225.78797366</v>
      </c>
      <c r="D63" s="83"/>
      <c r="E63" s="68" t="s">
        <v>15</v>
      </c>
      <c r="F63" s="128">
        <f>+B63/C63</f>
        <v>0</v>
      </c>
      <c r="G63" s="128"/>
    </row>
    <row r="64" spans="1:7" ht="13.15">
      <c r="A64" s="57" t="str">
        <f>'Allocation Low Voltage Costs'!A8</f>
        <v>GS 50 To 999 KW</v>
      </c>
      <c r="B64" s="83">
        <f>+'Allocation Low Voltage Costs'!F68</f>
        <v>0</v>
      </c>
      <c r="C64" s="83">
        <f>+'Revenue at Prior Year Rates'!B68</f>
        <v>330009795.46084768</v>
      </c>
      <c r="D64" s="83">
        <f>+'Revenue at Prior Year Rates'!C53</f>
        <v>834069.22595941229</v>
      </c>
      <c r="E64" s="68" t="s">
        <v>16</v>
      </c>
      <c r="F64" s="128"/>
      <c r="G64" s="128">
        <f t="shared" ref="G64:G68" si="4">+B64/D64</f>
        <v>0</v>
      </c>
    </row>
    <row r="65" spans="1:7" ht="13.15">
      <c r="A65" s="57" t="str">
        <f>'Allocation Low Voltage Costs'!A9</f>
        <v>GS Intermediate 1,000 To 4,999 KW</v>
      </c>
      <c r="B65" s="83">
        <f>+'Allocation Low Voltage Costs'!F69</f>
        <v>0</v>
      </c>
      <c r="C65" s="83">
        <f>+'Revenue at Prior Year Rates'!B69</f>
        <v>75644065.398059711</v>
      </c>
      <c r="D65" s="83">
        <f>+'Revenue at Prior Year Rates'!C54</f>
        <v>167714.00346680533</v>
      </c>
      <c r="E65" s="68" t="s">
        <v>16</v>
      </c>
      <c r="F65" s="128"/>
      <c r="G65" s="128">
        <f t="shared" si="4"/>
        <v>0</v>
      </c>
    </row>
    <row r="66" spans="1:7" ht="13.15">
      <c r="A66" s="57" t="str">
        <f>'Allocation Low Voltage Costs'!A10</f>
        <v>Large Use</v>
      </c>
      <c r="B66" s="83">
        <f>+'Allocation Low Voltage Costs'!F70</f>
        <v>0</v>
      </c>
      <c r="C66" s="83">
        <f>+'Revenue at Prior Year Rates'!B70</f>
        <v>38875445.657878414</v>
      </c>
      <c r="D66" s="83">
        <f>+'Revenue at Prior Year Rates'!C55</f>
        <v>90488.372107827323</v>
      </c>
      <c r="E66" s="68" t="s">
        <v>16</v>
      </c>
      <c r="F66" s="128"/>
      <c r="G66" s="128">
        <f t="shared" si="4"/>
        <v>0</v>
      </c>
    </row>
    <row r="67" spans="1:7" ht="13.15">
      <c r="A67" s="57" t="str">
        <f>'Allocation Low Voltage Costs'!A11</f>
        <v>Street Lighting</v>
      </c>
      <c r="B67" s="83">
        <f>+'Allocation Low Voltage Costs'!F71</f>
        <v>0</v>
      </c>
      <c r="C67" s="83">
        <f>+'Revenue at Prior Year Rates'!B71</f>
        <v>5117254.1990519855</v>
      </c>
      <c r="D67" s="83">
        <f>+'Revenue at Prior Year Rates'!C56</f>
        <v>13345.422407816242</v>
      </c>
      <c r="E67" s="68" t="s">
        <v>16</v>
      </c>
      <c r="F67" s="128"/>
      <c r="G67" s="128">
        <f t="shared" si="4"/>
        <v>0</v>
      </c>
    </row>
    <row r="68" spans="1:7" ht="13.15">
      <c r="A68" s="57" t="str">
        <f>'Allocation Low Voltage Costs'!A12</f>
        <v>Sentinel Lighting</v>
      </c>
      <c r="B68" s="83">
        <f>+'Allocation Low Voltage Costs'!F72</f>
        <v>0</v>
      </c>
      <c r="C68" s="83">
        <f>+'Revenue at Prior Year Rates'!B72</f>
        <v>32059.16311080223</v>
      </c>
      <c r="D68" s="83">
        <f>+'Revenue at Prior Year Rates'!C57</f>
        <v>96.768186330400098</v>
      </c>
      <c r="E68" s="68" t="s">
        <v>16</v>
      </c>
      <c r="F68" s="128"/>
      <c r="G68" s="128">
        <f t="shared" si="4"/>
        <v>0</v>
      </c>
    </row>
    <row r="69" spans="1:7" ht="13.15">
      <c r="A69" s="57" t="str">
        <f>'Allocation Low Voltage Costs'!A13</f>
        <v>Unmetered Scattered Load</v>
      </c>
      <c r="B69" s="83">
        <f>+'Allocation Low Voltage Costs'!F73</f>
        <v>0</v>
      </c>
      <c r="C69" s="83">
        <f>+'Revenue at Prior Year Rates'!B73</f>
        <v>2660941.3975806902</v>
      </c>
      <c r="D69" s="83">
        <f>+'Revenue at Prior Year Rates'!C58</f>
        <v>0</v>
      </c>
      <c r="E69" s="68" t="s">
        <v>15</v>
      </c>
      <c r="F69" s="128">
        <f>+B69/C69</f>
        <v>0</v>
      </c>
      <c r="G69" s="128"/>
    </row>
    <row r="70" spans="1:7" ht="13.15">
      <c r="A70" s="57">
        <f>'Allocation Low Voltage Costs'!A14</f>
        <v>0</v>
      </c>
      <c r="B70" s="83">
        <f>+'Allocation Low Voltage Costs'!F74</f>
        <v>0</v>
      </c>
      <c r="C70" s="83">
        <f>+'Revenue at Prior Year Rates'!B74</f>
        <v>0</v>
      </c>
      <c r="D70" s="83"/>
      <c r="E70" s="68"/>
      <c r="F70" s="128"/>
      <c r="G70" s="128"/>
    </row>
    <row r="71" spans="1:7" ht="13.5" thickBot="1">
      <c r="A71" s="62" t="s">
        <v>17</v>
      </c>
      <c r="B71" s="126">
        <f>SUM(B62:B70)</f>
        <v>0</v>
      </c>
      <c r="C71" s="126">
        <f>SUM(C62:C70)</f>
        <v>1059903126.5592082</v>
      </c>
      <c r="D71" s="127">
        <f>SUM(D62:D70)</f>
        <v>1105713.7921281913</v>
      </c>
      <c r="E71" s="67"/>
      <c r="F71" s="129"/>
      <c r="G71" s="130"/>
    </row>
    <row r="72" spans="1:7" ht="13.15" thickTop="1"/>
  </sheetData>
  <mergeCells count="12">
    <mergeCell ref="A59:G59"/>
    <mergeCell ref="A60:G60"/>
    <mergeCell ref="A18:G18"/>
    <mergeCell ref="A31:G31"/>
    <mergeCell ref="A32:G32"/>
    <mergeCell ref="A45:G45"/>
    <mergeCell ref="A46:G46"/>
    <mergeCell ref="A4:G4"/>
    <mergeCell ref="A3:G3"/>
    <mergeCell ref="A1:G1"/>
    <mergeCell ref="A2:G2"/>
    <mergeCell ref="A17:G17"/>
  </mergeCells>
  <phoneticPr fontId="0" type="noConversion"/>
  <pageMargins left="0.75" right="0.75" top="1" bottom="1" header="0.5" footer="0.5"/>
  <pageSetup orientation="landscape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workbookViewId="0">
      <selection activeCell="F14" sqref="F14"/>
    </sheetView>
  </sheetViews>
  <sheetFormatPr defaultColWidth="9.19921875" defaultRowHeight="12.75"/>
  <cols>
    <col min="1" max="1" width="27.73046875" style="111" customWidth="1"/>
    <col min="2" max="2" width="12.46484375" style="111" customWidth="1"/>
    <col min="3" max="3" width="11.53125" style="111" bestFit="1" customWidth="1"/>
    <col min="4" max="4" width="15.19921875" style="111" customWidth="1"/>
    <col min="5" max="5" width="8.265625" style="111" customWidth="1"/>
    <col min="6" max="6" width="11.73046875" style="111" customWidth="1"/>
    <col min="7" max="7" width="13.53125" style="111" customWidth="1"/>
    <col min="8" max="8" width="12.46484375" style="111" customWidth="1"/>
    <col min="9" max="9" width="13.73046875" style="111" customWidth="1"/>
    <col min="10" max="10" width="13" style="111" customWidth="1"/>
    <col min="11" max="11" width="15" style="111" customWidth="1"/>
    <col min="12" max="12" width="13" style="111" customWidth="1"/>
    <col min="13" max="13" width="2.265625" style="111" customWidth="1"/>
    <col min="14" max="14" width="22.265625" style="111" customWidth="1"/>
    <col min="15" max="16384" width="9.19921875" style="111"/>
  </cols>
  <sheetData>
    <row r="1" spans="1:15">
      <c r="A1" s="625" t="str">
        <f>+'Revenue Input'!A1</f>
        <v>Oshawa PUC Networks Inc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</row>
    <row r="2" spans="1:15" ht="13.15" thickBot="1">
      <c r="A2" s="647"/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</row>
    <row r="3" spans="1:15" ht="21" thickBot="1">
      <c r="A3" s="645" t="s">
        <v>123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N3" s="31" t="s">
        <v>78</v>
      </c>
      <c r="O3" s="72" t="str">
        <f>'Distribution Rate Schedule'!N3</f>
        <v>Y</v>
      </c>
    </row>
    <row r="4" spans="1:15" ht="26.25">
      <c r="A4" s="648" t="s">
        <v>66</v>
      </c>
      <c r="B4" s="646" t="s">
        <v>122</v>
      </c>
      <c r="C4" s="646"/>
      <c r="D4" s="138" t="s">
        <v>104</v>
      </c>
      <c r="E4" s="138"/>
      <c r="F4" s="646" t="s">
        <v>67</v>
      </c>
      <c r="G4" s="646"/>
      <c r="H4" s="646"/>
      <c r="I4" s="138" t="s">
        <v>68</v>
      </c>
      <c r="J4" s="138" t="s">
        <v>69</v>
      </c>
      <c r="K4" s="138" t="s">
        <v>75</v>
      </c>
      <c r="L4" s="138" t="s">
        <v>76</v>
      </c>
    </row>
    <row r="5" spans="1:15" ht="13.15">
      <c r="A5" s="649"/>
      <c r="B5" s="138" t="s">
        <v>70</v>
      </c>
      <c r="C5" s="138" t="s">
        <v>71</v>
      </c>
      <c r="D5" s="138"/>
      <c r="E5" s="138"/>
      <c r="F5" s="138" t="s">
        <v>70</v>
      </c>
      <c r="G5" s="138" t="s">
        <v>71</v>
      </c>
      <c r="H5" s="138" t="s">
        <v>37</v>
      </c>
      <c r="I5" s="138" t="s">
        <v>37</v>
      </c>
      <c r="J5" s="138" t="s">
        <v>37</v>
      </c>
      <c r="K5" s="138" t="s">
        <v>77</v>
      </c>
      <c r="L5" s="138" t="s">
        <v>37</v>
      </c>
    </row>
    <row r="6" spans="1:15" ht="24.75" customHeight="1">
      <c r="A6" s="650"/>
      <c r="B6" s="154" t="s">
        <v>72</v>
      </c>
      <c r="C6" s="154" t="s">
        <v>72</v>
      </c>
      <c r="D6" s="154"/>
      <c r="E6" s="154" t="s">
        <v>86</v>
      </c>
      <c r="F6" s="138" t="s">
        <v>73</v>
      </c>
      <c r="G6" s="138" t="s">
        <v>73</v>
      </c>
      <c r="H6" s="155" t="s">
        <v>73</v>
      </c>
      <c r="I6" s="155" t="s">
        <v>73</v>
      </c>
      <c r="J6" s="155" t="s">
        <v>73</v>
      </c>
      <c r="K6" s="156">
        <v>3</v>
      </c>
      <c r="L6" s="155" t="s">
        <v>73</v>
      </c>
    </row>
    <row r="7" spans="1:15" ht="20.2" customHeight="1">
      <c r="A7" s="113" t="str">
        <f>'Distribution Rate Schedule'!A9</f>
        <v>Residential</v>
      </c>
      <c r="B7" s="120"/>
      <c r="C7" s="120"/>
      <c r="D7" s="121">
        <f>'Low Voltage Rates'!C6</f>
        <v>488310441.84458584</v>
      </c>
      <c r="E7" s="122" t="str">
        <f>'Low Voltage Rates'!E6</f>
        <v>kWh</v>
      </c>
      <c r="F7" s="115">
        <f>B7/D7</f>
        <v>0</v>
      </c>
      <c r="G7" s="115">
        <f>C7/D7</f>
        <v>0</v>
      </c>
      <c r="H7" s="115">
        <f>F7+G7</f>
        <v>0</v>
      </c>
      <c r="I7" s="115">
        <f>H7/2</f>
        <v>0</v>
      </c>
      <c r="J7" s="115">
        <f>H7/3</f>
        <v>0</v>
      </c>
      <c r="K7" s="114"/>
      <c r="L7" s="115">
        <f>IF($O$3="Y", ROUND(IF($K$6=2, I7, IF($K$6=3, J7, 0)),4), IF($K$6=2, I7, IF($K$6=3, J7, 0)))</f>
        <v>0</v>
      </c>
    </row>
    <row r="8" spans="1:15" ht="20.2" customHeight="1">
      <c r="A8" s="113" t="str">
        <f>'Distribution Rate Schedule'!A10</f>
        <v>GS Less Than 50 KW</v>
      </c>
      <c r="B8" s="120"/>
      <c r="C8" s="120"/>
      <c r="D8" s="121">
        <f>'Low Voltage Rates'!C7</f>
        <v>134064266.11914393</v>
      </c>
      <c r="E8" s="122" t="str">
        <f>'Low Voltage Rates'!E7</f>
        <v>kWh</v>
      </c>
      <c r="F8" s="115">
        <f t="shared" ref="F8:F14" si="0">B8/D8</f>
        <v>0</v>
      </c>
      <c r="G8" s="115">
        <f t="shared" ref="G8:G14" si="1">C8/D8</f>
        <v>0</v>
      </c>
      <c r="H8" s="115">
        <f t="shared" ref="H8:H14" si="2">F8+G8</f>
        <v>0</v>
      </c>
      <c r="I8" s="115">
        <f t="shared" ref="I8:I14" si="3">H8/2</f>
        <v>0</v>
      </c>
      <c r="J8" s="115">
        <f t="shared" ref="J8:J14" si="4">H8/3</f>
        <v>0</v>
      </c>
      <c r="K8" s="114"/>
      <c r="L8" s="115">
        <f t="shared" ref="L8:L14" si="5">IF($O$3="Y", ROUND(IF($K$6=2, I8, IF($K$6=3, J8, 0)),4), IF($K$6=2, I8, IF($K$6=3, J8, 0)))</f>
        <v>0</v>
      </c>
      <c r="M8" s="31"/>
      <c r="N8" s="34"/>
      <c r="O8" s="34"/>
    </row>
    <row r="9" spans="1:15" ht="20.2" customHeight="1">
      <c r="A9" s="113" t="str">
        <f>'Distribution Rate Schedule'!A11</f>
        <v>GS 50 To 999 KW</v>
      </c>
      <c r="B9" s="120"/>
      <c r="C9" s="120"/>
      <c r="D9" s="121">
        <f>'Low Voltage Rates'!D8</f>
        <v>851954.05092458322</v>
      </c>
      <c r="E9" s="122" t="str">
        <f>'Low Voltage Rates'!E8</f>
        <v>kW</v>
      </c>
      <c r="F9" s="115">
        <f t="shared" si="0"/>
        <v>0</v>
      </c>
      <c r="G9" s="115">
        <f t="shared" si="1"/>
        <v>0</v>
      </c>
      <c r="H9" s="115">
        <f t="shared" si="2"/>
        <v>0</v>
      </c>
      <c r="I9" s="115">
        <f t="shared" si="3"/>
        <v>0</v>
      </c>
      <c r="J9" s="115">
        <f t="shared" si="4"/>
        <v>0</v>
      </c>
      <c r="K9" s="114"/>
      <c r="L9" s="115">
        <f t="shared" si="5"/>
        <v>0</v>
      </c>
    </row>
    <row r="10" spans="1:15" ht="20.2" customHeight="1">
      <c r="A10" s="113" t="str">
        <f>'Distribution Rate Schedule'!A12</f>
        <v>GS Intermediate 1,000 To 4,999 KW</v>
      </c>
      <c r="B10" s="120"/>
      <c r="C10" s="120"/>
      <c r="D10" s="121">
        <f>'Low Voltage Rates'!D9</f>
        <v>195333.21024632914</v>
      </c>
      <c r="E10" s="122" t="str">
        <f>'Low Voltage Rates'!E9</f>
        <v>kW</v>
      </c>
      <c r="F10" s="115">
        <f>B10/D10</f>
        <v>0</v>
      </c>
      <c r="G10" s="115">
        <f>C10/D10</f>
        <v>0</v>
      </c>
      <c r="H10" s="115">
        <f>F10+G10</f>
        <v>0</v>
      </c>
      <c r="I10" s="115">
        <f>H10/2</f>
        <v>0</v>
      </c>
      <c r="J10" s="115">
        <f>H10/3</f>
        <v>0</v>
      </c>
      <c r="K10" s="114"/>
      <c r="L10" s="115">
        <f t="shared" si="5"/>
        <v>0</v>
      </c>
    </row>
    <row r="11" spans="1:15" ht="20.2" customHeight="1">
      <c r="A11" s="113" t="str">
        <f>'Distribution Rate Schedule'!A13</f>
        <v>Large Use</v>
      </c>
      <c r="B11" s="120"/>
      <c r="C11" s="120"/>
      <c r="D11" s="121">
        <f>'Low Voltage Rates'!D10</f>
        <v>96450.280123117438</v>
      </c>
      <c r="E11" s="122" t="str">
        <f>'Low Voltage Rates'!E10</f>
        <v>kW</v>
      </c>
      <c r="F11" s="115">
        <f t="shared" si="0"/>
        <v>0</v>
      </c>
      <c r="G11" s="115">
        <f t="shared" si="1"/>
        <v>0</v>
      </c>
      <c r="H11" s="115">
        <f t="shared" si="2"/>
        <v>0</v>
      </c>
      <c r="I11" s="115">
        <f t="shared" si="3"/>
        <v>0</v>
      </c>
      <c r="J11" s="115">
        <f t="shared" si="4"/>
        <v>0</v>
      </c>
      <c r="K11" s="114"/>
      <c r="L11" s="115">
        <f t="shared" si="5"/>
        <v>0</v>
      </c>
    </row>
    <row r="12" spans="1:15" ht="20.2" customHeight="1">
      <c r="A12" s="113" t="str">
        <f>'Distribution Rate Schedule'!A14</f>
        <v>Street Lighting</v>
      </c>
      <c r="B12" s="120"/>
      <c r="C12" s="120"/>
      <c r="D12" s="121">
        <f>'Low Voltage Rates'!D11</f>
        <v>23911.673714127413</v>
      </c>
      <c r="E12" s="122" t="str">
        <f>'Low Voltage Rates'!E11</f>
        <v>kW</v>
      </c>
      <c r="F12" s="115">
        <f t="shared" ref="F12" si="6">B12/D12</f>
        <v>0</v>
      </c>
      <c r="G12" s="115">
        <f t="shared" ref="G12" si="7">C12/D12</f>
        <v>0</v>
      </c>
      <c r="H12" s="115">
        <f t="shared" ref="H12" si="8">F12+G12</f>
        <v>0</v>
      </c>
      <c r="I12" s="115">
        <f t="shared" ref="I12" si="9">H12/2</f>
        <v>0</v>
      </c>
      <c r="J12" s="115">
        <f t="shared" ref="J12" si="10">H12/3</f>
        <v>0</v>
      </c>
      <c r="K12" s="116"/>
      <c r="L12" s="115">
        <f t="shared" si="5"/>
        <v>0</v>
      </c>
    </row>
    <row r="13" spans="1:15" ht="20.2" customHeight="1">
      <c r="A13" s="113" t="str">
        <f>'Distribution Rate Schedule'!A15</f>
        <v>Sentinel Lighting</v>
      </c>
      <c r="B13" s="120"/>
      <c r="C13" s="120"/>
      <c r="D13" s="123">
        <f>'Low Voltage Rates'!D12</f>
        <v>100.15889621450508</v>
      </c>
      <c r="E13" s="122" t="str">
        <f>'Low Voltage Rates'!E12</f>
        <v>kW</v>
      </c>
      <c r="F13" s="115">
        <f t="shared" si="0"/>
        <v>0</v>
      </c>
      <c r="G13" s="115">
        <f t="shared" si="1"/>
        <v>0</v>
      </c>
      <c r="H13" s="115">
        <f t="shared" si="2"/>
        <v>0</v>
      </c>
      <c r="I13" s="115">
        <f t="shared" si="3"/>
        <v>0</v>
      </c>
      <c r="J13" s="115">
        <f t="shared" si="4"/>
        <v>0</v>
      </c>
      <c r="K13" s="116"/>
      <c r="L13" s="115">
        <f t="shared" si="5"/>
        <v>0</v>
      </c>
    </row>
    <row r="14" spans="1:15" ht="20.2" customHeight="1">
      <c r="A14" s="113" t="str">
        <f>'Distribution Rate Schedule'!A16</f>
        <v>Unmetered Scattered Load</v>
      </c>
      <c r="B14" s="120"/>
      <c r="C14" s="120"/>
      <c r="D14" s="123">
        <f>'Low Voltage Rates'!C13</f>
        <v>2686537.3140891874</v>
      </c>
      <c r="E14" s="122" t="str">
        <f>'Low Voltage Rates'!E13</f>
        <v>kWh</v>
      </c>
      <c r="F14" s="115">
        <f t="shared" si="0"/>
        <v>0</v>
      </c>
      <c r="G14" s="115">
        <f t="shared" si="1"/>
        <v>0</v>
      </c>
      <c r="H14" s="115">
        <f t="shared" si="2"/>
        <v>0</v>
      </c>
      <c r="I14" s="115">
        <f t="shared" si="3"/>
        <v>0</v>
      </c>
      <c r="J14" s="115">
        <f t="shared" si="4"/>
        <v>0</v>
      </c>
      <c r="K14" s="116"/>
      <c r="L14" s="115">
        <f t="shared" si="5"/>
        <v>0</v>
      </c>
    </row>
    <row r="15" spans="1:15" ht="20.2" customHeight="1">
      <c r="A15" s="113"/>
      <c r="B15" s="120"/>
      <c r="C15" s="120"/>
      <c r="D15" s="123"/>
      <c r="E15" s="122"/>
      <c r="F15" s="115"/>
      <c r="G15" s="115"/>
      <c r="H15" s="115"/>
      <c r="I15" s="115"/>
      <c r="J15" s="115"/>
      <c r="K15" s="116"/>
      <c r="L15" s="115"/>
    </row>
    <row r="16" spans="1:15" ht="20.2" customHeight="1" thickBot="1">
      <c r="A16" s="117" t="s">
        <v>37</v>
      </c>
      <c r="B16" s="118">
        <f>SUM(B7:B11)</f>
        <v>0</v>
      </c>
      <c r="C16" s="118">
        <f>SUM(C7:C11)</f>
        <v>0</v>
      </c>
      <c r="D16" s="118"/>
      <c r="E16" s="119"/>
      <c r="F16" s="118"/>
      <c r="G16" s="118"/>
      <c r="H16" s="118"/>
      <c r="I16" s="118"/>
      <c r="J16" s="118"/>
      <c r="K16" s="118"/>
      <c r="L16" s="118"/>
    </row>
    <row r="17" spans="1:15" ht="13.15" thickTop="1"/>
    <row r="18" spans="1:15" ht="13.15" thickBot="1"/>
    <row r="19" spans="1:15" ht="21" thickBot="1">
      <c r="A19" s="645" t="s">
        <v>152</v>
      </c>
      <c r="B19" s="645"/>
      <c r="C19" s="645"/>
      <c r="D19" s="645"/>
      <c r="E19" s="645"/>
      <c r="F19" s="645"/>
      <c r="G19" s="645"/>
      <c r="H19" s="645"/>
      <c r="I19" s="645"/>
      <c r="J19" s="645"/>
      <c r="K19" s="645"/>
      <c r="L19" s="645"/>
      <c r="N19" s="164" t="s">
        <v>78</v>
      </c>
      <c r="O19" s="72" t="str">
        <f>'Distribution Rate Schedule'!N3</f>
        <v>Y</v>
      </c>
    </row>
    <row r="20" spans="1:15" ht="26.25">
      <c r="A20" s="648" t="s">
        <v>66</v>
      </c>
      <c r="B20" s="646" t="s">
        <v>122</v>
      </c>
      <c r="C20" s="646"/>
      <c r="D20" s="166" t="s">
        <v>104</v>
      </c>
      <c r="E20" s="166"/>
      <c r="F20" s="646" t="s">
        <v>67</v>
      </c>
      <c r="G20" s="646"/>
      <c r="H20" s="646"/>
      <c r="I20" s="166" t="s">
        <v>68</v>
      </c>
      <c r="J20" s="166" t="s">
        <v>69</v>
      </c>
      <c r="K20" s="166" t="s">
        <v>75</v>
      </c>
      <c r="L20" s="166" t="s">
        <v>76</v>
      </c>
    </row>
    <row r="21" spans="1:15" ht="13.15">
      <c r="A21" s="649"/>
      <c r="B21" s="166" t="s">
        <v>70</v>
      </c>
      <c r="C21" s="166" t="s">
        <v>71</v>
      </c>
      <c r="D21" s="166"/>
      <c r="E21" s="166"/>
      <c r="F21" s="166" t="s">
        <v>70</v>
      </c>
      <c r="G21" s="166" t="s">
        <v>71</v>
      </c>
      <c r="H21" s="166" t="s">
        <v>37</v>
      </c>
      <c r="I21" s="166" t="s">
        <v>37</v>
      </c>
      <c r="J21" s="166" t="s">
        <v>37</v>
      </c>
      <c r="K21" s="166" t="s">
        <v>77</v>
      </c>
      <c r="L21" s="166" t="s">
        <v>37</v>
      </c>
    </row>
    <row r="22" spans="1:15" ht="24.75" customHeight="1">
      <c r="A22" s="650"/>
      <c r="B22" s="154" t="s">
        <v>72</v>
      </c>
      <c r="C22" s="154" t="s">
        <v>72</v>
      </c>
      <c r="D22" s="154"/>
      <c r="E22" s="154" t="s">
        <v>86</v>
      </c>
      <c r="F22" s="166" t="s">
        <v>73</v>
      </c>
      <c r="G22" s="166" t="s">
        <v>73</v>
      </c>
      <c r="H22" s="155" t="s">
        <v>73</v>
      </c>
      <c r="I22" s="155" t="s">
        <v>73</v>
      </c>
      <c r="J22" s="155" t="s">
        <v>73</v>
      </c>
      <c r="K22" s="156">
        <v>3</v>
      </c>
      <c r="L22" s="155" t="s">
        <v>73</v>
      </c>
    </row>
    <row r="23" spans="1:15" ht="20.2" customHeight="1">
      <c r="A23" s="113" t="str">
        <f>'Distribution Rate Schedule'!A9</f>
        <v>Residential</v>
      </c>
      <c r="B23" s="120"/>
      <c r="C23" s="120"/>
      <c r="D23" s="121">
        <f>'Low Voltage Rates'!C20</f>
        <v>491380160.90018409</v>
      </c>
      <c r="E23" s="122" t="str">
        <f>'Low Voltage Rates'!E6</f>
        <v>kWh</v>
      </c>
      <c r="F23" s="115">
        <f t="shared" ref="F23:F30" si="11">B23/D23</f>
        <v>0</v>
      </c>
      <c r="G23" s="115">
        <f t="shared" ref="G23:G30" si="12">C23/D23</f>
        <v>0</v>
      </c>
      <c r="H23" s="115">
        <f t="shared" ref="H23:H30" si="13">F23+G23</f>
        <v>0</v>
      </c>
      <c r="I23" s="115">
        <f t="shared" ref="I23:I30" si="14">H23/2</f>
        <v>0</v>
      </c>
      <c r="J23" s="115">
        <f t="shared" ref="J23:J30" si="15">H23/3</f>
        <v>0</v>
      </c>
      <c r="K23" s="114"/>
      <c r="L23" s="115">
        <f t="shared" ref="L23:L30" si="16">IF($O$19="Y", ROUND(IF($K$22=2, I23, IF($K$22=3, J23, 0)),4), IF($K$22=2, I23, IF($K$22=3, J23, 0)))</f>
        <v>0</v>
      </c>
    </row>
    <row r="24" spans="1:15" ht="20.2" customHeight="1">
      <c r="A24" s="113" t="str">
        <f>'Distribution Rate Schedule'!A10</f>
        <v>GS Less Than 50 KW</v>
      </c>
      <c r="B24" s="120"/>
      <c r="C24" s="120"/>
      <c r="D24" s="121">
        <f>'Low Voltage Rates'!C21</f>
        <v>134854491.64774501</v>
      </c>
      <c r="E24" s="122" t="str">
        <f>'Low Voltage Rates'!E7</f>
        <v>kWh</v>
      </c>
      <c r="F24" s="115">
        <f t="shared" si="11"/>
        <v>0</v>
      </c>
      <c r="G24" s="115">
        <f t="shared" si="12"/>
        <v>0</v>
      </c>
      <c r="H24" s="115">
        <f t="shared" si="13"/>
        <v>0</v>
      </c>
      <c r="I24" s="115">
        <f t="shared" si="14"/>
        <v>0</v>
      </c>
      <c r="J24" s="115">
        <f t="shared" si="15"/>
        <v>0</v>
      </c>
      <c r="K24" s="114"/>
      <c r="L24" s="115">
        <f t="shared" si="16"/>
        <v>0</v>
      </c>
      <c r="M24" s="164"/>
      <c r="N24" s="167"/>
      <c r="O24" s="167"/>
    </row>
    <row r="25" spans="1:15" ht="20.2" customHeight="1">
      <c r="A25" s="113" t="str">
        <f>'Distribution Rate Schedule'!A11</f>
        <v>GS 50 To 999 KW</v>
      </c>
      <c r="B25" s="120"/>
      <c r="C25" s="120"/>
      <c r="D25" s="121">
        <f>'Low Voltage Rates'!D22</f>
        <v>860398.47773257422</v>
      </c>
      <c r="E25" s="122" t="str">
        <f>'Low Voltage Rates'!E8</f>
        <v>kW</v>
      </c>
      <c r="F25" s="115">
        <f t="shared" si="11"/>
        <v>0</v>
      </c>
      <c r="G25" s="115">
        <f t="shared" si="12"/>
        <v>0</v>
      </c>
      <c r="H25" s="115">
        <f t="shared" si="13"/>
        <v>0</v>
      </c>
      <c r="I25" s="115">
        <f t="shared" si="14"/>
        <v>0</v>
      </c>
      <c r="J25" s="115">
        <f t="shared" si="15"/>
        <v>0</v>
      </c>
      <c r="K25" s="114"/>
      <c r="L25" s="115">
        <f t="shared" si="16"/>
        <v>0</v>
      </c>
    </row>
    <row r="26" spans="1:15" ht="20.2" customHeight="1">
      <c r="A26" s="113" t="str">
        <f>'Distribution Rate Schedule'!A12</f>
        <v>GS Intermediate 1,000 To 4,999 KW</v>
      </c>
      <c r="B26" s="120"/>
      <c r="C26" s="120"/>
      <c r="D26" s="121">
        <f>'Low Voltage Rates'!D23</f>
        <v>194669.69353718983</v>
      </c>
      <c r="E26" s="122" t="str">
        <f>'Low Voltage Rates'!E9</f>
        <v>kW</v>
      </c>
      <c r="F26" s="115">
        <f t="shared" si="11"/>
        <v>0</v>
      </c>
      <c r="G26" s="115">
        <f t="shared" si="12"/>
        <v>0</v>
      </c>
      <c r="H26" s="115">
        <f t="shared" si="13"/>
        <v>0</v>
      </c>
      <c r="I26" s="115">
        <f t="shared" si="14"/>
        <v>0</v>
      </c>
      <c r="J26" s="115">
        <f t="shared" si="15"/>
        <v>0</v>
      </c>
      <c r="K26" s="114"/>
      <c r="L26" s="115">
        <f t="shared" si="16"/>
        <v>0</v>
      </c>
    </row>
    <row r="27" spans="1:15" ht="20.2" customHeight="1">
      <c r="A27" s="113" t="str">
        <f>'Distribution Rate Schedule'!A13</f>
        <v>Large Use</v>
      </c>
      <c r="B27" s="120"/>
      <c r="C27" s="120"/>
      <c r="D27" s="121">
        <f>'Low Voltage Rates'!D24</f>
        <v>96497.827923500081</v>
      </c>
      <c r="E27" s="122" t="str">
        <f>'Low Voltage Rates'!E10</f>
        <v>kW</v>
      </c>
      <c r="F27" s="115">
        <f t="shared" si="11"/>
        <v>0</v>
      </c>
      <c r="G27" s="115">
        <f t="shared" si="12"/>
        <v>0</v>
      </c>
      <c r="H27" s="115">
        <f t="shared" si="13"/>
        <v>0</v>
      </c>
      <c r="I27" s="115">
        <f t="shared" si="14"/>
        <v>0</v>
      </c>
      <c r="J27" s="115">
        <f t="shared" si="15"/>
        <v>0</v>
      </c>
      <c r="K27" s="114"/>
      <c r="L27" s="115">
        <f t="shared" si="16"/>
        <v>0</v>
      </c>
    </row>
    <row r="28" spans="1:15" ht="20.2" customHeight="1">
      <c r="A28" s="113" t="str">
        <f>'Distribution Rate Schedule'!A14</f>
        <v>Street Lighting</v>
      </c>
      <c r="B28" s="120"/>
      <c r="C28" s="120"/>
      <c r="D28" s="121">
        <f>'Low Voltage Rates'!D25</f>
        <v>14599.316515348542</v>
      </c>
      <c r="E28" s="122" t="str">
        <f>'Low Voltage Rates'!E11</f>
        <v>kW</v>
      </c>
      <c r="F28" s="115">
        <f t="shared" si="11"/>
        <v>0</v>
      </c>
      <c r="G28" s="115">
        <f t="shared" si="12"/>
        <v>0</v>
      </c>
      <c r="H28" s="115">
        <f t="shared" si="13"/>
        <v>0</v>
      </c>
      <c r="I28" s="115">
        <f t="shared" si="14"/>
        <v>0</v>
      </c>
      <c r="J28" s="115">
        <f t="shared" si="15"/>
        <v>0</v>
      </c>
      <c r="K28" s="116"/>
      <c r="L28" s="115">
        <f t="shared" si="16"/>
        <v>0</v>
      </c>
    </row>
    <row r="29" spans="1:15" ht="20.2" customHeight="1">
      <c r="A29" s="113" t="str">
        <f>'Distribution Rate Schedule'!A15</f>
        <v>Sentinel Lighting</v>
      </c>
      <c r="B29" s="120"/>
      <c r="C29" s="120"/>
      <c r="D29" s="121">
        <f>'Low Voltage Rates'!D26</f>
        <v>96.106500369299738</v>
      </c>
      <c r="E29" s="122" t="str">
        <f>'Low Voltage Rates'!E12</f>
        <v>kW</v>
      </c>
      <c r="F29" s="115">
        <f t="shared" si="11"/>
        <v>0</v>
      </c>
      <c r="G29" s="115">
        <f t="shared" si="12"/>
        <v>0</v>
      </c>
      <c r="H29" s="115">
        <f t="shared" si="13"/>
        <v>0</v>
      </c>
      <c r="I29" s="115">
        <f t="shared" si="14"/>
        <v>0</v>
      </c>
      <c r="J29" s="115">
        <f t="shared" si="15"/>
        <v>0</v>
      </c>
      <c r="K29" s="116"/>
      <c r="L29" s="115">
        <f t="shared" si="16"/>
        <v>0</v>
      </c>
    </row>
    <row r="30" spans="1:15" ht="20.2" customHeight="1">
      <c r="A30" s="113" t="str">
        <f>'Distribution Rate Schedule'!A16</f>
        <v>Unmetered Scattered Load</v>
      </c>
      <c r="B30" s="120"/>
      <c r="C30" s="120"/>
      <c r="D30" s="121">
        <f>'Low Voltage Rates'!C27</f>
        <v>2667193.4637021297</v>
      </c>
      <c r="E30" s="122" t="str">
        <f>'Low Voltage Rates'!E13</f>
        <v>kWh</v>
      </c>
      <c r="F30" s="115">
        <f t="shared" si="11"/>
        <v>0</v>
      </c>
      <c r="G30" s="115">
        <f t="shared" si="12"/>
        <v>0</v>
      </c>
      <c r="H30" s="115">
        <f t="shared" si="13"/>
        <v>0</v>
      </c>
      <c r="I30" s="115">
        <f t="shared" si="14"/>
        <v>0</v>
      </c>
      <c r="J30" s="115">
        <f t="shared" si="15"/>
        <v>0</v>
      </c>
      <c r="K30" s="116"/>
      <c r="L30" s="115">
        <f t="shared" si="16"/>
        <v>0</v>
      </c>
    </row>
    <row r="31" spans="1:15" ht="20.2" customHeight="1">
      <c r="A31" s="113"/>
      <c r="B31" s="120"/>
      <c r="C31" s="120"/>
      <c r="D31" s="123"/>
      <c r="E31" s="122"/>
      <c r="F31" s="115"/>
      <c r="G31" s="115"/>
      <c r="H31" s="115"/>
      <c r="I31" s="115"/>
      <c r="J31" s="115"/>
      <c r="K31" s="116"/>
      <c r="L31" s="115"/>
    </row>
    <row r="32" spans="1:15" ht="20.2" customHeight="1" thickBot="1">
      <c r="A32" s="117" t="s">
        <v>37</v>
      </c>
      <c r="B32" s="118">
        <f>SUM(B23:B27)</f>
        <v>0</v>
      </c>
      <c r="C32" s="118">
        <f>SUM(C23:C27)</f>
        <v>0</v>
      </c>
      <c r="D32" s="118"/>
      <c r="E32" s="119"/>
      <c r="F32" s="118"/>
      <c r="G32" s="118"/>
      <c r="H32" s="118"/>
      <c r="I32" s="118"/>
      <c r="J32" s="118"/>
      <c r="K32" s="118"/>
      <c r="L32" s="118"/>
    </row>
    <row r="33" spans="1:15" ht="13.15" thickTop="1"/>
    <row r="34" spans="1:15" ht="13.15" thickBot="1"/>
    <row r="35" spans="1:15" ht="21" thickBot="1">
      <c r="A35" s="645" t="s">
        <v>158</v>
      </c>
      <c r="B35" s="645"/>
      <c r="C35" s="645"/>
      <c r="D35" s="645"/>
      <c r="E35" s="645"/>
      <c r="F35" s="645"/>
      <c r="G35" s="645"/>
      <c r="H35" s="645"/>
      <c r="I35" s="645"/>
      <c r="J35" s="645"/>
      <c r="K35" s="645"/>
      <c r="L35" s="645"/>
      <c r="N35" s="164" t="s">
        <v>78</v>
      </c>
      <c r="O35" s="72" t="str">
        <f>'Distribution Rate Schedule'!N3</f>
        <v>Y</v>
      </c>
    </row>
    <row r="36" spans="1:15" ht="26.25">
      <c r="A36" s="648" t="s">
        <v>66</v>
      </c>
      <c r="B36" s="646" t="s">
        <v>122</v>
      </c>
      <c r="C36" s="646"/>
      <c r="D36" s="166" t="s">
        <v>104</v>
      </c>
      <c r="E36" s="166"/>
      <c r="F36" s="646" t="s">
        <v>67</v>
      </c>
      <c r="G36" s="646"/>
      <c r="H36" s="646"/>
      <c r="I36" s="166" t="s">
        <v>68</v>
      </c>
      <c r="J36" s="166" t="s">
        <v>69</v>
      </c>
      <c r="K36" s="166" t="s">
        <v>75</v>
      </c>
      <c r="L36" s="166" t="s">
        <v>76</v>
      </c>
    </row>
    <row r="37" spans="1:15" ht="13.15">
      <c r="A37" s="649"/>
      <c r="B37" s="166" t="s">
        <v>70</v>
      </c>
      <c r="C37" s="166" t="s">
        <v>71</v>
      </c>
      <c r="D37" s="166"/>
      <c r="E37" s="166"/>
      <c r="F37" s="166" t="s">
        <v>70</v>
      </c>
      <c r="G37" s="166" t="s">
        <v>71</v>
      </c>
      <c r="H37" s="166" t="s">
        <v>37</v>
      </c>
      <c r="I37" s="166" t="s">
        <v>37</v>
      </c>
      <c r="J37" s="166" t="s">
        <v>37</v>
      </c>
      <c r="K37" s="166" t="s">
        <v>77</v>
      </c>
      <c r="L37" s="166" t="s">
        <v>37</v>
      </c>
    </row>
    <row r="38" spans="1:15" ht="24.75" customHeight="1">
      <c r="A38" s="650"/>
      <c r="B38" s="154" t="s">
        <v>72</v>
      </c>
      <c r="C38" s="154" t="s">
        <v>72</v>
      </c>
      <c r="D38" s="154"/>
      <c r="E38" s="154" t="s">
        <v>86</v>
      </c>
      <c r="F38" s="166" t="s">
        <v>73</v>
      </c>
      <c r="G38" s="166" t="s">
        <v>73</v>
      </c>
      <c r="H38" s="155" t="s">
        <v>73</v>
      </c>
      <c r="I38" s="155" t="s">
        <v>73</v>
      </c>
      <c r="J38" s="155" t="s">
        <v>73</v>
      </c>
      <c r="K38" s="156">
        <v>3</v>
      </c>
      <c r="L38" s="155" t="s">
        <v>73</v>
      </c>
    </row>
    <row r="39" spans="1:15" ht="20.2" customHeight="1">
      <c r="A39" s="113" t="str">
        <f>'Distribution Rate Schedule'!A9</f>
        <v>Residential</v>
      </c>
      <c r="B39" s="120"/>
      <c r="C39" s="120"/>
      <c r="D39" s="121">
        <f>'Low Voltage Rates'!C34</f>
        <v>492297000.53160763</v>
      </c>
      <c r="E39" s="122" t="str">
        <f>'Low Voltage Rates'!E6</f>
        <v>kWh</v>
      </c>
      <c r="F39" s="115">
        <f t="shared" ref="F39:F46" si="17">B39/D39</f>
        <v>0</v>
      </c>
      <c r="G39" s="115">
        <f t="shared" ref="G39:G46" si="18">C39/D39</f>
        <v>0</v>
      </c>
      <c r="H39" s="115">
        <f t="shared" ref="H39:H46" si="19">F39+G39</f>
        <v>0</v>
      </c>
      <c r="I39" s="115">
        <f t="shared" ref="I39:I46" si="20">H39/2</f>
        <v>0</v>
      </c>
      <c r="J39" s="115">
        <f t="shared" ref="J39:J46" si="21">H39/3</f>
        <v>0</v>
      </c>
      <c r="K39" s="114"/>
      <c r="L39" s="115">
        <f t="shared" ref="L39:L46" si="22">IF($O$35="Y", ROUND(IF($K$38=2, I39, IF($K$38=3, J39, 0)),4), IF($K$38=2, I39, IF($K$38=3, J39, 0)))</f>
        <v>0</v>
      </c>
    </row>
    <row r="40" spans="1:15" ht="20.2" customHeight="1">
      <c r="A40" s="113" t="str">
        <f>'Distribution Rate Schedule'!A10</f>
        <v>GS Less Than 50 KW</v>
      </c>
      <c r="B40" s="120"/>
      <c r="C40" s="120"/>
      <c r="D40" s="121">
        <f>'Low Voltage Rates'!C35</f>
        <v>135063742.04659477</v>
      </c>
      <c r="E40" s="122" t="str">
        <f>'Low Voltage Rates'!E7</f>
        <v>kWh</v>
      </c>
      <c r="F40" s="115">
        <f t="shared" si="17"/>
        <v>0</v>
      </c>
      <c r="G40" s="115">
        <f t="shared" si="18"/>
        <v>0</v>
      </c>
      <c r="H40" s="115">
        <f t="shared" si="19"/>
        <v>0</v>
      </c>
      <c r="I40" s="115">
        <f t="shared" si="20"/>
        <v>0</v>
      </c>
      <c r="J40" s="115">
        <f t="shared" si="21"/>
        <v>0</v>
      </c>
      <c r="K40" s="114"/>
      <c r="L40" s="115">
        <f t="shared" si="22"/>
        <v>0</v>
      </c>
      <c r="M40" s="164"/>
      <c r="N40" s="167"/>
      <c r="O40" s="167"/>
    </row>
    <row r="41" spans="1:15" ht="20.2" customHeight="1">
      <c r="A41" s="113" t="str">
        <f>'Distribution Rate Schedule'!A11</f>
        <v>GS 50 To 999 KW</v>
      </c>
      <c r="B41" s="120"/>
      <c r="C41" s="120"/>
      <c r="D41" s="121">
        <f>'Low Voltage Rates'!D36</f>
        <v>865544.379866131</v>
      </c>
      <c r="E41" s="122" t="str">
        <f>'Low Voltage Rates'!E8</f>
        <v>kW</v>
      </c>
      <c r="F41" s="115">
        <f t="shared" si="17"/>
        <v>0</v>
      </c>
      <c r="G41" s="115">
        <f t="shared" si="18"/>
        <v>0</v>
      </c>
      <c r="H41" s="115">
        <f t="shared" si="19"/>
        <v>0</v>
      </c>
      <c r="I41" s="115">
        <f t="shared" si="20"/>
        <v>0</v>
      </c>
      <c r="J41" s="115">
        <f t="shared" si="21"/>
        <v>0</v>
      </c>
      <c r="K41" s="114"/>
      <c r="L41" s="115">
        <f t="shared" si="22"/>
        <v>0</v>
      </c>
    </row>
    <row r="42" spans="1:15" ht="20.2" customHeight="1">
      <c r="A42" s="113" t="str">
        <f>'Distribution Rate Schedule'!A12</f>
        <v>GS Intermediate 1,000 To 4,999 KW</v>
      </c>
      <c r="B42" s="120"/>
      <c r="C42" s="120"/>
      <c r="D42" s="121">
        <f>'Low Voltage Rates'!D37</f>
        <v>193285.76673996553</v>
      </c>
      <c r="E42" s="122" t="str">
        <f>'Low Voltage Rates'!E9</f>
        <v>kW</v>
      </c>
      <c r="F42" s="115">
        <f t="shared" si="17"/>
        <v>0</v>
      </c>
      <c r="G42" s="115">
        <f t="shared" si="18"/>
        <v>0</v>
      </c>
      <c r="H42" s="115">
        <f t="shared" si="19"/>
        <v>0</v>
      </c>
      <c r="I42" s="115">
        <f t="shared" si="20"/>
        <v>0</v>
      </c>
      <c r="J42" s="115">
        <f t="shared" si="21"/>
        <v>0</v>
      </c>
      <c r="K42" s="114"/>
      <c r="L42" s="115">
        <f t="shared" si="22"/>
        <v>0</v>
      </c>
    </row>
    <row r="43" spans="1:15" ht="20.2" customHeight="1">
      <c r="A43" s="113" t="str">
        <f>'Distribution Rate Schedule'!A13</f>
        <v>Large Use</v>
      </c>
      <c r="B43" s="120"/>
      <c r="C43" s="120"/>
      <c r="D43" s="121">
        <f>'Low Voltage Rates'!D38</f>
        <v>96705.677469853224</v>
      </c>
      <c r="E43" s="122" t="str">
        <f>'Low Voltage Rates'!E10</f>
        <v>kW</v>
      </c>
      <c r="F43" s="115">
        <f t="shared" si="17"/>
        <v>0</v>
      </c>
      <c r="G43" s="115">
        <f t="shared" si="18"/>
        <v>0</v>
      </c>
      <c r="H43" s="115">
        <f t="shared" si="19"/>
        <v>0</v>
      </c>
      <c r="I43" s="115">
        <f t="shared" si="20"/>
        <v>0</v>
      </c>
      <c r="J43" s="115">
        <f t="shared" si="21"/>
        <v>0</v>
      </c>
      <c r="K43" s="114"/>
      <c r="L43" s="115">
        <f t="shared" si="22"/>
        <v>0</v>
      </c>
    </row>
    <row r="44" spans="1:15" ht="20.2" customHeight="1">
      <c r="A44" s="113" t="str">
        <f>'Distribution Rate Schedule'!A14</f>
        <v>Street Lighting</v>
      </c>
      <c r="B44" s="120"/>
      <c r="C44" s="120"/>
      <c r="D44" s="121">
        <f>'Low Voltage Rates'!D39</f>
        <v>13528.419217862043</v>
      </c>
      <c r="E44" s="122" t="str">
        <f>'Low Voltage Rates'!E11</f>
        <v>kW</v>
      </c>
      <c r="F44" s="115">
        <f t="shared" si="17"/>
        <v>0</v>
      </c>
      <c r="G44" s="115">
        <f t="shared" si="18"/>
        <v>0</v>
      </c>
      <c r="H44" s="115">
        <f t="shared" si="19"/>
        <v>0</v>
      </c>
      <c r="I44" s="115">
        <f t="shared" si="20"/>
        <v>0</v>
      </c>
      <c r="J44" s="115">
        <f t="shared" si="21"/>
        <v>0</v>
      </c>
      <c r="K44" s="116"/>
      <c r="L44" s="115">
        <f t="shared" si="22"/>
        <v>0</v>
      </c>
    </row>
    <row r="45" spans="1:15" ht="20.2" customHeight="1">
      <c r="A45" s="113" t="str">
        <f>'Distribution Rate Schedule'!A15</f>
        <v>Sentinel Lighting</v>
      </c>
      <c r="B45" s="120"/>
      <c r="C45" s="120"/>
      <c r="D45" s="121">
        <f>'Low Voltage Rates'!D40</f>
        <v>92.371157468960305</v>
      </c>
      <c r="E45" s="122" t="str">
        <f>'Low Voltage Rates'!E12</f>
        <v>kW</v>
      </c>
      <c r="F45" s="115">
        <f t="shared" si="17"/>
        <v>0</v>
      </c>
      <c r="G45" s="115">
        <f t="shared" si="18"/>
        <v>0</v>
      </c>
      <c r="H45" s="115">
        <f t="shared" si="19"/>
        <v>0</v>
      </c>
      <c r="I45" s="115">
        <f t="shared" si="20"/>
        <v>0</v>
      </c>
      <c r="J45" s="115">
        <f t="shared" si="21"/>
        <v>0</v>
      </c>
      <c r="K45" s="116"/>
      <c r="L45" s="115">
        <f t="shared" si="22"/>
        <v>0</v>
      </c>
    </row>
    <row r="46" spans="1:15" ht="20.2" customHeight="1">
      <c r="A46" s="113" t="str">
        <f>'Distribution Rate Schedule'!A16</f>
        <v>Unmetered Scattered Load</v>
      </c>
      <c r="B46" s="120"/>
      <c r="C46" s="120"/>
      <c r="D46" s="121">
        <f>'Low Voltage Rates'!C41</f>
        <v>2652384.9112346303</v>
      </c>
      <c r="E46" s="122" t="str">
        <f>'Low Voltage Rates'!E13</f>
        <v>kWh</v>
      </c>
      <c r="F46" s="115">
        <f t="shared" si="17"/>
        <v>0</v>
      </c>
      <c r="G46" s="115">
        <f t="shared" si="18"/>
        <v>0</v>
      </c>
      <c r="H46" s="115">
        <f t="shared" si="19"/>
        <v>0</v>
      </c>
      <c r="I46" s="115">
        <f t="shared" si="20"/>
        <v>0</v>
      </c>
      <c r="J46" s="115">
        <f t="shared" si="21"/>
        <v>0</v>
      </c>
      <c r="K46" s="116"/>
      <c r="L46" s="115">
        <f t="shared" si="22"/>
        <v>0</v>
      </c>
    </row>
    <row r="47" spans="1:15" ht="20.2" customHeight="1">
      <c r="A47" s="113"/>
      <c r="B47" s="120"/>
      <c r="C47" s="120"/>
      <c r="D47" s="123"/>
      <c r="E47" s="122"/>
      <c r="F47" s="115"/>
      <c r="G47" s="115"/>
      <c r="H47" s="115"/>
      <c r="I47" s="115"/>
      <c r="J47" s="115"/>
      <c r="K47" s="116"/>
      <c r="L47" s="115"/>
    </row>
    <row r="48" spans="1:15" ht="20.2" customHeight="1" thickBot="1">
      <c r="A48" s="117" t="s">
        <v>37</v>
      </c>
      <c r="B48" s="118">
        <f>SUM(B39:B43)</f>
        <v>0</v>
      </c>
      <c r="C48" s="118">
        <f>SUM(C39:C43)</f>
        <v>0</v>
      </c>
      <c r="D48" s="118"/>
      <c r="E48" s="119"/>
      <c r="F48" s="118"/>
      <c r="G48" s="118"/>
      <c r="H48" s="118"/>
      <c r="I48" s="118"/>
      <c r="J48" s="118"/>
      <c r="K48" s="118"/>
      <c r="L48" s="118"/>
    </row>
    <row r="49" spans="1:15" ht="13.15" thickTop="1"/>
    <row r="50" spans="1:15" ht="13.15" thickBot="1"/>
    <row r="51" spans="1:15" ht="21" thickBot="1">
      <c r="A51" s="645" t="s">
        <v>163</v>
      </c>
      <c r="B51" s="645"/>
      <c r="C51" s="645"/>
      <c r="D51" s="645"/>
      <c r="E51" s="645"/>
      <c r="F51" s="645"/>
      <c r="G51" s="645"/>
      <c r="H51" s="645"/>
      <c r="I51" s="645"/>
      <c r="J51" s="645"/>
      <c r="K51" s="645"/>
      <c r="L51" s="645"/>
      <c r="N51" s="176" t="s">
        <v>78</v>
      </c>
      <c r="O51" s="72" t="str">
        <f>'Distribution Rate Schedule'!N3</f>
        <v>Y</v>
      </c>
    </row>
    <row r="52" spans="1:15" ht="26.25">
      <c r="A52" s="648" t="s">
        <v>66</v>
      </c>
      <c r="B52" s="646" t="s">
        <v>122</v>
      </c>
      <c r="C52" s="646"/>
      <c r="D52" s="178" t="s">
        <v>104</v>
      </c>
      <c r="E52" s="178"/>
      <c r="F52" s="646" t="s">
        <v>67</v>
      </c>
      <c r="G52" s="646"/>
      <c r="H52" s="646"/>
      <c r="I52" s="178" t="s">
        <v>68</v>
      </c>
      <c r="J52" s="178" t="s">
        <v>69</v>
      </c>
      <c r="K52" s="178" t="s">
        <v>75</v>
      </c>
      <c r="L52" s="178" t="s">
        <v>76</v>
      </c>
    </row>
    <row r="53" spans="1:15" ht="13.15">
      <c r="A53" s="649"/>
      <c r="B53" s="178" t="s">
        <v>70</v>
      </c>
      <c r="C53" s="178" t="s">
        <v>71</v>
      </c>
      <c r="D53" s="178"/>
      <c r="E53" s="178"/>
      <c r="F53" s="178" t="s">
        <v>70</v>
      </c>
      <c r="G53" s="178" t="s">
        <v>71</v>
      </c>
      <c r="H53" s="178" t="s">
        <v>37</v>
      </c>
      <c r="I53" s="178" t="s">
        <v>37</v>
      </c>
      <c r="J53" s="178" t="s">
        <v>37</v>
      </c>
      <c r="K53" s="178" t="s">
        <v>77</v>
      </c>
      <c r="L53" s="178" t="s">
        <v>37</v>
      </c>
    </row>
    <row r="54" spans="1:15" ht="24.75" customHeight="1">
      <c r="A54" s="650"/>
      <c r="B54" s="154" t="s">
        <v>72</v>
      </c>
      <c r="C54" s="154" t="s">
        <v>72</v>
      </c>
      <c r="D54" s="154"/>
      <c r="E54" s="154" t="s">
        <v>86</v>
      </c>
      <c r="F54" s="178" t="s">
        <v>73</v>
      </c>
      <c r="G54" s="178" t="s">
        <v>73</v>
      </c>
      <c r="H54" s="155" t="s">
        <v>73</v>
      </c>
      <c r="I54" s="155" t="s">
        <v>73</v>
      </c>
      <c r="J54" s="155" t="s">
        <v>73</v>
      </c>
      <c r="K54" s="156">
        <v>3</v>
      </c>
      <c r="L54" s="155" t="s">
        <v>73</v>
      </c>
    </row>
    <row r="55" spans="1:15" ht="20.2" customHeight="1">
      <c r="A55" s="113" t="str">
        <f>'Distribution Rate Schedule'!A9</f>
        <v>Residential</v>
      </c>
      <c r="B55" s="120"/>
      <c r="C55" s="120"/>
      <c r="D55" s="121">
        <f>'Low Voltage Rates'!C48</f>
        <v>480011939.38473219</v>
      </c>
      <c r="E55" s="122" t="str">
        <f>'Low Voltage Rates'!E6</f>
        <v>kWh</v>
      </c>
      <c r="F55" s="115">
        <f t="shared" ref="F55:F62" si="23">B55/D55</f>
        <v>0</v>
      </c>
      <c r="G55" s="115">
        <f t="shared" ref="G55:G62" si="24">C55/D55</f>
        <v>0</v>
      </c>
      <c r="H55" s="115">
        <f t="shared" ref="H55:H62" si="25">F55+G55</f>
        <v>0</v>
      </c>
      <c r="I55" s="115">
        <f t="shared" ref="I55:I62" si="26">H55/2</f>
        <v>0</v>
      </c>
      <c r="J55" s="115">
        <f t="shared" ref="J55:J62" si="27">H55/3</f>
        <v>0</v>
      </c>
      <c r="K55" s="114"/>
      <c r="L55" s="115">
        <f t="shared" ref="L55:L62" si="28">IF($O$51="Y", ROUND(IF($K$54=2, I55, IF($K$54=3, J55, 0)),4), IF($K$54=2, I55, IF($K$54=3, J55, 0)))</f>
        <v>0</v>
      </c>
    </row>
    <row r="56" spans="1:15" ht="20.2" customHeight="1">
      <c r="A56" s="113" t="str">
        <f>'Distribution Rate Schedule'!A10</f>
        <v>GS Less Than 50 KW</v>
      </c>
      <c r="B56" s="120"/>
      <c r="C56" s="120"/>
      <c r="D56" s="121">
        <f>'Low Voltage Rates'!C49</f>
        <v>129585178.21250525</v>
      </c>
      <c r="E56" s="122" t="str">
        <f>'Low Voltage Rates'!E7</f>
        <v>kWh</v>
      </c>
      <c r="F56" s="115">
        <f t="shared" si="23"/>
        <v>0</v>
      </c>
      <c r="G56" s="115">
        <f t="shared" si="24"/>
        <v>0</v>
      </c>
      <c r="H56" s="115">
        <f t="shared" si="25"/>
        <v>0</v>
      </c>
      <c r="I56" s="115">
        <f t="shared" si="26"/>
        <v>0</v>
      </c>
      <c r="J56" s="115">
        <f t="shared" si="27"/>
        <v>0</v>
      </c>
      <c r="K56" s="114"/>
      <c r="L56" s="115">
        <f t="shared" si="28"/>
        <v>0</v>
      </c>
      <c r="M56" s="176"/>
      <c r="N56" s="179"/>
      <c r="O56" s="179"/>
    </row>
    <row r="57" spans="1:15" ht="20.2" customHeight="1">
      <c r="A57" s="113" t="str">
        <f>'Distribution Rate Schedule'!A11</f>
        <v>GS 50 To 999 KW</v>
      </c>
      <c r="B57" s="120"/>
      <c r="C57" s="120"/>
      <c r="D57" s="121">
        <f>'Low Voltage Rates'!D50</f>
        <v>834069.22595941229</v>
      </c>
      <c r="E57" s="122" t="str">
        <f>'Low Voltage Rates'!E8</f>
        <v>kW</v>
      </c>
      <c r="F57" s="115">
        <f t="shared" si="23"/>
        <v>0</v>
      </c>
      <c r="G57" s="115">
        <f t="shared" si="24"/>
        <v>0</v>
      </c>
      <c r="H57" s="115">
        <f t="shared" si="25"/>
        <v>0</v>
      </c>
      <c r="I57" s="115">
        <f t="shared" si="26"/>
        <v>0</v>
      </c>
      <c r="J57" s="115">
        <f t="shared" si="27"/>
        <v>0</v>
      </c>
      <c r="K57" s="114"/>
      <c r="L57" s="115">
        <f t="shared" si="28"/>
        <v>0</v>
      </c>
    </row>
    <row r="58" spans="1:15" ht="20.2" customHeight="1">
      <c r="A58" s="113" t="str">
        <f>'Distribution Rate Schedule'!A12</f>
        <v>GS Intermediate 1,000 To 4,999 KW</v>
      </c>
      <c r="B58" s="120"/>
      <c r="C58" s="120"/>
      <c r="D58" s="121">
        <f>'Low Voltage Rates'!D51</f>
        <v>167714.00346680533</v>
      </c>
      <c r="E58" s="122" t="str">
        <f>'Low Voltage Rates'!E9</f>
        <v>kW</v>
      </c>
      <c r="F58" s="115">
        <f t="shared" si="23"/>
        <v>0</v>
      </c>
      <c r="G58" s="115">
        <f t="shared" si="24"/>
        <v>0</v>
      </c>
      <c r="H58" s="115">
        <f t="shared" si="25"/>
        <v>0</v>
      </c>
      <c r="I58" s="115">
        <f t="shared" si="26"/>
        <v>0</v>
      </c>
      <c r="J58" s="115">
        <f t="shared" si="27"/>
        <v>0</v>
      </c>
      <c r="K58" s="114"/>
      <c r="L58" s="115">
        <f t="shared" si="28"/>
        <v>0</v>
      </c>
    </row>
    <row r="59" spans="1:15" ht="20.2" customHeight="1">
      <c r="A59" s="113" t="str">
        <f>'Distribution Rate Schedule'!A13</f>
        <v>Large Use</v>
      </c>
      <c r="B59" s="120"/>
      <c r="C59" s="120"/>
      <c r="D59" s="121">
        <f>'Low Voltage Rates'!D52</f>
        <v>90488.372107827323</v>
      </c>
      <c r="E59" s="122" t="str">
        <f>'Low Voltage Rates'!E10</f>
        <v>kW</v>
      </c>
      <c r="F59" s="115">
        <f t="shared" si="23"/>
        <v>0</v>
      </c>
      <c r="G59" s="115">
        <f t="shared" si="24"/>
        <v>0</v>
      </c>
      <c r="H59" s="115">
        <f t="shared" si="25"/>
        <v>0</v>
      </c>
      <c r="I59" s="115">
        <f t="shared" si="26"/>
        <v>0</v>
      </c>
      <c r="J59" s="115">
        <f t="shared" si="27"/>
        <v>0</v>
      </c>
      <c r="K59" s="114"/>
      <c r="L59" s="115">
        <f t="shared" si="28"/>
        <v>0</v>
      </c>
    </row>
    <row r="60" spans="1:15" ht="20.2" customHeight="1">
      <c r="A60" s="113" t="str">
        <f>'Distribution Rate Schedule'!A14</f>
        <v>Street Lighting</v>
      </c>
      <c r="B60" s="120"/>
      <c r="C60" s="120"/>
      <c r="D60" s="121">
        <f>'Low Voltage Rates'!D53</f>
        <v>13345.422407816242</v>
      </c>
      <c r="E60" s="122" t="str">
        <f>'Low Voltage Rates'!E11</f>
        <v>kW</v>
      </c>
      <c r="F60" s="115">
        <f t="shared" si="23"/>
        <v>0</v>
      </c>
      <c r="G60" s="115">
        <f t="shared" si="24"/>
        <v>0</v>
      </c>
      <c r="H60" s="115">
        <f t="shared" si="25"/>
        <v>0</v>
      </c>
      <c r="I60" s="115">
        <f t="shared" si="26"/>
        <v>0</v>
      </c>
      <c r="J60" s="115">
        <f t="shared" si="27"/>
        <v>0</v>
      </c>
      <c r="K60" s="116"/>
      <c r="L60" s="115">
        <f t="shared" si="28"/>
        <v>0</v>
      </c>
    </row>
    <row r="61" spans="1:15" ht="20.2" customHeight="1">
      <c r="A61" s="113" t="str">
        <f>'Distribution Rate Schedule'!A15</f>
        <v>Sentinel Lighting</v>
      </c>
      <c r="B61" s="120"/>
      <c r="C61" s="120"/>
      <c r="D61" s="121">
        <f>'Low Voltage Rates'!D54</f>
        <v>96.768186330400098</v>
      </c>
      <c r="E61" s="122" t="str">
        <f>'Low Voltage Rates'!E12</f>
        <v>kW</v>
      </c>
      <c r="F61" s="115">
        <f t="shared" si="23"/>
        <v>0</v>
      </c>
      <c r="G61" s="115">
        <f t="shared" si="24"/>
        <v>0</v>
      </c>
      <c r="H61" s="115">
        <f t="shared" si="25"/>
        <v>0</v>
      </c>
      <c r="I61" s="115">
        <f t="shared" si="26"/>
        <v>0</v>
      </c>
      <c r="J61" s="115">
        <f t="shared" si="27"/>
        <v>0</v>
      </c>
      <c r="K61" s="116"/>
      <c r="L61" s="115">
        <f t="shared" si="28"/>
        <v>0</v>
      </c>
    </row>
    <row r="62" spans="1:15" ht="20.2" customHeight="1">
      <c r="A62" s="113" t="str">
        <f>'Distribution Rate Schedule'!A16</f>
        <v>Unmetered Scattered Load</v>
      </c>
      <c r="B62" s="120"/>
      <c r="C62" s="120"/>
      <c r="D62" s="121">
        <f>'Low Voltage Rates'!C55</f>
        <v>2612658.5895418967</v>
      </c>
      <c r="E62" s="122" t="str">
        <f>'Low Voltage Rates'!E13</f>
        <v>kWh</v>
      </c>
      <c r="F62" s="115">
        <f t="shared" si="23"/>
        <v>0</v>
      </c>
      <c r="G62" s="115">
        <f t="shared" si="24"/>
        <v>0</v>
      </c>
      <c r="H62" s="115">
        <f t="shared" si="25"/>
        <v>0</v>
      </c>
      <c r="I62" s="115">
        <f t="shared" si="26"/>
        <v>0</v>
      </c>
      <c r="J62" s="115">
        <f t="shared" si="27"/>
        <v>0</v>
      </c>
      <c r="K62" s="116"/>
      <c r="L62" s="115">
        <f t="shared" si="28"/>
        <v>0</v>
      </c>
    </row>
    <row r="63" spans="1:15" ht="20.2" customHeight="1">
      <c r="A63" s="113"/>
      <c r="B63" s="120"/>
      <c r="C63" s="120"/>
      <c r="D63" s="123"/>
      <c r="E63" s="122"/>
      <c r="F63" s="115"/>
      <c r="G63" s="115"/>
      <c r="H63" s="115"/>
      <c r="I63" s="115"/>
      <c r="J63" s="115"/>
      <c r="K63" s="116"/>
      <c r="L63" s="115"/>
    </row>
    <row r="64" spans="1:15" ht="20.2" customHeight="1" thickBot="1">
      <c r="A64" s="117" t="s">
        <v>37</v>
      </c>
      <c r="B64" s="118">
        <f>SUM(B55:B59)</f>
        <v>0</v>
      </c>
      <c r="C64" s="118">
        <f>SUM(C55:C59)</f>
        <v>0</v>
      </c>
      <c r="D64" s="118"/>
      <c r="E64" s="119"/>
      <c r="F64" s="118"/>
      <c r="G64" s="118"/>
      <c r="H64" s="118"/>
      <c r="I64" s="118"/>
      <c r="J64" s="118"/>
      <c r="K64" s="118"/>
      <c r="L64" s="118"/>
    </row>
    <row r="65" spans="1:15" ht="13.15" thickTop="1"/>
    <row r="66" spans="1:15" ht="13.15" thickBot="1"/>
    <row r="67" spans="1:15" ht="21" thickBot="1">
      <c r="A67" s="645" t="s">
        <v>189</v>
      </c>
      <c r="B67" s="645"/>
      <c r="C67" s="645"/>
      <c r="D67" s="645"/>
      <c r="E67" s="645"/>
      <c r="F67" s="645"/>
      <c r="G67" s="645"/>
      <c r="H67" s="645"/>
      <c r="I67" s="645"/>
      <c r="J67" s="645"/>
      <c r="K67" s="645"/>
      <c r="L67" s="645"/>
      <c r="N67" s="176" t="s">
        <v>78</v>
      </c>
      <c r="O67" s="72" t="str">
        <f>'Distribution Rate Schedule'!N3</f>
        <v>Y</v>
      </c>
    </row>
    <row r="68" spans="1:15" ht="26.25">
      <c r="A68" s="648" t="s">
        <v>66</v>
      </c>
      <c r="B68" s="646" t="s">
        <v>122</v>
      </c>
      <c r="C68" s="646"/>
      <c r="D68" s="178" t="s">
        <v>104</v>
      </c>
      <c r="E68" s="178"/>
      <c r="F68" s="646" t="s">
        <v>67</v>
      </c>
      <c r="G68" s="646"/>
      <c r="H68" s="646"/>
      <c r="I68" s="178" t="s">
        <v>68</v>
      </c>
      <c r="J68" s="178" t="s">
        <v>69</v>
      </c>
      <c r="K68" s="178" t="s">
        <v>75</v>
      </c>
      <c r="L68" s="178" t="s">
        <v>76</v>
      </c>
    </row>
    <row r="69" spans="1:15" ht="13.15">
      <c r="A69" s="649"/>
      <c r="B69" s="178" t="s">
        <v>70</v>
      </c>
      <c r="C69" s="178" t="s">
        <v>71</v>
      </c>
      <c r="D69" s="178"/>
      <c r="E69" s="178"/>
      <c r="F69" s="178" t="s">
        <v>70</v>
      </c>
      <c r="G69" s="178" t="s">
        <v>71</v>
      </c>
      <c r="H69" s="178" t="s">
        <v>37</v>
      </c>
      <c r="I69" s="178" t="s">
        <v>37</v>
      </c>
      <c r="J69" s="178" t="s">
        <v>37</v>
      </c>
      <c r="K69" s="178" t="s">
        <v>77</v>
      </c>
      <c r="L69" s="178" t="s">
        <v>37</v>
      </c>
    </row>
    <row r="70" spans="1:15" ht="24.75" customHeight="1">
      <c r="A70" s="650"/>
      <c r="B70" s="154" t="s">
        <v>72</v>
      </c>
      <c r="C70" s="154" t="s">
        <v>72</v>
      </c>
      <c r="D70" s="154"/>
      <c r="E70" s="154" t="s">
        <v>86</v>
      </c>
      <c r="F70" s="178" t="s">
        <v>73</v>
      </c>
      <c r="G70" s="178" t="s">
        <v>73</v>
      </c>
      <c r="H70" s="155" t="s">
        <v>73</v>
      </c>
      <c r="I70" s="155" t="s">
        <v>73</v>
      </c>
      <c r="J70" s="155" t="s">
        <v>73</v>
      </c>
      <c r="K70" s="156">
        <v>3</v>
      </c>
      <c r="L70" s="155" t="s">
        <v>73</v>
      </c>
    </row>
    <row r="71" spans="1:15" ht="20.2" customHeight="1">
      <c r="A71" s="113" t="str">
        <f>'Distribution Rate Schedule'!A9</f>
        <v>Residential</v>
      </c>
      <c r="B71" s="120"/>
      <c r="C71" s="120"/>
      <c r="D71" s="121">
        <f>'Low Voltage Rates'!C62</f>
        <v>478548339.49470502</v>
      </c>
      <c r="E71" s="122" t="str">
        <f>'Low Voltage Rates'!E6</f>
        <v>kWh</v>
      </c>
      <c r="F71" s="115">
        <f t="shared" ref="F71:F78" si="29">B71/D71</f>
        <v>0</v>
      </c>
      <c r="G71" s="115">
        <f t="shared" ref="G71:G78" si="30">C71/D71</f>
        <v>0</v>
      </c>
      <c r="H71" s="115">
        <f t="shared" ref="H71:H78" si="31">F71+G71</f>
        <v>0</v>
      </c>
      <c r="I71" s="115">
        <f t="shared" ref="I71:I78" si="32">H71/2</f>
        <v>0</v>
      </c>
      <c r="J71" s="115">
        <f t="shared" ref="J71:J78" si="33">H71/3</f>
        <v>0</v>
      </c>
      <c r="K71" s="114"/>
      <c r="L71" s="115">
        <f t="shared" ref="L71:L78" si="34">IF($O$67="Y", ROUND(IF($K$70=2, I71, IF($K$70=3, J71, 0)),4), IF($K$70=2, I71, IF($K$70=3, J71, 0)))</f>
        <v>0</v>
      </c>
    </row>
    <row r="72" spans="1:15" ht="20.2" customHeight="1">
      <c r="A72" s="113" t="str">
        <f>'Distribution Rate Schedule'!A10</f>
        <v>GS Less Than 50 KW</v>
      </c>
      <c r="B72" s="120"/>
      <c r="C72" s="120"/>
      <c r="D72" s="121">
        <f>'Low Voltage Rates'!C63</f>
        <v>129015225.78797366</v>
      </c>
      <c r="E72" s="122" t="str">
        <f>'Low Voltage Rates'!E7</f>
        <v>kWh</v>
      </c>
      <c r="F72" s="115">
        <f t="shared" si="29"/>
        <v>0</v>
      </c>
      <c r="G72" s="115">
        <f t="shared" si="30"/>
        <v>0</v>
      </c>
      <c r="H72" s="115">
        <f t="shared" si="31"/>
        <v>0</v>
      </c>
      <c r="I72" s="115">
        <f t="shared" si="32"/>
        <v>0</v>
      </c>
      <c r="J72" s="115">
        <f t="shared" si="33"/>
        <v>0</v>
      </c>
      <c r="K72" s="114"/>
      <c r="L72" s="115">
        <f t="shared" si="34"/>
        <v>0</v>
      </c>
      <c r="M72" s="176"/>
      <c r="N72" s="179"/>
      <c r="O72" s="179"/>
    </row>
    <row r="73" spans="1:15" ht="20.2" customHeight="1">
      <c r="A73" s="113" t="str">
        <f>'Distribution Rate Schedule'!A11</f>
        <v>GS 50 To 999 KW</v>
      </c>
      <c r="B73" s="120"/>
      <c r="C73" s="120"/>
      <c r="D73" s="121">
        <f>'Low Voltage Rates'!D64</f>
        <v>834069.22595941229</v>
      </c>
      <c r="E73" s="122" t="str">
        <f>'Low Voltage Rates'!E8</f>
        <v>kW</v>
      </c>
      <c r="F73" s="115">
        <f t="shared" si="29"/>
        <v>0</v>
      </c>
      <c r="G73" s="115">
        <f t="shared" si="30"/>
        <v>0</v>
      </c>
      <c r="H73" s="115">
        <f t="shared" si="31"/>
        <v>0</v>
      </c>
      <c r="I73" s="115">
        <f t="shared" si="32"/>
        <v>0</v>
      </c>
      <c r="J73" s="115">
        <f t="shared" si="33"/>
        <v>0</v>
      </c>
      <c r="K73" s="114"/>
      <c r="L73" s="115">
        <f t="shared" si="34"/>
        <v>0</v>
      </c>
    </row>
    <row r="74" spans="1:15" ht="20.2" customHeight="1">
      <c r="A74" s="113" t="str">
        <f>'Distribution Rate Schedule'!A12</f>
        <v>GS Intermediate 1,000 To 4,999 KW</v>
      </c>
      <c r="B74" s="120"/>
      <c r="C74" s="120"/>
      <c r="D74" s="121">
        <f>'Low Voltage Rates'!D65</f>
        <v>167714.00346680533</v>
      </c>
      <c r="E74" s="122" t="str">
        <f>'Low Voltage Rates'!E9</f>
        <v>kW</v>
      </c>
      <c r="F74" s="115">
        <f t="shared" si="29"/>
        <v>0</v>
      </c>
      <c r="G74" s="115">
        <f t="shared" si="30"/>
        <v>0</v>
      </c>
      <c r="H74" s="115">
        <f t="shared" si="31"/>
        <v>0</v>
      </c>
      <c r="I74" s="115">
        <f t="shared" si="32"/>
        <v>0</v>
      </c>
      <c r="J74" s="115">
        <f t="shared" si="33"/>
        <v>0</v>
      </c>
      <c r="K74" s="114"/>
      <c r="L74" s="115">
        <f t="shared" si="34"/>
        <v>0</v>
      </c>
    </row>
    <row r="75" spans="1:15" ht="20.2" customHeight="1">
      <c r="A75" s="113" t="str">
        <f>'Distribution Rate Schedule'!A13</f>
        <v>Large Use</v>
      </c>
      <c r="B75" s="120"/>
      <c r="C75" s="120"/>
      <c r="D75" s="121">
        <f>'Low Voltage Rates'!D66</f>
        <v>90488.372107827323</v>
      </c>
      <c r="E75" s="122" t="str">
        <f>'Low Voltage Rates'!E10</f>
        <v>kW</v>
      </c>
      <c r="F75" s="115">
        <f t="shared" si="29"/>
        <v>0</v>
      </c>
      <c r="G75" s="115">
        <f t="shared" si="30"/>
        <v>0</v>
      </c>
      <c r="H75" s="115">
        <f t="shared" si="31"/>
        <v>0</v>
      </c>
      <c r="I75" s="115">
        <f t="shared" si="32"/>
        <v>0</v>
      </c>
      <c r="J75" s="115">
        <f t="shared" si="33"/>
        <v>0</v>
      </c>
      <c r="K75" s="114"/>
      <c r="L75" s="115">
        <f t="shared" si="34"/>
        <v>0</v>
      </c>
    </row>
    <row r="76" spans="1:15" ht="20.2" customHeight="1">
      <c r="A76" s="113" t="str">
        <f>'Distribution Rate Schedule'!A14</f>
        <v>Street Lighting</v>
      </c>
      <c r="B76" s="120"/>
      <c r="C76" s="120"/>
      <c r="D76" s="121">
        <f>'Low Voltage Rates'!D67</f>
        <v>13345.422407816242</v>
      </c>
      <c r="E76" s="122" t="str">
        <f>'Low Voltage Rates'!E11</f>
        <v>kW</v>
      </c>
      <c r="F76" s="115">
        <f t="shared" si="29"/>
        <v>0</v>
      </c>
      <c r="G76" s="115">
        <f t="shared" si="30"/>
        <v>0</v>
      </c>
      <c r="H76" s="115">
        <f t="shared" si="31"/>
        <v>0</v>
      </c>
      <c r="I76" s="115">
        <f t="shared" si="32"/>
        <v>0</v>
      </c>
      <c r="J76" s="115">
        <f t="shared" si="33"/>
        <v>0</v>
      </c>
      <c r="K76" s="116"/>
      <c r="L76" s="115">
        <f t="shared" si="34"/>
        <v>0</v>
      </c>
    </row>
    <row r="77" spans="1:15" ht="20.2" customHeight="1">
      <c r="A77" s="113" t="str">
        <f>'Distribution Rate Schedule'!A15</f>
        <v>Sentinel Lighting</v>
      </c>
      <c r="B77" s="120"/>
      <c r="C77" s="120"/>
      <c r="D77" s="121">
        <f>'Low Voltage Rates'!D68</f>
        <v>96.768186330400098</v>
      </c>
      <c r="E77" s="122" t="str">
        <f>'Low Voltage Rates'!E12</f>
        <v>kW</v>
      </c>
      <c r="F77" s="115">
        <f t="shared" si="29"/>
        <v>0</v>
      </c>
      <c r="G77" s="115">
        <f t="shared" si="30"/>
        <v>0</v>
      </c>
      <c r="H77" s="115">
        <f t="shared" si="31"/>
        <v>0</v>
      </c>
      <c r="I77" s="115">
        <f t="shared" si="32"/>
        <v>0</v>
      </c>
      <c r="J77" s="115">
        <f t="shared" si="33"/>
        <v>0</v>
      </c>
      <c r="K77" s="116"/>
      <c r="L77" s="115">
        <f t="shared" si="34"/>
        <v>0</v>
      </c>
    </row>
    <row r="78" spans="1:15" ht="20.2" customHeight="1">
      <c r="A78" s="113" t="str">
        <f>'Distribution Rate Schedule'!A16</f>
        <v>Unmetered Scattered Load</v>
      </c>
      <c r="B78" s="120"/>
      <c r="C78" s="120"/>
      <c r="D78" s="121">
        <f>'Low Voltage Rates'!C69</f>
        <v>2660941.3975806902</v>
      </c>
      <c r="E78" s="122" t="str">
        <f>'Low Voltage Rates'!E13</f>
        <v>kWh</v>
      </c>
      <c r="F78" s="115">
        <f t="shared" si="29"/>
        <v>0</v>
      </c>
      <c r="G78" s="115">
        <f t="shared" si="30"/>
        <v>0</v>
      </c>
      <c r="H78" s="115">
        <f t="shared" si="31"/>
        <v>0</v>
      </c>
      <c r="I78" s="115">
        <f t="shared" si="32"/>
        <v>0</v>
      </c>
      <c r="J78" s="115">
        <f t="shared" si="33"/>
        <v>0</v>
      </c>
      <c r="K78" s="116"/>
      <c r="L78" s="115">
        <f t="shared" si="34"/>
        <v>0</v>
      </c>
    </row>
    <row r="79" spans="1:15" ht="20.2" customHeight="1">
      <c r="A79" s="113"/>
      <c r="B79" s="120"/>
      <c r="C79" s="120"/>
      <c r="D79" s="123"/>
      <c r="E79" s="122"/>
      <c r="F79" s="115"/>
      <c r="G79" s="115"/>
      <c r="H79" s="115"/>
      <c r="I79" s="115"/>
      <c r="J79" s="115"/>
      <c r="K79" s="116"/>
      <c r="L79" s="115"/>
    </row>
    <row r="80" spans="1:15" ht="20.2" customHeight="1" thickBot="1">
      <c r="A80" s="117" t="s">
        <v>37</v>
      </c>
      <c r="B80" s="118">
        <f>SUM(B71:B75)</f>
        <v>0</v>
      </c>
      <c r="C80" s="118">
        <f>SUM(C71:C75)</f>
        <v>0</v>
      </c>
      <c r="D80" s="118"/>
      <c r="E80" s="119"/>
      <c r="F80" s="118"/>
      <c r="G80" s="118"/>
      <c r="H80" s="118"/>
      <c r="I80" s="118"/>
      <c r="J80" s="118"/>
      <c r="K80" s="118"/>
      <c r="L80" s="118"/>
    </row>
    <row r="81" ht="13.15" thickTop="1"/>
  </sheetData>
  <mergeCells count="22">
    <mergeCell ref="A67:L67"/>
    <mergeCell ref="A68:A70"/>
    <mergeCell ref="B68:C68"/>
    <mergeCell ref="F68:H68"/>
    <mergeCell ref="A36:A38"/>
    <mergeCell ref="B36:C36"/>
    <mergeCell ref="F36:H36"/>
    <mergeCell ref="A51:L51"/>
    <mergeCell ref="A52:A54"/>
    <mergeCell ref="B52:C52"/>
    <mergeCell ref="F52:H52"/>
    <mergeCell ref="A19:L19"/>
    <mergeCell ref="A20:A22"/>
    <mergeCell ref="B20:C20"/>
    <mergeCell ref="F20:H20"/>
    <mergeCell ref="A35:L35"/>
    <mergeCell ref="B4:C4"/>
    <mergeCell ref="F4:H4"/>
    <mergeCell ref="A1:L1"/>
    <mergeCell ref="A2:L2"/>
    <mergeCell ref="A3:L3"/>
    <mergeCell ref="A4:A6"/>
  </mergeCells>
  <phoneticPr fontId="0" type="noConversion"/>
  <pageMargins left="0.74803149606299213" right="0.74803149606299213" top="0.98425196850393704" bottom="0.98425196850393704" header="0.51181102362204722" footer="0.51181102362204722"/>
  <pageSetup scale="73" orientation="landscape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"/>
  <sheetViews>
    <sheetView topLeftCell="A58" zoomScale="90" zoomScaleNormal="90" workbookViewId="0">
      <selection activeCell="G84" sqref="G84"/>
    </sheetView>
  </sheetViews>
  <sheetFormatPr defaultRowHeight="12.75"/>
  <cols>
    <col min="1" max="1" width="32.73046875" customWidth="1"/>
    <col min="2" max="2" width="16.73046875" customWidth="1"/>
    <col min="3" max="3" width="13.53125" customWidth="1"/>
    <col min="4" max="4" width="15" customWidth="1"/>
    <col min="5" max="5" width="19.265625" customWidth="1"/>
    <col min="6" max="6" width="2.73046875" customWidth="1"/>
    <col min="7" max="7" width="3.265625" style="199" customWidth="1"/>
    <col min="8" max="8" width="32.73046875" style="1" customWidth="1"/>
    <col min="9" max="9" width="16.73046875" style="1" customWidth="1"/>
    <col min="10" max="11" width="14" style="1" bestFit="1" customWidth="1"/>
    <col min="12" max="12" width="16.19921875" style="1" customWidth="1"/>
    <col min="14" max="14" width="19" bestFit="1" customWidth="1"/>
    <col min="22" max="22" width="10.19921875" customWidth="1"/>
    <col min="23" max="23" width="11.73046875" customWidth="1"/>
    <col min="24" max="24" width="10.19921875" customWidth="1"/>
  </cols>
  <sheetData>
    <row r="1" spans="1:27" ht="13.15">
      <c r="A1" s="608" t="str">
        <f>+'Revenue Input'!A1</f>
        <v>Oshawa PUC Networks Inc</v>
      </c>
      <c r="B1" s="608"/>
      <c r="C1" s="608"/>
      <c r="D1" s="608"/>
      <c r="E1" s="608"/>
    </row>
    <row r="2" spans="1:27" ht="13.5" thickBot="1">
      <c r="A2" s="617"/>
      <c r="B2" s="617"/>
      <c r="C2" s="617"/>
      <c r="D2" s="617"/>
      <c r="E2" s="617"/>
      <c r="N2" s="205" t="s">
        <v>62</v>
      </c>
    </row>
    <row r="3" spans="1:27" ht="21" thickBot="1">
      <c r="A3" s="652" t="s">
        <v>124</v>
      </c>
      <c r="B3" s="652"/>
      <c r="C3" s="652"/>
      <c r="D3" s="652"/>
      <c r="E3" s="652"/>
      <c r="N3" s="77" t="s">
        <v>258</v>
      </c>
    </row>
    <row r="4" spans="1:27" ht="15">
      <c r="A4" s="651"/>
      <c r="B4" s="651"/>
      <c r="C4" s="651"/>
      <c r="D4" s="651"/>
      <c r="E4" s="651"/>
    </row>
    <row r="5" spans="1:27" ht="13.15">
      <c r="A5" s="653"/>
      <c r="B5" s="653"/>
      <c r="C5" s="653"/>
      <c r="D5" s="653"/>
      <c r="E5" s="653"/>
      <c r="F5" s="32"/>
      <c r="G5" s="200"/>
      <c r="H5" s="32"/>
      <c r="I5" s="32"/>
      <c r="J5" s="32"/>
      <c r="K5" s="32"/>
      <c r="U5" s="224"/>
      <c r="V5" s="224"/>
      <c r="W5" s="224"/>
      <c r="X5" s="224"/>
      <c r="Y5" s="224"/>
      <c r="Z5" s="224"/>
    </row>
    <row r="6" spans="1:27" ht="15">
      <c r="A6" s="651"/>
      <c r="B6" s="651"/>
      <c r="C6" s="651"/>
      <c r="D6" s="651"/>
      <c r="E6" s="651"/>
      <c r="U6" s="224"/>
      <c r="V6" s="224"/>
      <c r="W6" s="224"/>
      <c r="X6" s="224"/>
      <c r="Y6" s="224"/>
      <c r="Z6" s="224"/>
    </row>
    <row r="7" spans="1:27" s="7" customFormat="1" ht="17.649999999999999">
      <c r="A7" s="621" t="s">
        <v>125</v>
      </c>
      <c r="B7" s="621"/>
      <c r="C7" s="621"/>
      <c r="D7" s="621"/>
      <c r="E7" s="621"/>
      <c r="G7" s="201"/>
      <c r="H7" s="621" t="s">
        <v>126</v>
      </c>
      <c r="I7" s="621"/>
      <c r="J7" s="621"/>
      <c r="K7" s="621"/>
      <c r="L7" s="621"/>
      <c r="Q7" s="317" t="s">
        <v>250</v>
      </c>
      <c r="R7" s="316"/>
      <c r="U7" s="316"/>
      <c r="V7" s="316"/>
      <c r="W7" s="316">
        <v>2014</v>
      </c>
      <c r="X7" s="316">
        <v>2014</v>
      </c>
      <c r="Y7" s="316"/>
      <c r="Z7" s="316"/>
      <c r="AA7" s="316"/>
    </row>
    <row r="8" spans="1:27" s="7" customFormat="1" ht="13.15">
      <c r="A8" s="314" t="s">
        <v>0</v>
      </c>
      <c r="B8" s="157" t="s">
        <v>24</v>
      </c>
      <c r="C8" s="157" t="s">
        <v>25</v>
      </c>
      <c r="D8" s="157" t="s">
        <v>16</v>
      </c>
      <c r="E8" s="157" t="s">
        <v>15</v>
      </c>
      <c r="G8" s="202"/>
      <c r="H8" s="314" t="s">
        <v>0</v>
      </c>
      <c r="I8" s="157" t="s">
        <v>24</v>
      </c>
      <c r="J8" s="157" t="s">
        <v>25</v>
      </c>
      <c r="K8" s="157" t="s">
        <v>16</v>
      </c>
      <c r="L8" s="157" t="s">
        <v>15</v>
      </c>
      <c r="Q8" s="369" t="s">
        <v>248</v>
      </c>
      <c r="R8" s="369" t="s">
        <v>249</v>
      </c>
      <c r="U8" s="316"/>
      <c r="V8" s="316"/>
      <c r="W8" s="369" t="s">
        <v>248</v>
      </c>
      <c r="X8" s="369" t="s">
        <v>249</v>
      </c>
      <c r="Y8" s="316"/>
      <c r="Z8" s="316"/>
    </row>
    <row r="9" spans="1:27" s="7" customFormat="1" ht="18" customHeight="1">
      <c r="A9" s="57" t="str">
        <f>'Low Voltage Rates'!A6</f>
        <v>Residential</v>
      </c>
      <c r="B9" s="84"/>
      <c r="C9" s="84">
        <f>IF(+$N$3="Y",+ROUND(+'Rates By Rate Class'!D6,2),+'Rates By Rate Class'!D6)</f>
        <v>10.5</v>
      </c>
      <c r="D9" s="70"/>
      <c r="E9" s="70">
        <f>IF(+$N$3="Y",ROUND(+'Rates By Rate Class'!E6,4),+'Rates By Rate Class'!E6)</f>
        <v>1.32E-2</v>
      </c>
      <c r="G9" s="203"/>
      <c r="H9" s="57" t="str">
        <f t="shared" ref="H9:H16" si="0">A9</f>
        <v>Residential</v>
      </c>
      <c r="I9" s="84"/>
      <c r="J9" s="84"/>
      <c r="K9" s="70"/>
      <c r="L9" s="70">
        <f>IF(+$N$3="Y",+ROUND(+'Low Voltage Rates'!F6,4),+'Low Voltage Rates'!F6)</f>
        <v>0</v>
      </c>
      <c r="P9" s="367"/>
      <c r="Q9" s="367">
        <f>C9/W9-1</f>
        <v>0.23966942148760317</v>
      </c>
      <c r="R9" s="367">
        <f>E9/X9-1</f>
        <v>9.9999999999999867E-2</v>
      </c>
      <c r="U9" s="290"/>
      <c r="V9" s="316"/>
      <c r="W9" s="370">
        <v>8.4700000000000006</v>
      </c>
      <c r="X9" s="371">
        <v>1.2E-2</v>
      </c>
      <c r="Y9" s="316"/>
      <c r="Z9" s="290"/>
    </row>
    <row r="10" spans="1:27" s="7" customFormat="1" ht="18" customHeight="1">
      <c r="A10" s="57" t="str">
        <f>'Low Voltage Rates'!A7</f>
        <v>GS Less Than 50 KW</v>
      </c>
      <c r="B10" s="84"/>
      <c r="C10" s="84">
        <f>IF(+$N$3="Y",+ROUND(+'Rates By Rate Class'!D7,2),+'Rates By Rate Class'!D7)</f>
        <v>15.21</v>
      </c>
      <c r="D10" s="70"/>
      <c r="E10" s="70">
        <f>IF(+$N$3="Y",ROUND(+'Rates By Rate Class'!E7,4),+'Rates By Rate Class'!E7)</f>
        <v>1.47E-2</v>
      </c>
      <c r="G10" s="203"/>
      <c r="H10" s="57" t="str">
        <f t="shared" si="0"/>
        <v>GS Less Than 50 KW</v>
      </c>
      <c r="I10" s="84"/>
      <c r="J10" s="84"/>
      <c r="K10" s="70"/>
      <c r="L10" s="70">
        <f>IF(+$N$3="Y",+ROUND(+'Low Voltage Rates'!F7,4),+'Low Voltage Rates'!F7)</f>
        <v>0</v>
      </c>
      <c r="P10" s="367"/>
      <c r="Q10" s="367">
        <f>C10/W10-1</f>
        <v>0.81503579952267291</v>
      </c>
      <c r="R10" s="367">
        <f>E10/X10-1</f>
        <v>-0.1352941176470589</v>
      </c>
      <c r="U10" s="290"/>
      <c r="V10" s="316"/>
      <c r="W10" s="370">
        <v>8.3800000000000008</v>
      </c>
      <c r="X10" s="371">
        <v>1.7000000000000001E-2</v>
      </c>
      <c r="Y10" s="316"/>
      <c r="Z10" s="290"/>
    </row>
    <row r="11" spans="1:27" s="7" customFormat="1" ht="18" customHeight="1">
      <c r="A11" s="57" t="str">
        <f>'Low Voltage Rates'!A8</f>
        <v>GS 50 To 999 KW</v>
      </c>
      <c r="B11" s="84"/>
      <c r="C11" s="84">
        <f>IF(+$N$3="Y",+ROUND(+'Rates By Rate Class'!D8,2),+'Rates By Rate Class'!D8)</f>
        <v>48.76</v>
      </c>
      <c r="D11" s="70">
        <f>IF(+$N$3="Y",ROUND(+'Rates By Rate Class'!E8,4),+'Rates By Rate Class'!E8)</f>
        <v>4.1839000000000004</v>
      </c>
      <c r="E11" s="70"/>
      <c r="G11" s="203"/>
      <c r="H11" s="57" t="str">
        <f t="shared" si="0"/>
        <v>GS 50 To 999 KW</v>
      </c>
      <c r="I11" s="84"/>
      <c r="J11" s="84"/>
      <c r="K11" s="70">
        <f>IF(+$N$3="Y",+ROUND(+'Low Voltage Rates'!G8,4),+'Low Voltage Rates'!G8)</f>
        <v>0</v>
      </c>
      <c r="L11" s="70"/>
      <c r="P11" s="367"/>
      <c r="Q11" s="367">
        <f>C11/W11-1</f>
        <v>0.13053559007651283</v>
      </c>
      <c r="R11" s="367">
        <f>D11/X11-1</f>
        <v>0.12782704800927314</v>
      </c>
      <c r="S11" s="367"/>
      <c r="U11" s="290"/>
      <c r="V11" s="316"/>
      <c r="W11" s="370">
        <v>43.13</v>
      </c>
      <c r="X11" s="371">
        <v>3.7097000000000002</v>
      </c>
      <c r="Y11" s="316"/>
      <c r="Z11" s="290"/>
    </row>
    <row r="12" spans="1:27" s="7" customFormat="1" ht="18" customHeight="1">
      <c r="A12" s="57" t="str">
        <f>'Low Voltage Rates'!A9</f>
        <v>GS Intermediate 1,000 To 4,999 KW</v>
      </c>
      <c r="B12" s="84"/>
      <c r="C12" s="84">
        <f>IF(+$N$3="Y",+ROUND(+'Rates By Rate Class'!D9,2),+'Rates By Rate Class'!D9)</f>
        <v>1024.6300000000001</v>
      </c>
      <c r="D12" s="70">
        <f>IF(+$N$3="Y",ROUND(+'Rates By Rate Class'!E9,4),+'Rates By Rate Class'!E9)</f>
        <v>2.2648999999999999</v>
      </c>
      <c r="E12" s="70"/>
      <c r="G12" s="203"/>
      <c r="H12" s="57" t="str">
        <f t="shared" si="0"/>
        <v>GS Intermediate 1,000 To 4,999 KW</v>
      </c>
      <c r="I12" s="84"/>
      <c r="J12" s="84"/>
      <c r="K12" s="70">
        <f>IF(+$N$3="Y",+ROUND(+'Low Voltage Rates'!G9,4),+'Low Voltage Rates'!G9)</f>
        <v>0</v>
      </c>
      <c r="L12" s="70"/>
      <c r="P12" s="367"/>
      <c r="Q12" s="367">
        <f>C12/W12-1</f>
        <v>-0.16121875946527819</v>
      </c>
      <c r="R12" s="367">
        <f>D12/X12-1</f>
        <v>-0.12629711067391891</v>
      </c>
      <c r="S12" s="367"/>
      <c r="U12" s="290"/>
      <c r="V12" s="316"/>
      <c r="W12" s="370">
        <v>1221.57</v>
      </c>
      <c r="X12" s="371">
        <v>2.5922999999999998</v>
      </c>
      <c r="Y12" s="316"/>
      <c r="Z12" s="290"/>
    </row>
    <row r="13" spans="1:27" s="7" customFormat="1" ht="18" customHeight="1">
      <c r="A13" s="57" t="str">
        <f>'Low Voltage Rates'!A10</f>
        <v>Large Use</v>
      </c>
      <c r="B13" s="84"/>
      <c r="C13" s="84">
        <f>IF(+$N$3="Y",+ROUND(+'Rates By Rate Class'!D10,2),+'Rates By Rate Class'!D10)</f>
        <v>7812.41</v>
      </c>
      <c r="D13" s="70">
        <f>IF(+$N$3="Y",ROUND(+'Rates By Rate Class'!E10,4),+'Rates By Rate Class'!E10)</f>
        <v>1.9725999999999999</v>
      </c>
      <c r="E13" s="70"/>
      <c r="G13" s="203"/>
      <c r="H13" s="57" t="str">
        <f t="shared" si="0"/>
        <v>Large Use</v>
      </c>
      <c r="I13" s="84"/>
      <c r="J13" s="84"/>
      <c r="K13" s="70">
        <f>IF(+$N$3="Y",+ROUND(+'Low Voltage Rates'!G10,4),+'Low Voltage Rates'!G10)</f>
        <v>0</v>
      </c>
      <c r="L13" s="70"/>
      <c r="P13" s="367"/>
      <c r="Q13" s="367">
        <f>C13/W13-1</f>
        <v>-5.5403276413042213E-2</v>
      </c>
      <c r="R13" s="367">
        <f>D13/X13-1</f>
        <v>-3.9209001022843637E-2</v>
      </c>
      <c r="S13" s="367"/>
      <c r="U13" s="290"/>
      <c r="V13" s="316"/>
      <c r="W13" s="370">
        <v>8270.6299999999992</v>
      </c>
      <c r="X13" s="371">
        <v>2.0531000000000001</v>
      </c>
      <c r="Y13" s="316"/>
      <c r="Z13" s="290"/>
    </row>
    <row r="14" spans="1:27" s="163" customFormat="1" ht="18" customHeight="1">
      <c r="A14" s="57" t="str">
        <f>'Low Voltage Rates'!A11</f>
        <v>Street Lighting</v>
      </c>
      <c r="B14" s="84">
        <f>IF(+$N$3="Y",+ROUND(+'Rates By Rate Class'!D11,4),+'Rates By Rate Class'!D11)</f>
        <v>1.65</v>
      </c>
      <c r="C14" s="84"/>
      <c r="D14" s="70">
        <f>IF(+$N$3="Y",ROUND(+'Rates By Rate Class'!E11,4),+'Rates By Rate Class'!E11)</f>
        <v>25.491599999999998</v>
      </c>
      <c r="E14" s="70"/>
      <c r="G14" s="203"/>
      <c r="H14" s="57" t="str">
        <f t="shared" si="0"/>
        <v>Street Lighting</v>
      </c>
      <c r="I14" s="84"/>
      <c r="J14" s="84"/>
      <c r="K14" s="70">
        <f>IF(+$N$3="Y",+ROUND(+'Low Voltage Rates'!G11,4),+'Low Voltage Rates'!G11)</f>
        <v>0</v>
      </c>
      <c r="L14" s="70"/>
      <c r="Q14" s="367">
        <f>B14/W14-1</f>
        <v>0.41025641025641035</v>
      </c>
      <c r="R14" s="367">
        <f>D14/X14-1</f>
        <v>0.40804896101457122</v>
      </c>
      <c r="S14" s="367"/>
      <c r="U14" s="290"/>
      <c r="V14" s="316"/>
      <c r="W14" s="370">
        <v>1.17</v>
      </c>
      <c r="X14" s="371">
        <v>18.104199999999999</v>
      </c>
      <c r="Y14" s="316"/>
      <c r="Z14" s="290"/>
    </row>
    <row r="15" spans="1:27" s="7" customFormat="1" ht="18" customHeight="1">
      <c r="A15" s="57" t="str">
        <f>'Low Voltage Rates'!A12</f>
        <v>Sentinel Lighting</v>
      </c>
      <c r="B15" s="84">
        <f>IF(+$N$3="Y",+ROUND(+'Rates By Rate Class'!D12,4),+'Rates By Rate Class'!D12)</f>
        <v>4.91</v>
      </c>
      <c r="C15" s="84"/>
      <c r="D15" s="70">
        <f>IF(+$N$3="Y",ROUND(+'Rates By Rate Class'!E12,4),+'Rates By Rate Class'!E12)</f>
        <v>7.0133000000000001</v>
      </c>
      <c r="E15" s="70"/>
      <c r="G15" s="203"/>
      <c r="H15" s="57" t="str">
        <f t="shared" si="0"/>
        <v>Sentinel Lighting</v>
      </c>
      <c r="I15" s="84"/>
      <c r="J15" s="84"/>
      <c r="K15" s="70">
        <f>IF(+$N$3="Y",+ROUND(+'Low Voltage Rates'!G12,4),+'Low Voltage Rates'!G12)</f>
        <v>0</v>
      </c>
      <c r="L15" s="70"/>
      <c r="Q15" s="367">
        <f>B15/W15-1</f>
        <v>0.13133640552995396</v>
      </c>
      <c r="R15" s="367">
        <f>D15/X15-1</f>
        <v>0.12910132981292466</v>
      </c>
      <c r="S15" s="367"/>
      <c r="U15" s="290"/>
      <c r="V15" s="316"/>
      <c r="W15" s="370">
        <v>4.34</v>
      </c>
      <c r="X15" s="371">
        <v>6.2114000000000003</v>
      </c>
      <c r="Y15" s="316"/>
      <c r="Z15" s="290"/>
    </row>
    <row r="16" spans="1:27" s="7" customFormat="1" ht="18" customHeight="1">
      <c r="A16" s="57" t="str">
        <f>'Low Voltage Rates'!A13</f>
        <v>Unmetered Scattered Load</v>
      </c>
      <c r="B16" s="84">
        <f>IF(+$N$3="Y",+ROUND(+'Rates By Rate Class'!D13,4),+'Rates By Rate Class'!D13)</f>
        <v>4.07</v>
      </c>
      <c r="C16" s="84"/>
      <c r="D16" s="70"/>
      <c r="E16" s="70">
        <f>IF(+$N$3="Y",ROUND(+'Rates By Rate Class'!E13,4),+'Rates By Rate Class'!E13)</f>
        <v>1.66E-2</v>
      </c>
      <c r="G16" s="203"/>
      <c r="H16" s="57" t="str">
        <f t="shared" si="0"/>
        <v>Unmetered Scattered Load</v>
      </c>
      <c r="I16" s="84"/>
      <c r="J16" s="84"/>
      <c r="K16" s="70"/>
      <c r="L16" s="70">
        <f>IF(+$N$3="Y",+ROUND(+'Low Voltage Rates'!F13,4),+'Low Voltage Rates'!F13)</f>
        <v>0</v>
      </c>
      <c r="Q16" s="367">
        <f>B16/W16-1</f>
        <v>0.21856287425149712</v>
      </c>
      <c r="R16" s="367">
        <f>E16/X16-1</f>
        <v>0.22058823529411775</v>
      </c>
      <c r="U16" s="290"/>
      <c r="V16" s="316"/>
      <c r="W16" s="370">
        <v>3.34</v>
      </c>
      <c r="X16" s="371">
        <v>1.3599999999999999E-2</v>
      </c>
      <c r="Y16" s="316"/>
      <c r="Z16" s="290"/>
    </row>
    <row r="17" spans="1:26" s="7" customFormat="1" ht="18" customHeight="1">
      <c r="A17" s="57"/>
      <c r="B17" s="84"/>
      <c r="C17" s="84"/>
      <c r="D17" s="70"/>
      <c r="E17" s="70"/>
      <c r="G17" s="203"/>
      <c r="H17" s="57"/>
      <c r="I17" s="84"/>
      <c r="J17" s="84"/>
      <c r="K17" s="70"/>
      <c r="L17" s="70"/>
      <c r="P17" s="367"/>
      <c r="Q17" s="367"/>
      <c r="R17" s="367"/>
      <c r="S17" s="367"/>
      <c r="U17" s="290"/>
      <c r="V17" s="316"/>
      <c r="W17" s="370"/>
      <c r="X17" s="371"/>
      <c r="Y17" s="316"/>
      <c r="Z17" s="290"/>
    </row>
    <row r="18" spans="1:26" ht="18.75" customHeight="1" thickBot="1">
      <c r="A18" s="651"/>
      <c r="B18" s="651"/>
      <c r="C18" s="651"/>
      <c r="D18" s="651"/>
      <c r="E18" s="651"/>
      <c r="G18" s="201"/>
      <c r="H18" s="651"/>
      <c r="I18" s="651"/>
      <c r="J18" s="651"/>
      <c r="K18" s="651"/>
      <c r="L18" s="651"/>
      <c r="U18" s="224"/>
      <c r="V18" s="316"/>
      <c r="W18" s="370"/>
      <c r="X18" s="371"/>
      <c r="Y18" s="316"/>
      <c r="Z18" s="224"/>
    </row>
    <row r="19" spans="1:26" s="7" customFormat="1" ht="18" customHeight="1" thickBot="1">
      <c r="A19" s="31" t="s">
        <v>65</v>
      </c>
      <c r="B19" s="34"/>
      <c r="C19" s="34"/>
      <c r="D19" s="71">
        <f>'Transformer Allowance'!B28</f>
        <v>-0.6</v>
      </c>
      <c r="E19" s="34"/>
      <c r="G19" s="201"/>
      <c r="H19"/>
      <c r="I19"/>
      <c r="J19"/>
      <c r="K19"/>
      <c r="L19"/>
      <c r="U19" s="290"/>
      <c r="V19" s="316"/>
      <c r="W19" s="290"/>
      <c r="X19" s="290"/>
      <c r="Y19" s="316"/>
      <c r="Z19" s="290"/>
    </row>
    <row r="20" spans="1:26">
      <c r="U20" s="224"/>
      <c r="V20" s="224"/>
      <c r="W20" s="224"/>
      <c r="X20" s="224"/>
      <c r="Y20" s="316"/>
      <c r="Z20" s="224"/>
    </row>
    <row r="21" spans="1:26" ht="13.15">
      <c r="A21" s="608" t="str">
        <f>+'Revenue Input'!A1</f>
        <v>Oshawa PUC Networks Inc</v>
      </c>
      <c r="B21" s="608"/>
      <c r="C21" s="608"/>
      <c r="D21" s="608"/>
      <c r="E21" s="608"/>
      <c r="Y21" s="316"/>
    </row>
    <row r="22" spans="1:26">
      <c r="A22" s="617"/>
      <c r="B22" s="617"/>
      <c r="C22" s="617"/>
      <c r="D22" s="617"/>
      <c r="E22" s="617"/>
      <c r="G22" s="204"/>
      <c r="H22"/>
      <c r="I22"/>
      <c r="J22"/>
      <c r="K22"/>
      <c r="L22"/>
    </row>
    <row r="23" spans="1:26" ht="20.65">
      <c r="A23" s="652" t="s">
        <v>153</v>
      </c>
      <c r="B23" s="652"/>
      <c r="C23" s="652"/>
      <c r="D23" s="652"/>
      <c r="E23" s="652"/>
      <c r="G23" s="201"/>
      <c r="H23"/>
    </row>
    <row r="24" spans="1:26" ht="15">
      <c r="A24" s="651"/>
      <c r="B24" s="651"/>
      <c r="C24" s="651"/>
      <c r="D24" s="651"/>
      <c r="E24" s="651"/>
    </row>
    <row r="25" spans="1:26" ht="13.15">
      <c r="A25" s="653"/>
      <c r="B25" s="653"/>
      <c r="C25" s="653"/>
      <c r="D25" s="653"/>
      <c r="E25" s="653"/>
      <c r="F25" s="165"/>
      <c r="G25" s="200"/>
      <c r="H25" s="165"/>
      <c r="I25" s="165"/>
      <c r="J25" s="165"/>
      <c r="K25" s="165"/>
    </row>
    <row r="26" spans="1:26" ht="15">
      <c r="A26" s="651"/>
      <c r="B26" s="651"/>
      <c r="C26" s="651"/>
      <c r="D26" s="651"/>
      <c r="E26" s="651"/>
    </row>
    <row r="27" spans="1:26" s="163" customFormat="1" ht="17.649999999999999">
      <c r="A27" s="621" t="s">
        <v>154</v>
      </c>
      <c r="B27" s="621"/>
      <c r="C27" s="621"/>
      <c r="D27" s="621"/>
      <c r="E27" s="621"/>
      <c r="G27" s="201"/>
      <c r="H27" s="621" t="s">
        <v>155</v>
      </c>
      <c r="I27" s="621"/>
      <c r="J27" s="621"/>
      <c r="K27" s="621"/>
      <c r="L27" s="621"/>
      <c r="Q27" s="317" t="s">
        <v>250</v>
      </c>
    </row>
    <row r="28" spans="1:26" s="163" customFormat="1" ht="13.15">
      <c r="A28" s="314" t="s">
        <v>0</v>
      </c>
      <c r="B28" s="157" t="s">
        <v>24</v>
      </c>
      <c r="C28" s="157" t="s">
        <v>25</v>
      </c>
      <c r="D28" s="157" t="s">
        <v>16</v>
      </c>
      <c r="E28" s="157" t="s">
        <v>15</v>
      </c>
      <c r="G28" s="202"/>
      <c r="H28" s="314" t="s">
        <v>0</v>
      </c>
      <c r="I28" s="157" t="s">
        <v>24</v>
      </c>
      <c r="J28" s="157" t="s">
        <v>25</v>
      </c>
      <c r="K28" s="157" t="s">
        <v>16</v>
      </c>
      <c r="L28" s="157" t="s">
        <v>15</v>
      </c>
      <c r="Q28" s="369" t="s">
        <v>248</v>
      </c>
      <c r="R28" s="369" t="s">
        <v>249</v>
      </c>
    </row>
    <row r="29" spans="1:26" s="163" customFormat="1" ht="18" customHeight="1">
      <c r="A29" s="57" t="str">
        <f>'Low Voltage Rates'!A20</f>
        <v>Residential</v>
      </c>
      <c r="B29" s="84"/>
      <c r="C29" s="84">
        <f>IF(+$N$3="Y",+ROUND(+'Rates By Rate Class'!D37,2),+'Rates By Rate Class'!D37)</f>
        <v>11.21</v>
      </c>
      <c r="D29" s="70"/>
      <c r="E29" s="70">
        <f>IF(+$N$3="Y",ROUND(+'Rates By Rate Class'!E37,4),+'Rates By Rate Class'!E37)</f>
        <v>1.4200000000000001E-2</v>
      </c>
      <c r="G29" s="203"/>
      <c r="H29" s="57" t="str">
        <f t="shared" ref="H29:H36" si="1">A29</f>
        <v>Residential</v>
      </c>
      <c r="I29" s="84"/>
      <c r="J29" s="84"/>
      <c r="K29" s="70"/>
      <c r="L29" s="70">
        <f>IF(+$N$3="Y",+ROUND(+'Low Voltage Rates'!F20,4),+'Low Voltage Rates'!F20)</f>
        <v>0</v>
      </c>
      <c r="Q29" s="367">
        <f>C29/C9-1</f>
        <v>6.761904761904769E-2</v>
      </c>
      <c r="R29" s="367">
        <f>E29/E9-1</f>
        <v>7.5757575757575912E-2</v>
      </c>
    </row>
    <row r="30" spans="1:26" s="163" customFormat="1" ht="18" customHeight="1">
      <c r="A30" s="57" t="str">
        <f>'Low Voltage Rates'!A21</f>
        <v>GS Less Than 50 KW</v>
      </c>
      <c r="B30" s="84"/>
      <c r="C30" s="84">
        <f>IF(+$N$3="Y",+ROUND(+'Rates By Rate Class'!D38,2),+'Rates By Rate Class'!D38)</f>
        <v>16.02</v>
      </c>
      <c r="D30" s="70"/>
      <c r="E30" s="70">
        <f>IF(+$N$3="Y",ROUND(+'Rates By Rate Class'!E38,4),+'Rates By Rate Class'!E38)</f>
        <v>1.5699999999999999E-2</v>
      </c>
      <c r="G30" s="203"/>
      <c r="H30" s="57" t="str">
        <f t="shared" si="1"/>
        <v>GS Less Than 50 KW</v>
      </c>
      <c r="I30" s="84"/>
      <c r="J30" s="84"/>
      <c r="K30" s="70"/>
      <c r="L30" s="70">
        <f>IF(+$N$3="Y",+ROUND(+'Low Voltage Rates'!F21,4),+'Low Voltage Rates'!F21)</f>
        <v>0</v>
      </c>
      <c r="Q30" s="367">
        <f t="shared" ref="Q30:R35" si="2">C30/C10-1</f>
        <v>5.3254437869822313E-2</v>
      </c>
      <c r="R30" s="367">
        <f>E30/E10-1</f>
        <v>6.8027210884353595E-2</v>
      </c>
    </row>
    <row r="31" spans="1:26" s="163" customFormat="1" ht="18" customHeight="1">
      <c r="A31" s="57" t="str">
        <f>'Low Voltage Rates'!A22</f>
        <v>GS 50 To 999 KW</v>
      </c>
      <c r="B31" s="84"/>
      <c r="C31" s="84">
        <f>IF(+$N$3="Y",+ROUND(+'Rates By Rate Class'!D39,2),+'Rates By Rate Class'!D39)</f>
        <v>52.2</v>
      </c>
      <c r="D31" s="70">
        <f>IF(+$N$3="Y",ROUND(+'Rates By Rate Class'!E39,4),+'Rates By Rate Class'!E39)</f>
        <v>4.4740000000000002</v>
      </c>
      <c r="E31" s="70"/>
      <c r="G31" s="203"/>
      <c r="H31" s="57" t="str">
        <f t="shared" si="1"/>
        <v>GS 50 To 999 KW</v>
      </c>
      <c r="I31" s="84"/>
      <c r="J31" s="84"/>
      <c r="K31" s="70">
        <f>IF(+$N$3="Y",+ROUND(+'Low Voltage Rates'!G22,4),+'Low Voltage Rates'!G22)</f>
        <v>0</v>
      </c>
      <c r="L31" s="70"/>
      <c r="Q31" s="367">
        <f t="shared" si="2"/>
        <v>7.0549630844954914E-2</v>
      </c>
      <c r="R31" s="367">
        <f t="shared" si="2"/>
        <v>6.9337221252897985E-2</v>
      </c>
    </row>
    <row r="32" spans="1:26" s="163" customFormat="1" ht="18" customHeight="1">
      <c r="A32" s="57" t="str">
        <f>'Low Voltage Rates'!A23</f>
        <v>GS Intermediate 1,000 To 4,999 KW</v>
      </c>
      <c r="B32" s="84"/>
      <c r="C32" s="84">
        <f>IF(+$N$3="Y",+ROUND(+'Rates By Rate Class'!D40,2),+'Rates By Rate Class'!D40)</f>
        <v>1097.01</v>
      </c>
      <c r="D32" s="70">
        <f>IF(+$N$3="Y",ROUND(+'Rates By Rate Class'!E40,4),+'Rates By Rate Class'!E40)</f>
        <v>2.3852000000000002</v>
      </c>
      <c r="E32" s="70"/>
      <c r="G32" s="203"/>
      <c r="H32" s="57" t="str">
        <f t="shared" si="1"/>
        <v>GS Intermediate 1,000 To 4,999 KW</v>
      </c>
      <c r="I32" s="84"/>
      <c r="J32" s="84"/>
      <c r="K32" s="70">
        <f>IF(+$N$3="Y",+ROUND(+'Low Voltage Rates'!G23,4),+'Low Voltage Rates'!G23)</f>
        <v>0</v>
      </c>
      <c r="L32" s="70"/>
      <c r="Q32" s="367">
        <f t="shared" si="2"/>
        <v>7.0640133511608916E-2</v>
      </c>
      <c r="R32" s="367">
        <f t="shared" si="2"/>
        <v>5.3114927811382495E-2</v>
      </c>
    </row>
    <row r="33" spans="1:18" s="163" customFormat="1" ht="18" customHeight="1">
      <c r="A33" s="57" t="str">
        <f>'Low Voltage Rates'!A24</f>
        <v>Large Use</v>
      </c>
      <c r="B33" s="84"/>
      <c r="C33" s="84">
        <f>IF(+$N$3="Y",+ROUND(+'Rates By Rate Class'!D41,2),+'Rates By Rate Class'!D41)</f>
        <v>8347.42</v>
      </c>
      <c r="D33" s="70">
        <f>IF(+$N$3="Y",ROUND(+'Rates By Rate Class'!E41,4),+'Rates By Rate Class'!E41)</f>
        <v>2.0666000000000002</v>
      </c>
      <c r="E33" s="70"/>
      <c r="G33" s="203"/>
      <c r="H33" s="57" t="str">
        <f t="shared" si="1"/>
        <v>Large Use</v>
      </c>
      <c r="I33" s="84"/>
      <c r="J33" s="84"/>
      <c r="K33" s="70">
        <f>IF(+$N$3="Y",+ROUND(+'Low Voltage Rates'!G24,4),+'Low Voltage Rates'!G24)</f>
        <v>0</v>
      </c>
      <c r="L33" s="70"/>
      <c r="Q33" s="367">
        <f t="shared" si="2"/>
        <v>6.8482068913434002E-2</v>
      </c>
      <c r="R33" s="367">
        <f t="shared" si="2"/>
        <v>4.765284396228342E-2</v>
      </c>
    </row>
    <row r="34" spans="1:18" s="163" customFormat="1" ht="18" customHeight="1">
      <c r="A34" s="57" t="str">
        <f>'Low Voltage Rates'!A25</f>
        <v>Street Lighting</v>
      </c>
      <c r="B34" s="84">
        <f>IF(+$N$3="Y",+ROUND(+'Rates By Rate Class'!D42,4),+'Rates By Rate Class'!D42)</f>
        <v>1.8290999999999999</v>
      </c>
      <c r="C34" s="84"/>
      <c r="D34" s="70">
        <f>IF(+$N$3="Y",ROUND(+'Rates By Rate Class'!E42,4),+'Rates By Rate Class'!E42)</f>
        <v>28.259</v>
      </c>
      <c r="E34" s="70"/>
      <c r="G34" s="203"/>
      <c r="H34" s="57" t="str">
        <f t="shared" si="1"/>
        <v>Street Lighting</v>
      </c>
      <c r="I34" s="84"/>
      <c r="J34" s="84"/>
      <c r="K34" s="70">
        <f>IF(+$N$3="Y",+ROUND(+'Low Voltage Rates'!G25,4),+'Low Voltage Rates'!G25)</f>
        <v>0</v>
      </c>
      <c r="L34" s="70"/>
      <c r="Q34" s="367">
        <f>B34/B14-1</f>
        <v>0.1085454545454545</v>
      </c>
      <c r="R34" s="367">
        <f t="shared" si="2"/>
        <v>0.10856125154953022</v>
      </c>
    </row>
    <row r="35" spans="1:18" s="163" customFormat="1" ht="18" customHeight="1">
      <c r="A35" s="57" t="str">
        <f>'Low Voltage Rates'!A26</f>
        <v>Sentinel Lighting</v>
      </c>
      <c r="B35" s="84">
        <f>IF(+$N$3="Y",+ROUND(+'Rates By Rate Class'!D43,4),+'Rates By Rate Class'!D43)</f>
        <v>5.2568999999999999</v>
      </c>
      <c r="C35" s="84"/>
      <c r="D35" s="70">
        <f>IF(+$N$3="Y",ROUND(+'Rates By Rate Class'!E43,4),+'Rates By Rate Class'!E43)</f>
        <v>7.5087999999999999</v>
      </c>
      <c r="E35" s="70"/>
      <c r="G35" s="203"/>
      <c r="H35" s="57" t="str">
        <f t="shared" si="1"/>
        <v>Sentinel Lighting</v>
      </c>
      <c r="I35" s="84"/>
      <c r="J35" s="84"/>
      <c r="K35" s="70">
        <f>IF(+$N$3="Y",+ROUND(+'Low Voltage Rates'!G26,4),+'Low Voltage Rates'!G26)</f>
        <v>0</v>
      </c>
      <c r="L35" s="70"/>
      <c r="Q35" s="367">
        <f>B35/B15-1</f>
        <v>7.065173116089607E-2</v>
      </c>
      <c r="R35" s="367">
        <f t="shared" si="2"/>
        <v>7.0651476480401598E-2</v>
      </c>
    </row>
    <row r="36" spans="1:18" s="163" customFormat="1" ht="18" customHeight="1">
      <c r="A36" s="57" t="str">
        <f>'Low Voltage Rates'!A27</f>
        <v>Unmetered Scattered Load</v>
      </c>
      <c r="B36" s="84">
        <f>IF(+$N$3="Y",+ROUND(+'Rates By Rate Class'!D44,4),+'Rates By Rate Class'!D44)</f>
        <v>4.3574999999999999</v>
      </c>
      <c r="C36" s="84"/>
      <c r="D36" s="70"/>
      <c r="E36" s="70">
        <f>IF(+$N$3="Y",ROUND(+'Rates By Rate Class'!E44,4),+'Rates By Rate Class'!E44)</f>
        <v>1.78E-2</v>
      </c>
      <c r="G36" s="203"/>
      <c r="H36" s="57" t="str">
        <f t="shared" si="1"/>
        <v>Unmetered Scattered Load</v>
      </c>
      <c r="I36" s="84"/>
      <c r="J36" s="84"/>
      <c r="K36" s="70"/>
      <c r="L36" s="70">
        <f>IF(+$N$3="Y",+ROUND(+'Low Voltage Rates'!F27,4),+'Low Voltage Rates'!F27)</f>
        <v>0</v>
      </c>
      <c r="Q36" s="367">
        <f>B36/B16-1</f>
        <v>7.0638820638820654E-2</v>
      </c>
      <c r="R36" s="367">
        <f>E36/E16-1</f>
        <v>7.2289156626506035E-2</v>
      </c>
    </row>
    <row r="37" spans="1:18" s="163" customFormat="1" ht="18" customHeight="1">
      <c r="A37" s="57"/>
      <c r="B37" s="84"/>
      <c r="C37" s="84"/>
      <c r="D37" s="70"/>
      <c r="E37" s="70"/>
      <c r="G37" s="203"/>
      <c r="H37" s="57"/>
      <c r="I37" s="84"/>
      <c r="J37" s="84"/>
      <c r="K37" s="70"/>
      <c r="L37" s="70"/>
    </row>
    <row r="38" spans="1:18" ht="18.75" customHeight="1" thickBot="1">
      <c r="A38" s="651"/>
      <c r="B38" s="651"/>
      <c r="C38" s="651"/>
      <c r="D38" s="651"/>
      <c r="E38" s="651"/>
      <c r="G38" s="201"/>
      <c r="H38" s="651"/>
      <c r="I38" s="651"/>
      <c r="J38" s="651"/>
      <c r="K38" s="651"/>
      <c r="L38" s="651"/>
    </row>
    <row r="39" spans="1:18" s="163" customFormat="1" ht="18" customHeight="1" thickBot="1">
      <c r="A39" s="164" t="s">
        <v>65</v>
      </c>
      <c r="B39" s="167"/>
      <c r="C39" s="167"/>
      <c r="D39" s="71">
        <f>'Transformer Allowance'!B28</f>
        <v>-0.6</v>
      </c>
      <c r="E39" s="167"/>
      <c r="G39" s="201"/>
      <c r="H39"/>
      <c r="I39"/>
      <c r="J39"/>
      <c r="K39"/>
      <c r="L39"/>
    </row>
    <row r="41" spans="1:18" ht="13.15">
      <c r="A41" s="608" t="str">
        <f>+'Revenue Input'!A1</f>
        <v>Oshawa PUC Networks Inc</v>
      </c>
      <c r="B41" s="608"/>
      <c r="C41" s="608"/>
      <c r="D41" s="608"/>
      <c r="E41" s="608"/>
    </row>
    <row r="42" spans="1:18">
      <c r="A42" s="617"/>
      <c r="B42" s="617"/>
      <c r="C42" s="617"/>
      <c r="D42" s="617"/>
      <c r="E42" s="617"/>
    </row>
    <row r="43" spans="1:18" ht="20.65">
      <c r="A43" s="652" t="s">
        <v>159</v>
      </c>
      <c r="B43" s="652"/>
      <c r="C43" s="652"/>
      <c r="D43" s="652"/>
      <c r="E43" s="652"/>
      <c r="G43" s="201"/>
      <c r="H43"/>
    </row>
    <row r="44" spans="1:18" ht="15">
      <c r="A44" s="651"/>
      <c r="B44" s="651"/>
      <c r="C44" s="651"/>
      <c r="D44" s="651"/>
      <c r="E44" s="651"/>
    </row>
    <row r="45" spans="1:18" ht="13.15">
      <c r="A45" s="653"/>
      <c r="B45" s="653"/>
      <c r="C45" s="653"/>
      <c r="D45" s="653"/>
      <c r="E45" s="653"/>
      <c r="F45" s="165"/>
      <c r="G45" s="200"/>
      <c r="H45" s="165"/>
      <c r="I45" s="165"/>
      <c r="J45" s="165"/>
      <c r="K45" s="165"/>
    </row>
    <row r="46" spans="1:18" ht="15">
      <c r="A46" s="651"/>
      <c r="B46" s="651"/>
      <c r="C46" s="651"/>
      <c r="D46" s="651"/>
      <c r="E46" s="651"/>
    </row>
    <row r="47" spans="1:18" s="163" customFormat="1" ht="17.649999999999999">
      <c r="A47" s="621" t="s">
        <v>160</v>
      </c>
      <c r="B47" s="621"/>
      <c r="C47" s="621"/>
      <c r="D47" s="621"/>
      <c r="E47" s="621"/>
      <c r="G47" s="201"/>
      <c r="H47" s="621" t="s">
        <v>161</v>
      </c>
      <c r="I47" s="621"/>
      <c r="J47" s="621"/>
      <c r="K47" s="621"/>
      <c r="L47" s="621"/>
      <c r="Q47" s="317" t="s">
        <v>250</v>
      </c>
      <c r="R47" s="316"/>
    </row>
    <row r="48" spans="1:18" s="163" customFormat="1" ht="13.15">
      <c r="A48" s="314" t="s">
        <v>0</v>
      </c>
      <c r="B48" s="157" t="s">
        <v>24</v>
      </c>
      <c r="C48" s="157" t="s">
        <v>25</v>
      </c>
      <c r="D48" s="157" t="s">
        <v>16</v>
      </c>
      <c r="E48" s="157" t="s">
        <v>15</v>
      </c>
      <c r="G48" s="202"/>
      <c r="H48" s="314" t="s">
        <v>0</v>
      </c>
      <c r="I48" s="157" t="s">
        <v>24</v>
      </c>
      <c r="J48" s="157" t="s">
        <v>25</v>
      </c>
      <c r="K48" s="157" t="s">
        <v>16</v>
      </c>
      <c r="L48" s="157" t="s">
        <v>15</v>
      </c>
      <c r="Q48" s="369" t="s">
        <v>248</v>
      </c>
      <c r="R48" s="369" t="s">
        <v>249</v>
      </c>
    </row>
    <row r="49" spans="1:18" s="163" customFormat="1" ht="18" customHeight="1">
      <c r="A49" s="57" t="str">
        <f>'Low Voltage Rates'!A34</f>
        <v>Residential</v>
      </c>
      <c r="B49" s="84"/>
      <c r="C49" s="84">
        <f>IF(+$N$3="Y",+ROUND(+'Rates By Rate Class'!D68,2),+'Rates By Rate Class'!D68)</f>
        <v>14.22</v>
      </c>
      <c r="D49" s="70"/>
      <c r="E49" s="70">
        <f>IF(+$N$3="Y",ROUND(+'Rates By Rate Class'!E68,4),+'Rates By Rate Class'!E68)</f>
        <v>1.09E-2</v>
      </c>
      <c r="G49" s="203"/>
      <c r="H49" s="57" t="str">
        <f t="shared" ref="H49:H56" si="3">A49</f>
        <v>Residential</v>
      </c>
      <c r="I49" s="84"/>
      <c r="J49" s="84"/>
      <c r="K49" s="70"/>
      <c r="L49" s="70">
        <f>IF(+$N$3="Y",+ROUND(+'Low Voltage Rates'!F34,4),+'Low Voltage Rates'!F34)</f>
        <v>0</v>
      </c>
      <c r="Q49" s="367">
        <f>C49/C29-1</f>
        <v>0.26851025869759138</v>
      </c>
      <c r="R49" s="367">
        <f>E49/E29-1</f>
        <v>-0.23239436619718312</v>
      </c>
    </row>
    <row r="50" spans="1:18" s="163" customFormat="1" ht="18" customHeight="1">
      <c r="A50" s="57" t="str">
        <f>'Low Voltage Rates'!A35</f>
        <v>GS Less Than 50 KW</v>
      </c>
      <c r="B50" s="84"/>
      <c r="C50" s="84">
        <f>IF(+$N$3="Y",+ROUND(+'Rates By Rate Class'!D69,2),+'Rates By Rate Class'!D69)</f>
        <v>16.239999999999998</v>
      </c>
      <c r="D50" s="70"/>
      <c r="E50" s="70">
        <f>IF(+$N$3="Y",ROUND(+'Rates By Rate Class'!E69,4),+'Rates By Rate Class'!E69)</f>
        <v>1.61E-2</v>
      </c>
      <c r="G50" s="203"/>
      <c r="H50" s="57" t="str">
        <f t="shared" si="3"/>
        <v>GS Less Than 50 KW</v>
      </c>
      <c r="I50" s="84"/>
      <c r="J50" s="84"/>
      <c r="K50" s="70"/>
      <c r="L50" s="70">
        <f>IF(+$N$3="Y",+ROUND(+'Low Voltage Rates'!F35,4),+'Low Voltage Rates'!F35)</f>
        <v>0</v>
      </c>
      <c r="Q50" s="367">
        <f t="shared" ref="Q50:Q53" si="4">C50/C30-1</f>
        <v>1.3732833957553092E-2</v>
      </c>
      <c r="R50" s="367">
        <f>E50/E30-1</f>
        <v>2.5477707006369421E-2</v>
      </c>
    </row>
    <row r="51" spans="1:18" s="163" customFormat="1" ht="18" customHeight="1">
      <c r="A51" s="57" t="str">
        <f>'Low Voltage Rates'!A36</f>
        <v>GS 50 To 999 KW</v>
      </c>
      <c r="B51" s="84"/>
      <c r="C51" s="84">
        <f>IF(+$N$3="Y",+ROUND(+'Rates By Rate Class'!D70,2),+'Rates By Rate Class'!D70)</f>
        <v>53.33</v>
      </c>
      <c r="D51" s="70">
        <f>IF(+$N$3="Y",ROUND(+'Rates By Rate Class'!E70,4),+'Rates By Rate Class'!E70)</f>
        <v>4.5690999999999997</v>
      </c>
      <c r="E51" s="70"/>
      <c r="G51" s="203"/>
      <c r="H51" s="57" t="str">
        <f t="shared" si="3"/>
        <v>GS 50 To 999 KW</v>
      </c>
      <c r="I51" s="84"/>
      <c r="J51" s="84"/>
      <c r="K51" s="70">
        <f>IF(+$N$3="Y",+ROUND(+'Low Voltage Rates'!G36,4),+'Low Voltage Rates'!G36)</f>
        <v>0</v>
      </c>
      <c r="L51" s="70"/>
      <c r="Q51" s="367">
        <f t="shared" si="4"/>
        <v>2.1647509578544E-2</v>
      </c>
      <c r="R51" s="367">
        <f t="shared" ref="R51:R55" si="5">D51/D31-1</f>
        <v>2.1256146624943906E-2</v>
      </c>
    </row>
    <row r="52" spans="1:18" s="163" customFormat="1" ht="18" customHeight="1">
      <c r="A52" s="57" t="str">
        <f>'Low Voltage Rates'!A37</f>
        <v>GS Intermediate 1,000 To 4,999 KW</v>
      </c>
      <c r="B52" s="84"/>
      <c r="C52" s="84">
        <f>IF(+$N$3="Y",+ROUND(+'Rates By Rate Class'!D71,2),+'Rates By Rate Class'!D71)</f>
        <v>1120.74</v>
      </c>
      <c r="D52" s="70">
        <f>IF(+$N$3="Y",ROUND(+'Rates By Rate Class'!E71,4),+'Rates By Rate Class'!E71)</f>
        <v>2.4245999999999999</v>
      </c>
      <c r="E52" s="70"/>
      <c r="G52" s="203"/>
      <c r="H52" s="57" t="str">
        <f t="shared" si="3"/>
        <v>GS Intermediate 1,000 To 4,999 KW</v>
      </c>
      <c r="I52" s="84"/>
      <c r="J52" s="84"/>
      <c r="K52" s="70">
        <f>IF(+$N$3="Y",+ROUND(+'Low Voltage Rates'!G37,4),+'Low Voltage Rates'!G37)</f>
        <v>0</v>
      </c>
      <c r="L52" s="70"/>
      <c r="Q52" s="367">
        <f t="shared" si="4"/>
        <v>2.1631525692564324E-2</v>
      </c>
      <c r="R52" s="367">
        <f t="shared" si="5"/>
        <v>1.6518530940801357E-2</v>
      </c>
    </row>
    <row r="53" spans="1:18" s="163" customFormat="1" ht="18" customHeight="1">
      <c r="A53" s="57" t="str">
        <f>'Low Voltage Rates'!A38</f>
        <v>Large Use</v>
      </c>
      <c r="B53" s="84"/>
      <c r="C53" s="84">
        <f>IF(+$N$3="Y",+ROUND(+'Rates By Rate Class'!D72,2),+'Rates By Rate Class'!D72)</f>
        <v>8527.98</v>
      </c>
      <c r="D53" s="70">
        <f>IF(+$N$3="Y",ROUND(+'Rates By Rate Class'!E72,4),+'Rates By Rate Class'!E72)</f>
        <v>2.0983000000000001</v>
      </c>
      <c r="E53" s="70"/>
      <c r="G53" s="203"/>
      <c r="H53" s="57" t="str">
        <f t="shared" si="3"/>
        <v>Large Use</v>
      </c>
      <c r="I53" s="84"/>
      <c r="J53" s="84"/>
      <c r="K53" s="70">
        <f>IF(+$N$3="Y",+ROUND(+'Low Voltage Rates'!G38,4),+'Low Voltage Rates'!G38)</f>
        <v>0</v>
      </c>
      <c r="L53" s="70"/>
      <c r="Q53" s="367">
        <f t="shared" si="4"/>
        <v>2.1630635573626211E-2</v>
      </c>
      <c r="R53" s="367">
        <f t="shared" si="5"/>
        <v>1.533920449046744E-2</v>
      </c>
    </row>
    <row r="54" spans="1:18" s="163" customFormat="1" ht="18" customHeight="1">
      <c r="A54" s="57" t="str">
        <f>'Low Voltage Rates'!A39</f>
        <v>Street Lighting</v>
      </c>
      <c r="B54" s="84">
        <f>IF(+$N$3="Y",+ROUND(+'Rates By Rate Class'!D73,4),+'Rates By Rate Class'!D73)</f>
        <v>1.9211</v>
      </c>
      <c r="C54" s="84"/>
      <c r="D54" s="70">
        <f>IF(+$N$3="Y",ROUND(+'Rates By Rate Class'!E73,4),+'Rates By Rate Class'!E73)</f>
        <v>29.666399999999999</v>
      </c>
      <c r="E54" s="70"/>
      <c r="G54" s="203"/>
      <c r="H54" s="57" t="str">
        <f t="shared" si="3"/>
        <v>Street Lighting</v>
      </c>
      <c r="I54" s="84"/>
      <c r="J54" s="84"/>
      <c r="K54" s="70">
        <f>IF(+$N$3="Y",+ROUND(+'Low Voltage Rates'!G39,4),+'Low Voltage Rates'!G39)</f>
        <v>0</v>
      </c>
      <c r="L54" s="70"/>
      <c r="Q54" s="367">
        <f>B54/B34-1</f>
        <v>5.0297960745721904E-2</v>
      </c>
      <c r="R54" s="367">
        <f t="shared" si="5"/>
        <v>4.9803602392158197E-2</v>
      </c>
    </row>
    <row r="55" spans="1:18" s="163" customFormat="1" ht="18" customHeight="1">
      <c r="A55" s="57" t="str">
        <f>'Low Voltage Rates'!A40</f>
        <v>Sentinel Lighting</v>
      </c>
      <c r="B55" s="84">
        <f>IF(+$N$3="Y",+ROUND(+'Rates By Rate Class'!D74,4),+'Rates By Rate Class'!D74)</f>
        <v>5.3738000000000001</v>
      </c>
      <c r="C55" s="84"/>
      <c r="D55" s="70">
        <f>IF(+$N$3="Y",ROUND(+'Rates By Rate Class'!E74,4),+'Rates By Rate Class'!E74)</f>
        <v>7.6711999999999998</v>
      </c>
      <c r="E55" s="70"/>
      <c r="G55" s="203"/>
      <c r="H55" s="57" t="str">
        <f t="shared" si="3"/>
        <v>Sentinel Lighting</v>
      </c>
      <c r="I55" s="84"/>
      <c r="J55" s="84"/>
      <c r="K55" s="70">
        <f>IF(+$N$3="Y",+ROUND(+'Low Voltage Rates'!G40,4),+'Low Voltage Rates'!G40)</f>
        <v>0</v>
      </c>
      <c r="L55" s="70"/>
      <c r="Q55" s="367">
        <f>B55/B35-1</f>
        <v>2.2237440316536405E-2</v>
      </c>
      <c r="R55" s="367">
        <f t="shared" si="5"/>
        <v>2.1627956531003578E-2</v>
      </c>
    </row>
    <row r="56" spans="1:18" s="163" customFormat="1" ht="18" customHeight="1">
      <c r="A56" s="57" t="str">
        <f>'Low Voltage Rates'!A41</f>
        <v>Unmetered Scattered Load</v>
      </c>
      <c r="B56" s="84">
        <f>IF(+$N$3="Y",+ROUND(+'Rates By Rate Class'!D75,4),+'Rates By Rate Class'!D75)</f>
        <v>4.4526000000000003</v>
      </c>
      <c r="C56" s="84"/>
      <c r="D56" s="70"/>
      <c r="E56" s="70">
        <f>IF(+$N$3="Y",ROUND(+'Rates By Rate Class'!E75,4),+'Rates By Rate Class'!E75)</f>
        <v>1.8200000000000001E-2</v>
      </c>
      <c r="G56" s="203"/>
      <c r="H56" s="57" t="str">
        <f t="shared" si="3"/>
        <v>Unmetered Scattered Load</v>
      </c>
      <c r="I56" s="84"/>
      <c r="J56" s="84"/>
      <c r="K56" s="70"/>
      <c r="L56" s="70">
        <f>IF(+$N$3="Y",+ROUND(+'Low Voltage Rates'!F41,4),+'Low Voltage Rates'!F41)</f>
        <v>0</v>
      </c>
      <c r="Q56" s="367">
        <f>B56/B36-1</f>
        <v>2.1824440619621521E-2</v>
      </c>
      <c r="R56" s="367">
        <f>E56/E36-1</f>
        <v>2.2471910112359605E-2</v>
      </c>
    </row>
    <row r="57" spans="1:18" s="163" customFormat="1" ht="18" customHeight="1">
      <c r="A57" s="57"/>
      <c r="B57" s="84"/>
      <c r="C57" s="84"/>
      <c r="D57" s="70"/>
      <c r="E57" s="70"/>
      <c r="G57" s="203"/>
      <c r="H57" s="57"/>
      <c r="I57" s="84"/>
      <c r="J57" s="84"/>
      <c r="K57" s="70"/>
      <c r="L57" s="70"/>
    </row>
    <row r="58" spans="1:18" ht="18.75" customHeight="1" thickBot="1">
      <c r="A58" s="651"/>
      <c r="B58" s="651"/>
      <c r="C58" s="651"/>
      <c r="D58" s="651"/>
      <c r="E58" s="651"/>
      <c r="G58" s="201"/>
      <c r="H58" s="651"/>
      <c r="I58" s="651"/>
      <c r="J58" s="651"/>
      <c r="K58" s="651"/>
      <c r="L58" s="651"/>
    </row>
    <row r="59" spans="1:18" s="163" customFormat="1" ht="18" customHeight="1" thickBot="1">
      <c r="A59" s="164" t="s">
        <v>65</v>
      </c>
      <c r="B59" s="167"/>
      <c r="C59" s="167"/>
      <c r="D59" s="71">
        <f>'Transformer Allowance'!B28</f>
        <v>-0.6</v>
      </c>
      <c r="E59" s="167"/>
      <c r="G59" s="201"/>
      <c r="H59"/>
      <c r="I59"/>
      <c r="J59"/>
      <c r="K59"/>
      <c r="L59"/>
    </row>
    <row r="61" spans="1:18" ht="13.15">
      <c r="A61" s="608" t="str">
        <f>+'Revenue Input'!A1</f>
        <v>Oshawa PUC Networks Inc</v>
      </c>
      <c r="B61" s="608"/>
      <c r="C61" s="608"/>
      <c r="D61" s="608"/>
      <c r="E61" s="608"/>
    </row>
    <row r="62" spans="1:18">
      <c r="A62" s="617"/>
      <c r="B62" s="617"/>
      <c r="C62" s="617"/>
      <c r="D62" s="617"/>
      <c r="E62" s="617"/>
    </row>
    <row r="63" spans="1:18" ht="20.65">
      <c r="A63" s="652" t="s">
        <v>164</v>
      </c>
      <c r="B63" s="652"/>
      <c r="C63" s="652"/>
      <c r="D63" s="652"/>
      <c r="E63" s="652"/>
      <c r="G63" s="201"/>
      <c r="H63"/>
    </row>
    <row r="64" spans="1:18" ht="15">
      <c r="A64" s="651"/>
      <c r="B64" s="651"/>
      <c r="C64" s="651"/>
      <c r="D64" s="651"/>
      <c r="E64" s="651"/>
    </row>
    <row r="65" spans="1:18" ht="13.15">
      <c r="A65" s="653"/>
      <c r="B65" s="653"/>
      <c r="C65" s="653"/>
      <c r="D65" s="653"/>
      <c r="E65" s="653"/>
      <c r="F65" s="177"/>
      <c r="G65" s="200"/>
      <c r="H65" s="177"/>
      <c r="I65" s="177"/>
      <c r="J65" s="177"/>
      <c r="K65" s="177"/>
    </row>
    <row r="66" spans="1:18" ht="15">
      <c r="A66" s="651"/>
      <c r="B66" s="651"/>
      <c r="C66" s="651"/>
      <c r="D66" s="651"/>
      <c r="E66" s="651"/>
    </row>
    <row r="67" spans="1:18" s="175" customFormat="1" ht="17.649999999999999">
      <c r="A67" s="621" t="s">
        <v>165</v>
      </c>
      <c r="B67" s="621"/>
      <c r="C67" s="621"/>
      <c r="D67" s="621"/>
      <c r="E67" s="621"/>
      <c r="G67" s="201"/>
      <c r="H67" s="621" t="s">
        <v>166</v>
      </c>
      <c r="I67" s="621"/>
      <c r="J67" s="621"/>
      <c r="K67" s="621"/>
      <c r="L67" s="621"/>
      <c r="Q67" s="317" t="s">
        <v>250</v>
      </c>
      <c r="R67" s="316"/>
    </row>
    <row r="68" spans="1:18" s="175" customFormat="1" ht="13.15">
      <c r="A68" s="314" t="s">
        <v>0</v>
      </c>
      <c r="B68" s="157" t="s">
        <v>24</v>
      </c>
      <c r="C68" s="157" t="s">
        <v>25</v>
      </c>
      <c r="D68" s="157" t="s">
        <v>16</v>
      </c>
      <c r="E68" s="157" t="s">
        <v>15</v>
      </c>
      <c r="G68" s="202"/>
      <c r="H68" s="314" t="s">
        <v>0</v>
      </c>
      <c r="I68" s="157" t="s">
        <v>24</v>
      </c>
      <c r="J68" s="157" t="s">
        <v>25</v>
      </c>
      <c r="K68" s="157" t="s">
        <v>16</v>
      </c>
      <c r="L68" s="157" t="s">
        <v>15</v>
      </c>
      <c r="Q68" s="369" t="s">
        <v>248</v>
      </c>
      <c r="R68" s="369" t="s">
        <v>249</v>
      </c>
    </row>
    <row r="69" spans="1:18" s="175" customFormat="1" ht="18" customHeight="1">
      <c r="A69" s="57" t="str">
        <f>'Low Voltage Rates'!A48</f>
        <v>Residential</v>
      </c>
      <c r="B69" s="84"/>
      <c r="C69" s="84">
        <f>IF(+$N$3="Y",+ROUND(+'Rates By Rate Class'!D99,2),+'Rates By Rate Class'!D99)</f>
        <v>17.350000000000001</v>
      </c>
      <c r="D69" s="70"/>
      <c r="E69" s="70">
        <f>IF(+$N$3="Y",ROUND(+'Rates By Rate Class'!E99,4),+'Rates By Rate Class'!E99)</f>
        <v>7.7999999999999996E-3</v>
      </c>
      <c r="G69" s="203"/>
      <c r="H69" s="57" t="str">
        <f t="shared" ref="H69:H76" si="6">A69</f>
        <v>Residential</v>
      </c>
      <c r="I69" s="84"/>
      <c r="J69" s="84"/>
      <c r="K69" s="70"/>
      <c r="L69" s="70">
        <f>IF(+$N$3="Y",+ROUND(+'Low Voltage Rates'!F48,4),+'Low Voltage Rates'!F48)</f>
        <v>0</v>
      </c>
      <c r="Q69" s="367">
        <f>C69/C49-1</f>
        <v>0.22011251758087202</v>
      </c>
      <c r="R69" s="367">
        <f>E69/E49-1</f>
        <v>-0.28440366972477071</v>
      </c>
    </row>
    <row r="70" spans="1:18" s="175" customFormat="1" ht="18" customHeight="1">
      <c r="A70" s="57" t="str">
        <f>'Low Voltage Rates'!A49</f>
        <v>GS Less Than 50 KW</v>
      </c>
      <c r="B70" s="84"/>
      <c r="C70" s="84">
        <f>IF(+$N$3="Y",+ROUND(+'Rates By Rate Class'!D100,2),+'Rates By Rate Class'!D100)</f>
        <v>16.07</v>
      </c>
      <c r="D70" s="70"/>
      <c r="E70" s="70">
        <f>IF(+$N$3="Y",ROUND(+'Rates By Rate Class'!E100,4),+'Rates By Rate Class'!E100)</f>
        <v>1.7000000000000001E-2</v>
      </c>
      <c r="G70" s="203"/>
      <c r="H70" s="57" t="str">
        <f t="shared" si="6"/>
        <v>GS Less Than 50 KW</v>
      </c>
      <c r="I70" s="84"/>
      <c r="J70" s="84"/>
      <c r="K70" s="70"/>
      <c r="L70" s="70">
        <f>IF(+$N$3="Y",+ROUND(+'Low Voltage Rates'!F49,4),+'Low Voltage Rates'!F49)</f>
        <v>0</v>
      </c>
      <c r="Q70" s="367">
        <f t="shared" ref="Q70:Q73" si="7">C70/C50-1</f>
        <v>-1.0467980295566393E-2</v>
      </c>
      <c r="R70" s="367">
        <f>E70/E50-1</f>
        <v>5.5900621118012417E-2</v>
      </c>
    </row>
    <row r="71" spans="1:18" s="175" customFormat="1" ht="18" customHeight="1">
      <c r="A71" s="57" t="str">
        <f>'Low Voltage Rates'!A50</f>
        <v>GS 50 To 999 KW</v>
      </c>
      <c r="B71" s="84"/>
      <c r="C71" s="84">
        <f>IF(+$N$3="Y",+ROUND(+'Rates By Rate Class'!D101,2),+'Rates By Rate Class'!D101)</f>
        <v>55.28</v>
      </c>
      <c r="D71" s="70">
        <f>IF(+$N$3="Y",ROUND(+'Rates By Rate Class'!E101,4),+'Rates By Rate Class'!E101)</f>
        <v>4.7329999999999997</v>
      </c>
      <c r="E71" s="70"/>
      <c r="G71" s="203"/>
      <c r="H71" s="57" t="str">
        <f t="shared" si="6"/>
        <v>GS 50 To 999 KW</v>
      </c>
      <c r="I71" s="84"/>
      <c r="J71" s="84"/>
      <c r="K71" s="70">
        <f>IF(+$N$3="Y",+ROUND(+'Low Voltage Rates'!G50,4),+'Low Voltage Rates'!G50)</f>
        <v>0</v>
      </c>
      <c r="L71" s="70"/>
      <c r="Q71" s="367">
        <f t="shared" si="7"/>
        <v>3.6564785299081137E-2</v>
      </c>
      <c r="R71" s="367">
        <f t="shared" ref="R71:R75" si="8">D71/D51-1</f>
        <v>3.5871396992843252E-2</v>
      </c>
    </row>
    <row r="72" spans="1:18" s="175" customFormat="1" ht="18" customHeight="1">
      <c r="A72" s="57" t="str">
        <f>'Low Voltage Rates'!A51</f>
        <v>GS Intermediate 1,000 To 4,999 KW</v>
      </c>
      <c r="B72" s="84"/>
      <c r="C72" s="84">
        <f>IF(+$N$3="Y",+ROUND(+'Rates By Rate Class'!D102,2),+'Rates By Rate Class'!D102)</f>
        <v>1161.6500000000001</v>
      </c>
      <c r="D72" s="70">
        <f>IF(+$N$3="Y",ROUND(+'Rates By Rate Class'!E102,4),+'Rates By Rate Class'!E102)</f>
        <v>2.4925999999999999</v>
      </c>
      <c r="E72" s="70"/>
      <c r="G72" s="203"/>
      <c r="H72" s="57" t="str">
        <f t="shared" si="6"/>
        <v>GS Intermediate 1,000 To 4,999 KW</v>
      </c>
      <c r="I72" s="84"/>
      <c r="J72" s="84"/>
      <c r="K72" s="70">
        <f>IF(+$N$3="Y",+ROUND(+'Low Voltage Rates'!G51,4),+'Low Voltage Rates'!G51)</f>
        <v>0</v>
      </c>
      <c r="L72" s="70"/>
      <c r="Q72" s="367">
        <f t="shared" si="7"/>
        <v>3.6502667880150774E-2</v>
      </c>
      <c r="R72" s="367">
        <f t="shared" si="8"/>
        <v>2.8045863235172774E-2</v>
      </c>
    </row>
    <row r="73" spans="1:18" s="175" customFormat="1" ht="18" customHeight="1">
      <c r="A73" s="57" t="str">
        <f>'Low Voltage Rates'!A52</f>
        <v>Large Use</v>
      </c>
      <c r="B73" s="84"/>
      <c r="C73" s="84">
        <f>IF(+$N$3="Y",+ROUND(+'Rates By Rate Class'!D103,2),+'Rates By Rate Class'!D103)</f>
        <v>8839.27</v>
      </c>
      <c r="D73" s="70">
        <f>IF(+$N$3="Y",ROUND(+'Rates By Rate Class'!E103,4),+'Rates By Rate Class'!E103)</f>
        <v>2.153</v>
      </c>
      <c r="E73" s="70"/>
      <c r="G73" s="203"/>
      <c r="H73" s="57" t="str">
        <f t="shared" si="6"/>
        <v>Large Use</v>
      </c>
      <c r="I73" s="84"/>
      <c r="J73" s="84"/>
      <c r="K73" s="70">
        <f>IF(+$N$3="Y",+ROUND(+'Low Voltage Rates'!G52,4),+'Low Voltage Rates'!G52)</f>
        <v>0</v>
      </c>
      <c r="L73" s="70"/>
      <c r="Q73" s="367">
        <f t="shared" si="7"/>
        <v>3.6502196299710077E-2</v>
      </c>
      <c r="R73" s="367">
        <f t="shared" si="8"/>
        <v>2.6068722299003921E-2</v>
      </c>
    </row>
    <row r="74" spans="1:18" s="175" customFormat="1" ht="18" customHeight="1">
      <c r="A74" s="57" t="str">
        <f>'Low Voltage Rates'!A53</f>
        <v>Street Lighting</v>
      </c>
      <c r="B74" s="84">
        <f>IF(+$N$3="Y",+ROUND(+'Rates By Rate Class'!D104,4),+'Rates By Rate Class'!D104)</f>
        <v>1.9901</v>
      </c>
      <c r="C74" s="84"/>
      <c r="D74" s="70">
        <f>IF(+$N$3="Y",ROUND(+'Rates By Rate Class'!E104,4),+'Rates By Rate Class'!E104)</f>
        <v>30.749300000000002</v>
      </c>
      <c r="E74" s="70"/>
      <c r="G74" s="203"/>
      <c r="H74" s="57" t="str">
        <f t="shared" si="6"/>
        <v>Street Lighting</v>
      </c>
      <c r="I74" s="84"/>
      <c r="J74" s="84"/>
      <c r="K74" s="70">
        <f>IF(+$N$3="Y",+ROUND(+'Low Voltage Rates'!G53,4),+'Low Voltage Rates'!G53)</f>
        <v>0</v>
      </c>
      <c r="L74" s="70"/>
      <c r="Q74" s="367">
        <f>B74/B54-1</f>
        <v>3.5916922596429091E-2</v>
      </c>
      <c r="R74" s="367">
        <f t="shared" si="8"/>
        <v>3.6502575304047769E-2</v>
      </c>
    </row>
    <row r="75" spans="1:18" s="175" customFormat="1" ht="18" customHeight="1">
      <c r="A75" s="57" t="str">
        <f>'Low Voltage Rates'!A54</f>
        <v>Sentinel Lighting</v>
      </c>
      <c r="B75" s="84">
        <f>IF(+$N$3="Y",+ROUND(+'Rates By Rate Class'!D105,4),+'Rates By Rate Class'!D105)</f>
        <v>5.5659999999999998</v>
      </c>
      <c r="C75" s="84"/>
      <c r="D75" s="70">
        <f>IF(+$N$3="Y",ROUND(+'Rates By Rate Class'!E105,4),+'Rates By Rate Class'!E105)</f>
        <v>7.9512</v>
      </c>
      <c r="E75" s="70"/>
      <c r="G75" s="203"/>
      <c r="H75" s="57" t="str">
        <f t="shared" si="6"/>
        <v>Sentinel Lighting</v>
      </c>
      <c r="I75" s="84"/>
      <c r="J75" s="84"/>
      <c r="K75" s="70">
        <f>IF(+$N$3="Y",+ROUND(+'Low Voltage Rates'!G54,4),+'Low Voltage Rates'!G54)</f>
        <v>0</v>
      </c>
      <c r="L75" s="70"/>
      <c r="Q75" s="367">
        <f>B75/B55-1</f>
        <v>3.5766124530127508E-2</v>
      </c>
      <c r="R75" s="367">
        <f t="shared" si="8"/>
        <v>3.6500156429241981E-2</v>
      </c>
    </row>
    <row r="76" spans="1:18" s="175" customFormat="1" ht="18" customHeight="1">
      <c r="A76" s="57" t="str">
        <f>'Low Voltage Rates'!A55</f>
        <v>Unmetered Scattered Load</v>
      </c>
      <c r="B76" s="84">
        <f>IF(+$N$3="Y",+ROUND(+'Rates By Rate Class'!D106,4),+'Rates By Rate Class'!D106)</f>
        <v>4.4886999999999997</v>
      </c>
      <c r="C76" s="84"/>
      <c r="D76" s="70"/>
      <c r="E76" s="70">
        <f>IF(+$N$3="Y",ROUND(+'Rates By Rate Class'!E106,4),+'Rates By Rate Class'!E106)</f>
        <v>1.84E-2</v>
      </c>
      <c r="G76" s="203"/>
      <c r="H76" s="57" t="str">
        <f t="shared" si="6"/>
        <v>Unmetered Scattered Load</v>
      </c>
      <c r="I76" s="84"/>
      <c r="J76" s="84"/>
      <c r="K76" s="70"/>
      <c r="L76" s="70">
        <f>IF(+$N$3="Y",+ROUND(+'Low Voltage Rates'!F55,4),+'Low Voltage Rates'!F55)</f>
        <v>0</v>
      </c>
      <c r="Q76" s="367">
        <f>B76/B56-1</f>
        <v>8.1076225126890389E-3</v>
      </c>
      <c r="R76" s="367">
        <f>E76/E56-1</f>
        <v>1.098901098901095E-2</v>
      </c>
    </row>
    <row r="77" spans="1:18" s="175" customFormat="1" ht="18" customHeight="1">
      <c r="A77" s="57"/>
      <c r="B77" s="84"/>
      <c r="C77" s="84"/>
      <c r="D77" s="70"/>
      <c r="E77" s="70"/>
      <c r="G77" s="203"/>
      <c r="H77" s="57"/>
      <c r="I77" s="84"/>
      <c r="J77" s="84"/>
      <c r="K77" s="70"/>
      <c r="L77" s="70"/>
    </row>
    <row r="78" spans="1:18" ht="18.75" customHeight="1" thickBot="1">
      <c r="A78" s="651"/>
      <c r="B78" s="651"/>
      <c r="C78" s="651"/>
      <c r="D78" s="651"/>
      <c r="E78" s="651"/>
      <c r="G78" s="201"/>
      <c r="H78" s="651"/>
      <c r="I78" s="651"/>
      <c r="J78" s="651"/>
      <c r="K78" s="651"/>
      <c r="L78" s="651"/>
    </row>
    <row r="79" spans="1:18" s="175" customFormat="1" ht="18" customHeight="1" thickBot="1">
      <c r="A79" s="176" t="s">
        <v>65</v>
      </c>
      <c r="B79" s="179"/>
      <c r="C79" s="179"/>
      <c r="D79" s="71">
        <f>'Transformer Allowance'!B28</f>
        <v>-0.6</v>
      </c>
      <c r="E79" s="179"/>
      <c r="G79" s="201"/>
      <c r="H79"/>
      <c r="I79"/>
      <c r="J79"/>
      <c r="K79"/>
      <c r="L79"/>
    </row>
    <row r="81" spans="1:18" ht="13.15">
      <c r="A81" s="608" t="str">
        <f>+'Revenue Input'!A1</f>
        <v>Oshawa PUC Networks Inc</v>
      </c>
      <c r="B81" s="608"/>
      <c r="C81" s="608"/>
      <c r="D81" s="608"/>
      <c r="E81" s="608"/>
    </row>
    <row r="82" spans="1:18">
      <c r="A82" s="617"/>
      <c r="B82" s="617"/>
      <c r="C82" s="617"/>
      <c r="D82" s="617"/>
      <c r="E82" s="617"/>
    </row>
    <row r="83" spans="1:18" ht="20.65">
      <c r="A83" s="652" t="s">
        <v>190</v>
      </c>
      <c r="B83" s="652"/>
      <c r="C83" s="652"/>
      <c r="D83" s="652"/>
      <c r="E83" s="652"/>
      <c r="G83" s="201"/>
      <c r="H83"/>
    </row>
    <row r="84" spans="1:18" ht="15">
      <c r="A84" s="651"/>
      <c r="B84" s="651"/>
      <c r="C84" s="651"/>
      <c r="D84" s="651"/>
      <c r="E84" s="651"/>
    </row>
    <row r="85" spans="1:18" ht="13.15">
      <c r="A85" s="653"/>
      <c r="B85" s="653"/>
      <c r="C85" s="653"/>
      <c r="D85" s="653"/>
      <c r="E85" s="653"/>
      <c r="F85" s="177"/>
      <c r="G85" s="200"/>
      <c r="H85" s="177"/>
      <c r="I85" s="177"/>
      <c r="J85" s="177"/>
      <c r="K85" s="177"/>
    </row>
    <row r="86" spans="1:18" ht="15">
      <c r="A86" s="651"/>
      <c r="B86" s="651"/>
      <c r="C86" s="651"/>
      <c r="D86" s="651"/>
      <c r="E86" s="651"/>
    </row>
    <row r="87" spans="1:18" s="175" customFormat="1" ht="17.649999999999999">
      <c r="A87" s="621" t="s">
        <v>191</v>
      </c>
      <c r="B87" s="621"/>
      <c r="C87" s="621"/>
      <c r="D87" s="621"/>
      <c r="E87" s="621"/>
      <c r="G87" s="201"/>
      <c r="H87" s="621" t="s">
        <v>192</v>
      </c>
      <c r="I87" s="621"/>
      <c r="J87" s="621"/>
      <c r="K87" s="621"/>
      <c r="L87" s="621"/>
      <c r="Q87" s="317" t="s">
        <v>250</v>
      </c>
      <c r="R87" s="316"/>
    </row>
    <row r="88" spans="1:18" s="175" customFormat="1" ht="13.15">
      <c r="A88" s="314" t="s">
        <v>0</v>
      </c>
      <c r="B88" s="157" t="s">
        <v>24</v>
      </c>
      <c r="C88" s="157" t="s">
        <v>25</v>
      </c>
      <c r="D88" s="157" t="s">
        <v>16</v>
      </c>
      <c r="E88" s="157" t="s">
        <v>15</v>
      </c>
      <c r="G88" s="202"/>
      <c r="H88" s="314" t="s">
        <v>0</v>
      </c>
      <c r="I88" s="157" t="s">
        <v>24</v>
      </c>
      <c r="J88" s="157" t="s">
        <v>25</v>
      </c>
      <c r="K88" s="157" t="s">
        <v>16</v>
      </c>
      <c r="L88" s="157" t="s">
        <v>15</v>
      </c>
      <c r="Q88" s="369" t="s">
        <v>248</v>
      </c>
      <c r="R88" s="369" t="s">
        <v>249</v>
      </c>
    </row>
    <row r="89" spans="1:18" s="175" customFormat="1" ht="18" customHeight="1">
      <c r="A89" s="57" t="str">
        <f>'Low Voltage Rates'!A62</f>
        <v>Residential</v>
      </c>
      <c r="B89" s="84"/>
      <c r="C89" s="84">
        <f>IF(+$N$3="Y",+ROUND(+'Rates By Rate Class'!D130,2),+'Rates By Rate Class'!D130)</f>
        <v>20.97</v>
      </c>
      <c r="D89" s="70"/>
      <c r="E89" s="70">
        <f>IF(+$N$3="Y",ROUND(+'Rates By Rate Class'!E130,4),+'Rates By Rate Class'!E130)</f>
        <v>4.1000000000000003E-3</v>
      </c>
      <c r="G89" s="203"/>
      <c r="H89" s="57" t="str">
        <f t="shared" ref="H89:H96" si="9">A89</f>
        <v>Residential</v>
      </c>
      <c r="I89" s="84"/>
      <c r="J89" s="84"/>
      <c r="K89" s="70"/>
      <c r="L89" s="70">
        <f>IF(+$N$3="Y",+ROUND(+'Low Voltage Rates'!F62,4),+'Low Voltage Rates'!F62)</f>
        <v>0</v>
      </c>
      <c r="Q89" s="367">
        <f>C89/C69-1</f>
        <v>0.20864553314121026</v>
      </c>
      <c r="R89" s="367">
        <f>E89/E69-1</f>
        <v>-0.47435897435897434</v>
      </c>
    </row>
    <row r="90" spans="1:18" s="175" customFormat="1" ht="18" customHeight="1">
      <c r="A90" s="57" t="str">
        <f>'Low Voltage Rates'!A63</f>
        <v>GS Less Than 50 KW</v>
      </c>
      <c r="B90" s="84"/>
      <c r="C90" s="84">
        <f>IF(+$N$3="Y",+ROUND(+'Rates By Rate Class'!D131,2),+'Rates By Rate Class'!D131)</f>
        <v>16.47</v>
      </c>
      <c r="D90" s="70"/>
      <c r="E90" s="70">
        <f>IF(+$N$3="Y",ROUND(+'Rates By Rate Class'!E131,4),+'Rates By Rate Class'!E131)</f>
        <v>1.78E-2</v>
      </c>
      <c r="G90" s="203"/>
      <c r="H90" s="57" t="str">
        <f t="shared" si="9"/>
        <v>GS Less Than 50 KW</v>
      </c>
      <c r="I90" s="84"/>
      <c r="J90" s="84"/>
      <c r="K90" s="70"/>
      <c r="L90" s="70">
        <f>IF(+$N$3="Y",+ROUND(+'Low Voltage Rates'!F63,4),+'Low Voltage Rates'!F63)</f>
        <v>0</v>
      </c>
      <c r="Q90" s="367">
        <f t="shared" ref="Q90:Q93" si="10">C90/C70-1</f>
        <v>2.4891101431238294E-2</v>
      </c>
      <c r="R90" s="367">
        <f>E90/E70-1</f>
        <v>4.7058823529411598E-2</v>
      </c>
    </row>
    <row r="91" spans="1:18" s="175" customFormat="1" ht="18" customHeight="1">
      <c r="A91" s="57" t="str">
        <f>'Low Voltage Rates'!A64</f>
        <v>GS 50 To 999 KW</v>
      </c>
      <c r="B91" s="84"/>
      <c r="C91" s="84">
        <f>IF(+$N$3="Y",+ROUND(+'Rates By Rate Class'!D132,2),+'Rates By Rate Class'!D132)</f>
        <v>57.54</v>
      </c>
      <c r="D91" s="70">
        <f>IF(+$N$3="Y",ROUND(+'Rates By Rate Class'!E132,4),+'Rates By Rate Class'!E132)</f>
        <v>4.9236000000000004</v>
      </c>
      <c r="E91" s="70"/>
      <c r="G91" s="203"/>
      <c r="H91" s="57" t="str">
        <f t="shared" si="9"/>
        <v>GS 50 To 999 KW</v>
      </c>
      <c r="I91" s="84"/>
      <c r="J91" s="84"/>
      <c r="K91" s="70">
        <f>IF(+$N$3="Y",+ROUND(+'Low Voltage Rates'!G64,4),+'Low Voltage Rates'!G64)</f>
        <v>0</v>
      </c>
      <c r="L91" s="70"/>
      <c r="Q91" s="367">
        <f t="shared" si="10"/>
        <v>4.0882778581765589E-2</v>
      </c>
      <c r="R91" s="367">
        <f t="shared" ref="R91:R95" si="11">D91/D71-1</f>
        <v>4.0270441580393168E-2</v>
      </c>
    </row>
    <row r="92" spans="1:18" s="175" customFormat="1" ht="18" customHeight="1">
      <c r="A92" s="57" t="str">
        <f>'Low Voltage Rates'!A65</f>
        <v>GS Intermediate 1,000 To 4,999 KW</v>
      </c>
      <c r="B92" s="84"/>
      <c r="C92" s="84">
        <f>IF(+$N$3="Y",+ROUND(+'Rates By Rate Class'!D133,2),+'Rates By Rate Class'!D133)</f>
        <v>1209.22</v>
      </c>
      <c r="D92" s="70">
        <f>IF(+$N$3="Y",ROUND(+'Rates By Rate Class'!E133,4),+'Rates By Rate Class'!E133)</f>
        <v>2.5716999999999999</v>
      </c>
      <c r="E92" s="70"/>
      <c r="G92" s="203"/>
      <c r="H92" s="57" t="str">
        <f t="shared" si="9"/>
        <v>GS Intermediate 1,000 To 4,999 KW</v>
      </c>
      <c r="I92" s="84"/>
      <c r="J92" s="84"/>
      <c r="K92" s="70">
        <f>IF(+$N$3="Y",+ROUND(+'Low Voltage Rates'!G65,4),+'Low Voltage Rates'!G65)</f>
        <v>0</v>
      </c>
      <c r="L92" s="70"/>
      <c r="Q92" s="367">
        <f t="shared" si="10"/>
        <v>4.0950372315241124E-2</v>
      </c>
      <c r="R92" s="367">
        <f t="shared" si="11"/>
        <v>3.1733932440022539E-2</v>
      </c>
    </row>
    <row r="93" spans="1:18" s="175" customFormat="1" ht="18" customHeight="1">
      <c r="A93" s="57" t="str">
        <f>'Low Voltage Rates'!A66</f>
        <v>Large Use</v>
      </c>
      <c r="B93" s="84"/>
      <c r="C93" s="84">
        <f>IF(+$N$3="Y",+ROUND(+'Rates By Rate Class'!D134,2),+'Rates By Rate Class'!D134)</f>
        <v>9201.27</v>
      </c>
      <c r="D93" s="70">
        <f>IF(+$N$3="Y",ROUND(+'Rates By Rate Class'!E134,4),+'Rates By Rate Class'!E134)</f>
        <v>2.2166000000000001</v>
      </c>
      <c r="E93" s="70"/>
      <c r="G93" s="203"/>
      <c r="H93" s="57" t="str">
        <f t="shared" si="9"/>
        <v>Large Use</v>
      </c>
      <c r="I93" s="84"/>
      <c r="J93" s="84"/>
      <c r="K93" s="70">
        <f>IF(+$N$3="Y",+ROUND(+'Low Voltage Rates'!G66,4),+'Low Voltage Rates'!G66)</f>
        <v>0</v>
      </c>
      <c r="L93" s="70"/>
      <c r="Q93" s="367">
        <f t="shared" si="10"/>
        <v>4.095360815994975E-2</v>
      </c>
      <c r="R93" s="367">
        <f t="shared" si="11"/>
        <v>2.9540176497909965E-2</v>
      </c>
    </row>
    <row r="94" spans="1:18" s="175" customFormat="1" ht="18" customHeight="1">
      <c r="A94" s="57" t="str">
        <f>'Low Voltage Rates'!A67</f>
        <v>Street Lighting</v>
      </c>
      <c r="B94" s="84">
        <f>IF(+$N$3="Y",+ROUND(+'Rates By Rate Class'!D135,4),+'Rates By Rate Class'!D135)</f>
        <v>2.0714999999999999</v>
      </c>
      <c r="C94" s="84"/>
      <c r="D94" s="70">
        <f>IF(+$N$3="Y",ROUND(+'Rates By Rate Class'!E135,4),+'Rates By Rate Class'!E135)</f>
        <v>32.008600000000001</v>
      </c>
      <c r="E94" s="70"/>
      <c r="G94" s="203"/>
      <c r="H94" s="57" t="str">
        <f t="shared" si="9"/>
        <v>Street Lighting</v>
      </c>
      <c r="I94" s="84"/>
      <c r="J94" s="84"/>
      <c r="K94" s="70">
        <f>IF(+$N$3="Y",+ROUND(+'Low Voltage Rates'!G67,4),+'Low Voltage Rates'!G67)</f>
        <v>0</v>
      </c>
      <c r="L94" s="70"/>
      <c r="Q94" s="367">
        <f>B94/B74-1</f>
        <v>4.0902467212702742E-2</v>
      </c>
      <c r="R94" s="367">
        <f t="shared" si="11"/>
        <v>4.0953777809576097E-2</v>
      </c>
    </row>
    <row r="95" spans="1:18" s="175" customFormat="1" ht="18" customHeight="1">
      <c r="A95" s="57" t="str">
        <f>'Low Voltage Rates'!A68</f>
        <v>Sentinel Lighting</v>
      </c>
      <c r="B95" s="84">
        <f>IF(+$N$3="Y",+ROUND(+'Rates By Rate Class'!D136,4),+'Rates By Rate Class'!D136)</f>
        <v>5.7980999999999998</v>
      </c>
      <c r="C95" s="84"/>
      <c r="D95" s="70">
        <f>IF(+$N$3="Y",ROUND(+'Rates By Rate Class'!E136,4),+'Rates By Rate Class'!E136)</f>
        <v>8.2767999999999997</v>
      </c>
      <c r="E95" s="70"/>
      <c r="G95" s="203"/>
      <c r="H95" s="57" t="str">
        <f t="shared" si="9"/>
        <v>Sentinel Lighting</v>
      </c>
      <c r="I95" s="84"/>
      <c r="J95" s="84"/>
      <c r="K95" s="70">
        <f>IF(+$N$3="Y",+ROUND(+'Low Voltage Rates'!G68,4),+'Low Voltage Rates'!G68)</f>
        <v>0</v>
      </c>
      <c r="L95" s="70"/>
      <c r="Q95" s="367">
        <f>B95/B75-1</f>
        <v>4.1699604743083096E-2</v>
      </c>
      <c r="R95" s="367">
        <f t="shared" si="11"/>
        <v>4.0949793741825058E-2</v>
      </c>
    </row>
    <row r="96" spans="1:18" s="175" customFormat="1" ht="18" customHeight="1">
      <c r="A96" s="57" t="str">
        <f>'Low Voltage Rates'!A69</f>
        <v>Unmetered Scattered Load</v>
      </c>
      <c r="B96" s="84">
        <f>IF(+$N$3="Y",+ROUND(+'Rates By Rate Class'!D137,4),+'Rates By Rate Class'!D137)</f>
        <v>4.6738999999999997</v>
      </c>
      <c r="C96" s="84"/>
      <c r="D96" s="70"/>
      <c r="E96" s="70">
        <f>IF(+$N$3="Y",ROUND(+'Rates By Rate Class'!E137,4),+'Rates By Rate Class'!E137)</f>
        <v>1.9199999999999998E-2</v>
      </c>
      <c r="G96" s="203"/>
      <c r="H96" s="57" t="str">
        <f t="shared" si="9"/>
        <v>Unmetered Scattered Load</v>
      </c>
      <c r="I96" s="84"/>
      <c r="J96" s="84"/>
      <c r="K96" s="70"/>
      <c r="L96" s="70">
        <f>IF(+$N$3="Y",+ROUND(+'Low Voltage Rates'!F69,4),+'Low Voltage Rates'!F69)</f>
        <v>0</v>
      </c>
      <c r="Q96" s="367">
        <f>B96/B76-1</f>
        <v>4.1259161895426333E-2</v>
      </c>
      <c r="R96" s="367">
        <f>E96/E76-1</f>
        <v>4.3478260869565188E-2</v>
      </c>
    </row>
    <row r="97" spans="1:12" s="175" customFormat="1" ht="18" customHeight="1">
      <c r="A97" s="57"/>
      <c r="B97" s="84"/>
      <c r="C97" s="84"/>
      <c r="D97" s="70"/>
      <c r="E97" s="70"/>
      <c r="G97" s="203"/>
      <c r="H97" s="57"/>
      <c r="I97" s="84"/>
      <c r="J97" s="84"/>
      <c r="K97" s="70"/>
      <c r="L97" s="70"/>
    </row>
    <row r="98" spans="1:12" ht="18.75" customHeight="1" thickBot="1">
      <c r="A98" s="651"/>
      <c r="B98" s="651"/>
      <c r="C98" s="651"/>
      <c r="D98" s="651"/>
      <c r="E98" s="651"/>
      <c r="G98" s="201"/>
      <c r="H98" s="651"/>
      <c r="I98" s="651"/>
      <c r="J98" s="651"/>
      <c r="K98" s="651"/>
      <c r="L98" s="651"/>
    </row>
    <row r="99" spans="1:12" s="175" customFormat="1" ht="18" customHeight="1" thickBot="1">
      <c r="A99" s="176" t="s">
        <v>65</v>
      </c>
      <c r="B99" s="179"/>
      <c r="C99" s="179"/>
      <c r="D99" s="71">
        <f>'Transformer Allowance'!B28</f>
        <v>-0.6</v>
      </c>
      <c r="E99" s="179"/>
      <c r="G99" s="201"/>
      <c r="H99"/>
      <c r="I99"/>
      <c r="J99"/>
      <c r="K99"/>
      <c r="L99"/>
    </row>
  </sheetData>
  <mergeCells count="50">
    <mergeCell ref="A87:E87"/>
    <mergeCell ref="A98:E98"/>
    <mergeCell ref="H87:L87"/>
    <mergeCell ref="H98:L98"/>
    <mergeCell ref="A66:E66"/>
    <mergeCell ref="A67:E67"/>
    <mergeCell ref="A78:E78"/>
    <mergeCell ref="H67:L67"/>
    <mergeCell ref="H78:L78"/>
    <mergeCell ref="A86:E86"/>
    <mergeCell ref="A81:E81"/>
    <mergeCell ref="A82:E82"/>
    <mergeCell ref="A83:E83"/>
    <mergeCell ref="A84:E84"/>
    <mergeCell ref="A85:E85"/>
    <mergeCell ref="A61:E61"/>
    <mergeCell ref="A62:E62"/>
    <mergeCell ref="A63:E63"/>
    <mergeCell ref="A64:E64"/>
    <mergeCell ref="A65:E65"/>
    <mergeCell ref="A47:E47"/>
    <mergeCell ref="A58:E58"/>
    <mergeCell ref="H47:L47"/>
    <mergeCell ref="H58:L58"/>
    <mergeCell ref="A46:E46"/>
    <mergeCell ref="A41:E41"/>
    <mergeCell ref="A42:E42"/>
    <mergeCell ref="A43:E43"/>
    <mergeCell ref="A44:E44"/>
    <mergeCell ref="A45:E45"/>
    <mergeCell ref="A38:E38"/>
    <mergeCell ref="H27:L27"/>
    <mergeCell ref="H38:L38"/>
    <mergeCell ref="A21:E21"/>
    <mergeCell ref="A22:E22"/>
    <mergeCell ref="A26:E26"/>
    <mergeCell ref="A23:E23"/>
    <mergeCell ref="A24:E24"/>
    <mergeCell ref="A25:E25"/>
    <mergeCell ref="A27:E27"/>
    <mergeCell ref="A18:E18"/>
    <mergeCell ref="H18:L18"/>
    <mergeCell ref="H7:L7"/>
    <mergeCell ref="A1:E1"/>
    <mergeCell ref="A2:E2"/>
    <mergeCell ref="A7:E7"/>
    <mergeCell ref="A3:E3"/>
    <mergeCell ref="A5:E5"/>
    <mergeCell ref="A4:E4"/>
    <mergeCell ref="A6:E6"/>
  </mergeCells>
  <phoneticPr fontId="0" type="noConversion"/>
  <pageMargins left="0.75" right="0.75" top="1" bottom="1" header="0.5" footer="0.5"/>
  <pageSetup scale="93" orientation="portrait" horizontalDpi="355" verticalDpi="35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5"/>
  <sheetViews>
    <sheetView workbookViewId="0">
      <pane ySplit="6" topLeftCell="A7" activePane="bottomLeft" state="frozen"/>
      <selection pane="bottomLeft" activeCell="E16" sqref="E16"/>
    </sheetView>
  </sheetViews>
  <sheetFormatPr defaultRowHeight="15"/>
  <cols>
    <col min="1" max="1" width="2.73046875" customWidth="1"/>
    <col min="2" max="2" width="28.265625" customWidth="1"/>
    <col min="3" max="3" width="38.73046875" bestFit="1" customWidth="1"/>
    <col min="4" max="4" width="10.46484375" bestFit="1" customWidth="1"/>
    <col min="5" max="9" width="14.19921875" bestFit="1" customWidth="1"/>
    <col min="10" max="10" width="17.73046875" style="3" customWidth="1"/>
    <col min="11" max="11" width="11.46484375" style="323" customWidth="1"/>
    <col min="12" max="12" width="1.73046875" style="323" customWidth="1"/>
    <col min="13" max="17" width="9.19921875" style="323"/>
    <col min="18" max="18" width="13.265625" style="323" customWidth="1"/>
    <col min="19" max="24" width="9.19921875" style="323"/>
    <col min="25" max="28" width="9.19921875" style="3"/>
  </cols>
  <sheetData>
    <row r="1" spans="1:28">
      <c r="A1" s="658" t="str">
        <f>+'Revenue Input'!A1</f>
        <v>Oshawa PUC Networks Inc</v>
      </c>
      <c r="B1" s="658"/>
      <c r="C1" s="658"/>
      <c r="D1" s="658"/>
      <c r="E1" s="658"/>
      <c r="F1" s="658"/>
      <c r="G1" s="658"/>
      <c r="H1" s="658"/>
      <c r="I1" s="658"/>
    </row>
    <row r="2" spans="1:28" ht="8.25" customHeight="1">
      <c r="A2" s="617"/>
      <c r="B2" s="617"/>
      <c r="C2" s="617"/>
      <c r="D2" s="617"/>
      <c r="E2" s="617"/>
    </row>
    <row r="3" spans="1:28" ht="20.2" customHeight="1">
      <c r="A3" s="644" t="s">
        <v>48</v>
      </c>
      <c r="B3" s="644"/>
      <c r="C3" s="644"/>
      <c r="D3" s="644"/>
      <c r="E3" s="644"/>
      <c r="F3" s="644"/>
      <c r="G3" s="644"/>
      <c r="H3" s="644"/>
      <c r="I3" s="644"/>
    </row>
    <row r="4" spans="1:28" ht="20.2" customHeight="1">
      <c r="A4" s="659" t="s">
        <v>47</v>
      </c>
      <c r="B4" s="659"/>
      <c r="C4" s="659"/>
      <c r="D4" s="659"/>
      <c r="E4" s="659"/>
      <c r="F4" s="659"/>
      <c r="G4" s="659"/>
      <c r="H4" s="659"/>
      <c r="I4" s="659"/>
      <c r="M4" s="657" t="s">
        <v>229</v>
      </c>
      <c r="N4" s="657"/>
      <c r="O4" s="657"/>
      <c r="P4" s="657"/>
      <c r="Q4" s="657"/>
      <c r="R4" s="386" t="s">
        <v>261</v>
      </c>
    </row>
    <row r="5" spans="1:28" ht="11.25" customHeight="1" thickBot="1">
      <c r="A5" s="14"/>
      <c r="B5" s="26"/>
      <c r="C5" s="14"/>
      <c r="D5" s="14"/>
      <c r="E5" s="27"/>
      <c r="F5" s="14"/>
    </row>
    <row r="6" spans="1:28" ht="25.15" thickBot="1">
      <c r="A6" s="20"/>
      <c r="B6" s="182" t="s">
        <v>0</v>
      </c>
      <c r="C6" s="182" t="s">
        <v>43</v>
      </c>
      <c r="D6" s="182" t="s">
        <v>44</v>
      </c>
      <c r="E6" s="183" t="s">
        <v>143</v>
      </c>
      <c r="F6" s="183" t="s">
        <v>144</v>
      </c>
      <c r="G6" s="183" t="s">
        <v>145</v>
      </c>
      <c r="H6" s="183" t="s">
        <v>146</v>
      </c>
      <c r="I6" s="183" t="s">
        <v>147</v>
      </c>
      <c r="K6" s="321" t="s">
        <v>230</v>
      </c>
      <c r="M6" s="321">
        <v>2015</v>
      </c>
      <c r="N6" s="321">
        <v>2016</v>
      </c>
      <c r="O6" s="321">
        <v>2017</v>
      </c>
      <c r="P6" s="321">
        <v>2018</v>
      </c>
      <c r="Q6" s="321">
        <v>2019</v>
      </c>
      <c r="R6" s="321" t="s">
        <v>260</v>
      </c>
    </row>
    <row r="7" spans="1:28" s="19" customFormat="1">
      <c r="A7" s="18"/>
      <c r="B7" s="596" t="str">
        <f>'Distribution Rate Schedule'!A9</f>
        <v>Residential</v>
      </c>
      <c r="C7" s="187"/>
      <c r="D7" s="187"/>
      <c r="E7" s="187"/>
      <c r="F7" s="188"/>
      <c r="G7" s="188"/>
      <c r="H7" s="188"/>
      <c r="I7" s="189"/>
      <c r="J7" s="322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2"/>
      <c r="Z7" s="322"/>
      <c r="AA7" s="322"/>
      <c r="AB7" s="322"/>
    </row>
    <row r="8" spans="1:28" s="19" customFormat="1">
      <c r="A8" s="18"/>
      <c r="B8" s="597"/>
      <c r="C8" s="23" t="s">
        <v>42</v>
      </c>
      <c r="D8" s="21" t="s">
        <v>45</v>
      </c>
      <c r="E8" s="184">
        <f>'Distribution Rate Schedule'!$C$9</f>
        <v>10.5</v>
      </c>
      <c r="F8" s="184">
        <f>'Distribution Rate Schedule'!$C$29</f>
        <v>11.21</v>
      </c>
      <c r="G8" s="184">
        <f>'Distribution Rate Schedule'!$C$49</f>
        <v>14.22</v>
      </c>
      <c r="H8" s="184">
        <f>'Distribution Rate Schedule'!$C$69</f>
        <v>17.350000000000001</v>
      </c>
      <c r="I8" s="191">
        <f>'Distribution Rate Schedule'!$C$89</f>
        <v>20.97</v>
      </c>
      <c r="J8" s="322"/>
      <c r="K8" s="325">
        <v>8.4700000000000006</v>
      </c>
      <c r="L8" s="324"/>
      <c r="M8" s="372">
        <f>E8/K8-1</f>
        <v>0.23966942148760317</v>
      </c>
      <c r="N8" s="372">
        <f>F8/E8-1</f>
        <v>6.761904761904769E-2</v>
      </c>
      <c r="O8" s="372">
        <f t="shared" ref="O8:Q8" si="0">G8/F8-1</f>
        <v>0.26851025869759138</v>
      </c>
      <c r="P8" s="372">
        <f t="shared" si="0"/>
        <v>0.22011251758087202</v>
      </c>
      <c r="Q8" s="372">
        <f t="shared" si="0"/>
        <v>0.20864553314121026</v>
      </c>
      <c r="R8" s="372">
        <f>IFERROR((I8/K8)^(1/(2019-2014))-1,0)</f>
        <v>0.19878970329879508</v>
      </c>
      <c r="S8" s="324"/>
      <c r="T8" s="324"/>
      <c r="U8" s="324"/>
      <c r="V8" s="324"/>
      <c r="W8" s="324"/>
      <c r="X8" s="324"/>
      <c r="Y8" s="322"/>
      <c r="Z8" s="322"/>
      <c r="AA8" s="322"/>
      <c r="AB8" s="322"/>
    </row>
    <row r="9" spans="1:28" s="19" customFormat="1">
      <c r="A9" s="18"/>
      <c r="B9" s="597"/>
      <c r="C9" s="23" t="s">
        <v>46</v>
      </c>
      <c r="D9" s="21" t="s">
        <v>41</v>
      </c>
      <c r="E9" s="24">
        <f>'Distribution Rate Schedule'!$E$9</f>
        <v>1.32E-2</v>
      </c>
      <c r="F9" s="24">
        <f>'Distribution Rate Schedule'!$E$29</f>
        <v>1.4200000000000001E-2</v>
      </c>
      <c r="G9" s="24">
        <f>'Distribution Rate Schedule'!$E$49</f>
        <v>1.09E-2</v>
      </c>
      <c r="H9" s="24">
        <f>'Distribution Rate Schedule'!$E$69</f>
        <v>7.7999999999999996E-3</v>
      </c>
      <c r="I9" s="192">
        <f>'Distribution Rate Schedule'!$E$89</f>
        <v>4.1000000000000003E-3</v>
      </c>
      <c r="J9" s="322"/>
      <c r="K9" s="326">
        <v>1.2E-2</v>
      </c>
      <c r="L9" s="324"/>
      <c r="M9" s="372">
        <f>E9/K9-1</f>
        <v>9.9999999999999867E-2</v>
      </c>
      <c r="N9" s="372">
        <f>F9/E9-1</f>
        <v>7.5757575757575912E-2</v>
      </c>
      <c r="O9" s="372">
        <f t="shared" ref="O9" si="1">G9/F9-1</f>
        <v>-0.23239436619718312</v>
      </c>
      <c r="P9" s="372">
        <f t="shared" ref="P9" si="2">H9/G9-1</f>
        <v>-0.28440366972477071</v>
      </c>
      <c r="Q9" s="372">
        <f t="shared" ref="Q9" si="3">I9/H9-1</f>
        <v>-0.47435897435897434</v>
      </c>
      <c r="R9" s="372">
        <f>IFERROR((I9/K9)^(1/(2019-2014))-1,0)</f>
        <v>-0.19328427579260665</v>
      </c>
      <c r="S9" s="324"/>
      <c r="T9" s="324"/>
      <c r="U9" s="324"/>
      <c r="V9" s="324"/>
      <c r="W9" s="324"/>
      <c r="X9" s="324"/>
      <c r="Y9" s="322"/>
      <c r="Z9" s="322"/>
      <c r="AA9" s="322"/>
      <c r="AB9" s="322"/>
    </row>
    <row r="10" spans="1:28" s="19" customFormat="1">
      <c r="A10" s="18"/>
      <c r="B10" s="597"/>
      <c r="C10" s="23" t="s">
        <v>105</v>
      </c>
      <c r="D10" s="21" t="s">
        <v>41</v>
      </c>
      <c r="E10" s="24">
        <f>'Distribution Rate Schedule'!$L$9</f>
        <v>0</v>
      </c>
      <c r="F10" s="24">
        <f>'Distribution Rate Schedule'!$L$29</f>
        <v>0</v>
      </c>
      <c r="G10" s="24">
        <f>'Distribution Rate Schedule'!$L$49</f>
        <v>0</v>
      </c>
      <c r="H10" s="24">
        <f>'Distribution Rate Schedule'!$L$69</f>
        <v>0</v>
      </c>
      <c r="I10" s="192">
        <f>'Distribution Rate Schedule'!$L$89</f>
        <v>0</v>
      </c>
      <c r="J10" s="322"/>
      <c r="K10" s="325"/>
      <c r="L10" s="324"/>
      <c r="M10" s="373"/>
      <c r="N10" s="373"/>
      <c r="O10" s="373"/>
      <c r="P10" s="373"/>
      <c r="Q10" s="373"/>
      <c r="R10" s="373"/>
      <c r="S10" s="324"/>
      <c r="T10" s="324"/>
      <c r="U10" s="324"/>
      <c r="V10" s="324"/>
      <c r="W10" s="324"/>
      <c r="X10" s="324"/>
      <c r="Y10" s="322"/>
      <c r="Z10" s="322"/>
      <c r="AA10" s="322"/>
      <c r="AB10" s="322"/>
    </row>
    <row r="11" spans="1:28" s="19" customFormat="1" ht="15.4" thickBot="1">
      <c r="A11" s="18"/>
      <c r="B11" s="598"/>
      <c r="C11" s="194" t="s">
        <v>74</v>
      </c>
      <c r="D11" s="195" t="s">
        <v>41</v>
      </c>
      <c r="E11" s="196">
        <f>'LRAM and SSM Rate Rider'!$L$7</f>
        <v>0</v>
      </c>
      <c r="F11" s="196">
        <f>'LRAM and SSM Rate Rider'!$L$23</f>
        <v>0</v>
      </c>
      <c r="G11" s="196">
        <f>'LRAM and SSM Rate Rider'!$L$39</f>
        <v>0</v>
      </c>
      <c r="H11" s="196">
        <f>'LRAM and SSM Rate Rider'!$L$55</f>
        <v>0</v>
      </c>
      <c r="I11" s="197">
        <f>'LRAM and SSM Rate Rider'!$L$71</f>
        <v>0</v>
      </c>
      <c r="J11" s="322"/>
      <c r="K11" s="325"/>
      <c r="L11" s="324"/>
      <c r="M11" s="373"/>
      <c r="N11" s="373"/>
      <c r="O11" s="373"/>
      <c r="P11" s="373"/>
      <c r="Q11" s="373"/>
      <c r="R11" s="373"/>
      <c r="S11" s="324"/>
      <c r="T11" s="324"/>
      <c r="U11" s="324"/>
      <c r="V11" s="324"/>
      <c r="W11" s="324"/>
      <c r="X11" s="324"/>
      <c r="Y11" s="322"/>
      <c r="Z11" s="322"/>
      <c r="AA11" s="322"/>
      <c r="AB11" s="322"/>
    </row>
    <row r="12" spans="1:28" s="19" customFormat="1" ht="7.05" customHeight="1" thickBot="1">
      <c r="A12" s="18"/>
      <c r="B12" s="599"/>
      <c r="C12" s="23"/>
      <c r="D12" s="21"/>
      <c r="E12" s="24"/>
      <c r="F12" s="24"/>
      <c r="G12" s="24"/>
      <c r="H12" s="24"/>
      <c r="I12" s="24"/>
      <c r="J12" s="322"/>
      <c r="K12" s="325"/>
      <c r="L12" s="324"/>
      <c r="M12" s="373"/>
      <c r="N12" s="373"/>
      <c r="O12" s="373"/>
      <c r="P12" s="373"/>
      <c r="Q12" s="373"/>
      <c r="R12" s="373"/>
      <c r="S12" s="324"/>
      <c r="T12" s="324"/>
      <c r="U12" s="324"/>
      <c r="V12" s="324"/>
      <c r="W12" s="324"/>
      <c r="X12" s="324"/>
      <c r="Y12" s="322"/>
      <c r="Z12" s="322"/>
      <c r="AA12" s="322"/>
      <c r="AB12" s="322"/>
    </row>
    <row r="13" spans="1:28" s="19" customFormat="1" ht="15.75" customHeight="1">
      <c r="A13" s="18"/>
      <c r="B13" s="596" t="str">
        <f>'Distribution Rate Schedule'!A10</f>
        <v>GS Less Than 50 KW</v>
      </c>
      <c r="C13" s="187"/>
      <c r="D13" s="187"/>
      <c r="E13" s="187"/>
      <c r="F13" s="187"/>
      <c r="G13" s="187"/>
      <c r="H13" s="187"/>
      <c r="I13" s="198"/>
      <c r="J13" s="322"/>
      <c r="K13" s="325"/>
      <c r="L13" s="324"/>
      <c r="M13" s="373"/>
      <c r="N13" s="373"/>
      <c r="O13" s="373"/>
      <c r="P13" s="373"/>
      <c r="Q13" s="373"/>
      <c r="R13" s="373"/>
      <c r="S13" s="324"/>
      <c r="T13" s="324"/>
      <c r="U13" s="324"/>
      <c r="V13" s="324"/>
      <c r="W13" s="324"/>
      <c r="X13" s="324"/>
      <c r="Y13" s="322"/>
      <c r="Z13" s="322"/>
      <c r="AA13" s="322"/>
      <c r="AB13" s="322"/>
    </row>
    <row r="14" spans="1:28" s="19" customFormat="1">
      <c r="A14" s="18"/>
      <c r="B14" s="597"/>
      <c r="C14" s="23" t="s">
        <v>42</v>
      </c>
      <c r="D14" s="21" t="s">
        <v>45</v>
      </c>
      <c r="E14" s="184">
        <f>'Distribution Rate Schedule'!$C$10</f>
        <v>15.21</v>
      </c>
      <c r="F14" s="184">
        <f>'Distribution Rate Schedule'!$C$30</f>
        <v>16.02</v>
      </c>
      <c r="G14" s="184">
        <f>'Distribution Rate Schedule'!$C$50</f>
        <v>16.239999999999998</v>
      </c>
      <c r="H14" s="184">
        <f>'Distribution Rate Schedule'!$C$70</f>
        <v>16.07</v>
      </c>
      <c r="I14" s="191">
        <f>'Distribution Rate Schedule'!$C$90</f>
        <v>16.47</v>
      </c>
      <c r="J14" s="322"/>
      <c r="K14" s="325">
        <v>8.3800000000000008</v>
      </c>
      <c r="L14" s="324"/>
      <c r="M14" s="372">
        <f>E14/K14-1</f>
        <v>0.81503579952267291</v>
      </c>
      <c r="N14" s="372">
        <f>F14/E14-1</f>
        <v>5.3254437869822313E-2</v>
      </c>
      <c r="O14" s="372">
        <f t="shared" ref="O14:O15" si="4">G14/F14-1</f>
        <v>1.3732833957553092E-2</v>
      </c>
      <c r="P14" s="372">
        <f t="shared" ref="P14:P15" si="5">H14/G14-1</f>
        <v>-1.0467980295566393E-2</v>
      </c>
      <c r="Q14" s="372">
        <f t="shared" ref="Q14:Q15" si="6">I14/H14-1</f>
        <v>2.4891101431238294E-2</v>
      </c>
      <c r="R14" s="372">
        <f>IFERROR((I14/K14)^(1/(2019-2014))-1,0)</f>
        <v>0.14469534336622902</v>
      </c>
      <c r="S14" s="324"/>
      <c r="T14" s="324"/>
      <c r="U14" s="324"/>
      <c r="V14" s="324"/>
      <c r="W14" s="324"/>
      <c r="X14" s="324"/>
      <c r="Y14" s="322"/>
      <c r="Z14" s="322"/>
      <c r="AA14" s="322"/>
      <c r="AB14" s="322"/>
    </row>
    <row r="15" spans="1:28" s="19" customFormat="1">
      <c r="A15" s="18"/>
      <c r="B15" s="597"/>
      <c r="C15" s="23" t="s">
        <v>46</v>
      </c>
      <c r="D15" s="21" t="s">
        <v>41</v>
      </c>
      <c r="E15" s="24">
        <f>'Distribution Rate Schedule'!$E$10</f>
        <v>1.47E-2</v>
      </c>
      <c r="F15" s="24">
        <f>'Distribution Rate Schedule'!$E$30</f>
        <v>1.5699999999999999E-2</v>
      </c>
      <c r="G15" s="24">
        <f>'Distribution Rate Schedule'!$E$50</f>
        <v>1.61E-2</v>
      </c>
      <c r="H15" s="24">
        <f>'Distribution Rate Schedule'!$E$70</f>
        <v>1.7000000000000001E-2</v>
      </c>
      <c r="I15" s="192">
        <f>'Distribution Rate Schedule'!$E$90</f>
        <v>1.78E-2</v>
      </c>
      <c r="J15" s="322"/>
      <c r="K15" s="326">
        <v>1.7000000000000001E-2</v>
      </c>
      <c r="L15" s="324"/>
      <c r="M15" s="372">
        <f>E15/K15-1</f>
        <v>-0.1352941176470589</v>
      </c>
      <c r="N15" s="372">
        <f>F15/E15-1</f>
        <v>6.8027210884353595E-2</v>
      </c>
      <c r="O15" s="372">
        <f t="shared" si="4"/>
        <v>2.5477707006369421E-2</v>
      </c>
      <c r="P15" s="372">
        <f t="shared" si="5"/>
        <v>5.5900621118012417E-2</v>
      </c>
      <c r="Q15" s="372">
        <f t="shared" si="6"/>
        <v>4.7058823529411598E-2</v>
      </c>
      <c r="R15" s="372">
        <f>IFERROR((I15/K15)^(1/(2019-2014))-1,0)</f>
        <v>9.2394452151944861E-3</v>
      </c>
      <c r="S15" s="324"/>
      <c r="T15" s="324"/>
      <c r="U15" s="324"/>
      <c r="V15" s="324"/>
      <c r="W15" s="324"/>
      <c r="X15" s="324"/>
      <c r="Y15" s="322"/>
      <c r="Z15" s="322"/>
      <c r="AA15" s="322"/>
      <c r="AB15" s="322"/>
    </row>
    <row r="16" spans="1:28" s="19" customFormat="1">
      <c r="A16" s="18"/>
      <c r="B16" s="597"/>
      <c r="C16" s="23" t="s">
        <v>105</v>
      </c>
      <c r="D16" s="21" t="s">
        <v>41</v>
      </c>
      <c r="E16" s="24">
        <f>'Distribution Rate Schedule'!$L$10</f>
        <v>0</v>
      </c>
      <c r="F16" s="24">
        <f>'Distribution Rate Schedule'!$L$30</f>
        <v>0</v>
      </c>
      <c r="G16" s="24">
        <f>'Distribution Rate Schedule'!$L$50</f>
        <v>0</v>
      </c>
      <c r="H16" s="24">
        <f>'Distribution Rate Schedule'!$L$70</f>
        <v>0</v>
      </c>
      <c r="I16" s="192">
        <f>'Distribution Rate Schedule'!$L$90</f>
        <v>0</v>
      </c>
      <c r="J16" s="322"/>
      <c r="K16" s="325"/>
      <c r="L16" s="324"/>
      <c r="M16" s="373"/>
      <c r="N16" s="373"/>
      <c r="O16" s="373"/>
      <c r="P16" s="373"/>
      <c r="Q16" s="373"/>
      <c r="R16" s="373"/>
      <c r="S16" s="324"/>
      <c r="T16" s="324"/>
      <c r="U16" s="324"/>
      <c r="V16" s="324"/>
      <c r="W16" s="324"/>
      <c r="X16" s="324"/>
      <c r="Y16" s="322"/>
      <c r="Z16" s="322"/>
      <c r="AA16" s="322"/>
      <c r="AB16" s="322"/>
    </row>
    <row r="17" spans="1:28" s="19" customFormat="1" ht="15.4" thickBot="1">
      <c r="A17" s="18"/>
      <c r="B17" s="598"/>
      <c r="C17" s="194" t="s">
        <v>74</v>
      </c>
      <c r="D17" s="195" t="s">
        <v>41</v>
      </c>
      <c r="E17" s="196">
        <f>'LRAM and SSM Rate Rider'!$L$8</f>
        <v>0</v>
      </c>
      <c r="F17" s="196">
        <f>'LRAM and SSM Rate Rider'!$L$24</f>
        <v>0</v>
      </c>
      <c r="G17" s="196">
        <f>'LRAM and SSM Rate Rider'!$L$40</f>
        <v>0</v>
      </c>
      <c r="H17" s="196">
        <f>'LRAM and SSM Rate Rider'!$L$56</f>
        <v>0</v>
      </c>
      <c r="I17" s="197">
        <f>'LRAM and SSM Rate Rider'!$L$72</f>
        <v>0</v>
      </c>
      <c r="J17" s="322"/>
      <c r="K17" s="325"/>
      <c r="L17" s="324"/>
      <c r="M17" s="373"/>
      <c r="N17" s="373"/>
      <c r="O17" s="373"/>
      <c r="P17" s="373"/>
      <c r="Q17" s="373"/>
      <c r="R17" s="373"/>
      <c r="S17" s="324"/>
      <c r="T17" s="324"/>
      <c r="U17" s="324"/>
      <c r="V17" s="324"/>
      <c r="W17" s="324"/>
      <c r="X17" s="324"/>
      <c r="Y17" s="322"/>
      <c r="Z17" s="322"/>
      <c r="AA17" s="322"/>
      <c r="AB17" s="322"/>
    </row>
    <row r="18" spans="1:28" s="19" customFormat="1" ht="7.05" customHeight="1" thickBot="1">
      <c r="A18" s="18"/>
      <c r="B18" s="599"/>
      <c r="C18" s="23"/>
      <c r="D18" s="21"/>
      <c r="E18" s="24"/>
      <c r="F18" s="24"/>
      <c r="G18" s="24"/>
      <c r="H18" s="24"/>
      <c r="I18" s="24"/>
      <c r="J18" s="322"/>
      <c r="K18" s="325"/>
      <c r="L18" s="324"/>
      <c r="M18" s="373"/>
      <c r="N18" s="373"/>
      <c r="O18" s="373"/>
      <c r="P18" s="373"/>
      <c r="Q18" s="373"/>
      <c r="R18" s="373"/>
      <c r="S18" s="324"/>
      <c r="T18" s="324"/>
      <c r="U18" s="324"/>
      <c r="V18" s="324"/>
      <c r="W18" s="324"/>
      <c r="X18" s="324"/>
      <c r="Y18" s="322"/>
      <c r="Z18" s="322"/>
      <c r="AA18" s="322"/>
      <c r="AB18" s="322"/>
    </row>
    <row r="19" spans="1:28" s="19" customFormat="1" ht="15.75" customHeight="1">
      <c r="A19" s="18"/>
      <c r="B19" s="596" t="str">
        <f>'Distribution Rate Schedule'!A11</f>
        <v>GS 50 To 999 KW</v>
      </c>
      <c r="C19" s="187"/>
      <c r="D19" s="187"/>
      <c r="E19" s="187"/>
      <c r="F19" s="187"/>
      <c r="G19" s="187"/>
      <c r="H19" s="187"/>
      <c r="I19" s="198"/>
      <c r="J19" s="322"/>
      <c r="K19" s="325"/>
      <c r="L19" s="324"/>
      <c r="M19" s="373"/>
      <c r="N19" s="373"/>
      <c r="O19" s="373"/>
      <c r="P19" s="373"/>
      <c r="Q19" s="373"/>
      <c r="R19" s="373"/>
      <c r="S19" s="324"/>
      <c r="T19" s="324"/>
      <c r="U19" s="324"/>
      <c r="V19" s="324"/>
      <c r="W19" s="324"/>
      <c r="X19" s="324"/>
      <c r="Y19" s="322"/>
      <c r="Z19" s="322"/>
      <c r="AA19" s="322"/>
      <c r="AB19" s="322"/>
    </row>
    <row r="20" spans="1:28" s="19" customFormat="1">
      <c r="A20" s="18"/>
      <c r="B20" s="597"/>
      <c r="C20" s="23" t="s">
        <v>42</v>
      </c>
      <c r="D20" s="21" t="s">
        <v>45</v>
      </c>
      <c r="E20" s="184">
        <f>'Distribution Rate Schedule'!$C$11</f>
        <v>48.76</v>
      </c>
      <c r="F20" s="184">
        <f>'Distribution Rate Schedule'!$C$31</f>
        <v>52.2</v>
      </c>
      <c r="G20" s="184">
        <f>'Distribution Rate Schedule'!$C$51</f>
        <v>53.33</v>
      </c>
      <c r="H20" s="184">
        <f>'Distribution Rate Schedule'!$C$71</f>
        <v>55.28</v>
      </c>
      <c r="I20" s="191">
        <f>'Distribution Rate Schedule'!$C$91</f>
        <v>57.54</v>
      </c>
      <c r="J20" s="322"/>
      <c r="K20" s="325">
        <v>43.13</v>
      </c>
      <c r="L20" s="324"/>
      <c r="M20" s="372">
        <f>E20/K20-1</f>
        <v>0.13053559007651283</v>
      </c>
      <c r="N20" s="372">
        <f>F20/E20-1</f>
        <v>7.0549630844954914E-2</v>
      </c>
      <c r="O20" s="372">
        <f t="shared" ref="O20:O21" si="7">G20/F20-1</f>
        <v>2.1647509578544E-2</v>
      </c>
      <c r="P20" s="372">
        <f t="shared" ref="P20:P21" si="8">H20/G20-1</f>
        <v>3.6564785299081137E-2</v>
      </c>
      <c r="Q20" s="372">
        <f t="shared" ref="Q20:Q21" si="9">I20/H20-1</f>
        <v>4.0882778581765589E-2</v>
      </c>
      <c r="R20" s="372">
        <f>IFERROR((I20/K20)^(1/(2019-2014))-1,0)</f>
        <v>5.9346606912222599E-2</v>
      </c>
      <c r="S20" s="324"/>
      <c r="T20" s="324"/>
      <c r="U20" s="324"/>
      <c r="V20" s="324"/>
      <c r="W20" s="324"/>
      <c r="X20" s="324"/>
      <c r="Y20" s="322"/>
      <c r="Z20" s="322"/>
      <c r="AA20" s="322"/>
      <c r="AB20" s="322"/>
    </row>
    <row r="21" spans="1:28" s="19" customFormat="1">
      <c r="A21" s="18"/>
      <c r="B21" s="597"/>
      <c r="C21" s="23" t="s">
        <v>46</v>
      </c>
      <c r="D21" s="21" t="s">
        <v>22</v>
      </c>
      <c r="E21" s="24">
        <f>'Distribution Rate Schedule'!$D$11</f>
        <v>4.1839000000000004</v>
      </c>
      <c r="F21" s="24">
        <f>'Distribution Rate Schedule'!$D$31</f>
        <v>4.4740000000000002</v>
      </c>
      <c r="G21" s="24">
        <f>'Distribution Rate Schedule'!$D$51</f>
        <v>4.5690999999999997</v>
      </c>
      <c r="H21" s="24">
        <f>'Distribution Rate Schedule'!$D$71</f>
        <v>4.7329999999999997</v>
      </c>
      <c r="I21" s="192">
        <f>'Distribution Rate Schedule'!$D$91</f>
        <v>4.9236000000000004</v>
      </c>
      <c r="J21" s="322"/>
      <c r="K21" s="326">
        <v>3.7097000000000002</v>
      </c>
      <c r="L21" s="324"/>
      <c r="M21" s="372">
        <f>E21/K21-1</f>
        <v>0.12782704800927314</v>
      </c>
      <c r="N21" s="372">
        <f>F21/E21-1</f>
        <v>6.9337221252897985E-2</v>
      </c>
      <c r="O21" s="372">
        <f t="shared" si="7"/>
        <v>2.1256146624943906E-2</v>
      </c>
      <c r="P21" s="372">
        <f t="shared" si="8"/>
        <v>3.5871396992843252E-2</v>
      </c>
      <c r="Q21" s="372">
        <f t="shared" si="9"/>
        <v>4.0270441580393168E-2</v>
      </c>
      <c r="R21" s="372">
        <f>IFERROR((I21/K21)^(1/(2019-2014))-1,0)</f>
        <v>5.8251260872486776E-2</v>
      </c>
      <c r="S21" s="324"/>
      <c r="T21" s="324"/>
      <c r="U21" s="324"/>
      <c r="V21" s="324"/>
      <c r="W21" s="324"/>
      <c r="X21" s="324"/>
      <c r="Y21" s="322"/>
      <c r="Z21" s="322"/>
      <c r="AA21" s="322"/>
      <c r="AB21" s="322"/>
    </row>
    <row r="22" spans="1:28" s="19" customFormat="1">
      <c r="A22" s="18"/>
      <c r="B22" s="597"/>
      <c r="C22" s="23" t="s">
        <v>105</v>
      </c>
      <c r="D22" s="21" t="s">
        <v>22</v>
      </c>
      <c r="E22" s="24">
        <f>'Distribution Rate Schedule'!$K$11</f>
        <v>0</v>
      </c>
      <c r="F22" s="24">
        <f>'Distribution Rate Schedule'!$K$31</f>
        <v>0</v>
      </c>
      <c r="G22" s="24">
        <f>'Distribution Rate Schedule'!$K$51</f>
        <v>0</v>
      </c>
      <c r="H22" s="24">
        <f>'Distribution Rate Schedule'!$K$71</f>
        <v>0</v>
      </c>
      <c r="I22" s="192">
        <f>'Distribution Rate Schedule'!$K$91</f>
        <v>0</v>
      </c>
      <c r="J22" s="322"/>
      <c r="K22" s="325"/>
      <c r="L22" s="324"/>
      <c r="M22" s="373"/>
      <c r="N22" s="373"/>
      <c r="O22" s="373"/>
      <c r="P22" s="373"/>
      <c r="Q22" s="373"/>
      <c r="R22" s="373"/>
      <c r="S22" s="324"/>
      <c r="T22" s="324"/>
      <c r="U22" s="324"/>
      <c r="V22" s="324"/>
      <c r="W22" s="324"/>
      <c r="X22" s="324"/>
      <c r="Y22" s="322"/>
      <c r="Z22" s="322"/>
      <c r="AA22" s="322"/>
      <c r="AB22" s="322"/>
    </row>
    <row r="23" spans="1:28" s="19" customFormat="1" ht="15.4" thickBot="1">
      <c r="A23" s="18"/>
      <c r="B23" s="598"/>
      <c r="C23" s="194" t="s">
        <v>74</v>
      </c>
      <c r="D23" s="195" t="s">
        <v>41</v>
      </c>
      <c r="E23" s="196">
        <f>'LRAM and SSM Rate Rider'!$L$9</f>
        <v>0</v>
      </c>
      <c r="F23" s="196">
        <f>'LRAM and SSM Rate Rider'!$L$25</f>
        <v>0</v>
      </c>
      <c r="G23" s="196">
        <f>'LRAM and SSM Rate Rider'!$L$41</f>
        <v>0</v>
      </c>
      <c r="H23" s="196">
        <f>'LRAM and SSM Rate Rider'!$L$57</f>
        <v>0</v>
      </c>
      <c r="I23" s="197">
        <f>'LRAM and SSM Rate Rider'!$L$73</f>
        <v>0</v>
      </c>
      <c r="J23" s="322"/>
      <c r="K23" s="325"/>
      <c r="L23" s="324"/>
      <c r="M23" s="373"/>
      <c r="N23" s="373"/>
      <c r="O23" s="373"/>
      <c r="P23" s="373"/>
      <c r="Q23" s="373"/>
      <c r="R23" s="373"/>
      <c r="S23" s="324"/>
      <c r="T23" s="324"/>
      <c r="U23" s="324"/>
      <c r="V23" s="324"/>
      <c r="W23" s="324"/>
      <c r="X23" s="324"/>
      <c r="Y23" s="322"/>
      <c r="Z23" s="322"/>
      <c r="AA23" s="322"/>
      <c r="AB23" s="322"/>
    </row>
    <row r="24" spans="1:28" s="19" customFormat="1" ht="6.75" customHeight="1" thickBot="1">
      <c r="A24" s="18"/>
      <c r="B24" s="599"/>
      <c r="C24" s="23"/>
      <c r="D24" s="21"/>
      <c r="E24" s="24"/>
      <c r="F24" s="24"/>
      <c r="G24" s="24"/>
      <c r="H24" s="24"/>
      <c r="I24" s="24"/>
      <c r="J24" s="322"/>
      <c r="K24" s="325"/>
      <c r="L24" s="324"/>
      <c r="M24" s="373"/>
      <c r="N24" s="373"/>
      <c r="O24" s="373"/>
      <c r="P24" s="373"/>
      <c r="Q24" s="373"/>
      <c r="R24" s="373"/>
      <c r="S24" s="324"/>
      <c r="T24" s="324"/>
      <c r="U24" s="324"/>
      <c r="V24" s="324"/>
      <c r="W24" s="324"/>
      <c r="X24" s="324"/>
      <c r="Y24" s="322"/>
      <c r="Z24" s="322"/>
      <c r="AA24" s="322"/>
      <c r="AB24" s="322"/>
    </row>
    <row r="25" spans="1:28" s="19" customFormat="1" ht="15.75" customHeight="1">
      <c r="A25" s="18"/>
      <c r="B25" s="600" t="str">
        <f>'Distribution Rate Schedule'!A12</f>
        <v>GS Intermediate 1,000 To 4,999 KW</v>
      </c>
      <c r="C25" s="187"/>
      <c r="D25" s="187"/>
      <c r="E25" s="187"/>
      <c r="F25" s="187"/>
      <c r="G25" s="187"/>
      <c r="H25" s="187"/>
      <c r="I25" s="198"/>
      <c r="J25" s="322"/>
      <c r="K25" s="325"/>
      <c r="L25" s="324"/>
      <c r="M25" s="373"/>
      <c r="N25" s="373"/>
      <c r="O25" s="373"/>
      <c r="P25" s="373"/>
      <c r="Q25" s="373"/>
      <c r="R25" s="373"/>
      <c r="S25" s="324"/>
      <c r="T25" s="324"/>
      <c r="U25" s="324"/>
      <c r="V25" s="324"/>
      <c r="W25" s="324"/>
      <c r="X25" s="324"/>
      <c r="Y25" s="322"/>
      <c r="Z25" s="322"/>
      <c r="AA25" s="322"/>
      <c r="AB25" s="322"/>
    </row>
    <row r="26" spans="1:28" s="19" customFormat="1">
      <c r="A26" s="18"/>
      <c r="B26" s="597"/>
      <c r="C26" s="23" t="s">
        <v>42</v>
      </c>
      <c r="D26" s="21" t="s">
        <v>45</v>
      </c>
      <c r="E26" s="184">
        <f>'Distribution Rate Schedule'!$C$12</f>
        <v>1024.6300000000001</v>
      </c>
      <c r="F26" s="184">
        <f>'Distribution Rate Schedule'!$C$32</f>
        <v>1097.01</v>
      </c>
      <c r="G26" s="184">
        <f>'Distribution Rate Schedule'!$C$52</f>
        <v>1120.74</v>
      </c>
      <c r="H26" s="184">
        <f>'Distribution Rate Schedule'!$C$72</f>
        <v>1161.6500000000001</v>
      </c>
      <c r="I26" s="191">
        <f>'Distribution Rate Schedule'!$C$92</f>
        <v>1209.22</v>
      </c>
      <c r="J26" s="322"/>
      <c r="K26" s="325">
        <v>1221.57</v>
      </c>
      <c r="L26" s="324"/>
      <c r="M26" s="372">
        <f>E26/K26-1</f>
        <v>-0.16121875946527819</v>
      </c>
      <c r="N26" s="372">
        <f>F26/E26-1</f>
        <v>7.0640133511608916E-2</v>
      </c>
      <c r="O26" s="372">
        <f t="shared" ref="O26:O27" si="10">G26/F26-1</f>
        <v>2.1631525692564324E-2</v>
      </c>
      <c r="P26" s="372">
        <f t="shared" ref="P26:P27" si="11">H26/G26-1</f>
        <v>3.6502667880150774E-2</v>
      </c>
      <c r="Q26" s="372">
        <f t="shared" ref="Q26:Q27" si="12">I26/H26-1</f>
        <v>4.0950372315241124E-2</v>
      </c>
      <c r="R26" s="372">
        <f>IFERROR((I26/K26)^(1/(2019-2014))-1,0)</f>
        <v>-2.0302149233681899E-3</v>
      </c>
      <c r="S26" s="324"/>
      <c r="T26" s="324"/>
      <c r="U26" s="324"/>
      <c r="V26" s="324"/>
      <c r="W26" s="324"/>
      <c r="X26" s="324"/>
      <c r="Y26" s="322"/>
      <c r="Z26" s="322"/>
      <c r="AA26" s="322"/>
      <c r="AB26" s="322"/>
    </row>
    <row r="27" spans="1:28" s="19" customFormat="1">
      <c r="A27" s="18"/>
      <c r="B27" s="597"/>
      <c r="C27" s="23" t="s">
        <v>46</v>
      </c>
      <c r="D27" s="21" t="s">
        <v>22</v>
      </c>
      <c r="E27" s="24">
        <f>'Distribution Rate Schedule'!$D$12</f>
        <v>2.2648999999999999</v>
      </c>
      <c r="F27" s="24">
        <f>'Distribution Rate Schedule'!$D$32</f>
        <v>2.3852000000000002</v>
      </c>
      <c r="G27" s="24">
        <f>'Distribution Rate Schedule'!$D$52</f>
        <v>2.4245999999999999</v>
      </c>
      <c r="H27" s="24">
        <f>'Distribution Rate Schedule'!$D$72</f>
        <v>2.4925999999999999</v>
      </c>
      <c r="I27" s="192">
        <f>'Distribution Rate Schedule'!$D$92</f>
        <v>2.5716999999999999</v>
      </c>
      <c r="J27" s="322"/>
      <c r="K27" s="326">
        <v>2.5922999999999998</v>
      </c>
      <c r="L27" s="324"/>
      <c r="M27" s="372">
        <f>E27/K27-1</f>
        <v>-0.12629711067391891</v>
      </c>
      <c r="N27" s="372">
        <f>F27/E27-1</f>
        <v>5.3114927811382495E-2</v>
      </c>
      <c r="O27" s="372">
        <f t="shared" si="10"/>
        <v>1.6518530940801357E-2</v>
      </c>
      <c r="P27" s="372">
        <f t="shared" si="11"/>
        <v>2.8045863235172774E-2</v>
      </c>
      <c r="Q27" s="372">
        <f t="shared" si="12"/>
        <v>3.1733932440022539E-2</v>
      </c>
      <c r="R27" s="372">
        <f>IFERROR((I27/K27)^(1/(2019-2014))-1,0)</f>
        <v>-1.5943983358155389E-3</v>
      </c>
      <c r="S27" s="324"/>
      <c r="T27" s="324"/>
      <c r="U27" s="324"/>
      <c r="V27" s="324"/>
      <c r="W27" s="324"/>
      <c r="X27" s="324"/>
      <c r="Y27" s="322"/>
      <c r="Z27" s="322"/>
      <c r="AA27" s="322"/>
      <c r="AB27" s="322"/>
    </row>
    <row r="28" spans="1:28" s="19" customFormat="1">
      <c r="A28" s="18"/>
      <c r="B28" s="597"/>
      <c r="C28" s="23" t="s">
        <v>105</v>
      </c>
      <c r="D28" s="21" t="s">
        <v>22</v>
      </c>
      <c r="E28" s="24">
        <f>'Distribution Rate Schedule'!$K$12</f>
        <v>0</v>
      </c>
      <c r="F28" s="24">
        <f>'Distribution Rate Schedule'!$K$32</f>
        <v>0</v>
      </c>
      <c r="G28" s="24">
        <f>'Distribution Rate Schedule'!$K$52</f>
        <v>0</v>
      </c>
      <c r="H28" s="24">
        <f>'Distribution Rate Schedule'!$K$72</f>
        <v>0</v>
      </c>
      <c r="I28" s="192">
        <f>'Distribution Rate Schedule'!$K$92</f>
        <v>0</v>
      </c>
      <c r="J28" s="322"/>
      <c r="K28" s="325"/>
      <c r="L28" s="324"/>
      <c r="M28" s="373"/>
      <c r="N28" s="373"/>
      <c r="O28" s="373"/>
      <c r="P28" s="373"/>
      <c r="Q28" s="373"/>
      <c r="R28" s="373"/>
      <c r="S28" s="324"/>
      <c r="T28" s="324"/>
      <c r="U28" s="324"/>
      <c r="V28" s="324"/>
      <c r="W28" s="324"/>
      <c r="X28" s="324"/>
      <c r="Y28" s="322"/>
      <c r="Z28" s="322"/>
      <c r="AA28" s="322"/>
      <c r="AB28" s="322"/>
    </row>
    <row r="29" spans="1:28" s="19" customFormat="1" ht="15.4" thickBot="1">
      <c r="A29" s="18"/>
      <c r="B29" s="598"/>
      <c r="C29" s="194" t="s">
        <v>74</v>
      </c>
      <c r="D29" s="195" t="s">
        <v>41</v>
      </c>
      <c r="E29" s="196">
        <f>'LRAM and SSM Rate Rider'!$L$10</f>
        <v>0</v>
      </c>
      <c r="F29" s="196">
        <f>'LRAM and SSM Rate Rider'!$L$26</f>
        <v>0</v>
      </c>
      <c r="G29" s="196">
        <f>'LRAM and SSM Rate Rider'!$L$42</f>
        <v>0</v>
      </c>
      <c r="H29" s="196">
        <f>'LRAM and SSM Rate Rider'!$L$58</f>
        <v>0</v>
      </c>
      <c r="I29" s="197">
        <f>'LRAM and SSM Rate Rider'!$L$74</f>
        <v>0</v>
      </c>
      <c r="J29" s="322"/>
      <c r="K29" s="325"/>
      <c r="L29" s="324"/>
      <c r="M29" s="373"/>
      <c r="N29" s="373"/>
      <c r="O29" s="373"/>
      <c r="P29" s="373"/>
      <c r="Q29" s="373"/>
      <c r="R29" s="373"/>
      <c r="S29" s="324"/>
      <c r="T29" s="324"/>
      <c r="U29" s="324"/>
      <c r="V29" s="324"/>
      <c r="W29" s="324"/>
      <c r="X29" s="324"/>
      <c r="Y29" s="322"/>
      <c r="Z29" s="322"/>
      <c r="AA29" s="322"/>
      <c r="AB29" s="322"/>
    </row>
    <row r="30" spans="1:28" s="19" customFormat="1" ht="6.75" customHeight="1" thickBot="1">
      <c r="A30" s="18"/>
      <c r="B30" s="599"/>
      <c r="C30" s="23"/>
      <c r="D30" s="21"/>
      <c r="E30" s="24"/>
      <c r="F30" s="24"/>
      <c r="G30" s="24"/>
      <c r="H30" s="24"/>
      <c r="I30" s="24"/>
      <c r="J30" s="322"/>
      <c r="K30" s="325"/>
      <c r="L30" s="324"/>
      <c r="M30" s="373"/>
      <c r="N30" s="373"/>
      <c r="O30" s="373"/>
      <c r="P30" s="373"/>
      <c r="Q30" s="373"/>
      <c r="R30" s="373"/>
      <c r="S30" s="324"/>
      <c r="T30" s="324"/>
      <c r="U30" s="324"/>
      <c r="V30" s="324"/>
      <c r="W30" s="324"/>
      <c r="X30" s="324"/>
      <c r="Y30" s="322"/>
      <c r="Z30" s="322"/>
      <c r="AA30" s="322"/>
      <c r="AB30" s="322"/>
    </row>
    <row r="31" spans="1:28" s="19" customFormat="1" ht="15.75" customHeight="1">
      <c r="A31" s="18"/>
      <c r="B31" s="596" t="str">
        <f>'Distribution Rate Schedule'!A13</f>
        <v>Large Use</v>
      </c>
      <c r="C31" s="187"/>
      <c r="D31" s="187"/>
      <c r="E31" s="187"/>
      <c r="F31" s="187"/>
      <c r="G31" s="187"/>
      <c r="H31" s="187"/>
      <c r="I31" s="198"/>
      <c r="J31" s="322"/>
      <c r="K31" s="325"/>
      <c r="L31" s="324"/>
      <c r="M31" s="373"/>
      <c r="N31" s="373"/>
      <c r="O31" s="373"/>
      <c r="P31" s="373"/>
      <c r="Q31" s="373"/>
      <c r="R31" s="373"/>
      <c r="S31" s="324"/>
      <c r="T31" s="324"/>
      <c r="U31" s="324"/>
      <c r="V31" s="324"/>
      <c r="W31" s="324"/>
      <c r="X31" s="324"/>
      <c r="Y31" s="322"/>
      <c r="Z31" s="322"/>
      <c r="AA31" s="322"/>
      <c r="AB31" s="322"/>
    </row>
    <row r="32" spans="1:28" s="19" customFormat="1">
      <c r="A32" s="18"/>
      <c r="B32" s="597"/>
      <c r="C32" s="23" t="s">
        <v>42</v>
      </c>
      <c r="D32" s="21" t="s">
        <v>45</v>
      </c>
      <c r="E32" s="184">
        <f>'Distribution Rate Schedule'!$C$13</f>
        <v>7812.41</v>
      </c>
      <c r="F32" s="184">
        <f>'Distribution Rate Schedule'!$C$33</f>
        <v>8347.42</v>
      </c>
      <c r="G32" s="184">
        <f>'Distribution Rate Schedule'!$C$53</f>
        <v>8527.98</v>
      </c>
      <c r="H32" s="184">
        <f>'Distribution Rate Schedule'!$C$73</f>
        <v>8839.27</v>
      </c>
      <c r="I32" s="191">
        <f>'Distribution Rate Schedule'!$C$93</f>
        <v>9201.27</v>
      </c>
      <c r="J32" s="322"/>
      <c r="K32" s="325">
        <v>8270.6299999999992</v>
      </c>
      <c r="L32" s="324"/>
      <c r="M32" s="372">
        <f>E32/K32-1</f>
        <v>-5.5403276413042213E-2</v>
      </c>
      <c r="N32" s="372">
        <f>F32/E32-1</f>
        <v>6.8482068913434002E-2</v>
      </c>
      <c r="O32" s="372">
        <f t="shared" ref="O32:O33" si="13">G32/F32-1</f>
        <v>2.1630635573626211E-2</v>
      </c>
      <c r="P32" s="372">
        <f t="shared" ref="P32:P33" si="14">H32/G32-1</f>
        <v>3.6502196299710077E-2</v>
      </c>
      <c r="Q32" s="372">
        <f t="shared" ref="Q32:Q33" si="15">I32/H32-1</f>
        <v>4.095360815994975E-2</v>
      </c>
      <c r="R32" s="372">
        <f>IFERROR((I32/K32)^(1/(2019-2014))-1,0)</f>
        <v>2.1555194471039485E-2</v>
      </c>
      <c r="S32" s="324"/>
      <c r="T32" s="324"/>
      <c r="U32" s="324"/>
      <c r="V32" s="324"/>
      <c r="W32" s="324"/>
      <c r="X32" s="324"/>
      <c r="Y32" s="322"/>
      <c r="Z32" s="322"/>
      <c r="AA32" s="322"/>
      <c r="AB32" s="322"/>
    </row>
    <row r="33" spans="1:28" s="19" customFormat="1">
      <c r="A33" s="18"/>
      <c r="B33" s="597"/>
      <c r="C33" s="23" t="s">
        <v>46</v>
      </c>
      <c r="D33" s="21" t="s">
        <v>22</v>
      </c>
      <c r="E33" s="24">
        <f>'Distribution Rate Schedule'!$D$13</f>
        <v>1.9725999999999999</v>
      </c>
      <c r="F33" s="24">
        <f>'Distribution Rate Schedule'!$D$33</f>
        <v>2.0666000000000002</v>
      </c>
      <c r="G33" s="24">
        <f>'Distribution Rate Schedule'!$D$53</f>
        <v>2.0983000000000001</v>
      </c>
      <c r="H33" s="24">
        <f>'Distribution Rate Schedule'!$D$73</f>
        <v>2.153</v>
      </c>
      <c r="I33" s="192">
        <f>'Distribution Rate Schedule'!$D$93</f>
        <v>2.2166000000000001</v>
      </c>
      <c r="J33" s="322"/>
      <c r="K33" s="326">
        <v>2.0531000000000001</v>
      </c>
      <c r="L33" s="324"/>
      <c r="M33" s="372">
        <f>E33/K33-1</f>
        <v>-3.9209001022843637E-2</v>
      </c>
      <c r="N33" s="372">
        <f>F33/E33-1</f>
        <v>4.765284396228342E-2</v>
      </c>
      <c r="O33" s="372">
        <f t="shared" si="13"/>
        <v>1.533920449046744E-2</v>
      </c>
      <c r="P33" s="372">
        <f t="shared" si="14"/>
        <v>2.6068722299003921E-2</v>
      </c>
      <c r="Q33" s="372">
        <f t="shared" si="15"/>
        <v>2.9540176497909965E-2</v>
      </c>
      <c r="R33" s="372">
        <f>IFERROR((I33/K33)^(1/(2019-2014))-1,0)</f>
        <v>1.5442754651575852E-2</v>
      </c>
      <c r="S33" s="324"/>
      <c r="T33" s="324"/>
      <c r="U33" s="324"/>
      <c r="V33" s="324"/>
      <c r="W33" s="324"/>
      <c r="X33" s="324"/>
      <c r="Y33" s="322"/>
      <c r="Z33" s="322"/>
      <c r="AA33" s="322"/>
      <c r="AB33" s="322"/>
    </row>
    <row r="34" spans="1:28" s="19" customFormat="1">
      <c r="A34" s="18"/>
      <c r="B34" s="597"/>
      <c r="C34" s="23" t="s">
        <v>105</v>
      </c>
      <c r="D34" s="21" t="s">
        <v>22</v>
      </c>
      <c r="E34" s="24">
        <f>'Distribution Rate Schedule'!$K$13</f>
        <v>0</v>
      </c>
      <c r="F34" s="24">
        <f>'Distribution Rate Schedule'!$K$33</f>
        <v>0</v>
      </c>
      <c r="G34" s="24">
        <f>'Distribution Rate Schedule'!$K$53</f>
        <v>0</v>
      </c>
      <c r="H34" s="24">
        <f>'Distribution Rate Schedule'!$K$73</f>
        <v>0</v>
      </c>
      <c r="I34" s="192">
        <f>'Distribution Rate Schedule'!$K$93</f>
        <v>0</v>
      </c>
      <c r="J34" s="322"/>
      <c r="K34" s="325"/>
      <c r="L34" s="324"/>
      <c r="M34" s="373"/>
      <c r="N34" s="373"/>
      <c r="O34" s="373"/>
      <c r="P34" s="373"/>
      <c r="Q34" s="373"/>
      <c r="R34" s="373"/>
      <c r="S34" s="324"/>
      <c r="T34" s="324"/>
      <c r="U34" s="324"/>
      <c r="V34" s="324"/>
      <c r="W34" s="324"/>
      <c r="X34" s="324"/>
      <c r="Y34" s="322"/>
      <c r="Z34" s="322"/>
      <c r="AA34" s="322"/>
      <c r="AB34" s="322"/>
    </row>
    <row r="35" spans="1:28" s="19" customFormat="1" ht="15.4" thickBot="1">
      <c r="A35" s="18"/>
      <c r="B35" s="598"/>
      <c r="C35" s="194" t="s">
        <v>74</v>
      </c>
      <c r="D35" s="195" t="s">
        <v>22</v>
      </c>
      <c r="E35" s="196">
        <f>'LRAM and SSM Rate Rider'!$L$11</f>
        <v>0</v>
      </c>
      <c r="F35" s="196">
        <f>'LRAM and SSM Rate Rider'!$L$27</f>
        <v>0</v>
      </c>
      <c r="G35" s="196">
        <f>'LRAM and SSM Rate Rider'!$L$43</f>
        <v>0</v>
      </c>
      <c r="H35" s="196">
        <f>'LRAM and SSM Rate Rider'!$L$59</f>
        <v>0</v>
      </c>
      <c r="I35" s="197">
        <f>'LRAM and SSM Rate Rider'!$L$75</f>
        <v>0</v>
      </c>
      <c r="J35" s="322"/>
      <c r="K35" s="325"/>
      <c r="L35" s="324"/>
      <c r="M35" s="373"/>
      <c r="N35" s="373"/>
      <c r="O35" s="373"/>
      <c r="P35" s="373"/>
      <c r="Q35" s="373"/>
      <c r="R35" s="373"/>
      <c r="S35" s="324"/>
      <c r="T35" s="324"/>
      <c r="U35" s="324"/>
      <c r="V35" s="324"/>
      <c r="W35" s="324"/>
      <c r="X35" s="324"/>
      <c r="Y35" s="322"/>
      <c r="Z35" s="322"/>
      <c r="AA35" s="322"/>
      <c r="AB35" s="322"/>
    </row>
    <row r="36" spans="1:28" s="19" customFormat="1" ht="7.05" customHeight="1" thickBot="1">
      <c r="A36" s="18"/>
      <c r="B36" s="599"/>
      <c r="C36" s="23"/>
      <c r="D36" s="21"/>
      <c r="E36" s="24"/>
      <c r="F36" s="24"/>
      <c r="G36" s="24"/>
      <c r="H36" s="24"/>
      <c r="I36" s="24"/>
      <c r="J36" s="322"/>
      <c r="K36" s="325"/>
      <c r="L36" s="324"/>
      <c r="M36" s="373"/>
      <c r="N36" s="373"/>
      <c r="O36" s="373"/>
      <c r="P36" s="373"/>
      <c r="Q36" s="373"/>
      <c r="R36" s="373"/>
      <c r="S36" s="324"/>
      <c r="T36" s="324"/>
      <c r="U36" s="324"/>
      <c r="V36" s="324"/>
      <c r="W36" s="324"/>
      <c r="X36" s="324"/>
      <c r="Y36" s="322"/>
      <c r="Z36" s="322"/>
      <c r="AA36" s="322"/>
      <c r="AB36" s="322"/>
    </row>
    <row r="37" spans="1:28" s="19" customFormat="1" ht="15.75" customHeight="1">
      <c r="A37" s="18"/>
      <c r="B37" s="596" t="str">
        <f>'Distribution Rate Schedule'!A14</f>
        <v>Street Lighting</v>
      </c>
      <c r="C37" s="187"/>
      <c r="D37" s="187"/>
      <c r="E37" s="187"/>
      <c r="F37" s="187"/>
      <c r="G37" s="187"/>
      <c r="H37" s="187"/>
      <c r="I37" s="198"/>
      <c r="J37" s="322"/>
      <c r="K37" s="325"/>
      <c r="L37" s="324"/>
      <c r="M37" s="373"/>
      <c r="N37" s="373"/>
      <c r="O37" s="373"/>
      <c r="P37" s="373"/>
      <c r="Q37" s="373"/>
      <c r="R37" s="373"/>
      <c r="S37" s="324"/>
      <c r="T37" s="324"/>
      <c r="U37" s="324"/>
      <c r="V37" s="324"/>
      <c r="W37" s="324"/>
      <c r="X37" s="324"/>
      <c r="Y37" s="322"/>
      <c r="Z37" s="322"/>
      <c r="AA37" s="322"/>
      <c r="AB37" s="322"/>
    </row>
    <row r="38" spans="1:28" s="19" customFormat="1">
      <c r="A38" s="18"/>
      <c r="B38" s="597"/>
      <c r="C38" s="23" t="s">
        <v>42</v>
      </c>
      <c r="D38" s="21" t="s">
        <v>45</v>
      </c>
      <c r="E38" s="184">
        <f>'Distribution Rate Schedule'!$B$14</f>
        <v>1.65</v>
      </c>
      <c r="F38" s="184">
        <f>'Distribution Rate Schedule'!$B$34</f>
        <v>1.8290999999999999</v>
      </c>
      <c r="G38" s="184">
        <f>'Distribution Rate Schedule'!$B$54</f>
        <v>1.9211</v>
      </c>
      <c r="H38" s="184">
        <f>'Distribution Rate Schedule'!$B$74</f>
        <v>1.9901</v>
      </c>
      <c r="I38" s="191">
        <f>'Distribution Rate Schedule'!$B$94</f>
        <v>2.0714999999999999</v>
      </c>
      <c r="J38" s="322"/>
      <c r="K38" s="325">
        <v>1.17</v>
      </c>
      <c r="L38" s="324"/>
      <c r="M38" s="372">
        <f>E38/K38-1</f>
        <v>0.41025641025641035</v>
      </c>
      <c r="N38" s="372">
        <f>F38/E38-1</f>
        <v>0.1085454545454545</v>
      </c>
      <c r="O38" s="372">
        <f t="shared" ref="O38:O39" si="16">G38/F38-1</f>
        <v>5.0297960745721904E-2</v>
      </c>
      <c r="P38" s="372">
        <f t="shared" ref="P38:P39" si="17">H38/G38-1</f>
        <v>3.5916922596429091E-2</v>
      </c>
      <c r="Q38" s="372">
        <f t="shared" ref="Q38:Q39" si="18">I38/H38-1</f>
        <v>4.0902467212702742E-2</v>
      </c>
      <c r="R38" s="372">
        <f>IFERROR((I38/K38)^(1/(2019-2014))-1,0)</f>
        <v>0.12103666027581705</v>
      </c>
      <c r="S38" s="324"/>
      <c r="T38" s="324"/>
      <c r="U38" s="324"/>
      <c r="V38" s="324"/>
      <c r="W38" s="324"/>
      <c r="X38" s="324"/>
      <c r="Y38" s="322"/>
      <c r="Z38" s="322"/>
      <c r="AA38" s="322"/>
      <c r="AB38" s="322"/>
    </row>
    <row r="39" spans="1:28" s="19" customFormat="1">
      <c r="A39" s="18"/>
      <c r="B39" s="597"/>
      <c r="C39" s="23" t="s">
        <v>46</v>
      </c>
      <c r="D39" s="21" t="s">
        <v>22</v>
      </c>
      <c r="E39" s="24">
        <f>'Distribution Rate Schedule'!$D$14</f>
        <v>25.491599999999998</v>
      </c>
      <c r="F39" s="24">
        <f>'Distribution Rate Schedule'!$D$34</f>
        <v>28.259</v>
      </c>
      <c r="G39" s="24">
        <f>'Distribution Rate Schedule'!$D$54</f>
        <v>29.666399999999999</v>
      </c>
      <c r="H39" s="24">
        <f>'Distribution Rate Schedule'!$D$74</f>
        <v>30.749300000000002</v>
      </c>
      <c r="I39" s="192">
        <f>'Distribution Rate Schedule'!$D$94</f>
        <v>32.008600000000001</v>
      </c>
      <c r="J39" s="322"/>
      <c r="K39" s="326">
        <v>18.104199999999999</v>
      </c>
      <c r="L39" s="324"/>
      <c r="M39" s="372">
        <f>E39/K39-1</f>
        <v>0.40804896101457122</v>
      </c>
      <c r="N39" s="372">
        <f>F39/E39-1</f>
        <v>0.10856125154953022</v>
      </c>
      <c r="O39" s="372">
        <f t="shared" si="16"/>
        <v>4.9803602392158197E-2</v>
      </c>
      <c r="P39" s="372">
        <f t="shared" si="17"/>
        <v>3.6502575304047769E-2</v>
      </c>
      <c r="Q39" s="372">
        <f t="shared" si="18"/>
        <v>4.0953777809576097E-2</v>
      </c>
      <c r="R39" s="372">
        <f>IFERROR((I39/K39)^(1/(2019-2014))-1,0)</f>
        <v>0.12072089245473339</v>
      </c>
      <c r="S39" s="324"/>
      <c r="T39" s="324"/>
      <c r="U39" s="324"/>
      <c r="V39" s="324"/>
      <c r="W39" s="324"/>
      <c r="X39" s="324"/>
      <c r="Y39" s="322"/>
      <c r="Z39" s="322"/>
      <c r="AA39" s="322"/>
      <c r="AB39" s="322"/>
    </row>
    <row r="40" spans="1:28" s="19" customFormat="1">
      <c r="A40" s="18"/>
      <c r="B40" s="597"/>
      <c r="C40" s="23" t="s">
        <v>105</v>
      </c>
      <c r="D40" s="21" t="s">
        <v>22</v>
      </c>
      <c r="E40" s="24">
        <f>'Distribution Rate Schedule'!$K$14</f>
        <v>0</v>
      </c>
      <c r="F40" s="24">
        <f>'Distribution Rate Schedule'!$K$34</f>
        <v>0</v>
      </c>
      <c r="G40" s="24">
        <f>'Distribution Rate Schedule'!$K$54</f>
        <v>0</v>
      </c>
      <c r="H40" s="24">
        <f>'Distribution Rate Schedule'!$K$74</f>
        <v>0</v>
      </c>
      <c r="I40" s="192">
        <f>'Distribution Rate Schedule'!$K$94</f>
        <v>0</v>
      </c>
      <c r="J40" s="322"/>
      <c r="K40" s="325"/>
      <c r="L40" s="324"/>
      <c r="M40" s="373"/>
      <c r="N40" s="373"/>
      <c r="O40" s="373"/>
      <c r="P40" s="373"/>
      <c r="Q40" s="373"/>
      <c r="R40" s="373"/>
      <c r="S40" s="324"/>
      <c r="T40" s="324"/>
      <c r="U40" s="324"/>
      <c r="V40" s="324"/>
      <c r="W40" s="324"/>
      <c r="X40" s="324"/>
      <c r="Y40" s="322"/>
      <c r="Z40" s="322"/>
      <c r="AA40" s="322"/>
      <c r="AB40" s="322"/>
    </row>
    <row r="41" spans="1:28" s="19" customFormat="1" ht="15.4" thickBot="1">
      <c r="A41" s="18"/>
      <c r="B41" s="598"/>
      <c r="C41" s="194" t="s">
        <v>74</v>
      </c>
      <c r="D41" s="195" t="s">
        <v>22</v>
      </c>
      <c r="E41" s="196">
        <f>'LRAM and SSM Rate Rider'!$L$12</f>
        <v>0</v>
      </c>
      <c r="F41" s="196">
        <f>'LRAM and SSM Rate Rider'!$L$28</f>
        <v>0</v>
      </c>
      <c r="G41" s="196">
        <f>'LRAM and SSM Rate Rider'!$L$44</f>
        <v>0</v>
      </c>
      <c r="H41" s="196">
        <f>'LRAM and SSM Rate Rider'!$L$60</f>
        <v>0</v>
      </c>
      <c r="I41" s="197">
        <f>'LRAM and SSM Rate Rider'!$L$76</f>
        <v>0</v>
      </c>
      <c r="J41" s="322"/>
      <c r="K41" s="325"/>
      <c r="L41" s="324"/>
      <c r="M41" s="373"/>
      <c r="N41" s="373"/>
      <c r="O41" s="373"/>
      <c r="P41" s="373"/>
      <c r="Q41" s="373"/>
      <c r="R41" s="373"/>
      <c r="S41" s="324"/>
      <c r="T41" s="324"/>
      <c r="U41" s="324"/>
      <c r="V41" s="324"/>
      <c r="W41" s="324"/>
      <c r="X41" s="324"/>
      <c r="Y41" s="322"/>
      <c r="Z41" s="322"/>
      <c r="AA41" s="322"/>
      <c r="AB41" s="322"/>
    </row>
    <row r="42" spans="1:28" s="19" customFormat="1" ht="7.05" customHeight="1">
      <c r="A42" s="18"/>
      <c r="B42" s="599"/>
      <c r="C42" s="23"/>
      <c r="D42" s="21"/>
      <c r="E42" s="24"/>
      <c r="F42" s="24"/>
      <c r="G42" s="24"/>
      <c r="H42" s="24"/>
      <c r="I42" s="24"/>
      <c r="J42" s="322"/>
      <c r="K42" s="325"/>
      <c r="L42" s="324"/>
      <c r="M42" s="373"/>
      <c r="N42" s="373"/>
      <c r="O42" s="373"/>
      <c r="P42" s="373"/>
      <c r="Q42" s="373"/>
      <c r="R42" s="373"/>
      <c r="S42" s="324"/>
      <c r="T42" s="324"/>
      <c r="U42" s="324"/>
      <c r="V42" s="324"/>
      <c r="W42" s="324"/>
      <c r="X42" s="324"/>
      <c r="Y42" s="322"/>
      <c r="Z42" s="322"/>
      <c r="AA42" s="322"/>
      <c r="AB42" s="322"/>
    </row>
    <row r="43" spans="1:28" s="19" customFormat="1" ht="7.05" customHeight="1" thickBot="1">
      <c r="A43" s="18"/>
      <c r="B43" s="599"/>
      <c r="C43" s="23"/>
      <c r="D43" s="21"/>
      <c r="E43" s="24"/>
      <c r="F43" s="24"/>
      <c r="G43" s="24"/>
      <c r="H43" s="24"/>
      <c r="I43" s="24"/>
      <c r="J43" s="322"/>
      <c r="K43" s="325"/>
      <c r="L43" s="324"/>
      <c r="M43" s="373"/>
      <c r="N43" s="373"/>
      <c r="O43" s="373"/>
      <c r="P43" s="373"/>
      <c r="Q43" s="373"/>
      <c r="R43" s="373"/>
      <c r="S43" s="324"/>
      <c r="T43" s="324"/>
      <c r="U43" s="324"/>
      <c r="V43" s="324"/>
      <c r="W43" s="324"/>
      <c r="X43" s="324"/>
      <c r="Y43" s="322"/>
      <c r="Z43" s="322"/>
      <c r="AA43" s="322"/>
      <c r="AB43" s="322"/>
    </row>
    <row r="44" spans="1:28" s="19" customFormat="1">
      <c r="A44" s="18"/>
      <c r="B44" s="596" t="str">
        <f>'Distribution Rate Schedule'!A15</f>
        <v>Sentinel Lighting</v>
      </c>
      <c r="C44" s="187"/>
      <c r="D44" s="187"/>
      <c r="E44" s="187"/>
      <c r="F44" s="187"/>
      <c r="G44" s="187"/>
      <c r="H44" s="187"/>
      <c r="I44" s="198"/>
      <c r="J44" s="322"/>
      <c r="K44" s="325"/>
      <c r="L44" s="324"/>
      <c r="M44" s="373"/>
      <c r="N44" s="373"/>
      <c r="O44" s="373"/>
      <c r="P44" s="373"/>
      <c r="Q44" s="373"/>
      <c r="R44" s="373"/>
      <c r="S44" s="324"/>
      <c r="T44" s="324"/>
      <c r="U44" s="324"/>
      <c r="V44" s="324"/>
      <c r="W44" s="324"/>
      <c r="X44" s="324"/>
      <c r="Y44" s="322"/>
      <c r="Z44" s="322"/>
      <c r="AA44" s="322"/>
      <c r="AB44" s="322"/>
    </row>
    <row r="45" spans="1:28" s="19" customFormat="1">
      <c r="A45" s="18"/>
      <c r="B45" s="597"/>
      <c r="C45" s="23" t="s">
        <v>42</v>
      </c>
      <c r="D45" s="21" t="s">
        <v>45</v>
      </c>
      <c r="E45" s="184">
        <f>'Distribution Rate Schedule'!$B$15</f>
        <v>4.91</v>
      </c>
      <c r="F45" s="184">
        <f>'Distribution Rate Schedule'!$B$35</f>
        <v>5.2568999999999999</v>
      </c>
      <c r="G45" s="184">
        <f>'Distribution Rate Schedule'!$B$55</f>
        <v>5.3738000000000001</v>
      </c>
      <c r="H45" s="184">
        <f>'Distribution Rate Schedule'!$B$75</f>
        <v>5.5659999999999998</v>
      </c>
      <c r="I45" s="191">
        <f>'Distribution Rate Schedule'!$B$95</f>
        <v>5.7980999999999998</v>
      </c>
      <c r="J45" s="322"/>
      <c r="K45" s="325">
        <v>4.34</v>
      </c>
      <c r="L45" s="324"/>
      <c r="M45" s="372">
        <f>E45/K45-1</f>
        <v>0.13133640552995396</v>
      </c>
      <c r="N45" s="372">
        <f>F45/E45-1</f>
        <v>7.065173116089607E-2</v>
      </c>
      <c r="O45" s="372">
        <f t="shared" ref="O45:O46" si="19">G45/F45-1</f>
        <v>2.2237440316536405E-2</v>
      </c>
      <c r="P45" s="372">
        <f t="shared" ref="P45:P46" si="20">H45/G45-1</f>
        <v>3.5766124530127508E-2</v>
      </c>
      <c r="Q45" s="372">
        <f t="shared" ref="Q45:Q46" si="21">I45/H45-1</f>
        <v>4.1699604743083096E-2</v>
      </c>
      <c r="R45" s="372">
        <f>IFERROR((I45/K45)^(1/(2019-2014))-1,0)</f>
        <v>5.9642074899413089E-2</v>
      </c>
      <c r="S45" s="324"/>
      <c r="T45" s="324"/>
      <c r="U45" s="324"/>
      <c r="V45" s="324"/>
      <c r="W45" s="324"/>
      <c r="X45" s="324"/>
      <c r="Y45" s="322"/>
      <c r="Z45" s="322"/>
      <c r="AA45" s="322"/>
      <c r="AB45" s="322"/>
    </row>
    <row r="46" spans="1:28" s="19" customFormat="1">
      <c r="A46" s="18"/>
      <c r="B46" s="597"/>
      <c r="C46" s="23" t="s">
        <v>46</v>
      </c>
      <c r="D46" s="21" t="s">
        <v>22</v>
      </c>
      <c r="E46" s="24">
        <f>'Distribution Rate Schedule'!$D$15</f>
        <v>7.0133000000000001</v>
      </c>
      <c r="F46" s="24">
        <f>'Distribution Rate Schedule'!$D$35</f>
        <v>7.5087999999999999</v>
      </c>
      <c r="G46" s="24">
        <f>'Distribution Rate Schedule'!$D$55</f>
        <v>7.6711999999999998</v>
      </c>
      <c r="H46" s="24">
        <f>'Distribution Rate Schedule'!$D$75</f>
        <v>7.9512</v>
      </c>
      <c r="I46" s="192">
        <f>'Distribution Rate Schedule'!$D$95</f>
        <v>8.2767999999999997</v>
      </c>
      <c r="J46" s="322"/>
      <c r="K46" s="326">
        <v>6.2114000000000003</v>
      </c>
      <c r="L46" s="324"/>
      <c r="M46" s="372">
        <f>E46/K46-1</f>
        <v>0.12910132981292466</v>
      </c>
      <c r="N46" s="372">
        <f>F46/E46-1</f>
        <v>7.0651476480401598E-2</v>
      </c>
      <c r="O46" s="372">
        <f t="shared" si="19"/>
        <v>2.1627956531003578E-2</v>
      </c>
      <c r="P46" s="372">
        <f t="shared" si="20"/>
        <v>3.6500156429241981E-2</v>
      </c>
      <c r="Q46" s="372">
        <f t="shared" si="21"/>
        <v>4.0949793741825058E-2</v>
      </c>
      <c r="R46" s="372">
        <f>IFERROR((I46/K46)^(1/(2019-2014))-1,0)</f>
        <v>5.9094207280798505E-2</v>
      </c>
      <c r="S46" s="324"/>
      <c r="T46" s="324"/>
      <c r="U46" s="324"/>
      <c r="V46" s="324"/>
      <c r="W46" s="324"/>
      <c r="X46" s="324"/>
      <c r="Y46" s="322"/>
      <c r="Z46" s="322"/>
      <c r="AA46" s="322"/>
      <c r="AB46" s="322"/>
    </row>
    <row r="47" spans="1:28" s="19" customFormat="1">
      <c r="A47" s="18"/>
      <c r="B47" s="597"/>
      <c r="C47" s="23" t="s">
        <v>105</v>
      </c>
      <c r="D47" s="21" t="s">
        <v>22</v>
      </c>
      <c r="E47" s="24">
        <f>'Distribution Rate Schedule'!$K$15</f>
        <v>0</v>
      </c>
      <c r="F47" s="24">
        <f>'Distribution Rate Schedule'!$K$35</f>
        <v>0</v>
      </c>
      <c r="G47" s="24">
        <f>'Distribution Rate Schedule'!$K$55</f>
        <v>0</v>
      </c>
      <c r="H47" s="24">
        <f>'Distribution Rate Schedule'!$K$75</f>
        <v>0</v>
      </c>
      <c r="I47" s="192">
        <f>'Distribution Rate Schedule'!$K$95</f>
        <v>0</v>
      </c>
      <c r="J47" s="322"/>
      <c r="K47" s="325"/>
      <c r="L47" s="324"/>
      <c r="M47" s="373"/>
      <c r="N47" s="373"/>
      <c r="O47" s="373"/>
      <c r="P47" s="373"/>
      <c r="Q47" s="373"/>
      <c r="R47" s="373"/>
      <c r="S47" s="324"/>
      <c r="T47" s="324"/>
      <c r="U47" s="324"/>
      <c r="V47" s="324"/>
      <c r="W47" s="324"/>
      <c r="X47" s="324"/>
      <c r="Y47" s="322"/>
      <c r="Z47" s="322"/>
      <c r="AA47" s="322"/>
      <c r="AB47" s="322"/>
    </row>
    <row r="48" spans="1:28" s="19" customFormat="1" ht="15.4" thickBot="1">
      <c r="A48" s="18"/>
      <c r="B48" s="598"/>
      <c r="C48" s="194" t="s">
        <v>74</v>
      </c>
      <c r="D48" s="195" t="s">
        <v>22</v>
      </c>
      <c r="E48" s="196">
        <f>'LRAM and SSM Rate Rider'!$L$13</f>
        <v>0</v>
      </c>
      <c r="F48" s="196">
        <f>'LRAM and SSM Rate Rider'!$L$29</f>
        <v>0</v>
      </c>
      <c r="G48" s="196">
        <f>'LRAM and SSM Rate Rider'!$L$45</f>
        <v>0</v>
      </c>
      <c r="H48" s="196">
        <f>'LRAM and SSM Rate Rider'!$L$61</f>
        <v>0</v>
      </c>
      <c r="I48" s="197">
        <f>'LRAM and SSM Rate Rider'!$L$77</f>
        <v>0</v>
      </c>
      <c r="J48" s="322"/>
      <c r="K48" s="325"/>
      <c r="L48" s="324"/>
      <c r="M48" s="373"/>
      <c r="N48" s="373"/>
      <c r="O48" s="373"/>
      <c r="P48" s="373"/>
      <c r="Q48" s="373"/>
      <c r="R48" s="373"/>
      <c r="S48" s="324"/>
      <c r="T48" s="324"/>
      <c r="U48" s="324"/>
      <c r="V48" s="324"/>
      <c r="W48" s="324"/>
      <c r="X48" s="324"/>
      <c r="Y48" s="322"/>
      <c r="Z48" s="322"/>
      <c r="AA48" s="322"/>
      <c r="AB48" s="322"/>
    </row>
    <row r="49" spans="1:28" s="19" customFormat="1" ht="7.05" customHeight="1" thickBot="1">
      <c r="A49" s="18"/>
      <c r="B49" s="599"/>
      <c r="C49" s="23"/>
      <c r="D49" s="21"/>
      <c r="E49" s="24"/>
      <c r="F49" s="24"/>
      <c r="G49" s="24"/>
      <c r="H49" s="24"/>
      <c r="I49" s="24"/>
      <c r="J49" s="322"/>
      <c r="K49" s="325"/>
      <c r="L49" s="324"/>
      <c r="M49" s="373"/>
      <c r="N49" s="373"/>
      <c r="O49" s="373"/>
      <c r="P49" s="373"/>
      <c r="Q49" s="373"/>
      <c r="R49" s="373"/>
      <c r="S49" s="324"/>
      <c r="T49" s="324"/>
      <c r="U49" s="324"/>
      <c r="V49" s="324"/>
      <c r="W49" s="324"/>
      <c r="X49" s="324"/>
      <c r="Y49" s="322"/>
      <c r="Z49" s="322"/>
      <c r="AA49" s="322"/>
      <c r="AB49" s="322"/>
    </row>
    <row r="50" spans="1:28" s="19" customFormat="1">
      <c r="A50" s="18"/>
      <c r="B50" s="596" t="str">
        <f>'Distribution Rate Schedule'!A16</f>
        <v>Unmetered Scattered Load</v>
      </c>
      <c r="C50" s="187"/>
      <c r="D50" s="187"/>
      <c r="E50" s="187"/>
      <c r="F50" s="187"/>
      <c r="G50" s="187"/>
      <c r="H50" s="187"/>
      <c r="I50" s="198"/>
      <c r="J50" s="322"/>
      <c r="K50" s="325"/>
      <c r="L50" s="324"/>
      <c r="M50" s="373"/>
      <c r="N50" s="373"/>
      <c r="O50" s="373"/>
      <c r="P50" s="373"/>
      <c r="Q50" s="373"/>
      <c r="R50" s="373"/>
      <c r="S50" s="324"/>
      <c r="T50" s="324"/>
      <c r="U50" s="324"/>
      <c r="V50" s="324"/>
      <c r="W50" s="324"/>
      <c r="X50" s="324"/>
      <c r="Y50" s="322"/>
      <c r="Z50" s="322"/>
      <c r="AA50" s="322"/>
      <c r="AB50" s="322"/>
    </row>
    <row r="51" spans="1:28" s="19" customFormat="1">
      <c r="A51" s="18"/>
      <c r="B51" s="597"/>
      <c r="C51" s="23" t="s">
        <v>42</v>
      </c>
      <c r="D51" s="21" t="s">
        <v>45</v>
      </c>
      <c r="E51" s="184">
        <f>'Distribution Rate Schedule'!$B$16</f>
        <v>4.07</v>
      </c>
      <c r="F51" s="184">
        <f>'Distribution Rate Schedule'!$B$36</f>
        <v>4.3574999999999999</v>
      </c>
      <c r="G51" s="184">
        <f>'Distribution Rate Schedule'!$B$56</f>
        <v>4.4526000000000003</v>
      </c>
      <c r="H51" s="184">
        <f>'Distribution Rate Schedule'!$B$76</f>
        <v>4.4886999999999997</v>
      </c>
      <c r="I51" s="191">
        <f>'Distribution Rate Schedule'!$B$96</f>
        <v>4.6738999999999997</v>
      </c>
      <c r="J51" s="322"/>
      <c r="K51" s="325">
        <v>3.34</v>
      </c>
      <c r="L51" s="324"/>
      <c r="M51" s="372">
        <f>E51/K51-1</f>
        <v>0.21856287425149712</v>
      </c>
      <c r="N51" s="372">
        <f>F51/E51-1</f>
        <v>7.0638820638820654E-2</v>
      </c>
      <c r="O51" s="372">
        <f t="shared" ref="O51:O52" si="22">G51/F51-1</f>
        <v>2.1824440619621521E-2</v>
      </c>
      <c r="P51" s="372">
        <f t="shared" ref="P51:P52" si="23">H51/G51-1</f>
        <v>8.1076225126890389E-3</v>
      </c>
      <c r="Q51" s="372">
        <f t="shared" ref="Q51:Q52" si="24">I51/H51-1</f>
        <v>4.1259161895426333E-2</v>
      </c>
      <c r="R51" s="372">
        <f>IFERROR((I51/K51)^(1/(2019-2014))-1,0)</f>
        <v>6.9514285673593301E-2</v>
      </c>
      <c r="S51" s="324"/>
      <c r="T51" s="324"/>
      <c r="U51" s="324"/>
      <c r="V51" s="324"/>
      <c r="W51" s="324"/>
      <c r="X51" s="324"/>
      <c r="Y51" s="322"/>
      <c r="Z51" s="322"/>
      <c r="AA51" s="322"/>
      <c r="AB51" s="322"/>
    </row>
    <row r="52" spans="1:28" s="19" customFormat="1">
      <c r="A52" s="18"/>
      <c r="B52" s="597"/>
      <c r="C52" s="23" t="s">
        <v>46</v>
      </c>
      <c r="D52" s="21" t="s">
        <v>41</v>
      </c>
      <c r="E52" s="24">
        <f>'Distribution Rate Schedule'!$E$16</f>
        <v>1.66E-2</v>
      </c>
      <c r="F52" s="24">
        <f>'Distribution Rate Schedule'!$E$36</f>
        <v>1.78E-2</v>
      </c>
      <c r="G52" s="24">
        <f>'Distribution Rate Schedule'!$E$56</f>
        <v>1.8200000000000001E-2</v>
      </c>
      <c r="H52" s="24">
        <f>'Distribution Rate Schedule'!$E$76</f>
        <v>1.84E-2</v>
      </c>
      <c r="I52" s="192">
        <f>'Distribution Rate Schedule'!$E$96</f>
        <v>1.9199999999999998E-2</v>
      </c>
      <c r="J52" s="322"/>
      <c r="K52" s="326">
        <v>1.3599999999999999E-2</v>
      </c>
      <c r="L52" s="324"/>
      <c r="M52" s="372">
        <f>E52/K52-1</f>
        <v>0.22058823529411775</v>
      </c>
      <c r="N52" s="372">
        <f>F52/E52-1</f>
        <v>7.2289156626506035E-2</v>
      </c>
      <c r="O52" s="372">
        <f t="shared" si="22"/>
        <v>2.2471910112359605E-2</v>
      </c>
      <c r="P52" s="372">
        <f t="shared" si="23"/>
        <v>1.098901098901095E-2</v>
      </c>
      <c r="Q52" s="372">
        <f t="shared" si="24"/>
        <v>4.3478260869565188E-2</v>
      </c>
      <c r="R52" s="372">
        <f>IFERROR((I52/K52)^(1/(2019-2014))-1,0)</f>
        <v>7.1402027941006807E-2</v>
      </c>
      <c r="S52" s="324"/>
      <c r="T52" s="324"/>
      <c r="U52" s="324"/>
      <c r="V52" s="324"/>
      <c r="W52" s="324"/>
      <c r="X52" s="324"/>
      <c r="Y52" s="322"/>
      <c r="Z52" s="322"/>
      <c r="AA52" s="322"/>
      <c r="AB52" s="322"/>
    </row>
    <row r="53" spans="1:28" s="19" customFormat="1">
      <c r="A53" s="18"/>
      <c r="B53" s="597"/>
      <c r="C53" s="23" t="s">
        <v>105</v>
      </c>
      <c r="D53" s="21" t="s">
        <v>41</v>
      </c>
      <c r="E53" s="24">
        <f>'Distribution Rate Schedule'!$L$16</f>
        <v>0</v>
      </c>
      <c r="F53" s="24">
        <f>'Distribution Rate Schedule'!$L$36</f>
        <v>0</v>
      </c>
      <c r="G53" s="24">
        <f>'Distribution Rate Schedule'!$L$56</f>
        <v>0</v>
      </c>
      <c r="H53" s="24">
        <f>'Distribution Rate Schedule'!$L$76</f>
        <v>0</v>
      </c>
      <c r="I53" s="192">
        <f>'Distribution Rate Schedule'!$L$96</f>
        <v>0</v>
      </c>
      <c r="J53" s="322"/>
      <c r="K53" s="325"/>
      <c r="L53" s="324"/>
      <c r="M53" s="373"/>
      <c r="N53" s="373"/>
      <c r="O53" s="373"/>
      <c r="P53" s="373"/>
      <c r="Q53" s="373"/>
      <c r="R53" s="373"/>
      <c r="S53" s="324"/>
      <c r="T53" s="324"/>
      <c r="U53" s="324"/>
      <c r="V53" s="324"/>
      <c r="W53" s="324"/>
      <c r="X53" s="324"/>
      <c r="Y53" s="322"/>
      <c r="Z53" s="322"/>
      <c r="AA53" s="322"/>
      <c r="AB53" s="322"/>
    </row>
    <row r="54" spans="1:28" s="19" customFormat="1" ht="15.4" thickBot="1">
      <c r="A54" s="18"/>
      <c r="B54" s="598"/>
      <c r="C54" s="194" t="s">
        <v>74</v>
      </c>
      <c r="D54" s="195" t="s">
        <v>41</v>
      </c>
      <c r="E54" s="196">
        <f>'LRAM and SSM Rate Rider'!$L$14</f>
        <v>0</v>
      </c>
      <c r="F54" s="196">
        <f>'LRAM and SSM Rate Rider'!$L$30</f>
        <v>0</v>
      </c>
      <c r="G54" s="196">
        <f>'LRAM and SSM Rate Rider'!$L$46</f>
        <v>0</v>
      </c>
      <c r="H54" s="196">
        <f>'LRAM and SSM Rate Rider'!$L$62</f>
        <v>0</v>
      </c>
      <c r="I54" s="197">
        <f>'LRAM and SSM Rate Rider'!$L$78</f>
        <v>0</v>
      </c>
      <c r="J54" s="322"/>
      <c r="K54" s="325"/>
      <c r="L54" s="324"/>
      <c r="M54" s="324"/>
      <c r="N54" s="324"/>
      <c r="O54" s="324"/>
      <c r="P54" s="324"/>
      <c r="Q54" s="324"/>
      <c r="R54" s="324"/>
      <c r="S54" s="324"/>
      <c r="T54" s="324"/>
      <c r="U54" s="324"/>
      <c r="V54" s="324"/>
      <c r="W54" s="324"/>
      <c r="X54" s="324"/>
      <c r="Y54" s="322"/>
      <c r="Z54" s="322"/>
      <c r="AA54" s="322"/>
      <c r="AB54" s="322"/>
    </row>
    <row r="55" spans="1:28" s="19" customFormat="1" ht="7.05" customHeight="1">
      <c r="A55" s="18"/>
      <c r="B55" s="22"/>
      <c r="C55" s="23"/>
      <c r="D55" s="21"/>
      <c r="E55" s="24"/>
      <c r="F55" s="24"/>
      <c r="G55" s="24"/>
      <c r="H55" s="24"/>
      <c r="I55" s="24"/>
      <c r="J55" s="322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  <c r="Y55" s="322"/>
      <c r="Z55" s="322"/>
      <c r="AA55" s="322"/>
      <c r="AB55" s="322"/>
    </row>
    <row r="56" spans="1:28" s="19" customFormat="1" hidden="1">
      <c r="A56" s="18"/>
      <c r="B56" s="186">
        <f>'Distribution Rate Schedule'!A17</f>
        <v>0</v>
      </c>
      <c r="C56" s="187"/>
      <c r="D56" s="187"/>
      <c r="E56" s="187"/>
      <c r="F56" s="187"/>
      <c r="G56" s="187"/>
      <c r="H56" s="187"/>
      <c r="I56" s="198"/>
      <c r="J56" s="322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2"/>
      <c r="Z56" s="322"/>
      <c r="AA56" s="322"/>
      <c r="AB56" s="322"/>
    </row>
    <row r="57" spans="1:28" s="19" customFormat="1" hidden="1">
      <c r="A57" s="18"/>
      <c r="B57" s="190"/>
      <c r="C57" s="23" t="s">
        <v>42</v>
      </c>
      <c r="D57" s="21" t="s">
        <v>45</v>
      </c>
      <c r="E57" s="184">
        <f>'Distribution Rate Schedule'!$B$17</f>
        <v>0</v>
      </c>
      <c r="F57" s="184">
        <f>'Distribution Rate Schedule'!$B$37</f>
        <v>0</v>
      </c>
      <c r="G57" s="184">
        <f>'Distribution Rate Schedule'!$B$57</f>
        <v>0</v>
      </c>
      <c r="H57" s="184">
        <f>'Distribution Rate Schedule'!$B$77</f>
        <v>0</v>
      </c>
      <c r="I57" s="191">
        <f>'Distribution Rate Schedule'!$B$97</f>
        <v>0</v>
      </c>
      <c r="J57" s="322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2"/>
      <c r="Z57" s="322"/>
      <c r="AA57" s="322"/>
      <c r="AB57" s="322"/>
    </row>
    <row r="58" spans="1:28" s="19" customFormat="1" hidden="1">
      <c r="A58" s="18"/>
      <c r="B58" s="190"/>
      <c r="C58" s="23" t="s">
        <v>46</v>
      </c>
      <c r="D58" s="21" t="s">
        <v>41</v>
      </c>
      <c r="E58" s="24">
        <f>'Distribution Rate Schedule'!$E$17</f>
        <v>0</v>
      </c>
      <c r="F58" s="24">
        <f>'Distribution Rate Schedule'!$E$37</f>
        <v>0</v>
      </c>
      <c r="G58" s="24">
        <f>'Distribution Rate Schedule'!$E$57</f>
        <v>0</v>
      </c>
      <c r="H58" s="24">
        <f>'Distribution Rate Schedule'!$E$77</f>
        <v>0</v>
      </c>
      <c r="I58" s="192">
        <f>'Distribution Rate Schedule'!$E$97</f>
        <v>0</v>
      </c>
      <c r="J58" s="322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322"/>
      <c r="Z58" s="322"/>
      <c r="AA58" s="322"/>
      <c r="AB58" s="322"/>
    </row>
    <row r="59" spans="1:28" s="19" customFormat="1" hidden="1">
      <c r="A59" s="18"/>
      <c r="B59" s="190"/>
      <c r="C59" s="23" t="s">
        <v>105</v>
      </c>
      <c r="D59" s="21" t="s">
        <v>41</v>
      </c>
      <c r="E59" s="24">
        <f>'Distribution Rate Schedule'!$L$17</f>
        <v>0</v>
      </c>
      <c r="F59" s="24">
        <f>'Distribution Rate Schedule'!$L$37</f>
        <v>0</v>
      </c>
      <c r="G59" s="24">
        <f>'Distribution Rate Schedule'!$L$57</f>
        <v>0</v>
      </c>
      <c r="H59" s="24">
        <f>'Distribution Rate Schedule'!$L$77</f>
        <v>0</v>
      </c>
      <c r="I59" s="192">
        <f>'Distribution Rate Schedule'!$L$97</f>
        <v>0</v>
      </c>
      <c r="J59" s="322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322"/>
      <c r="Z59" s="322"/>
      <c r="AA59" s="322"/>
      <c r="AB59" s="322"/>
    </row>
    <row r="60" spans="1:28" s="19" customFormat="1" ht="15.4" hidden="1" thickBot="1">
      <c r="A60" s="18"/>
      <c r="B60" s="193"/>
      <c r="C60" s="194" t="s">
        <v>74</v>
      </c>
      <c r="D60" s="195" t="s">
        <v>41</v>
      </c>
      <c r="E60" s="196">
        <f>'LRAM and SSM Rate Rider'!$L$15</f>
        <v>0</v>
      </c>
      <c r="F60" s="196">
        <f>'LRAM and SSM Rate Rider'!$L$31</f>
        <v>0</v>
      </c>
      <c r="G60" s="196">
        <f>'LRAM and SSM Rate Rider'!$L$47</f>
        <v>0</v>
      </c>
      <c r="H60" s="196">
        <f>'LRAM and SSM Rate Rider'!$L$63</f>
        <v>0</v>
      </c>
      <c r="I60" s="197">
        <f>'LRAM and SSM Rate Rider'!$L$79</f>
        <v>0</v>
      </c>
      <c r="J60" s="322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4"/>
      <c r="X60" s="324"/>
      <c r="Y60" s="322"/>
      <c r="Z60" s="322"/>
      <c r="AA60" s="322"/>
      <c r="AB60" s="322"/>
    </row>
    <row r="61" spans="1:28" s="19" customFormat="1">
      <c r="B61" s="14"/>
      <c r="E61" s="25"/>
      <c r="J61" s="322"/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324"/>
      <c r="X61" s="324"/>
      <c r="Y61" s="322"/>
      <c r="Z61" s="322"/>
      <c r="AA61" s="322"/>
      <c r="AB61" s="322"/>
    </row>
    <row r="62" spans="1:28" s="328" customFormat="1">
      <c r="J62" s="329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29"/>
      <c r="Z62" s="329"/>
      <c r="AA62" s="329"/>
      <c r="AB62" s="329"/>
    </row>
    <row r="63" spans="1:28" s="19" customFormat="1" ht="15.4" thickBot="1">
      <c r="B63" s="14"/>
      <c r="J63" s="322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2"/>
      <c r="Z63" s="322"/>
      <c r="AA63" s="322"/>
      <c r="AB63" s="322"/>
    </row>
    <row r="64" spans="1:28" s="19" customFormat="1" ht="15.4" thickBot="1">
      <c r="B64" s="14"/>
      <c r="C64" s="331" t="s">
        <v>96</v>
      </c>
      <c r="D64" s="321">
        <v>2014</v>
      </c>
      <c r="E64" s="321">
        <v>2015</v>
      </c>
      <c r="F64" s="321">
        <v>2016</v>
      </c>
      <c r="G64" s="321">
        <v>2017</v>
      </c>
      <c r="H64" s="321">
        <v>2018</v>
      </c>
      <c r="I64" s="321">
        <v>2019</v>
      </c>
      <c r="J64" s="322"/>
      <c r="K64" s="657" t="s">
        <v>231</v>
      </c>
      <c r="L64" s="657"/>
      <c r="M64" s="657"/>
      <c r="N64" s="657"/>
      <c r="O64" s="657"/>
      <c r="P64" s="657"/>
      <c r="Q64" s="657"/>
      <c r="R64" s="324"/>
      <c r="S64" s="324"/>
      <c r="T64" s="324"/>
      <c r="U64" s="324"/>
      <c r="V64" s="324"/>
      <c r="W64" s="324"/>
      <c r="X64" s="324"/>
      <c r="Y64" s="322"/>
      <c r="Z64" s="322"/>
      <c r="AA64" s="322"/>
      <c r="AB64" s="322"/>
    </row>
    <row r="65" spans="2:28" s="19" customFormat="1">
      <c r="B65" s="14"/>
      <c r="C65" s="19" t="s">
        <v>97</v>
      </c>
      <c r="D65" s="335">
        <f>'2014 Existing Rates'!L24</f>
        <v>11031237.296492629</v>
      </c>
      <c r="E65" s="332">
        <f>'Cost Allocation Study'!K5</f>
        <v>12845602.595781012</v>
      </c>
      <c r="F65" s="332">
        <f>'Cost Allocation Study'!K23</f>
        <v>13924495.105313618</v>
      </c>
      <c r="G65" s="332">
        <f>'Cost Allocation Study'!K42</f>
        <v>14340454.505900068</v>
      </c>
      <c r="H65" s="332">
        <f>'Cost Allocation Study'!K60</f>
        <v>14942640.234360727</v>
      </c>
      <c r="I65" s="332">
        <f>'Cost Allocation Study'!K78</f>
        <v>15758144.608921647</v>
      </c>
      <c r="J65" s="322"/>
      <c r="K65" s="327">
        <f>D65/D$73</f>
        <v>0.5887506279232867</v>
      </c>
      <c r="L65" s="324"/>
      <c r="M65" s="327">
        <f>E65/E$73</f>
        <v>0.61241900508715941</v>
      </c>
      <c r="N65" s="327">
        <f t="shared" ref="N65:Q65" si="25">F65/F$73</f>
        <v>0.62055476704477364</v>
      </c>
      <c r="O65" s="327">
        <f t="shared" si="25"/>
        <v>0.62136379329825941</v>
      </c>
      <c r="P65" s="327">
        <f t="shared" si="25"/>
        <v>0.6294147584947708</v>
      </c>
      <c r="Q65" s="327">
        <f t="shared" si="25"/>
        <v>0.63097868545077052</v>
      </c>
      <c r="R65" s="324"/>
      <c r="S65" s="324"/>
      <c r="T65" s="324"/>
      <c r="U65" s="324"/>
      <c r="V65" s="324"/>
      <c r="W65" s="324"/>
      <c r="X65" s="324"/>
      <c r="Y65" s="322"/>
      <c r="Z65" s="322"/>
      <c r="AA65" s="322"/>
      <c r="AB65" s="322"/>
    </row>
    <row r="66" spans="2:28" s="19" customFormat="1">
      <c r="B66" s="14"/>
      <c r="C66" s="19" t="s">
        <v>212</v>
      </c>
      <c r="D66" s="335">
        <f>'2014 Existing Rates'!L25</f>
        <v>2647751.5556422952</v>
      </c>
      <c r="E66" s="332">
        <f>'Cost Allocation Study'!K6</f>
        <v>2706175.1326604313</v>
      </c>
      <c r="F66" s="332">
        <f>'Cost Allocation Study'!K24</f>
        <v>2892921.1914680093</v>
      </c>
      <c r="G66" s="332">
        <f>'Cost Allocation Study'!K43</f>
        <v>2976190.8414891833</v>
      </c>
      <c r="H66" s="332">
        <f>'Cost Allocation Study'!K61</f>
        <v>3015120.0419699261</v>
      </c>
      <c r="I66" s="332">
        <f>'Cost Allocation Study'!K79</f>
        <v>3145670.9813947831</v>
      </c>
      <c r="J66" s="322"/>
      <c r="K66" s="327">
        <f t="shared" ref="K66:K72" si="26">D66/D$73</f>
        <v>0.14131373925433552</v>
      </c>
      <c r="L66" s="324"/>
      <c r="M66" s="327">
        <f t="shared" ref="M66:M72" si="27">E66/E$73</f>
        <v>0.12901793201043274</v>
      </c>
      <c r="N66" s="327">
        <f t="shared" ref="N66:N72" si="28">F66/F$73</f>
        <v>0.128925036238137</v>
      </c>
      <c r="O66" s="327">
        <f t="shared" ref="O66:O72" si="29">G66/G$73</f>
        <v>0.12895666801121292</v>
      </c>
      <c r="P66" s="327">
        <f t="shared" ref="P66:P72" si="30">H66/H$73</f>
        <v>0.12700306125856708</v>
      </c>
      <c r="Q66" s="327">
        <f t="shared" ref="Q66:Q72" si="31">I66/I$73</f>
        <v>0.12595717262153883</v>
      </c>
      <c r="R66" s="324"/>
      <c r="S66" s="324"/>
      <c r="T66" s="324"/>
      <c r="U66" s="324"/>
      <c r="V66" s="324"/>
      <c r="W66" s="324"/>
      <c r="X66" s="324"/>
      <c r="Y66" s="322"/>
      <c r="Z66" s="322"/>
      <c r="AA66" s="322"/>
      <c r="AB66" s="322"/>
    </row>
    <row r="67" spans="2:28">
      <c r="B67" s="7"/>
      <c r="C67" t="s">
        <v>213</v>
      </c>
      <c r="D67" s="335">
        <f>'2014 Existing Rates'!L26</f>
        <v>3600417.8787977872</v>
      </c>
      <c r="E67" s="307">
        <f>'Cost Allocation Study'!K7</f>
        <v>3794693.9064651723</v>
      </c>
      <c r="F67" s="307">
        <f>'Cost Allocation Study'!K25</f>
        <v>4104624.4810807095</v>
      </c>
      <c r="G67" s="307">
        <f>'Cost Allocation Study'!K44</f>
        <v>4221453.6614559507</v>
      </c>
      <c r="H67" s="307">
        <f>'Cost Allocation Study'!K62</f>
        <v>4231367.316953782</v>
      </c>
      <c r="I67" s="307">
        <f>'Cost Allocation Study'!K80</f>
        <v>4416293.7212957591</v>
      </c>
      <c r="K67" s="327">
        <f t="shared" si="26"/>
        <v>0.19215870622259185</v>
      </c>
      <c r="M67" s="327">
        <f t="shared" si="27"/>
        <v>0.18091347988384593</v>
      </c>
      <c r="N67" s="327">
        <f t="shared" si="28"/>
        <v>0.18292543244108855</v>
      </c>
      <c r="O67" s="327">
        <f t="shared" si="29"/>
        <v>0.18291320259311833</v>
      </c>
      <c r="P67" s="327">
        <f t="shared" si="30"/>
        <v>0.17823389950718915</v>
      </c>
      <c r="Q67" s="327">
        <f t="shared" si="31"/>
        <v>0.17683472743675882</v>
      </c>
    </row>
    <row r="68" spans="2:28">
      <c r="B68" s="7"/>
      <c r="C68" t="s">
        <v>214</v>
      </c>
      <c r="D68" s="335">
        <f>'2014 Existing Rates'!L27</f>
        <v>480905.178339676</v>
      </c>
      <c r="E68" s="307">
        <f>'Cost Allocation Study'!K8</f>
        <v>480277.74348804652</v>
      </c>
      <c r="F68" s="307">
        <f>'Cost Allocation Study'!K26</f>
        <v>512996.28128129395</v>
      </c>
      <c r="G68" s="307">
        <f>'Cost Allocation Study'!K45</f>
        <v>521506.09053895983</v>
      </c>
      <c r="H68" s="307">
        <f>'Cost Allocation Study'!K63</f>
        <v>507878.71038404747</v>
      </c>
      <c r="I68" s="307">
        <f>'Cost Allocation Study'!K81</f>
        <v>545909.27967460547</v>
      </c>
      <c r="K68" s="327">
        <f t="shared" si="26"/>
        <v>2.5666497611203265E-2</v>
      </c>
      <c r="M68" s="327">
        <f t="shared" si="27"/>
        <v>2.2897424674266302E-2</v>
      </c>
      <c r="N68" s="327">
        <f t="shared" si="28"/>
        <v>2.2862034523885064E-2</v>
      </c>
      <c r="O68" s="327">
        <f t="shared" si="29"/>
        <v>2.2596564321731388E-2</v>
      </c>
      <c r="P68" s="327">
        <f t="shared" si="30"/>
        <v>2.139289649133996E-2</v>
      </c>
      <c r="Q68" s="327">
        <f t="shared" si="31"/>
        <v>2.1858989634442206E-2</v>
      </c>
    </row>
    <row r="69" spans="2:28">
      <c r="B69" s="7"/>
      <c r="C69" t="s">
        <v>98</v>
      </c>
      <c r="D69" s="335">
        <f>'2014 Existing Rates'!L28</f>
        <v>203843.46350000001</v>
      </c>
      <c r="E69" s="307">
        <f>'Cost Allocation Study'!K9</f>
        <v>226135.53988316999</v>
      </c>
      <c r="F69" s="307">
        <f>'Cost Allocation Study'!K27</f>
        <v>241692.35597608244</v>
      </c>
      <c r="G69" s="307">
        <f>'Cost Allocation Study'!K46</f>
        <v>247231.65297761772</v>
      </c>
      <c r="H69" s="307">
        <f>'Cost Allocation Study'!K64</f>
        <v>246598.40177299242</v>
      </c>
      <c r="I69" s="307">
        <f>'Cost Allocation Study'!K82</f>
        <v>253274.0101964004</v>
      </c>
      <c r="K69" s="327">
        <f t="shared" si="26"/>
        <v>1.0879374988319814E-2</v>
      </c>
      <c r="M69" s="327">
        <f t="shared" si="27"/>
        <v>1.0781098147593631E-2</v>
      </c>
      <c r="N69" s="327">
        <f t="shared" si="28"/>
        <v>1.0771187215399025E-2</v>
      </c>
      <c r="O69" s="327">
        <f t="shared" si="29"/>
        <v>1.0712407870640886E-2</v>
      </c>
      <c r="P69" s="327">
        <f t="shared" si="30"/>
        <v>1.0387232180042163E-2</v>
      </c>
      <c r="Q69" s="327">
        <f t="shared" si="31"/>
        <v>1.0141454211690082E-2</v>
      </c>
    </row>
    <row r="70" spans="2:28">
      <c r="B70" s="7"/>
      <c r="C70" t="s">
        <v>99</v>
      </c>
      <c r="D70" s="335">
        <f>'2014 Existing Rates'!L29</f>
        <v>714492.09448246995</v>
      </c>
      <c r="E70" s="307">
        <f>'Cost Allocation Study'!K10</f>
        <v>861202.34860017814</v>
      </c>
      <c r="F70" s="307">
        <f>'Cost Allocation Study'!K28</f>
        <v>697028.28377216973</v>
      </c>
      <c r="G70" s="307">
        <f>'Cost Allocation Study'!K47</f>
        <v>705995.88622365647</v>
      </c>
      <c r="H70" s="307">
        <f>'Cost Allocation Study'!K65</f>
        <v>732092.04998941428</v>
      </c>
      <c r="I70" s="307">
        <f>'Cost Allocation Study'!K83</f>
        <v>786456.88824475557</v>
      </c>
      <c r="K70" s="327">
        <f t="shared" si="26"/>
        <v>3.8133317049260304E-2</v>
      </c>
      <c r="M70" s="327">
        <f t="shared" si="27"/>
        <v>4.1058150567546747E-2</v>
      </c>
      <c r="N70" s="327">
        <f t="shared" si="28"/>
        <v>3.1063548156571748E-2</v>
      </c>
      <c r="O70" s="327">
        <f t="shared" si="29"/>
        <v>3.0590402956643534E-2</v>
      </c>
      <c r="P70" s="327">
        <f t="shared" si="30"/>
        <v>3.0837223784618697E-2</v>
      </c>
      <c r="Q70" s="327">
        <f t="shared" si="31"/>
        <v>3.149086049301953E-2</v>
      </c>
    </row>
    <row r="71" spans="2:28">
      <c r="B71" s="7"/>
      <c r="C71" t="s">
        <v>208</v>
      </c>
      <c r="D71" s="335">
        <f>'2014 Existing Rates'!L30</f>
        <v>1860.6706166253366</v>
      </c>
      <c r="E71" s="307">
        <f>'Cost Allocation Study'!K11</f>
        <v>2070.6345799380219</v>
      </c>
      <c r="F71" s="307">
        <f>'Cost Allocation Study'!K29</f>
        <v>2138.9452176317882</v>
      </c>
      <c r="G71" s="307">
        <f>'Cost Allocation Study'!K48</f>
        <v>2110.4052919270061</v>
      </c>
      <c r="H71" s="307">
        <f>'Cost Allocation Study'!K66</f>
        <v>2285.3900973216196</v>
      </c>
      <c r="I71" s="307">
        <f>'Cost Allocation Study'!K84</f>
        <v>2305.7528817135694</v>
      </c>
      <c r="K71" s="327">
        <f t="shared" si="26"/>
        <v>9.9306266781594836E-5</v>
      </c>
      <c r="M71" s="327">
        <f t="shared" si="27"/>
        <v>9.8718293664261649E-5</v>
      </c>
      <c r="N71" s="327">
        <f t="shared" si="28"/>
        <v>9.5323574837734252E-5</v>
      </c>
      <c r="O71" s="327">
        <f t="shared" si="29"/>
        <v>9.1442669201939668E-5</v>
      </c>
      <c r="P71" s="327">
        <f t="shared" si="30"/>
        <v>9.6265334212108062E-5</v>
      </c>
      <c r="Q71" s="327">
        <f t="shared" si="31"/>
        <v>9.232564863342206E-5</v>
      </c>
    </row>
    <row r="72" spans="2:28">
      <c r="B72" s="7"/>
      <c r="C72" t="s">
        <v>207</v>
      </c>
      <c r="D72" s="335">
        <f>'2014 Existing Rates'!L31</f>
        <v>56180.662620088209</v>
      </c>
      <c r="E72" s="307">
        <f>'Cost Allocation Study'!K12</f>
        <v>59028.186950306343</v>
      </c>
      <c r="F72" s="307">
        <f>'Cost Allocation Study'!K30</f>
        <v>62888.528108738392</v>
      </c>
      <c r="G72" s="307">
        <f>'Cost Allocation Study'!K49</f>
        <v>64056.184223041935</v>
      </c>
      <c r="H72" s="307">
        <f>'Cost Allocation Study'!K67</f>
        <v>62548.295949943567</v>
      </c>
      <c r="I72" s="307">
        <f>'Cost Allocation Study'!K85</f>
        <v>66076.169870689424</v>
      </c>
      <c r="K72" s="327">
        <f t="shared" si="26"/>
        <v>2.998430684220696E-3</v>
      </c>
      <c r="M72" s="327">
        <f t="shared" si="27"/>
        <v>2.8141913354908315E-3</v>
      </c>
      <c r="N72" s="327">
        <f t="shared" si="28"/>
        <v>2.8026708053072984E-3</v>
      </c>
      <c r="O72" s="327">
        <f t="shared" si="29"/>
        <v>2.7755182791916189E-3</v>
      </c>
      <c r="P72" s="327">
        <f t="shared" si="30"/>
        <v>2.6346629492600814E-3</v>
      </c>
      <c r="Q72" s="327">
        <f t="shared" si="31"/>
        <v>2.6457845031466884E-3</v>
      </c>
    </row>
    <row r="73" spans="2:28" ht="15.4" thickBot="1">
      <c r="B73" s="7"/>
      <c r="D73" s="333">
        <f>SUM(D65:D72)</f>
        <v>18736688.800491575</v>
      </c>
      <c r="E73" s="333">
        <f>SUM(E65:E72)</f>
        <v>20975186.088408258</v>
      </c>
      <c r="F73" s="333">
        <f t="shared" ref="F73:I73" si="32">SUM(F65:F72)</f>
        <v>22438785.172218252</v>
      </c>
      <c r="G73" s="333">
        <f t="shared" si="32"/>
        <v>23078999.228100404</v>
      </c>
      <c r="H73" s="333">
        <f t="shared" si="32"/>
        <v>23740530.441478152</v>
      </c>
      <c r="I73" s="333">
        <f t="shared" si="32"/>
        <v>24974131.412480351</v>
      </c>
      <c r="K73" s="334">
        <f>SUM(K65:K72)</f>
        <v>0.99999999999999978</v>
      </c>
      <c r="M73" s="334">
        <f>SUM(M65:M72)</f>
        <v>0.99999999999999978</v>
      </c>
      <c r="N73" s="334">
        <f t="shared" ref="N73:Q73" si="33">SUM(N65:N72)</f>
        <v>1</v>
      </c>
      <c r="O73" s="334">
        <f t="shared" si="33"/>
        <v>1</v>
      </c>
      <c r="P73" s="334">
        <f t="shared" si="33"/>
        <v>1</v>
      </c>
      <c r="Q73" s="334">
        <f t="shared" si="33"/>
        <v>1</v>
      </c>
    </row>
    <row r="74" spans="2:28" ht="15.4" thickTop="1">
      <c r="B74" s="7"/>
      <c r="E74" s="307"/>
      <c r="F74" s="307"/>
      <c r="G74" s="307"/>
      <c r="H74" s="307"/>
      <c r="I74" s="307"/>
    </row>
    <row r="75" spans="2:28">
      <c r="B75" s="7"/>
      <c r="C75" s="336" t="s">
        <v>238</v>
      </c>
      <c r="E75" s="307"/>
      <c r="F75" s="307"/>
      <c r="G75" s="307"/>
      <c r="H75" s="307"/>
      <c r="I75" s="307"/>
    </row>
    <row r="76" spans="2:28">
      <c r="B76" s="7"/>
    </row>
    <row r="77" spans="2:28">
      <c r="B77" s="7"/>
    </row>
    <row r="78" spans="2:28">
      <c r="B78" s="7"/>
    </row>
    <row r="79" spans="2:28">
      <c r="B79" s="7"/>
    </row>
    <row r="80" spans="2:28">
      <c r="B80" s="7"/>
    </row>
    <row r="81" spans="2:29">
      <c r="B81" s="7"/>
    </row>
    <row r="82" spans="2:29">
      <c r="B82" s="7"/>
    </row>
    <row r="83" spans="2:29">
      <c r="B83" s="7"/>
    </row>
    <row r="84" spans="2:29">
      <c r="B84" s="7" t="s">
        <v>376</v>
      </c>
    </row>
    <row r="85" spans="2:29" ht="15.4" thickBot="1">
      <c r="B85" s="7"/>
    </row>
    <row r="86" spans="2:29" ht="30.4" thickBot="1">
      <c r="B86" s="182" t="s">
        <v>0</v>
      </c>
      <c r="C86" s="182" t="s">
        <v>43</v>
      </c>
      <c r="D86" s="182" t="s">
        <v>44</v>
      </c>
      <c r="E86" s="321" t="s">
        <v>377</v>
      </c>
      <c r="F86" s="183" t="s">
        <v>143</v>
      </c>
      <c r="G86" s="183" t="s">
        <v>144</v>
      </c>
      <c r="H86" s="183" t="s">
        <v>145</v>
      </c>
      <c r="I86" s="183" t="s">
        <v>146</v>
      </c>
      <c r="J86" s="183" t="s">
        <v>147</v>
      </c>
      <c r="K86" s="3"/>
      <c r="Y86" s="323"/>
      <c r="AC86" s="3"/>
    </row>
    <row r="87" spans="2:29">
      <c r="B87" s="186" t="s">
        <v>97</v>
      </c>
      <c r="C87" s="187"/>
      <c r="D87" s="187"/>
      <c r="E87" s="187"/>
      <c r="F87" s="187"/>
      <c r="G87" s="188"/>
      <c r="H87" s="188"/>
      <c r="I87" s="188"/>
      <c r="J87" s="189"/>
      <c r="K87" s="3"/>
      <c r="Y87" s="323"/>
      <c r="AC87" s="3"/>
    </row>
    <row r="88" spans="2:29">
      <c r="B88" s="190"/>
      <c r="C88" s="23" t="s">
        <v>42</v>
      </c>
      <c r="D88" s="21" t="s">
        <v>45</v>
      </c>
      <c r="E88" s="325">
        <v>8.4700000000000006</v>
      </c>
      <c r="F88" s="184">
        <f>'Distribution Rate Schedule'!$C$9</f>
        <v>10.5</v>
      </c>
      <c r="G88" s="184">
        <f>'Distribution Rate Schedule'!$C$29</f>
        <v>11.21</v>
      </c>
      <c r="H88" s="184">
        <f>'Distribution Rate Schedule'!$C$49</f>
        <v>14.22</v>
      </c>
      <c r="I88" s="184">
        <f>'Distribution Rate Schedule'!$C$69</f>
        <v>17.350000000000001</v>
      </c>
      <c r="J88" s="191">
        <f>'Distribution Rate Schedule'!$C$89</f>
        <v>20.97</v>
      </c>
      <c r="K88" s="3"/>
      <c r="Y88" s="323"/>
      <c r="AC88" s="3"/>
    </row>
    <row r="89" spans="2:29" ht="15.4" thickBot="1">
      <c r="B89" s="193"/>
      <c r="C89" s="194" t="s">
        <v>46</v>
      </c>
      <c r="D89" s="195" t="s">
        <v>41</v>
      </c>
      <c r="E89" s="560">
        <v>1.2E-2</v>
      </c>
      <c r="F89" s="196">
        <f>'Distribution Rate Schedule'!$E$9</f>
        <v>1.32E-2</v>
      </c>
      <c r="G89" s="196">
        <f>'Distribution Rate Schedule'!$E$29</f>
        <v>1.4200000000000001E-2</v>
      </c>
      <c r="H89" s="196">
        <f>'Distribution Rate Schedule'!$E$49</f>
        <v>1.09E-2</v>
      </c>
      <c r="I89" s="196">
        <f>'Distribution Rate Schedule'!$E$69</f>
        <v>7.7999999999999996E-3</v>
      </c>
      <c r="J89" s="197">
        <f>'Distribution Rate Schedule'!$E$89</f>
        <v>4.1000000000000003E-3</v>
      </c>
      <c r="K89" s="3"/>
      <c r="Y89" s="323"/>
      <c r="AC89" s="3"/>
    </row>
    <row r="90" spans="2:29" ht="15.4" thickBot="1"/>
    <row r="91" spans="2:29" s="281" customFormat="1" ht="15.4" thickBot="1">
      <c r="F91" s="654" t="s">
        <v>229</v>
      </c>
      <c r="G91" s="655"/>
      <c r="H91" s="655"/>
      <c r="I91" s="655"/>
      <c r="J91" s="656"/>
      <c r="K91" s="559"/>
      <c r="L91" s="559"/>
      <c r="M91" s="559"/>
      <c r="N91" s="559"/>
      <c r="O91" s="559"/>
      <c r="P91" s="559"/>
      <c r="Q91" s="559"/>
      <c r="R91" s="559"/>
      <c r="S91" s="559"/>
      <c r="T91" s="559"/>
      <c r="U91" s="559"/>
      <c r="V91" s="559"/>
      <c r="W91" s="559"/>
      <c r="X91" s="559"/>
      <c r="Y91" s="3"/>
      <c r="Z91" s="3"/>
      <c r="AA91" s="3"/>
      <c r="AB91" s="3"/>
    </row>
    <row r="92" spans="2:29" ht="15.4" thickBot="1">
      <c r="B92" s="561" t="s">
        <v>0</v>
      </c>
      <c r="C92" s="561" t="s">
        <v>43</v>
      </c>
      <c r="D92" s="561" t="s">
        <v>44</v>
      </c>
      <c r="E92" s="321"/>
      <c r="F92" s="321">
        <v>2015</v>
      </c>
      <c r="G92" s="321">
        <v>2016</v>
      </c>
      <c r="H92" s="321">
        <v>2017</v>
      </c>
      <c r="I92" s="321">
        <v>2018</v>
      </c>
      <c r="J92" s="321">
        <v>2019</v>
      </c>
    </row>
    <row r="93" spans="2:29">
      <c r="B93" s="186" t="s">
        <v>97</v>
      </c>
      <c r="C93" s="187"/>
      <c r="D93" s="187"/>
      <c r="E93" s="187"/>
      <c r="F93" s="187"/>
      <c r="G93" s="188"/>
      <c r="H93" s="188"/>
      <c r="I93" s="188"/>
      <c r="J93" s="189"/>
    </row>
    <row r="94" spans="2:29">
      <c r="B94" s="190"/>
      <c r="C94" s="23" t="s">
        <v>42</v>
      </c>
      <c r="D94" s="21" t="s">
        <v>45</v>
      </c>
      <c r="E94" s="325"/>
      <c r="F94" s="562">
        <f t="shared" ref="F94:J95" si="34">(F88-E88)/E88</f>
        <v>0.2396694214876032</v>
      </c>
      <c r="G94" s="562">
        <f t="shared" si="34"/>
        <v>6.7619047619047704E-2</v>
      </c>
      <c r="H94" s="562">
        <f t="shared" si="34"/>
        <v>0.26851025869759138</v>
      </c>
      <c r="I94" s="562">
        <f t="shared" si="34"/>
        <v>0.22011251758087205</v>
      </c>
      <c r="J94" s="563">
        <f t="shared" si="34"/>
        <v>0.2086455331412102</v>
      </c>
    </row>
    <row r="95" spans="2:29" ht="15.4" thickBot="1">
      <c r="B95" s="193"/>
      <c r="C95" s="194" t="s">
        <v>46</v>
      </c>
      <c r="D95" s="195" t="s">
        <v>41</v>
      </c>
      <c r="E95" s="560"/>
      <c r="F95" s="564">
        <f t="shared" si="34"/>
        <v>9.9999999999999978E-2</v>
      </c>
      <c r="G95" s="564">
        <f t="shared" si="34"/>
        <v>7.5757575757575829E-2</v>
      </c>
      <c r="H95" s="564">
        <f t="shared" si="34"/>
        <v>-0.23239436619718315</v>
      </c>
      <c r="I95" s="564">
        <f t="shared" si="34"/>
        <v>-0.28440366972477066</v>
      </c>
      <c r="J95" s="565">
        <f t="shared" si="34"/>
        <v>-0.47435897435897428</v>
      </c>
    </row>
  </sheetData>
  <mergeCells count="7">
    <mergeCell ref="F91:J91"/>
    <mergeCell ref="M4:Q4"/>
    <mergeCell ref="K64:Q64"/>
    <mergeCell ref="A2:E2"/>
    <mergeCell ref="A1:I1"/>
    <mergeCell ref="A3:I3"/>
    <mergeCell ref="A4:I4"/>
  </mergeCells>
  <phoneticPr fontId="0" type="noConversion"/>
  <pageMargins left="0.75" right="0.75" top="1" bottom="1" header="0.5" footer="0.5"/>
  <pageSetup scale="82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52" workbookViewId="0">
      <selection activeCell="G99" sqref="G99"/>
    </sheetView>
  </sheetViews>
  <sheetFormatPr defaultRowHeight="12.75"/>
  <cols>
    <col min="1" max="1" width="31.265625" bestFit="1" customWidth="1"/>
    <col min="2" max="2" width="18" customWidth="1"/>
    <col min="3" max="3" width="13.73046875" customWidth="1"/>
    <col min="4" max="4" width="14" bestFit="1" customWidth="1"/>
    <col min="5" max="5" width="16" customWidth="1"/>
    <col min="6" max="6" width="15.53125" customWidth="1"/>
    <col min="7" max="7" width="20.19921875" bestFit="1" customWidth="1"/>
    <col min="8" max="8" width="14.19921875" bestFit="1" customWidth="1"/>
    <col min="9" max="9" width="13.19921875" bestFit="1" customWidth="1"/>
    <col min="10" max="10" width="14.19921875" bestFit="1" customWidth="1"/>
    <col min="11" max="11" width="11.46484375" bestFit="1" customWidth="1"/>
    <col min="12" max="12" width="14.19921875" bestFit="1" customWidth="1"/>
    <col min="13" max="13" width="15.46484375" customWidth="1"/>
  </cols>
  <sheetData>
    <row r="1" spans="1:12" ht="13.15">
      <c r="A1" s="608" t="str">
        <f>+'Revenue Input'!A1</f>
        <v>Oshawa PUC Networks Inc</v>
      </c>
      <c r="B1" s="608"/>
      <c r="C1" s="608"/>
      <c r="D1" s="608"/>
      <c r="E1" s="608"/>
      <c r="F1" s="608"/>
    </row>
    <row r="2" spans="1:12">
      <c r="A2" s="617"/>
      <c r="B2" s="617"/>
      <c r="C2" s="617"/>
      <c r="D2" s="617"/>
      <c r="E2" s="617"/>
      <c r="F2" s="617"/>
    </row>
    <row r="3" spans="1:12" ht="20.65">
      <c r="A3" s="652" t="s">
        <v>127</v>
      </c>
      <c r="B3" s="652"/>
      <c r="C3" s="652"/>
      <c r="D3" s="652"/>
      <c r="E3" s="652"/>
      <c r="F3" s="652"/>
    </row>
    <row r="4" spans="1:12">
      <c r="A4" s="647"/>
      <c r="B4" s="647"/>
      <c r="C4" s="647"/>
      <c r="D4" s="647"/>
      <c r="E4" s="647"/>
      <c r="F4" s="647"/>
    </row>
    <row r="5" spans="1:12" ht="39.4">
      <c r="A5" s="153" t="s">
        <v>0</v>
      </c>
      <c r="B5" s="138" t="s">
        <v>10</v>
      </c>
      <c r="C5" s="138" t="s">
        <v>11</v>
      </c>
      <c r="D5" s="138" t="s">
        <v>29</v>
      </c>
      <c r="E5" s="138" t="s">
        <v>27</v>
      </c>
      <c r="F5" s="153" t="s">
        <v>31</v>
      </c>
      <c r="G5" s="9"/>
      <c r="H5" s="9"/>
      <c r="I5" s="9"/>
      <c r="J5" s="9"/>
      <c r="K5" s="9"/>
      <c r="L5" s="9"/>
    </row>
    <row r="6" spans="1:12" ht="20.2" customHeight="1">
      <c r="A6" s="81" t="str">
        <f>'Distribution Rate Schedule'!A9</f>
        <v>Residential</v>
      </c>
      <c r="B6" s="59">
        <f>+'Distribution Rate Schedule'!C9*'Forecast Data For 2015 to 2019'!$C$5*12</f>
        <v>6423143.2535128137</v>
      </c>
      <c r="C6" s="59">
        <f>+'Distribution Rate Schedule'!E9*'Forecast Data For 2015 to 2019'!$C$6</f>
        <v>6445697.832348533</v>
      </c>
      <c r="D6" s="94"/>
      <c r="E6" s="59">
        <f>+B6+C6+D6</f>
        <v>12868841.085861348</v>
      </c>
      <c r="F6" s="59">
        <f>+'Rates By Rate Class'!I6-'Rates By Rate Class'!H6</f>
        <v>12845602.595781012</v>
      </c>
      <c r="G6" s="10"/>
      <c r="H6" s="10"/>
      <c r="I6" s="11"/>
      <c r="J6" s="12"/>
      <c r="K6" s="12"/>
      <c r="L6" s="12"/>
    </row>
    <row r="7" spans="1:12" ht="20.2" customHeight="1">
      <c r="A7" s="81" t="str">
        <f>'Distribution Rate Schedule'!A10</f>
        <v>GS Less Than 50 KW</v>
      </c>
      <c r="B7" s="59">
        <f>+'Distribution Rate Schedule'!C10*'Forecast Data For 2015 to 2019'!$C$7*12</f>
        <v>730530.51404104359</v>
      </c>
      <c r="C7" s="59">
        <f>+'Distribution Rate Schedule'!E10*'Forecast Data For 2015 to 2019'!$C$8</f>
        <v>1970744.7119514158</v>
      </c>
      <c r="D7" s="94"/>
      <c r="E7" s="59">
        <f t="shared" ref="E7:E13" si="0">+B7+C7+D7</f>
        <v>2701275.2259924593</v>
      </c>
      <c r="F7" s="59">
        <f>+'Rates By Rate Class'!I7-'Rates By Rate Class'!H7</f>
        <v>2706175.1326604313</v>
      </c>
      <c r="G7" s="10"/>
      <c r="H7" s="10"/>
      <c r="I7" s="11"/>
      <c r="J7" s="12"/>
      <c r="K7" s="12"/>
      <c r="L7" s="12"/>
    </row>
    <row r="8" spans="1:12" ht="20.2" customHeight="1">
      <c r="A8" s="81" t="str">
        <f>'Distribution Rate Schedule'!A11</f>
        <v>GS 50 To 999 KW</v>
      </c>
      <c r="B8" s="59">
        <f>+'Distribution Rate Schedule'!C11*'Forecast Data For 2015 to 2019'!$C$9*12</f>
        <v>296655.83999999997</v>
      </c>
      <c r="C8" s="59">
        <f>+'Distribution Rate Schedule'!D11*'Forecast Data For 2015 to 2019'!$C$10</f>
        <v>3564490.5536633641</v>
      </c>
      <c r="D8" s="94">
        <f>'Transformer Allowance'!C22</f>
        <v>-66477.515050139424</v>
      </c>
      <c r="E8" s="59">
        <f>+B8+C8+D8</f>
        <v>3794668.8786132247</v>
      </c>
      <c r="F8" s="59">
        <f>+'Rates By Rate Class'!I8-'Rates By Rate Class'!H8</f>
        <v>3794693.9064651723</v>
      </c>
      <c r="G8" s="10"/>
      <c r="H8" s="10"/>
      <c r="I8" s="10"/>
      <c r="J8" s="12"/>
      <c r="K8" s="12"/>
      <c r="L8" s="12"/>
    </row>
    <row r="9" spans="1:12" ht="20.2" customHeight="1">
      <c r="A9" s="81" t="str">
        <f>'Distribution Rate Schedule'!A12</f>
        <v>GS Intermediate 1,000 To 4,999 KW</v>
      </c>
      <c r="B9" s="59">
        <f>+'Distribution Rate Schedule'!C12*'Forecast Data For 2015 to 2019'!$C$12*12</f>
        <v>147546.72000000003</v>
      </c>
      <c r="C9" s="59">
        <f>+'Distribution Rate Schedule'!D12*'Forecast Data For 2015 to 2019'!$C$13</f>
        <v>442410.18788691086</v>
      </c>
      <c r="D9" s="94">
        <f>'Transformer Allowance'!C23</f>
        <v>-109679.6171671044</v>
      </c>
      <c r="E9" s="59">
        <f>+B9+C9+D9</f>
        <v>480277.29071980657</v>
      </c>
      <c r="F9" s="59">
        <f>+'Rates By Rate Class'!I9-'Rates By Rate Class'!H9</f>
        <v>480277.74348804657</v>
      </c>
      <c r="G9" s="10"/>
      <c r="H9" s="10"/>
      <c r="I9" s="10"/>
      <c r="J9" s="12"/>
      <c r="K9" s="12"/>
      <c r="L9" s="12"/>
    </row>
    <row r="10" spans="1:12" ht="20.2" customHeight="1">
      <c r="A10" s="81" t="str">
        <f>'Distribution Rate Schedule'!A13</f>
        <v>Large Use</v>
      </c>
      <c r="B10" s="59">
        <f>+'Distribution Rate Schedule'!C13*'Forecast Data For 2015 to 2019'!$C$15*12</f>
        <v>93748.92</v>
      </c>
      <c r="C10" s="59">
        <f>+'Distribution Rate Schedule'!D13*'Forecast Data For 2015 to 2019'!$C$16</f>
        <v>190257.82257086146</v>
      </c>
      <c r="D10" s="94">
        <f>'Transformer Allowance'!C24</f>
        <v>-57870.53202541967</v>
      </c>
      <c r="E10" s="59">
        <f>+B10+C10+D10</f>
        <v>226136.21054544181</v>
      </c>
      <c r="F10" s="59">
        <f>+'Rates By Rate Class'!I10-'Rates By Rate Class'!H10</f>
        <v>226135.53988317001</v>
      </c>
      <c r="G10" s="10"/>
      <c r="H10" s="10"/>
      <c r="I10" s="10"/>
      <c r="J10" s="12"/>
      <c r="K10" s="12"/>
      <c r="L10" s="12"/>
    </row>
    <row r="11" spans="1:12" ht="20.2" customHeight="1">
      <c r="A11" s="81" t="str">
        <f>'Distribution Rate Schedule'!A14</f>
        <v>Street Lighting</v>
      </c>
      <c r="B11" s="59">
        <f>+'Distribution Rate Schedule'!B14*'Forecast Data For 2015 to 2019'!$C$18*12</f>
        <v>251654.96989374128</v>
      </c>
      <c r="C11" s="59">
        <f>+'Distribution Rate Schedule'!D14*'Forecast Data For 2015 to 2019'!$C$19</f>
        <v>609546.82165105036</v>
      </c>
      <c r="D11" s="94">
        <f>'Transformer Allowance'!C25</f>
        <v>0</v>
      </c>
      <c r="E11" s="59">
        <f>+B11+C11+D11</f>
        <v>861201.79154479166</v>
      </c>
      <c r="F11" s="59">
        <f>+'Rates By Rate Class'!I11-'Rates By Rate Class'!H11</f>
        <v>861202.34860017814</v>
      </c>
      <c r="G11" s="10"/>
      <c r="H11" s="10"/>
      <c r="I11" s="10"/>
      <c r="J11" s="12"/>
      <c r="K11" s="12"/>
      <c r="L11" s="12"/>
    </row>
    <row r="12" spans="1:12" ht="20.2" customHeight="1">
      <c r="A12" s="81" t="str">
        <f>'Distribution Rate Schedule'!A15</f>
        <v>Sentinel Lighting</v>
      </c>
      <c r="B12" s="59">
        <f>+'Distribution Rate Schedule'!B15*'Forecast Data For 2015 to 2019'!$C$21*12</f>
        <v>1368.1886810626627</v>
      </c>
      <c r="C12" s="59">
        <f>+'Distribution Rate Schedule'!D15*'Forecast Data For 2015 to 2019'!$C$22</f>
        <v>702.44438682118846</v>
      </c>
      <c r="D12" s="94"/>
      <c r="E12" s="59">
        <f t="shared" si="0"/>
        <v>2070.6330678838513</v>
      </c>
      <c r="F12" s="59">
        <f>+'Rates By Rate Class'!I12-'Rates By Rate Class'!H12</f>
        <v>2070.6345799380219</v>
      </c>
      <c r="G12" s="10"/>
      <c r="H12" s="10"/>
      <c r="I12" s="11"/>
      <c r="J12" s="12"/>
      <c r="K12" s="12"/>
      <c r="L12" s="12"/>
    </row>
    <row r="13" spans="1:12" ht="20.2" customHeight="1">
      <c r="A13" s="81" t="str">
        <f>'Distribution Rate Schedule'!A16</f>
        <v>Unmetered Scattered Load</v>
      </c>
      <c r="B13" s="59">
        <f>+'Distribution Rate Schedule'!B16*'Forecast Data For 2015 to 2019'!$C$24*12</f>
        <v>14447.861233311905</v>
      </c>
      <c r="C13" s="59">
        <f>+'Distribution Rate Schedule'!E16*'Forecast Data For 2015 to 2019'!$C$26</f>
        <v>44596.519413880509</v>
      </c>
      <c r="D13" s="94"/>
      <c r="E13" s="59">
        <f t="shared" si="0"/>
        <v>59044.380647192418</v>
      </c>
      <c r="F13" s="59">
        <f>+'Rates By Rate Class'!I13-'Rates By Rate Class'!H13</f>
        <v>59028.18695030635</v>
      </c>
      <c r="G13" s="10"/>
      <c r="H13" s="10"/>
      <c r="I13" s="11"/>
      <c r="J13" s="12"/>
      <c r="K13" s="12"/>
      <c r="L13" s="12"/>
    </row>
    <row r="14" spans="1:12" ht="20.2" customHeight="1">
      <c r="A14" s="81"/>
      <c r="B14" s="59"/>
      <c r="C14" s="59"/>
      <c r="D14" s="94"/>
      <c r="E14" s="59"/>
      <c r="F14" s="59"/>
      <c r="G14" s="10"/>
      <c r="H14" s="10"/>
      <c r="I14" s="11"/>
      <c r="J14" s="12"/>
      <c r="K14" s="12"/>
      <c r="L14" s="12"/>
    </row>
    <row r="15" spans="1:12" ht="31.5" customHeight="1" thickBot="1">
      <c r="A15" s="32" t="s">
        <v>30</v>
      </c>
      <c r="B15" s="73">
        <f>SUM(B6:B14)</f>
        <v>7959096.2673619725</v>
      </c>
      <c r="C15" s="73">
        <f>SUM(C6:C14)</f>
        <v>13268446.893872838</v>
      </c>
      <c r="D15" s="95">
        <f>SUM(D6:D14)</f>
        <v>-234027.66424266351</v>
      </c>
      <c r="E15" s="73">
        <f>SUM(E6:E14)</f>
        <v>20993515.496992152</v>
      </c>
      <c r="F15" s="73">
        <f>SUM(F6:F14)</f>
        <v>20975186.088408258</v>
      </c>
      <c r="G15" s="13"/>
      <c r="H15" s="13"/>
      <c r="I15" s="13"/>
      <c r="J15" s="13"/>
      <c r="K15" s="13"/>
      <c r="L15" s="13"/>
    </row>
    <row r="16" spans="1:12" ht="13.15" thickTop="1">
      <c r="F16" s="8"/>
      <c r="G16" s="14"/>
      <c r="H16" s="14"/>
      <c r="I16" s="14"/>
      <c r="J16" s="14"/>
      <c r="K16" s="14"/>
      <c r="L16" s="14"/>
    </row>
    <row r="17" spans="1:7">
      <c r="E17" s="660" t="s">
        <v>79</v>
      </c>
      <c r="F17" s="660"/>
      <c r="G17" s="7"/>
    </row>
    <row r="18" spans="1:7">
      <c r="E18" s="124"/>
      <c r="F18" s="7"/>
    </row>
    <row r="19" spans="1:7" ht="13.15" thickBot="1">
      <c r="E19" s="315">
        <f>+F15-E15</f>
        <v>-18329.408583894372</v>
      </c>
      <c r="F19" s="368">
        <f>E19/F15</f>
        <v>-8.738615479566091E-4</v>
      </c>
    </row>
    <row r="21" spans="1:7" ht="13.15">
      <c r="A21" s="608" t="str">
        <f>+'Revenue Input'!A1</f>
        <v>Oshawa PUC Networks Inc</v>
      </c>
      <c r="B21" s="608"/>
      <c r="C21" s="608"/>
      <c r="D21" s="608"/>
      <c r="E21" s="608"/>
      <c r="F21" s="608"/>
    </row>
    <row r="22" spans="1:7">
      <c r="A22" s="617"/>
      <c r="B22" s="617"/>
      <c r="C22" s="617"/>
      <c r="D22" s="617"/>
      <c r="E22" s="617"/>
      <c r="F22" s="617"/>
    </row>
    <row r="23" spans="1:7" ht="20.65">
      <c r="A23" s="652" t="s">
        <v>156</v>
      </c>
      <c r="B23" s="652"/>
      <c r="C23" s="652"/>
      <c r="D23" s="652"/>
      <c r="E23" s="652"/>
      <c r="F23" s="652"/>
    </row>
    <row r="24" spans="1:7">
      <c r="A24" s="647"/>
      <c r="B24" s="647"/>
      <c r="C24" s="647"/>
      <c r="D24" s="647"/>
      <c r="E24" s="647"/>
      <c r="F24" s="647"/>
    </row>
    <row r="25" spans="1:7" ht="39.4">
      <c r="A25" s="170" t="s">
        <v>0</v>
      </c>
      <c r="B25" s="166" t="s">
        <v>10</v>
      </c>
      <c r="C25" s="166" t="s">
        <v>11</v>
      </c>
      <c r="D25" s="166" t="s">
        <v>29</v>
      </c>
      <c r="E25" s="166" t="s">
        <v>27</v>
      </c>
      <c r="F25" s="170" t="s">
        <v>31</v>
      </c>
    </row>
    <row r="26" spans="1:7">
      <c r="A26" s="81" t="str">
        <f>'Distribution Rate Schedule'!A9</f>
        <v>Residential</v>
      </c>
      <c r="B26" s="59">
        <f>+'Distribution Rate Schedule'!C29*'Forecast Data For 2015 to 2019'!$D$5*12</f>
        <v>6960333.6587915076</v>
      </c>
      <c r="C26" s="59">
        <f>+'Distribution Rate Schedule'!E29*'Forecast Data For 2015 to 2019'!$D$6</f>
        <v>6977598.2847826146</v>
      </c>
      <c r="D26" s="94"/>
      <c r="E26" s="59">
        <f t="shared" ref="E26:E33" si="1">+B26+C26+D26</f>
        <v>13937931.943574123</v>
      </c>
      <c r="F26" s="59">
        <f>+'Rates By Rate Class'!I37-'Rates By Rate Class'!H37</f>
        <v>13924495.105313618</v>
      </c>
    </row>
    <row r="27" spans="1:7">
      <c r="A27" s="81" t="str">
        <f>'Distribution Rate Schedule'!A10</f>
        <v>GS Less Than 50 KW</v>
      </c>
      <c r="B27" s="59">
        <f>+'Distribution Rate Schedule'!C30*'Forecast Data For 2015 to 2019'!$D$7*12</f>
        <v>780973.66687229078</v>
      </c>
      <c r="C27" s="59">
        <f>+'Distribution Rate Schedule'!E30*'Forecast Data For 2015 to 2019'!$D$8</f>
        <v>2117215.5188695965</v>
      </c>
      <c r="D27" s="94"/>
      <c r="E27" s="59">
        <f t="shared" si="1"/>
        <v>2898189.1857418874</v>
      </c>
      <c r="F27" s="59">
        <f>+'Rates By Rate Class'!I38-'Rates By Rate Class'!H38</f>
        <v>2892921.1914680093</v>
      </c>
    </row>
    <row r="28" spans="1:7">
      <c r="A28" s="81" t="str">
        <f>'Distribution Rate Schedule'!A11</f>
        <v>GS 50 To 999 KW</v>
      </c>
      <c r="B28" s="59">
        <f>+'Distribution Rate Schedule'!C31*'Forecast Data For 2015 to 2019'!$D$9*12</f>
        <v>322345.44000000006</v>
      </c>
      <c r="C28" s="59">
        <f>+'Distribution Rate Schedule'!D31*'Forecast Data For 2015 to 2019'!$D$10</f>
        <v>3849422.7893755371</v>
      </c>
      <c r="D28" s="94">
        <f>'Transformer Allowance'!C33</f>
        <v>-67136.429119048174</v>
      </c>
      <c r="E28" s="59">
        <f t="shared" si="1"/>
        <v>4104631.8002564888</v>
      </c>
      <c r="F28" s="59">
        <f>+'Rates By Rate Class'!I39-'Rates By Rate Class'!H39</f>
        <v>4104624.4810807095</v>
      </c>
    </row>
    <row r="29" spans="1:7">
      <c r="A29" s="81" t="str">
        <f>'Distribution Rate Schedule'!A12</f>
        <v>GS Intermediate 1,000 To 4,999 KW</v>
      </c>
      <c r="B29" s="59">
        <f>+'Distribution Rate Schedule'!C32*'Forecast Data For 2015 to 2019'!$D$12*12</f>
        <v>157969.44</v>
      </c>
      <c r="C29" s="59">
        <f>+'Distribution Rate Schedule'!D32*'Forecast Data For 2015 to 2019'!$D$13</f>
        <v>464326.15302490524</v>
      </c>
      <c r="D29" s="94">
        <f>'Transformer Allowance'!C34</f>
        <v>-109307.05246829765</v>
      </c>
      <c r="E29" s="59">
        <f t="shared" si="1"/>
        <v>512988.54055660765</v>
      </c>
      <c r="F29" s="59">
        <f>+'Rates By Rate Class'!I40-'Rates By Rate Class'!H40</f>
        <v>512996.28128129395</v>
      </c>
    </row>
    <row r="30" spans="1:7">
      <c r="A30" s="81" t="str">
        <f>'Distribution Rate Schedule'!A13</f>
        <v>Large Use</v>
      </c>
      <c r="B30" s="59">
        <f>+'Distribution Rate Schedule'!C33*'Forecast Data For 2015 to 2019'!$D$15*12</f>
        <v>100169.04000000001</v>
      </c>
      <c r="C30" s="59">
        <f>+'Distribution Rate Schedule'!D33*'Forecast Data For 2015 to 2019'!$D$16</f>
        <v>199422.41118670529</v>
      </c>
      <c r="D30" s="94">
        <f>'Transformer Allowance'!C35</f>
        <v>-57899.060885069113</v>
      </c>
      <c r="E30" s="59">
        <f t="shared" si="1"/>
        <v>241692.39030163616</v>
      </c>
      <c r="F30" s="59">
        <f>+'Rates By Rate Class'!I41-'Rates By Rate Class'!H41</f>
        <v>241692.35597608247</v>
      </c>
    </row>
    <row r="31" spans="1:7">
      <c r="A31" s="81" t="str">
        <f>'Distribution Rate Schedule'!A14</f>
        <v>Street Lighting</v>
      </c>
      <c r="B31" s="59">
        <f>+'Distribution Rate Schedule'!B34*'Forecast Data For 2015 to 2019'!$D$18*12</f>
        <v>284462.14241940179</v>
      </c>
      <c r="C31" s="59">
        <f>+'Distribution Rate Schedule'!D34*'Forecast Data For 2015 to 2019'!$D$19</f>
        <v>412562.08540723444</v>
      </c>
      <c r="D31" s="94">
        <f>'Transformer Allowance'!C36</f>
        <v>0</v>
      </c>
      <c r="E31" s="59">
        <f t="shared" si="1"/>
        <v>697024.22782663628</v>
      </c>
      <c r="F31" s="59">
        <f>+'Rates By Rate Class'!I42-'Rates By Rate Class'!H42</f>
        <v>697028.28377216973</v>
      </c>
    </row>
    <row r="32" spans="1:7">
      <c r="A32" s="81" t="str">
        <f>'Distribution Rate Schedule'!A15</f>
        <v>Sentinel Lighting</v>
      </c>
      <c r="B32" s="59">
        <f>+'Distribution Rate Schedule'!B35*'Forecast Data For 2015 to 2019'!$D$21*12</f>
        <v>1417.3144995194614</v>
      </c>
      <c r="C32" s="59">
        <f>+'Distribution Rate Schedule'!D35*'Forecast Data For 2015 to 2019'!$D$22</f>
        <v>721.64448997299792</v>
      </c>
      <c r="D32" s="94"/>
      <c r="E32" s="59">
        <f t="shared" si="1"/>
        <v>2138.9589894924593</v>
      </c>
      <c r="F32" s="59">
        <f>+'Rates By Rate Class'!I43-'Rates By Rate Class'!H43</f>
        <v>2138.9452176317882</v>
      </c>
    </row>
    <row r="33" spans="1:6">
      <c r="A33" s="81" t="str">
        <f>'Distribution Rate Schedule'!A16</f>
        <v>Unmetered Scattered Load</v>
      </c>
      <c r="B33" s="59">
        <f>+'Distribution Rate Schedule'!B36*'Forecast Data For 2015 to 2019'!$D$24*12</f>
        <v>15485.20537213659</v>
      </c>
      <c r="C33" s="59">
        <f>+'Distribution Rate Schedule'!E36*'Forecast Data For 2015 to 2019'!$D$26</f>
        <v>47476.043653897905</v>
      </c>
      <c r="D33" s="94"/>
      <c r="E33" s="59">
        <f t="shared" si="1"/>
        <v>62961.249026034493</v>
      </c>
      <c r="F33" s="59">
        <f>+'Rates By Rate Class'!I44-'Rates By Rate Class'!H44</f>
        <v>62888.528108738392</v>
      </c>
    </row>
    <row r="34" spans="1:6">
      <c r="A34" s="81"/>
      <c r="B34" s="59"/>
      <c r="C34" s="59"/>
      <c r="D34" s="94"/>
      <c r="E34" s="59"/>
      <c r="F34" s="59"/>
    </row>
    <row r="35" spans="1:6" ht="13.5" thickBot="1">
      <c r="A35" s="165" t="s">
        <v>30</v>
      </c>
      <c r="B35" s="73">
        <f>SUM(B26:B34)</f>
        <v>8623155.9079548568</v>
      </c>
      <c r="C35" s="73">
        <f>SUM(C26:C34)</f>
        <v>14068744.930790463</v>
      </c>
      <c r="D35" s="95">
        <f>SUM(D26:D34)</f>
        <v>-234342.54247241493</v>
      </c>
      <c r="E35" s="73">
        <f>SUM(E26:E34)</f>
        <v>22457558.296272907</v>
      </c>
      <c r="F35" s="73">
        <f>SUM(F26:F34)</f>
        <v>22438785.172218252</v>
      </c>
    </row>
    <row r="36" spans="1:6" ht="13.15" thickTop="1">
      <c r="F36" s="8"/>
    </row>
    <row r="37" spans="1:6">
      <c r="E37" s="660" t="s">
        <v>79</v>
      </c>
      <c r="F37" s="660"/>
    </row>
    <row r="38" spans="1:6">
      <c r="E38" s="168"/>
      <c r="F38" s="163"/>
    </row>
    <row r="39" spans="1:6" ht="13.15" thickBot="1">
      <c r="E39" s="315">
        <f>+F35-E35</f>
        <v>-18773.124054655433</v>
      </c>
      <c r="F39" s="368">
        <f>E39/F35</f>
        <v>-8.3663727383506833E-4</v>
      </c>
    </row>
    <row r="41" spans="1:6" ht="13.15">
      <c r="A41" s="608" t="str">
        <f>+'Revenue Input'!A1</f>
        <v>Oshawa PUC Networks Inc</v>
      </c>
      <c r="B41" s="608"/>
      <c r="C41" s="608"/>
      <c r="D41" s="608"/>
      <c r="E41" s="608"/>
      <c r="F41" s="608"/>
    </row>
    <row r="42" spans="1:6">
      <c r="A42" s="617"/>
      <c r="B42" s="617"/>
      <c r="C42" s="617"/>
      <c r="D42" s="617"/>
      <c r="E42" s="617"/>
      <c r="F42" s="617"/>
    </row>
    <row r="43" spans="1:6" ht="20.65">
      <c r="A43" s="652" t="s">
        <v>162</v>
      </c>
      <c r="B43" s="652"/>
      <c r="C43" s="652"/>
      <c r="D43" s="652"/>
      <c r="E43" s="652"/>
      <c r="F43" s="652"/>
    </row>
    <row r="44" spans="1:6">
      <c r="A44" s="647"/>
      <c r="B44" s="647"/>
      <c r="C44" s="647"/>
      <c r="D44" s="647"/>
      <c r="E44" s="647"/>
      <c r="F44" s="647"/>
    </row>
    <row r="45" spans="1:6" ht="39.4">
      <c r="A45" s="170" t="s">
        <v>0</v>
      </c>
      <c r="B45" s="166" t="s">
        <v>10</v>
      </c>
      <c r="C45" s="166" t="s">
        <v>11</v>
      </c>
      <c r="D45" s="166" t="s">
        <v>29</v>
      </c>
      <c r="E45" s="166" t="s">
        <v>27</v>
      </c>
      <c r="F45" s="170" t="s">
        <v>31</v>
      </c>
    </row>
    <row r="46" spans="1:6">
      <c r="A46" s="81" t="str">
        <f>'Distribution Rate Schedule'!A9</f>
        <v>Residential</v>
      </c>
      <c r="B46" s="59">
        <f>+'Distribution Rate Schedule'!C49*'Forecast Data For 2015 to 2019'!$E$5*12</f>
        <v>8961694.9209678359</v>
      </c>
      <c r="C46" s="59">
        <f>+'Distribution Rate Schedule'!E49*'Forecast Data For 2015 to 2019'!$E$6</f>
        <v>5366037.3057945231</v>
      </c>
      <c r="D46" s="94"/>
      <c r="E46" s="59">
        <f t="shared" ref="E46:E54" si="2">+B46+C46+D46</f>
        <v>14327732.226762358</v>
      </c>
      <c r="F46" s="59">
        <f>+'Rates By Rate Class'!I68-'Rates By Rate Class'!H68</f>
        <v>14340454.505900068</v>
      </c>
    </row>
    <row r="47" spans="1:6">
      <c r="A47" s="81" t="str">
        <f>'Distribution Rate Schedule'!A10</f>
        <v>GS Less Than 50 KW</v>
      </c>
      <c r="B47" s="59">
        <f>+'Distribution Rate Schedule'!C50*'Forecast Data For 2015 to 2019'!$E$7*12</f>
        <v>803563.37487209716</v>
      </c>
      <c r="C47" s="59">
        <f>+'Distribution Rate Schedule'!E50*'Forecast Data For 2015 to 2019'!$E$8</f>
        <v>2174526.2469501756</v>
      </c>
      <c r="D47" s="94"/>
      <c r="E47" s="59">
        <f t="shared" si="2"/>
        <v>2978089.6218222729</v>
      </c>
      <c r="F47" s="59">
        <f>+'Rates By Rate Class'!I69-'Rates By Rate Class'!H69</f>
        <v>2976190.8414891833</v>
      </c>
    </row>
    <row r="48" spans="1:6">
      <c r="A48" s="81" t="str">
        <f>'Distribution Rate Schedule'!A11</f>
        <v>GS 50 To 999 KW</v>
      </c>
      <c r="B48" s="59">
        <f>+'Distribution Rate Schedule'!C51*'Forecast Data For 2015 to 2019'!$E$9*12</f>
        <v>334251.10800000001</v>
      </c>
      <c r="C48" s="59">
        <f>+'Distribution Rate Schedule'!D51*'Forecast Data For 2015 to 2019'!$E$10</f>
        <v>3954758.8260463388</v>
      </c>
      <c r="D48" s="94">
        <f>'Transformer Allowance'!C44</f>
        <v>-67537.961086833093</v>
      </c>
      <c r="E48" s="59">
        <f t="shared" si="2"/>
        <v>4221471.9729595063</v>
      </c>
      <c r="F48" s="59">
        <f>+'Rates By Rate Class'!I70-'Rates By Rate Class'!H70</f>
        <v>4221453.6614559507</v>
      </c>
    </row>
    <row r="49" spans="1:6">
      <c r="A49" s="81" t="str">
        <f>'Distribution Rate Schedule'!A12</f>
        <v>GS Intermediate 1,000 To 4,999 KW</v>
      </c>
      <c r="B49" s="59">
        <f>+'Distribution Rate Schedule'!C52*'Forecast Data For 2015 to 2019'!$E$12*12</f>
        <v>161386.56</v>
      </c>
      <c r="C49" s="59">
        <f>+'Distribution Rate Schedule'!D52*'Forecast Data For 2015 to 2019'!$E$13</f>
        <v>468640.67003772041</v>
      </c>
      <c r="D49" s="94">
        <f>'Transformer Allowance'!C45</f>
        <v>-108529.9774326934</v>
      </c>
      <c r="E49" s="59">
        <f t="shared" si="2"/>
        <v>521497.252605027</v>
      </c>
      <c r="F49" s="59">
        <f>+'Rates By Rate Class'!I71-'Rates By Rate Class'!H71</f>
        <v>521506.09053895978</v>
      </c>
    </row>
    <row r="50" spans="1:6">
      <c r="A50" s="81" t="str">
        <f>'Distribution Rate Schedule'!A13</f>
        <v>Large Use</v>
      </c>
      <c r="B50" s="59">
        <f>+'Distribution Rate Schedule'!C53*'Forecast Data For 2015 to 2019'!$E$15*12</f>
        <v>102335.76</v>
      </c>
      <c r="C50" s="59">
        <f>+'Distribution Rate Schedule'!D53*'Forecast Data For 2015 to 2019'!$E$16</f>
        <v>202917.52303499304</v>
      </c>
      <c r="D50" s="94">
        <f>'Transformer Allowance'!C46</f>
        <v>-58023.771397193537</v>
      </c>
      <c r="E50" s="59">
        <f t="shared" si="2"/>
        <v>247229.5116377995</v>
      </c>
      <c r="F50" s="59">
        <f>+'Rates By Rate Class'!I72-'Rates By Rate Class'!H72</f>
        <v>247231.65297761769</v>
      </c>
    </row>
    <row r="51" spans="1:6">
      <c r="A51" s="81" t="str">
        <f>'Distribution Rate Schedule'!A14</f>
        <v>Street Lighting</v>
      </c>
      <c r="B51" s="59">
        <f>+'Distribution Rate Schedule'!B54*'Forecast Data For 2015 to 2019'!$E$18*12</f>
        <v>304650.89497267216</v>
      </c>
      <c r="C51" s="59">
        <f>+'Distribution Rate Schedule'!D54*'Forecast Data For 2015 to 2019'!$E$19</f>
        <v>401339.49588478252</v>
      </c>
      <c r="D51" s="94">
        <f>-'Transformer Allowance'!C47</f>
        <v>0</v>
      </c>
      <c r="E51" s="59">
        <f t="shared" si="2"/>
        <v>705990.39085745462</v>
      </c>
      <c r="F51" s="59">
        <f>+'Rates By Rate Class'!I73-'Rates By Rate Class'!H73</f>
        <v>705995.88622365647</v>
      </c>
    </row>
    <row r="52" spans="1:6">
      <c r="A52" s="81" t="str">
        <f>'Distribution Rate Schedule'!A15</f>
        <v>Sentinel Lighting</v>
      </c>
      <c r="B52" s="59">
        <f>+'Distribution Rate Schedule'!B55*'Forecast Data For 2015 to 2019'!$E$21*12</f>
        <v>1401.8128178270115</v>
      </c>
      <c r="C52" s="59">
        <f>+'Distribution Rate Schedule'!D55*'Forecast Data For 2015 to 2019'!$E$22</f>
        <v>708.59762317588832</v>
      </c>
      <c r="D52" s="94"/>
      <c r="E52" s="59">
        <f t="shared" si="2"/>
        <v>2110.4104410028999</v>
      </c>
      <c r="F52" s="59">
        <f>+'Rates By Rate Class'!I74-'Rates By Rate Class'!H74</f>
        <v>2110.4052919270061</v>
      </c>
    </row>
    <row r="53" spans="1:6">
      <c r="A53" s="81" t="str">
        <f>'Distribution Rate Schedule'!A16</f>
        <v>Unmetered Scattered Load</v>
      </c>
      <c r="B53" s="59">
        <f>+'Distribution Rate Schedule'!B56*'Forecast Data For 2015 to 2019'!$E$24*12</f>
        <v>15840.31001357593</v>
      </c>
      <c r="C53" s="59">
        <f>+'Distribution Rate Schedule'!E56*'Forecast Data For 2015 to 2019'!$E$26</f>
        <v>48273.405384470272</v>
      </c>
      <c r="D53" s="94"/>
      <c r="E53" s="59">
        <f t="shared" si="2"/>
        <v>64113.715398046203</v>
      </c>
      <c r="F53" s="59">
        <f>+'Rates By Rate Class'!I75-'Rates By Rate Class'!H75</f>
        <v>64056.184223041928</v>
      </c>
    </row>
    <row r="54" spans="1:6">
      <c r="A54" s="81">
        <f>'Distribution Rate Schedule'!A17</f>
        <v>0</v>
      </c>
      <c r="B54" s="59">
        <f>+'Distribution Rate Schedule'!B57*'Forecast Data For 2015 to 2019'!C$27*12</f>
        <v>0</v>
      </c>
      <c r="C54" s="59">
        <f>+'Distribution Rate Schedule'!E57*'Forecast Data For 2015 to 2019'!$E$28</f>
        <v>0</v>
      </c>
      <c r="D54" s="94"/>
      <c r="E54" s="59">
        <f t="shared" si="2"/>
        <v>0</v>
      </c>
      <c r="F54" s="59">
        <f>+'Rates By Rate Class'!I76-'Rates By Rate Class'!H76</f>
        <v>0</v>
      </c>
    </row>
    <row r="55" spans="1:6" ht="13.5" thickBot="1">
      <c r="A55" s="165" t="s">
        <v>30</v>
      </c>
      <c r="B55" s="73">
        <f>SUM(B46:B54)</f>
        <v>10685124.74164401</v>
      </c>
      <c r="C55" s="73">
        <f>SUM(C46:C54)</f>
        <v>12617202.070756178</v>
      </c>
      <c r="D55" s="95">
        <f>SUM(D46:D54)</f>
        <v>-234091.70991672005</v>
      </c>
      <c r="E55" s="73">
        <f>SUM(E46:E54)</f>
        <v>23068235.10248347</v>
      </c>
      <c r="F55" s="73">
        <f>SUM(F46:F54)</f>
        <v>23078999.228100404</v>
      </c>
    </row>
    <row r="56" spans="1:6" ht="13.15" thickTop="1">
      <c r="F56" s="8"/>
    </row>
    <row r="57" spans="1:6">
      <c r="E57" s="660" t="s">
        <v>79</v>
      </c>
      <c r="F57" s="660"/>
    </row>
    <row r="58" spans="1:6">
      <c r="E58" s="168"/>
      <c r="F58" s="163"/>
    </row>
    <row r="59" spans="1:6" ht="13.15" thickBot="1">
      <c r="E59" s="315">
        <f>+F55-E55</f>
        <v>10764.12561693415</v>
      </c>
      <c r="F59" s="368">
        <f>E59/F55</f>
        <v>4.6640348268775988E-4</v>
      </c>
    </row>
    <row r="61" spans="1:6" ht="13.15">
      <c r="A61" s="608" t="str">
        <f>+'Revenue Input'!A1</f>
        <v>Oshawa PUC Networks Inc</v>
      </c>
      <c r="B61" s="608"/>
      <c r="C61" s="608"/>
      <c r="D61" s="608"/>
      <c r="E61" s="608"/>
      <c r="F61" s="608"/>
    </row>
    <row r="62" spans="1:6">
      <c r="A62" s="617"/>
      <c r="B62" s="617"/>
      <c r="C62" s="617"/>
      <c r="D62" s="617"/>
      <c r="E62" s="617"/>
      <c r="F62" s="617"/>
    </row>
    <row r="63" spans="1:6" ht="20.65">
      <c r="A63" s="652" t="s">
        <v>167</v>
      </c>
      <c r="B63" s="652"/>
      <c r="C63" s="652"/>
      <c r="D63" s="652"/>
      <c r="E63" s="652"/>
      <c r="F63" s="652"/>
    </row>
    <row r="64" spans="1:6">
      <c r="A64" s="647"/>
      <c r="B64" s="647"/>
      <c r="C64" s="647"/>
      <c r="D64" s="647"/>
      <c r="E64" s="647"/>
      <c r="F64" s="647"/>
    </row>
    <row r="65" spans="1:6" ht="39.4">
      <c r="A65" s="174" t="s">
        <v>0</v>
      </c>
      <c r="B65" s="178" t="s">
        <v>10</v>
      </c>
      <c r="C65" s="178" t="s">
        <v>11</v>
      </c>
      <c r="D65" s="178" t="s">
        <v>29</v>
      </c>
      <c r="E65" s="178" t="s">
        <v>27</v>
      </c>
      <c r="F65" s="174" t="s">
        <v>31</v>
      </c>
    </row>
    <row r="66" spans="1:6">
      <c r="A66" s="81" t="str">
        <f>'Distribution Rate Schedule'!A9</f>
        <v>Residential</v>
      </c>
      <c r="B66" s="59">
        <f>+'Distribution Rate Schedule'!C69*'Forecast Data For 2015 to 2019'!$F$5*12</f>
        <v>11203834.32641306</v>
      </c>
      <c r="C66" s="59">
        <f>+'Distribution Rate Schedule'!E69*'Forecast Data For 2015 to 2019'!$F$6</f>
        <v>3744093.1272009108</v>
      </c>
      <c r="D66" s="94"/>
      <c r="E66" s="59">
        <f t="shared" ref="E66:E74" si="3">+B66+C66+D66</f>
        <v>14947927.45361397</v>
      </c>
      <c r="F66" s="59">
        <f>+'Rates By Rate Class'!I99-'Rates By Rate Class'!H99</f>
        <v>14942640.234360727</v>
      </c>
    </row>
    <row r="67" spans="1:6">
      <c r="A67" s="81" t="str">
        <f>'Distribution Rate Schedule'!A10</f>
        <v>GS Less Than 50 KW</v>
      </c>
      <c r="B67" s="59">
        <f>+'Distribution Rate Schedule'!C70*'Forecast Data For 2015 to 2019'!$F$7*12</f>
        <v>814006.49786268908</v>
      </c>
      <c r="C67" s="59">
        <f>+'Distribution Rate Schedule'!E70*'Forecast Data For 2015 to 2019'!$F$8</f>
        <v>2202948.0296125896</v>
      </c>
      <c r="D67" s="94"/>
      <c r="E67" s="59">
        <f t="shared" si="3"/>
        <v>3016954.5274752788</v>
      </c>
      <c r="F67" s="59">
        <f>+'Rates By Rate Class'!I100-'Rates By Rate Class'!H100</f>
        <v>3015120.0419699261</v>
      </c>
    </row>
    <row r="68" spans="1:6">
      <c r="A68" s="81" t="str">
        <f>'Distribution Rate Schedule'!A11</f>
        <v>GS 50 To 999 KW</v>
      </c>
      <c r="B68" s="59">
        <f>+'Distribution Rate Schedule'!C71*'Forecast Data For 2015 to 2019'!$F$9*12</f>
        <v>348794.68799999997</v>
      </c>
      <c r="C68" s="59">
        <f>+'Distribution Rate Schedule'!D71*'Forecast Data For 2015 to 2019'!$F$10</f>
        <v>3947649.646465898</v>
      </c>
      <c r="D68" s="94">
        <f>'Transformer Allowance'!C55</f>
        <v>-65081.971805171022</v>
      </c>
      <c r="E68" s="59">
        <f t="shared" si="3"/>
        <v>4231362.3626607265</v>
      </c>
      <c r="F68" s="59">
        <f>+'Rates By Rate Class'!I101-'Rates By Rate Class'!H101</f>
        <v>4231367.316953782</v>
      </c>
    </row>
    <row r="69" spans="1:6">
      <c r="A69" s="81" t="str">
        <f>'Distribution Rate Schedule'!A12</f>
        <v>GS Intermediate 1,000 To 4,999 KW</v>
      </c>
      <c r="B69" s="59">
        <f>+'Distribution Rate Schedule'!C72*'Forecast Data For 2015 to 2019'!$F$12*12</f>
        <v>184005.36000000002</v>
      </c>
      <c r="C69" s="59">
        <f>+'Distribution Rate Schedule'!D72*'Forecast Data For 2015 to 2019'!$F$13</f>
        <v>418043.92504135892</v>
      </c>
      <c r="D69" s="94">
        <f>'Transformer Allowance'!C56</f>
        <v>-94171.429787103072</v>
      </c>
      <c r="E69" s="59">
        <f t="shared" si="3"/>
        <v>507877.85525425582</v>
      </c>
      <c r="F69" s="59">
        <f>+'Rates By Rate Class'!I102-'Rates By Rate Class'!H102</f>
        <v>507878.71038404747</v>
      </c>
    </row>
    <row r="70" spans="1:6">
      <c r="A70" s="81" t="str">
        <f>'Distribution Rate Schedule'!A13</f>
        <v>Large Use</v>
      </c>
      <c r="B70" s="59">
        <f>+'Distribution Rate Schedule'!C73*'Forecast Data For 2015 to 2019'!$F$15*12</f>
        <v>106071.24</v>
      </c>
      <c r="C70" s="59">
        <f>+'Distribution Rate Schedule'!D73*'Forecast Data For 2015 to 2019'!$F$16</f>
        <v>194821.46514815223</v>
      </c>
      <c r="D70" s="94">
        <f>'Transformer Allowance'!C57</f>
        <v>-54293.364719207166</v>
      </c>
      <c r="E70" s="59">
        <f t="shared" si="3"/>
        <v>246599.34042894508</v>
      </c>
      <c r="F70" s="59">
        <f>+'Rates By Rate Class'!I103-'Rates By Rate Class'!H103</f>
        <v>246598.40177299245</v>
      </c>
    </row>
    <row r="71" spans="1:6">
      <c r="A71" s="81" t="str">
        <f>'Distribution Rate Schedule'!A14</f>
        <v>Street Lighting</v>
      </c>
      <c r="B71" s="59">
        <f>+'Distribution Rate Schedule'!B74*'Forecast Data For 2015 to 2019'!$F$18*12</f>
        <v>321732.75096141349</v>
      </c>
      <c r="C71" s="59">
        <f>+'Distribution Rate Schedule'!D74*'Forecast Data For 2015 to 2019'!$F$19</f>
        <v>410362.39724466403</v>
      </c>
      <c r="D71" s="94">
        <f>'Transformer Allowance'!C58</f>
        <v>0</v>
      </c>
      <c r="E71" s="59">
        <f t="shared" si="3"/>
        <v>732095.14820607752</v>
      </c>
      <c r="F71" s="59">
        <f>+'Rates By Rate Class'!I104-'Rates By Rate Class'!H104</f>
        <v>732092.04998941428</v>
      </c>
    </row>
    <row r="72" spans="1:6">
      <c r="A72" s="81" t="str">
        <f>'Distribution Rate Schedule'!A15</f>
        <v>Sentinel Lighting</v>
      </c>
      <c r="B72" s="59">
        <f>+'Distribution Rate Schedule'!B75*'Forecast Data For 2015 to 2019'!$F$21*12</f>
        <v>1515.9620438125094</v>
      </c>
      <c r="C72" s="59">
        <f>+'Distribution Rate Schedule'!D75*'Forecast Data For 2015 to 2019'!$F$22</f>
        <v>769.42320315027723</v>
      </c>
      <c r="D72" s="94"/>
      <c r="E72" s="59">
        <f t="shared" si="3"/>
        <v>2285.3852469627864</v>
      </c>
      <c r="F72" s="59">
        <f>+'Rates By Rate Class'!I105-'Rates By Rate Class'!H105</f>
        <v>2285.3900973216196</v>
      </c>
    </row>
    <row r="73" spans="1:6">
      <c r="A73" s="81" t="str">
        <f>'Distribution Rate Schedule'!A16</f>
        <v>Unmetered Scattered Load</v>
      </c>
      <c r="B73" s="59">
        <f>+'Distribution Rate Schedule'!B76*'Forecast Data For 2015 to 2019'!$F$24*12</f>
        <v>14584.313801657052</v>
      </c>
      <c r="C73" s="59">
        <f>+'Distribution Rate Schedule'!E76*'Forecast Data For 2015 to 2019'!$F$26</f>
        <v>48072.9180475709</v>
      </c>
      <c r="D73" s="94"/>
      <c r="E73" s="59">
        <f t="shared" si="3"/>
        <v>62657.231849227952</v>
      </c>
      <c r="F73" s="59">
        <f>+'Rates By Rate Class'!I106-'Rates By Rate Class'!H106</f>
        <v>62548.295949943567</v>
      </c>
    </row>
    <row r="74" spans="1:6">
      <c r="A74" s="81">
        <f>'Distribution Rate Schedule'!A17</f>
        <v>0</v>
      </c>
      <c r="B74" s="59">
        <f>+'Distribution Rate Schedule'!B77*'Forecast Data For 2015 to 2019'!C$27*12</f>
        <v>0</v>
      </c>
      <c r="C74" s="59">
        <f>+'Distribution Rate Schedule'!E77*'Forecast Data For 2015 to 2019'!$F$28</f>
        <v>0</v>
      </c>
      <c r="D74" s="94"/>
      <c r="E74" s="59">
        <f t="shared" si="3"/>
        <v>0</v>
      </c>
      <c r="F74" s="59">
        <f>+'Rates By Rate Class'!I107-'Rates By Rate Class'!H107</f>
        <v>0</v>
      </c>
    </row>
    <row r="75" spans="1:6" ht="13.5" thickBot="1">
      <c r="A75" s="177" t="s">
        <v>30</v>
      </c>
      <c r="B75" s="73">
        <f>SUM(B66:B74)</f>
        <v>12994545.139082631</v>
      </c>
      <c r="C75" s="73">
        <f>SUM(C66:C74)</f>
        <v>10966760.931964295</v>
      </c>
      <c r="D75" s="95">
        <f>SUM(D66:D74)</f>
        <v>-213546.76631148125</v>
      </c>
      <c r="E75" s="73">
        <f>SUM(E66:E74)</f>
        <v>23747759.304735444</v>
      </c>
      <c r="F75" s="73">
        <f>SUM(F66:F74)</f>
        <v>23740530.441478152</v>
      </c>
    </row>
    <row r="76" spans="1:6" ht="13.15" thickTop="1">
      <c r="F76" s="8"/>
    </row>
    <row r="77" spans="1:6">
      <c r="E77" s="660" t="s">
        <v>79</v>
      </c>
      <c r="F77" s="660"/>
    </row>
    <row r="78" spans="1:6">
      <c r="E78" s="180"/>
      <c r="F78" s="175"/>
    </row>
    <row r="79" spans="1:6" ht="13.15" thickBot="1">
      <c r="E79" s="315">
        <f>+F75-E75</f>
        <v>-7228.8632572926581</v>
      </c>
      <c r="F79" s="368">
        <f>E79/F75</f>
        <v>-3.0449459733480872E-4</v>
      </c>
    </row>
    <row r="81" spans="1:13" ht="13.15">
      <c r="A81" s="608" t="str">
        <f>+'Revenue Input'!A1</f>
        <v>Oshawa PUC Networks Inc</v>
      </c>
      <c r="B81" s="608"/>
      <c r="C81" s="608"/>
      <c r="D81" s="608"/>
      <c r="E81" s="608"/>
      <c r="F81" s="608"/>
    </row>
    <row r="82" spans="1:13">
      <c r="A82" s="617"/>
      <c r="B82" s="617"/>
      <c r="C82" s="617"/>
      <c r="D82" s="617"/>
      <c r="E82" s="617"/>
      <c r="F82" s="617"/>
    </row>
    <row r="83" spans="1:13" ht="20.65">
      <c r="A83" s="652" t="s">
        <v>193</v>
      </c>
      <c r="B83" s="652"/>
      <c r="C83" s="652"/>
      <c r="D83" s="652"/>
      <c r="E83" s="652"/>
      <c r="F83" s="652"/>
    </row>
    <row r="84" spans="1:13">
      <c r="A84" s="647"/>
      <c r="B84" s="647"/>
      <c r="C84" s="647"/>
      <c r="D84" s="647"/>
      <c r="E84" s="647"/>
      <c r="F84" s="647"/>
      <c r="H84" s="281"/>
      <c r="I84" s="281"/>
      <c r="J84" s="281"/>
      <c r="K84" s="281"/>
      <c r="L84" s="281"/>
      <c r="M84" s="281"/>
    </row>
    <row r="85" spans="1:13" ht="39.4">
      <c r="A85" s="174" t="s">
        <v>0</v>
      </c>
      <c r="B85" s="178" t="s">
        <v>10</v>
      </c>
      <c r="C85" s="178" t="s">
        <v>11</v>
      </c>
      <c r="D85" s="178" t="s">
        <v>29</v>
      </c>
      <c r="E85" s="178" t="s">
        <v>27</v>
      </c>
      <c r="F85" s="174" t="s">
        <v>31</v>
      </c>
      <c r="H85" s="281"/>
      <c r="I85" s="281"/>
      <c r="J85" s="281"/>
      <c r="K85" s="281"/>
      <c r="L85" s="281"/>
      <c r="M85" s="281"/>
    </row>
    <row r="86" spans="1:13">
      <c r="A86" s="81" t="str">
        <f>'Distribution Rate Schedule'!A9</f>
        <v>Residential</v>
      </c>
      <c r="B86" s="59">
        <f>+'Distribution Rate Schedule'!C89*'Forecast Data For 2015 to 2019'!$G$5*12</f>
        <v>13785217.3076209</v>
      </c>
      <c r="C86" s="59">
        <f>+'Distribution Rate Schedule'!E89*'Forecast Data For 2015 to 2019'!$G$6</f>
        <v>1962048.1919282908</v>
      </c>
      <c r="D86" s="94"/>
      <c r="E86" s="59">
        <f t="shared" ref="E86:E94" si="4">+B86+C86+D86</f>
        <v>15747265.499549191</v>
      </c>
      <c r="F86" s="59">
        <f>+'Rates By Rate Class'!I130-'Rates By Rate Class'!H130</f>
        <v>15758144.608921647</v>
      </c>
      <c r="H86" s="281"/>
      <c r="I86" s="281"/>
      <c r="J86" s="281"/>
      <c r="K86" s="281"/>
      <c r="L86" s="281"/>
      <c r="M86" s="281"/>
    </row>
    <row r="87" spans="1:13">
      <c r="A87" s="81" t="str">
        <f>'Distribution Rate Schedule'!A10</f>
        <v>GS Less Than 50 KW</v>
      </c>
      <c r="B87" s="59">
        <f>+'Distribution Rate Schedule'!C90*'Forecast Data For 2015 to 2019'!$G$7*12</f>
        <v>849280.93586380943</v>
      </c>
      <c r="C87" s="59">
        <f>+'Distribution Rate Schedule'!E90*'Forecast Data For 2015 to 2019'!$G$8</f>
        <v>2296471.0190259311</v>
      </c>
      <c r="D87" s="94"/>
      <c r="E87" s="59">
        <f t="shared" si="4"/>
        <v>3145751.9548897408</v>
      </c>
      <c r="F87" s="59">
        <f>+'Rates By Rate Class'!I131-'Rates By Rate Class'!H131</f>
        <v>3145670.9813947827</v>
      </c>
      <c r="H87" s="281"/>
      <c r="I87" s="281"/>
      <c r="J87" s="281"/>
      <c r="K87" s="281"/>
      <c r="L87" s="281"/>
      <c r="M87" s="281"/>
    </row>
    <row r="88" spans="1:13">
      <c r="A88" s="81" t="str">
        <f>'Distribution Rate Schedule'!A11</f>
        <v>GS 50 To 999 KW</v>
      </c>
      <c r="B88" s="59">
        <f>+'Distribution Rate Schedule'!C91*'Forecast Data For 2015 to 2019'!$G$9*12</f>
        <v>369613.94399999996</v>
      </c>
      <c r="C88" s="59">
        <f>+'Distribution Rate Schedule'!D91*'Forecast Data For 2015 to 2019'!$G$10</f>
        <v>4111788.1558410903</v>
      </c>
      <c r="D88" s="94">
        <f>'Transformer Allowance'!C66</f>
        <v>-65163.825636568123</v>
      </c>
      <c r="E88" s="59">
        <f t="shared" si="4"/>
        <v>4416238.2742045214</v>
      </c>
      <c r="F88" s="59">
        <f>+'Rates By Rate Class'!I132-'Rates By Rate Class'!H132</f>
        <v>4416293.7212957591</v>
      </c>
      <c r="H88" s="281"/>
      <c r="I88" s="281"/>
      <c r="J88" s="281"/>
      <c r="K88" s="281"/>
      <c r="L88" s="281"/>
      <c r="M88" s="281"/>
    </row>
    <row r="89" spans="1:13">
      <c r="A89" s="81" t="str">
        <f>'Distribution Rate Schedule'!A12</f>
        <v>GS Intermediate 1,000 To 4,999 KW</v>
      </c>
      <c r="B89" s="59">
        <f>+'Distribution Rate Schedule'!C92*'Forecast Data For 2015 to 2019'!$G$12*12</f>
        <v>206051.08799999999</v>
      </c>
      <c r="C89" s="59">
        <f>+'Distribution Rate Schedule'!D92*'Forecast Data For 2015 to 2019'!$G$13</f>
        <v>434791.7736806373</v>
      </c>
      <c r="D89" s="94">
        <f>'Transformer Allowance'!C67</f>
        <v>-94931.611222137988</v>
      </c>
      <c r="E89" s="59">
        <f t="shared" si="4"/>
        <v>545911.25045849942</v>
      </c>
      <c r="F89" s="59">
        <f>+'Rates By Rate Class'!I133-'Rates By Rate Class'!H133</f>
        <v>545909.27967460547</v>
      </c>
      <c r="H89" s="281"/>
      <c r="I89" s="281"/>
      <c r="J89" s="281"/>
      <c r="K89" s="281"/>
      <c r="L89" s="281"/>
      <c r="M89" s="281"/>
    </row>
    <row r="90" spans="1:13">
      <c r="A90" s="81" t="str">
        <f>'Distribution Rate Schedule'!A13</f>
        <v>Large Use</v>
      </c>
      <c r="B90" s="59">
        <f>+'Distribution Rate Schedule'!C93*'Forecast Data For 2015 to 2019'!$G$15*12</f>
        <v>110415.24</v>
      </c>
      <c r="C90" s="59">
        <f>+'Distribution Rate Schedule'!D93*'Forecast Data For 2015 to 2019'!$G$16</f>
        <v>195881.16944485801</v>
      </c>
      <c r="D90" s="94">
        <f>'Transformer Allowance'!C68</f>
        <v>-53022.395027172832</v>
      </c>
      <c r="E90" s="59">
        <f t="shared" si="4"/>
        <v>253274.01441768519</v>
      </c>
      <c r="F90" s="59">
        <f>+'Rates By Rate Class'!I134-'Rates By Rate Class'!H134</f>
        <v>253274.01019640037</v>
      </c>
      <c r="H90" s="281"/>
      <c r="I90" s="281"/>
      <c r="J90" s="281"/>
      <c r="K90" s="281"/>
      <c r="L90" s="281"/>
      <c r="M90" s="281"/>
    </row>
    <row r="91" spans="1:13">
      <c r="A91" s="81" t="str">
        <f>'Distribution Rate Schedule'!A14</f>
        <v>Street Lighting</v>
      </c>
      <c r="B91" s="59">
        <f>+'Distribution Rate Schedule'!B94*'Forecast Data For 2015 to 2019'!$G$18*12</f>
        <v>341479.2075363418</v>
      </c>
      <c r="C91" s="59">
        <f>+'Distribution Rate Schedule'!D94*'Forecast Data For 2015 to 2019'!$G$19</f>
        <v>444978.36797155411</v>
      </c>
      <c r="D91" s="94">
        <f>'Transformer Allowance'!C69</f>
        <v>0</v>
      </c>
      <c r="E91" s="59">
        <f t="shared" si="4"/>
        <v>786457.5755078959</v>
      </c>
      <c r="F91" s="59">
        <f>+'Rates By Rate Class'!I135-'Rates By Rate Class'!H135</f>
        <v>786456.88824475557</v>
      </c>
      <c r="H91" s="281"/>
      <c r="I91" s="281"/>
      <c r="J91" s="281"/>
      <c r="K91" s="281"/>
      <c r="L91" s="281"/>
      <c r="M91" s="281"/>
    </row>
    <row r="92" spans="1:13">
      <c r="A92" s="81" t="str">
        <f>'Distribution Rate Schedule'!A15</f>
        <v>Sentinel Lighting</v>
      </c>
      <c r="B92" s="59">
        <f>+'Distribution Rate Schedule'!B95*'Forecast Data For 2015 to 2019'!$G$21*12</f>
        <v>1535.7026937139474</v>
      </c>
      <c r="C92" s="59">
        <f>+'Distribution Rate Schedule'!D95*'Forecast Data For 2015 to 2019'!$G$22</f>
        <v>770.04497571384911</v>
      </c>
      <c r="D92" s="94"/>
      <c r="E92" s="59">
        <f t="shared" si="4"/>
        <v>2305.7476694277966</v>
      </c>
      <c r="F92" s="59">
        <f>+'Rates By Rate Class'!I136-'Rates By Rate Class'!H136</f>
        <v>2305.7528817135694</v>
      </c>
      <c r="H92" s="281"/>
      <c r="I92" s="281"/>
      <c r="J92" s="281"/>
      <c r="K92" s="281"/>
      <c r="L92" s="281"/>
      <c r="M92" s="281"/>
    </row>
    <row r="93" spans="1:13">
      <c r="A93" s="81" t="str">
        <f>'Distribution Rate Schedule'!A16</f>
        <v>Unmetered Scattered Load</v>
      </c>
      <c r="B93" s="59">
        <f>+'Distribution Rate Schedule'!B96*'Forecast Data For 2015 to 2019'!$G$24*12</f>
        <v>15109.784049358695</v>
      </c>
      <c r="C93" s="59">
        <f>+'Distribution Rate Schedule'!E96*'Forecast Data For 2015 to 2019'!$G$26</f>
        <v>51090.074833549246</v>
      </c>
      <c r="D93" s="94"/>
      <c r="E93" s="59">
        <f t="shared" si="4"/>
        <v>66199.858882907938</v>
      </c>
      <c r="F93" s="59">
        <f>+'Rates By Rate Class'!I137-'Rates By Rate Class'!H137</f>
        <v>66076.169870689424</v>
      </c>
      <c r="H93" s="281"/>
      <c r="I93" s="281"/>
      <c r="J93" s="281"/>
      <c r="K93" s="281"/>
      <c r="L93" s="281"/>
      <c r="M93" s="281"/>
    </row>
    <row r="94" spans="1:13">
      <c r="A94" s="81">
        <f>'Distribution Rate Schedule'!A17</f>
        <v>0</v>
      </c>
      <c r="B94" s="59">
        <f>+'Distribution Rate Schedule'!B97*'Forecast Data For 2015 to 2019'!C$27*12</f>
        <v>0</v>
      </c>
      <c r="C94" s="59">
        <f>+'Distribution Rate Schedule'!E97*'Forecast Data For 2015 to 2019'!$G$28</f>
        <v>0</v>
      </c>
      <c r="D94" s="94"/>
      <c r="E94" s="59">
        <f t="shared" si="4"/>
        <v>0</v>
      </c>
      <c r="F94" s="59">
        <f>+'Rates By Rate Class'!I138-'Rates By Rate Class'!H138</f>
        <v>0</v>
      </c>
      <c r="H94" s="281"/>
      <c r="I94" s="281"/>
      <c r="J94" s="281"/>
      <c r="K94" s="281"/>
      <c r="L94" s="281"/>
      <c r="M94" s="281"/>
    </row>
    <row r="95" spans="1:13" ht="13.5" thickBot="1">
      <c r="A95" s="177" t="s">
        <v>30</v>
      </c>
      <c r="B95" s="73">
        <f>SUM(B86:B94)</f>
        <v>15678703.209764123</v>
      </c>
      <c r="C95" s="73">
        <f>SUM(C86:C94)</f>
        <v>9497818.7977016252</v>
      </c>
      <c r="D95" s="95">
        <f>SUM(D86:D94)</f>
        <v>-213117.83188587896</v>
      </c>
      <c r="E95" s="73">
        <f>SUM(E86:E94)</f>
        <v>24963404.175579872</v>
      </c>
      <c r="F95" s="73">
        <f>SUM(F86:F94)</f>
        <v>24974131.412480351</v>
      </c>
      <c r="H95" s="281"/>
      <c r="I95" s="281"/>
      <c r="J95" s="281"/>
      <c r="K95" s="281"/>
    </row>
    <row r="96" spans="1:13" ht="13.15" thickTop="1">
      <c r="F96" s="8"/>
      <c r="H96" s="281"/>
      <c r="I96" s="281"/>
      <c r="J96" s="281"/>
      <c r="K96" s="281"/>
    </row>
    <row r="97" spans="5:11">
      <c r="E97" s="660" t="s">
        <v>79</v>
      </c>
      <c r="F97" s="660"/>
      <c r="H97" s="281"/>
      <c r="I97" s="281"/>
      <c r="J97" s="281"/>
      <c r="K97" s="281"/>
    </row>
    <row r="98" spans="5:11">
      <c r="E98" s="180"/>
      <c r="F98" s="175"/>
      <c r="H98" s="281"/>
      <c r="I98" s="281"/>
      <c r="J98" s="281"/>
      <c r="K98" s="281"/>
    </row>
    <row r="99" spans="5:11" ht="13.15" thickBot="1">
      <c r="E99" s="315">
        <f>+F95-E95</f>
        <v>10727.236900478601</v>
      </c>
      <c r="F99" s="368">
        <f>E99/F95</f>
        <v>4.2953393346516417E-4</v>
      </c>
    </row>
  </sheetData>
  <mergeCells count="25">
    <mergeCell ref="E97:F97"/>
    <mergeCell ref="E77:F77"/>
    <mergeCell ref="A81:F81"/>
    <mergeCell ref="A82:F82"/>
    <mergeCell ref="A83:F83"/>
    <mergeCell ref="A84:F84"/>
    <mergeCell ref="A61:F61"/>
    <mergeCell ref="A62:F62"/>
    <mergeCell ref="A63:F63"/>
    <mergeCell ref="A64:F64"/>
    <mergeCell ref="A41:F41"/>
    <mergeCell ref="A42:F42"/>
    <mergeCell ref="A43:F43"/>
    <mergeCell ref="A44:F44"/>
    <mergeCell ref="E57:F57"/>
    <mergeCell ref="A21:F21"/>
    <mergeCell ref="A22:F22"/>
    <mergeCell ref="A23:F23"/>
    <mergeCell ref="A24:F24"/>
    <mergeCell ref="E37:F37"/>
    <mergeCell ref="A4:F4"/>
    <mergeCell ref="E17:F17"/>
    <mergeCell ref="A3:F3"/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orientation="landscape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workbookViewId="0">
      <selection activeCell="I33" sqref="I33"/>
    </sheetView>
  </sheetViews>
  <sheetFormatPr defaultRowHeight="12.75"/>
  <cols>
    <col min="1" max="1" width="41.796875" bestFit="1" customWidth="1"/>
    <col min="2" max="2" width="16" bestFit="1" customWidth="1"/>
    <col min="3" max="4" width="12.73046875" customWidth="1"/>
    <col min="5" max="5" width="13.19921875" customWidth="1"/>
    <col min="6" max="6" width="12.265625" customWidth="1"/>
    <col min="7" max="7" width="17" bestFit="1" customWidth="1"/>
    <col min="8" max="8" width="15.46484375" bestFit="1" customWidth="1"/>
    <col min="9" max="9" width="17" bestFit="1" customWidth="1"/>
    <col min="12" max="12" width="13.53125" customWidth="1"/>
  </cols>
  <sheetData>
    <row r="1" spans="1:10" ht="13.15">
      <c r="A1" s="608" t="str">
        <f>+'Revenue Input'!A1</f>
        <v>Oshawa PUC Networks Inc</v>
      </c>
      <c r="B1" s="608"/>
      <c r="C1" s="608"/>
      <c r="D1" s="608"/>
      <c r="E1" s="608"/>
      <c r="F1" s="608"/>
      <c r="G1" s="608"/>
      <c r="H1" s="608"/>
      <c r="I1" s="608"/>
    </row>
    <row r="2" spans="1:10" ht="7.5" customHeight="1">
      <c r="A2" s="617"/>
      <c r="B2" s="617"/>
      <c r="C2" s="617"/>
      <c r="D2" s="617"/>
      <c r="E2" s="617"/>
      <c r="F2" s="617"/>
      <c r="G2" s="617"/>
      <c r="H2" s="617"/>
      <c r="I2" s="617"/>
    </row>
    <row r="3" spans="1:10" ht="15">
      <c r="A3" s="661" t="s">
        <v>128</v>
      </c>
      <c r="B3" s="662"/>
      <c r="C3" s="662"/>
      <c r="D3" s="662"/>
      <c r="E3" s="662"/>
      <c r="F3" s="662"/>
      <c r="G3" s="662"/>
      <c r="H3" s="662"/>
      <c r="I3" s="662"/>
    </row>
    <row r="4" spans="1:10" ht="8.25" customHeight="1">
      <c r="A4" s="662"/>
      <c r="B4" s="662"/>
      <c r="C4" s="662"/>
      <c r="D4" s="662"/>
      <c r="E4" s="662"/>
      <c r="F4" s="662"/>
      <c r="G4" s="662"/>
      <c r="H4" s="662"/>
      <c r="I4" s="662"/>
    </row>
    <row r="5" spans="1:10" ht="39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0" ht="20.2" customHeight="1">
      <c r="A6" s="82" t="str">
        <f>'Dist. Revenue Reconciliation'!A6</f>
        <v>Residential</v>
      </c>
      <c r="B6" s="74">
        <f>+'Forecast Data For 2015 to 2019'!$C$6</f>
        <v>488310441.84458584</v>
      </c>
      <c r="C6" s="74"/>
      <c r="D6" s="74"/>
      <c r="E6" s="74">
        <f>+'Forecast Data For 2015 to 2019'!$C$5*12</f>
        <v>611727.92890598229</v>
      </c>
      <c r="F6" s="74"/>
      <c r="G6" s="85">
        <f>+E6*'2014 Existing Rates'!$C$6</f>
        <v>5181335.5578336706</v>
      </c>
      <c r="H6" s="85">
        <f>+B6*('2014 Existing Rates'!$E$6)</f>
        <v>5859725.3021350298</v>
      </c>
      <c r="I6" s="85">
        <f>+G6+H6</f>
        <v>11041060.8599687</v>
      </c>
      <c r="J6" s="30"/>
    </row>
    <row r="7" spans="1:10" ht="20.2" customHeight="1">
      <c r="A7" s="82" t="str">
        <f>'Dist. Revenue Reconciliation'!A7</f>
        <v>GS Less Than 50 KW</v>
      </c>
      <c r="B7" s="74">
        <f>+'Forecast Data For 2015 to 2019'!$C$8</f>
        <v>134064266.11914393</v>
      </c>
      <c r="C7" s="74"/>
      <c r="D7" s="74"/>
      <c r="E7" s="74">
        <f>+'Forecast Data For 2015 to 2019'!$C$7*12</f>
        <v>48029.619595071897</v>
      </c>
      <c r="F7" s="74"/>
      <c r="G7" s="85">
        <f>+E7*'2014 Existing Rates'!$C$7</f>
        <v>402488.21220670256</v>
      </c>
      <c r="H7" s="85">
        <f>+B7*('2014 Existing Rates'!$E$7)</f>
        <v>2279092.5240254472</v>
      </c>
      <c r="I7" s="85">
        <f t="shared" ref="I7:I13" si="0">+G7+H7</f>
        <v>2681580.7362321499</v>
      </c>
      <c r="J7" s="30"/>
    </row>
    <row r="8" spans="1:10" ht="20.2" customHeight="1">
      <c r="A8" s="82" t="str">
        <f>'Dist. Revenue Reconciliation'!A8</f>
        <v>GS 50 To 999 KW</v>
      </c>
      <c r="B8" s="74">
        <f>+'Forecast Data For 2015 to 2019'!$C$11</f>
        <v>337307808.8671304</v>
      </c>
      <c r="C8" s="74">
        <f>+'Forecast Data For 2015 to 2019'!$C$10</f>
        <v>851954.05092458322</v>
      </c>
      <c r="D8" s="74">
        <f>'Transformer Allowance'!B22</f>
        <v>110795.85841689903</v>
      </c>
      <c r="E8" s="74">
        <f>+'Forecast Data For 2015 to 2019'!$C$9*12</f>
        <v>6084</v>
      </c>
      <c r="F8" s="74"/>
      <c r="G8" s="85">
        <f>+E8*'2014 Existing Rates'!$C$8</f>
        <v>262402.92000000004</v>
      </c>
      <c r="H8" s="85">
        <f>+C8*('2014 Existing Rates'!$D$8)</f>
        <v>3160493.9427149268</v>
      </c>
      <c r="I8" s="85">
        <f t="shared" si="0"/>
        <v>3422896.8627149267</v>
      </c>
      <c r="J8" s="30"/>
    </row>
    <row r="9" spans="1:10" ht="20.2" customHeight="1">
      <c r="A9" s="82" t="str">
        <f>'Dist. Revenue Reconciliation'!A9</f>
        <v>GS Intermediate 1,000 To 4,999 KW</v>
      </c>
      <c r="B9" s="74">
        <f>+'Forecast Data For 2015 to 2019'!$C$14</f>
        <v>88420452.222880453</v>
      </c>
      <c r="C9" s="74">
        <f>+'Forecast Data For 2015 to 2019'!$C$13</f>
        <v>195333.21024632914</v>
      </c>
      <c r="D9" s="74">
        <f>'Transformer Allowance'!B23</f>
        <v>182799.36194517399</v>
      </c>
      <c r="E9" s="74">
        <f>+'Forecast Data For 2015 to 2019'!$C$12*12</f>
        <v>144</v>
      </c>
      <c r="F9" s="74"/>
      <c r="G9" s="85">
        <f>+E9*'2014 Existing Rates'!$C$9</f>
        <v>175906.08</v>
      </c>
      <c r="H9" s="85">
        <f>+C9*('2014 Existing Rates'!$D$9)</f>
        <v>506362.28092155897</v>
      </c>
      <c r="I9" s="85">
        <f>+G9+H9</f>
        <v>682268.36092155892</v>
      </c>
      <c r="J9" s="30"/>
    </row>
    <row r="10" spans="1:10" ht="20.2" customHeight="1">
      <c r="A10" s="82" t="str">
        <f>'Dist. Revenue Reconciliation'!A10</f>
        <v>Large Use</v>
      </c>
      <c r="B10" s="74">
        <f>'Forecast Data For 2015 to 2019'!$C$17</f>
        <v>42639586.096446052</v>
      </c>
      <c r="C10" s="74">
        <f>+'Forecast Data For 2015 to 2019'!$C$16</f>
        <v>96450.280123117438</v>
      </c>
      <c r="D10" s="74">
        <f>'Transformer Allowance'!B24</f>
        <v>96450.886709032784</v>
      </c>
      <c r="E10" s="74">
        <f>+'Forecast Data For 2015 to 2019'!$C$15*12</f>
        <v>12</v>
      </c>
      <c r="F10" s="74"/>
      <c r="G10" s="85">
        <f>+E10*'2014 Existing Rates'!$C$10</f>
        <v>99247.56</v>
      </c>
      <c r="H10" s="85">
        <f>+C10*('2014 Existing Rates'!$D$10)</f>
        <v>198022.07012077243</v>
      </c>
      <c r="I10" s="85">
        <f t="shared" si="0"/>
        <v>297269.6301207724</v>
      </c>
      <c r="J10" s="30"/>
    </row>
    <row r="11" spans="1:10" ht="20.2" customHeight="1">
      <c r="A11" s="82" t="str">
        <f>'Dist. Revenue Reconciliation'!A11</f>
        <v>Street Lighting</v>
      </c>
      <c r="B11" s="74">
        <f>'Forecast Data For 2015 to 2019'!$C$20</f>
        <v>8578851.707184026</v>
      </c>
      <c r="C11" s="74">
        <f>'Forecast Data For 2015 to 2019'!$C$19</f>
        <v>23911.673714127413</v>
      </c>
      <c r="D11" s="74"/>
      <c r="E11" s="74"/>
      <c r="F11" s="74">
        <f>+'Forecast Data For 2015 to 2019'!$C$18*12</f>
        <v>152518.16357196443</v>
      </c>
      <c r="G11" s="85">
        <f>+F11*'2014 Existing Rates'!$B$11</f>
        <v>178446.25137919837</v>
      </c>
      <c r="H11" s="85">
        <f>+C11*('2014 Existing Rates'!$D$11)</f>
        <v>432901.72325530549</v>
      </c>
      <c r="I11" s="85">
        <f t="shared" si="0"/>
        <v>611347.97463450383</v>
      </c>
      <c r="J11" s="30"/>
    </row>
    <row r="12" spans="1:10" ht="20.2" customHeight="1">
      <c r="A12" s="82" t="str">
        <f>'Dist. Revenue Reconciliation'!A12</f>
        <v>Sentinel Lighting</v>
      </c>
      <c r="B12" s="74">
        <f>+'Forecast Data For 2015 to 2019'!$C$23</f>
        <v>34297.182591568067</v>
      </c>
      <c r="C12" s="74">
        <f>+'Forecast Data For 2015 to 2019'!$C$22</f>
        <v>100.15889621450508</v>
      </c>
      <c r="D12" s="74"/>
      <c r="E12" s="74"/>
      <c r="F12" s="74">
        <f>+'Forecast Data For 2015 to 2019'!$C$21*12</f>
        <v>278.6534991980983</v>
      </c>
      <c r="G12" s="85">
        <f>+F12*'2014 Existing Rates'!$B$12</f>
        <v>1209.3561865197466</v>
      </c>
      <c r="H12" s="85">
        <f>+C12*('2014 Existing Rates'!$D$12)</f>
        <v>622.12696794677686</v>
      </c>
      <c r="I12" s="85">
        <f t="shared" si="0"/>
        <v>1831.4831544665235</v>
      </c>
      <c r="J12" s="30"/>
    </row>
    <row r="13" spans="1:10" ht="20.2" customHeight="1">
      <c r="A13" s="82" t="str">
        <f>'Dist. Revenue Reconciliation'!A13</f>
        <v>Unmetered Scattered Load</v>
      </c>
      <c r="B13" s="74">
        <f>+'Forecast Data For 2015 to 2019'!$C$26</f>
        <v>2686537.3140891874</v>
      </c>
      <c r="C13" s="74"/>
      <c r="D13" s="74"/>
      <c r="E13" s="74"/>
      <c r="F13" s="74">
        <f>+'Forecast Data For 2015 to 2019'!$C$24*12</f>
        <v>3549.8430548677898</v>
      </c>
      <c r="G13" s="85">
        <f>+F13*'2014 Existing Rates'!$B$13</f>
        <v>11856.475803258418</v>
      </c>
      <c r="H13" s="85">
        <f>+B13*('2014 Existing Rates'!$E$13)</f>
        <v>36536.907471612947</v>
      </c>
      <c r="I13" s="85">
        <f t="shared" si="0"/>
        <v>48393.383274871361</v>
      </c>
      <c r="J13" s="30"/>
    </row>
    <row r="14" spans="1:10" ht="20.2" customHeight="1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0" ht="24.75" customHeight="1" thickBot="1">
      <c r="A15" s="32" t="s">
        <v>37</v>
      </c>
      <c r="B15" s="75">
        <f t="shared" ref="B15:I15" si="1">SUM(B6:B14)</f>
        <v>1102042241.3540518</v>
      </c>
      <c r="C15" s="75">
        <f t="shared" si="1"/>
        <v>1167749.3739043716</v>
      </c>
      <c r="D15" s="75">
        <f t="shared" si="1"/>
        <v>390046.10707110586</v>
      </c>
      <c r="E15" s="75">
        <f t="shared" si="1"/>
        <v>665997.54850105417</v>
      </c>
      <c r="F15" s="75">
        <f t="shared" si="1"/>
        <v>156346.6601260303</v>
      </c>
      <c r="G15" s="76">
        <f t="shared" si="1"/>
        <v>6312892.4134093495</v>
      </c>
      <c r="H15" s="76">
        <f t="shared" si="1"/>
        <v>12473756.8776126</v>
      </c>
      <c r="I15" s="76">
        <f t="shared" si="1"/>
        <v>18786649.291021951</v>
      </c>
    </row>
    <row r="16" spans="1:10" ht="9.75" customHeight="1" thickTop="1">
      <c r="A16" s="617"/>
      <c r="B16" s="617"/>
      <c r="C16" s="617"/>
      <c r="D16" s="617"/>
      <c r="E16" s="617"/>
      <c r="F16" s="617"/>
      <c r="G16" s="617"/>
      <c r="H16" s="617"/>
      <c r="I16" s="617"/>
    </row>
    <row r="17" spans="1:15" ht="18" customHeight="1">
      <c r="A17" s="663" t="s">
        <v>60</v>
      </c>
      <c r="B17" s="617"/>
      <c r="C17" s="617"/>
      <c r="D17" s="617"/>
      <c r="E17" s="617"/>
      <c r="F17" s="617"/>
      <c r="G17" s="617"/>
      <c r="H17" s="617"/>
      <c r="I17" s="7"/>
    </row>
    <row r="18" spans="1:15" ht="18" customHeight="1">
      <c r="A18" s="664" t="str">
        <f>A8</f>
        <v>GS 50 To 999 KW</v>
      </c>
      <c r="B18" s="617"/>
      <c r="C18" s="617"/>
      <c r="D18" s="617"/>
      <c r="E18" s="617"/>
      <c r="F18" s="617"/>
      <c r="G18" s="617"/>
      <c r="H18" s="617"/>
      <c r="I18" s="185">
        <f>'Transformer Allowance'!C22</f>
        <v>-66477.515050139424</v>
      </c>
    </row>
    <row r="19" spans="1:15" ht="18" customHeight="1">
      <c r="A19" s="108" t="str">
        <f>+A9</f>
        <v>GS Intermediate 1,000 To 4,999 KW</v>
      </c>
      <c r="B19" s="7"/>
      <c r="C19" s="7"/>
      <c r="D19" s="7"/>
      <c r="E19" s="7"/>
      <c r="F19" s="7"/>
      <c r="G19" s="7"/>
      <c r="H19" s="7"/>
      <c r="I19" s="185">
        <f>'Transformer Allowance'!C23</f>
        <v>-109679.6171671044</v>
      </c>
    </row>
    <row r="20" spans="1:15" ht="18" customHeight="1">
      <c r="A20" s="664" t="str">
        <f>A10</f>
        <v>Large Use</v>
      </c>
      <c r="B20" s="617"/>
      <c r="C20" s="617"/>
      <c r="D20" s="617"/>
      <c r="E20" s="617"/>
      <c r="F20" s="617"/>
      <c r="G20" s="617"/>
      <c r="H20" s="617"/>
      <c r="I20" s="185">
        <f>'Transformer Allowance'!C24</f>
        <v>-57870.53202541967</v>
      </c>
    </row>
    <row r="21" spans="1:15" ht="18" customHeight="1">
      <c r="A21" s="664" t="str">
        <f>A11</f>
        <v>Street Lighting</v>
      </c>
      <c r="B21" s="617"/>
      <c r="C21" s="617"/>
      <c r="D21" s="617"/>
      <c r="E21" s="617"/>
      <c r="F21" s="617"/>
      <c r="G21" s="617"/>
      <c r="H21" s="617"/>
      <c r="I21" s="185">
        <f>'Transformer Allowance'!C25</f>
        <v>0</v>
      </c>
    </row>
    <row r="22" spans="1:15" ht="8.1999999999999993" customHeight="1">
      <c r="A22" s="617"/>
      <c r="B22" s="617"/>
      <c r="C22" s="617"/>
      <c r="D22" s="617"/>
      <c r="E22" s="617"/>
      <c r="F22" s="617"/>
      <c r="G22" s="617"/>
      <c r="H22" s="617"/>
      <c r="I22" s="87"/>
    </row>
    <row r="23" spans="1:15" ht="18" customHeight="1" thickBot="1">
      <c r="A23" s="619" t="s">
        <v>61</v>
      </c>
      <c r="B23" s="619"/>
      <c r="C23" s="619"/>
      <c r="D23" s="619"/>
      <c r="E23" s="619"/>
      <c r="F23" s="619"/>
      <c r="G23" s="619"/>
      <c r="H23" s="619"/>
      <c r="I23" s="88">
        <f>+I15+I18+I19+I20</f>
        <v>18552621.626779288</v>
      </c>
    </row>
    <row r="24" spans="1:15" ht="8.1999999999999993" customHeight="1" thickTop="1">
      <c r="A24" s="617"/>
      <c r="B24" s="617"/>
      <c r="C24" s="617"/>
      <c r="D24" s="617"/>
      <c r="E24" s="617"/>
      <c r="F24" s="617"/>
      <c r="G24" s="617"/>
      <c r="H24" s="617"/>
      <c r="I24" s="89"/>
    </row>
    <row r="25" spans="1:15" ht="18" customHeight="1">
      <c r="A25" s="647" t="s">
        <v>58</v>
      </c>
      <c r="B25" s="647"/>
      <c r="C25" s="647"/>
      <c r="D25" s="647"/>
      <c r="E25" s="647"/>
      <c r="F25" s="647"/>
      <c r="G25" s="647"/>
      <c r="H25" s="647"/>
      <c r="I25" s="90">
        <f>+'Revenue Input'!B6</f>
        <v>1319113.017160198</v>
      </c>
    </row>
    <row r="26" spans="1:15" ht="18" customHeight="1" thickBot="1">
      <c r="A26" s="619" t="s">
        <v>59</v>
      </c>
      <c r="B26" s="619"/>
      <c r="C26" s="619"/>
      <c r="D26" s="619"/>
      <c r="E26" s="619"/>
      <c r="F26" s="619"/>
      <c r="G26" s="619"/>
      <c r="H26" s="619"/>
      <c r="I26" s="91">
        <f>+I23+I25</f>
        <v>19871734.643939488</v>
      </c>
    </row>
    <row r="27" spans="1:15" ht="8.1999999999999993" customHeight="1">
      <c r="A27" s="617"/>
      <c r="B27" s="617"/>
      <c r="C27" s="617"/>
      <c r="D27" s="617"/>
      <c r="E27" s="617"/>
      <c r="F27" s="617"/>
      <c r="G27" s="617"/>
      <c r="H27" s="617"/>
      <c r="I27" s="89"/>
    </row>
    <row r="28" spans="1:15" ht="18" customHeight="1" thickBot="1">
      <c r="A28" s="619" t="s">
        <v>56</v>
      </c>
      <c r="B28" s="619"/>
      <c r="C28" s="619"/>
      <c r="D28" s="619"/>
      <c r="E28" s="619"/>
      <c r="F28" s="619"/>
      <c r="G28" s="619"/>
      <c r="H28" s="619"/>
      <c r="I28" s="91">
        <f>+'Revenue Input'!B5</f>
        <v>22294299.105568457</v>
      </c>
    </row>
    <row r="29" spans="1:15" ht="8.1999999999999993" customHeight="1" thickBot="1">
      <c r="A29" s="617"/>
      <c r="B29" s="617"/>
      <c r="C29" s="617"/>
      <c r="D29" s="617"/>
      <c r="E29" s="617"/>
      <c r="F29" s="617"/>
      <c r="G29" s="617"/>
      <c r="H29" s="617"/>
      <c r="I29" s="92"/>
    </row>
    <row r="30" spans="1:15" ht="18" customHeight="1" thickBot="1">
      <c r="A30" s="619" t="s">
        <v>57</v>
      </c>
      <c r="B30" s="619"/>
      <c r="C30" s="619"/>
      <c r="D30" s="619"/>
      <c r="E30" s="619"/>
      <c r="F30" s="619"/>
      <c r="G30" s="619"/>
      <c r="H30" s="619"/>
      <c r="I30" s="158">
        <f>+I28-I26</f>
        <v>2422564.4616289698</v>
      </c>
      <c r="L30" s="376">
        <v>2422564.4616289684</v>
      </c>
      <c r="M30" s="377" t="s">
        <v>252</v>
      </c>
      <c r="N30" s="188"/>
      <c r="O30" s="189"/>
    </row>
    <row r="31" spans="1:15" ht="13.5" thickTop="1" thickBot="1">
      <c r="L31" s="378">
        <f>L30-I30</f>
        <v>0</v>
      </c>
      <c r="M31" s="379" t="s">
        <v>253</v>
      </c>
      <c r="N31" s="380"/>
      <c r="O31" s="381"/>
    </row>
    <row r="32" spans="1:15">
      <c r="G32" s="14"/>
      <c r="H32" s="14"/>
      <c r="I32" s="14"/>
      <c r="J32" s="14"/>
      <c r="K32" s="14"/>
    </row>
    <row r="33" spans="7:11">
      <c r="G33" s="14"/>
      <c r="H33" s="14"/>
      <c r="I33" s="529">
        <f>I30/3*2</f>
        <v>1615042.9744193133</v>
      </c>
      <c r="J33" s="14"/>
      <c r="K33" s="14"/>
    </row>
    <row r="34" spans="7:11">
      <c r="I34" s="283"/>
    </row>
    <row r="35" spans="7:11">
      <c r="I35" s="283"/>
    </row>
    <row r="36" spans="7:11">
      <c r="I36" s="306">
        <f>-(I30-I33)*0.265</f>
        <v>-213993.19411055898</v>
      </c>
    </row>
  </sheetData>
  <mergeCells count="18">
    <mergeCell ref="A24:H24"/>
    <mergeCell ref="A25:H25"/>
    <mergeCell ref="A30:H30"/>
    <mergeCell ref="A26:H26"/>
    <mergeCell ref="A27:H27"/>
    <mergeCell ref="A28:H28"/>
    <mergeCell ref="A29:H29"/>
    <mergeCell ref="A1:I1"/>
    <mergeCell ref="A2:I2"/>
    <mergeCell ref="A22:H22"/>
    <mergeCell ref="A23:H23"/>
    <mergeCell ref="A3:I3"/>
    <mergeCell ref="A4:I4"/>
    <mergeCell ref="A16:I16"/>
    <mergeCell ref="A17:H17"/>
    <mergeCell ref="A18:H18"/>
    <mergeCell ref="A20:H20"/>
    <mergeCell ref="A21:H21"/>
  </mergeCells>
  <phoneticPr fontId="0" type="noConversion"/>
  <pageMargins left="0.75" right="0.75" top="1" bottom="1" header="0.5" footer="0.5"/>
  <pageSetup scale="78" orientation="landscape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selection activeCell="A37" sqref="A37:M37"/>
    </sheetView>
  </sheetViews>
  <sheetFormatPr defaultRowHeight="12.7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0" max="10" width="13.46484375" customWidth="1"/>
    <col min="11" max="11" width="12" customWidth="1"/>
    <col min="12" max="12" width="13.53125" customWidth="1"/>
    <col min="13" max="13" width="30.46484375" customWidth="1"/>
  </cols>
  <sheetData>
    <row r="1" spans="1:14" ht="13.15">
      <c r="A1" s="608" t="str">
        <f>+'Revenue Input'!A1</f>
        <v>Oshawa PUC Networks Inc</v>
      </c>
      <c r="B1" s="608"/>
      <c r="C1" s="608"/>
      <c r="D1" s="608"/>
      <c r="E1" s="608"/>
      <c r="F1" s="608"/>
      <c r="G1" s="608"/>
      <c r="H1" s="608"/>
      <c r="I1" s="608"/>
    </row>
    <row r="2" spans="1:14" ht="7.5" customHeight="1">
      <c r="A2" s="617"/>
      <c r="B2" s="617"/>
      <c r="C2" s="617"/>
      <c r="D2" s="617"/>
      <c r="E2" s="617"/>
      <c r="F2" s="617"/>
      <c r="G2" s="617"/>
      <c r="H2" s="617"/>
      <c r="I2" s="617"/>
    </row>
    <row r="3" spans="1:14" ht="15">
      <c r="A3" s="661" t="s">
        <v>255</v>
      </c>
      <c r="B3" s="662"/>
      <c r="C3" s="662"/>
      <c r="D3" s="662"/>
      <c r="E3" s="662"/>
      <c r="F3" s="662"/>
      <c r="G3" s="662"/>
      <c r="H3" s="662"/>
      <c r="I3" s="662"/>
    </row>
    <row r="4" spans="1:14" ht="8.25" customHeight="1">
      <c r="A4" s="662"/>
      <c r="B4" s="662"/>
      <c r="C4" s="662"/>
      <c r="D4" s="662"/>
      <c r="E4" s="662"/>
      <c r="F4" s="662"/>
      <c r="G4" s="662"/>
      <c r="H4" s="662"/>
      <c r="I4" s="662"/>
    </row>
    <row r="5" spans="1:14" ht="39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4" ht="20.2" customHeight="1">
      <c r="A6" s="82" t="str">
        <f>'Dist. Revenue Reconciliation'!A6</f>
        <v>Residential</v>
      </c>
      <c r="B6" s="74">
        <f>+'Forecast Data For 2015 to 2019'!$D$6</f>
        <v>491380160.90018409</v>
      </c>
      <c r="C6" s="74"/>
      <c r="D6" s="74"/>
      <c r="E6" s="74">
        <f>+'Forecast Data For 2015 to 2019'!$D$5*12</f>
        <v>620903.98383510322</v>
      </c>
      <c r="F6" s="74"/>
      <c r="G6" s="85">
        <f>+E6*ROUND('Rates By Rate Class'!D6,2)</f>
        <v>6519491.8302685842</v>
      </c>
      <c r="H6" s="85">
        <f>+B6*ROUND('Rates By Rate Class'!E6,4)</f>
        <v>6486218.1238824297</v>
      </c>
      <c r="I6" s="85">
        <f>+G6+H6</f>
        <v>13005709.954151014</v>
      </c>
      <c r="J6" s="30"/>
    </row>
    <row r="7" spans="1:14" ht="20.2" customHeight="1">
      <c r="A7" s="82" t="str">
        <f>'Dist. Revenue Reconciliation'!A7</f>
        <v>GS Less Than 50 KW</v>
      </c>
      <c r="B7" s="74">
        <f>+'Forecast Data For 2015 to 2019'!$D$8</f>
        <v>134854491.64774501</v>
      </c>
      <c r="C7" s="74"/>
      <c r="D7" s="74"/>
      <c r="E7" s="74">
        <f>+'Forecast Data For 2015 to 2019'!$D$7*12</f>
        <v>48749.916783538749</v>
      </c>
      <c r="F7" s="74"/>
      <c r="G7" s="85">
        <f>+E7*ROUND('Rates By Rate Class'!D7,2)</f>
        <v>741486.2342776244</v>
      </c>
      <c r="H7" s="85">
        <f>+B7*ROUND('Rates By Rate Class'!E7,4)</f>
        <v>1982361.0272218515</v>
      </c>
      <c r="I7" s="85">
        <f t="shared" ref="I7:I13" si="0">+G7+H7</f>
        <v>2723847.2614994757</v>
      </c>
      <c r="J7" s="30"/>
    </row>
    <row r="8" spans="1:14" ht="20.2" customHeight="1">
      <c r="A8" s="82" t="str">
        <f>'Dist. Revenue Reconciliation'!A8</f>
        <v>GS 50 To 999 KW</v>
      </c>
      <c r="B8" s="74">
        <f>+'Forecast Data For 2015 to 2019'!$D$11</f>
        <v>340651147.74867117</v>
      </c>
      <c r="C8" s="74">
        <f>+'Forecast Data For 2015 to 2019'!$D$10</f>
        <v>860398.47773257422</v>
      </c>
      <c r="D8" s="74">
        <f>'Transformer Allowance'!B33</f>
        <v>111894.04853174697</v>
      </c>
      <c r="E8" s="74">
        <f>+'Forecast Data For 2015 to 2019'!$D$9*12</f>
        <v>6175.2000000000007</v>
      </c>
      <c r="F8" s="74"/>
      <c r="G8" s="85">
        <f>+E8*ROUND('Rates By Rate Class'!D8,2)</f>
        <v>301102.75200000004</v>
      </c>
      <c r="H8" s="85">
        <f>+C8*ROUND('Rates By Rate Class'!E8,4)</f>
        <v>3599821.1909853178</v>
      </c>
      <c r="I8" s="85">
        <f t="shared" si="0"/>
        <v>3900923.9429853177</v>
      </c>
      <c r="J8" s="30"/>
    </row>
    <row r="9" spans="1:14" ht="20.2" customHeight="1">
      <c r="A9" s="82" t="str">
        <f>'Dist. Revenue Reconciliation'!A9</f>
        <v>GS Intermediate 1,000 To 4,999 KW</v>
      </c>
      <c r="B9" s="74">
        <f>+'Forecast Data For 2015 to 2019'!$D$14</f>
        <v>88120101.619900286</v>
      </c>
      <c r="C9" s="74">
        <f>+'Forecast Data For 2015 to 2019'!$D$13</f>
        <v>194669.69353718983</v>
      </c>
      <c r="D9" s="74">
        <f>'Transformer Allowance'!B34</f>
        <v>182178.42078049609</v>
      </c>
      <c r="E9" s="74">
        <f>+'Forecast Data For 2015 to 2019'!$D$12*12</f>
        <v>144</v>
      </c>
      <c r="F9" s="74"/>
      <c r="G9" s="85">
        <f>+E9*ROUND('Rates By Rate Class'!D9,2)</f>
        <v>147546.72000000003</v>
      </c>
      <c r="H9" s="85">
        <f>+C9*ROUND('Rates By Rate Class'!E9,4)</f>
        <v>440907.38889238122</v>
      </c>
      <c r="I9" s="85">
        <f>+G9+H9</f>
        <v>588454.10889238119</v>
      </c>
      <c r="J9" s="30"/>
    </row>
    <row r="10" spans="1:14" ht="20.2" customHeight="1">
      <c r="A10" s="82" t="str">
        <f>'Dist. Revenue Reconciliation'!A10</f>
        <v>Large Use</v>
      </c>
      <c r="B10" s="74">
        <f>'Forecast Data For 2015 to 2019'!$D$17</f>
        <v>42660606.445226006</v>
      </c>
      <c r="C10" s="74">
        <f>+'Forecast Data For 2015 to 2019'!$D$16</f>
        <v>96497.827923500081</v>
      </c>
      <c r="D10" s="74">
        <f>'Transformer Allowance'!B35</f>
        <v>96498.434808448525</v>
      </c>
      <c r="E10" s="74">
        <f>+'Forecast Data For 2015 to 2019'!$D$15*12</f>
        <v>12</v>
      </c>
      <c r="F10" s="74"/>
      <c r="G10" s="85">
        <f>+E10*ROUND('Rates By Rate Class'!D10,2)</f>
        <v>93748.92</v>
      </c>
      <c r="H10" s="85">
        <f>+C10*ROUND('Rates By Rate Class'!E10,4)</f>
        <v>190351.61536189626</v>
      </c>
      <c r="I10" s="85">
        <f t="shared" si="0"/>
        <v>284100.53536189627</v>
      </c>
      <c r="J10" s="30"/>
      <c r="N10" s="101"/>
    </row>
    <row r="11" spans="1:14" ht="20.2" customHeight="1">
      <c r="A11" s="82" t="str">
        <f>'Dist. Revenue Reconciliation'!A11</f>
        <v>Street Lighting</v>
      </c>
      <c r="B11" s="74">
        <f>'Forecast Data For 2015 to 2019'!$D$20</f>
        <v>5237833.7421617098</v>
      </c>
      <c r="C11" s="74">
        <f>'Forecast Data For 2015 to 2019'!$D$19</f>
        <v>14599.316515348542</v>
      </c>
      <c r="D11" s="74"/>
      <c r="E11" s="74"/>
      <c r="F11" s="74">
        <f>'Forecast Data For 2015 to 2019'!$D$18*12</f>
        <v>155520.27905494603</v>
      </c>
      <c r="G11" s="85">
        <f>+F11*ROUND('Rates By Rate Class'!D11,2)</f>
        <v>256608.46044066094</v>
      </c>
      <c r="H11" s="85">
        <f>+C11*ROUND('Rates By Rate Class'!E11,4)</f>
        <v>372159.93688265886</v>
      </c>
      <c r="I11" s="85">
        <f t="shared" si="0"/>
        <v>628768.3973233198</v>
      </c>
      <c r="J11" s="30"/>
      <c r="N11" s="101"/>
    </row>
    <row r="12" spans="1:14" ht="20.2" customHeight="1">
      <c r="A12" s="82" t="str">
        <f>'Dist. Revenue Reconciliation'!A12</f>
        <v>Sentinel Lighting</v>
      </c>
      <c r="B12" s="74">
        <f>+'Forecast Data For 2015 to 2019'!$D$23</f>
        <v>32909.529916775595</v>
      </c>
      <c r="C12" s="74">
        <f>+'Forecast Data For 2015 to 2019'!$D$22</f>
        <v>96.106500369299738</v>
      </c>
      <c r="D12" s="74"/>
      <c r="E12" s="74"/>
      <c r="F12" s="74">
        <f>+'Forecast Data For 2015 to 2019'!$D$21*12</f>
        <v>269.61032158105752</v>
      </c>
      <c r="G12" s="85">
        <f>+F12*ROUND('Rates By Rate Class'!D12,2)</f>
        <v>1323.7866789629925</v>
      </c>
      <c r="H12" s="85">
        <f>+C12*ROUND('Rates By Rate Class'!E12,4)</f>
        <v>674.02371904000984</v>
      </c>
      <c r="I12" s="85">
        <f t="shared" si="0"/>
        <v>1997.8103980030023</v>
      </c>
      <c r="J12" s="30"/>
      <c r="N12" s="101"/>
    </row>
    <row r="13" spans="1:14" ht="20.2" customHeight="1">
      <c r="A13" s="82" t="str">
        <f>'Dist. Revenue Reconciliation'!A13</f>
        <v>Unmetered Scattered Load</v>
      </c>
      <c r="B13" s="74">
        <f>+'Forecast Data For 2015 to 2019'!$D$26</f>
        <v>2667193.4637021297</v>
      </c>
      <c r="C13" s="74"/>
      <c r="D13" s="74"/>
      <c r="E13" s="74"/>
      <c r="F13" s="74">
        <f>+'Forecast Data For 2015 to 2019'!$D$24*12</f>
        <v>3553.6902747301415</v>
      </c>
      <c r="G13" s="85">
        <f>+F13*ROUND('Rates By Rate Class'!D13,2)</f>
        <v>14463.519418151676</v>
      </c>
      <c r="H13" s="85">
        <f>+B13*ROUND('Rates By Rate Class'!E13,4)</f>
        <v>44275.411497455352</v>
      </c>
      <c r="I13" s="85">
        <f t="shared" si="0"/>
        <v>58738.93091560703</v>
      </c>
      <c r="J13" s="30"/>
    </row>
    <row r="14" spans="1:14" ht="20.2" customHeight="1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4" ht="24.75" customHeight="1" thickBot="1">
      <c r="A15" s="165" t="s">
        <v>37</v>
      </c>
      <c r="B15" s="75">
        <f t="shared" ref="B15:I15" si="1">SUM(B6:B14)</f>
        <v>1105604445.0975072</v>
      </c>
      <c r="C15" s="75">
        <f t="shared" si="1"/>
        <v>1166261.4222089818</v>
      </c>
      <c r="D15" s="75">
        <f t="shared" si="1"/>
        <v>390570.90412069159</v>
      </c>
      <c r="E15" s="75">
        <f t="shared" si="1"/>
        <v>675985.10061864194</v>
      </c>
      <c r="F15" s="75">
        <f t="shared" si="1"/>
        <v>159343.57965125723</v>
      </c>
      <c r="G15" s="76">
        <f t="shared" si="1"/>
        <v>8075772.223083985</v>
      </c>
      <c r="H15" s="76">
        <f t="shared" si="1"/>
        <v>13116768.71844303</v>
      </c>
      <c r="I15" s="76">
        <f t="shared" si="1"/>
        <v>21192540.941527013</v>
      </c>
    </row>
    <row r="16" spans="1:14" ht="9.75" customHeight="1" thickTop="1">
      <c r="A16" s="617"/>
      <c r="B16" s="617"/>
      <c r="C16" s="617"/>
      <c r="D16" s="617"/>
      <c r="E16" s="617"/>
      <c r="F16" s="617"/>
      <c r="G16" s="617"/>
      <c r="H16" s="617"/>
      <c r="I16" s="617"/>
    </row>
    <row r="17" spans="1:15" ht="18" customHeight="1">
      <c r="A17" s="663" t="s">
        <v>60</v>
      </c>
      <c r="B17" s="617"/>
      <c r="C17" s="617"/>
      <c r="D17" s="617"/>
      <c r="E17" s="617"/>
      <c r="F17" s="617"/>
      <c r="G17" s="617"/>
      <c r="H17" s="617"/>
      <c r="I17" s="163"/>
    </row>
    <row r="18" spans="1:15" ht="18" customHeight="1">
      <c r="A18" s="664" t="str">
        <f>A8</f>
        <v>GS 50 To 999 KW</v>
      </c>
      <c r="B18" s="617"/>
      <c r="C18" s="617"/>
      <c r="D18" s="617"/>
      <c r="E18" s="617"/>
      <c r="F18" s="617"/>
      <c r="G18" s="617"/>
      <c r="H18" s="617"/>
      <c r="I18" s="185">
        <f>'Transformer Allowance'!C33</f>
        <v>-67136.429119048174</v>
      </c>
    </row>
    <row r="19" spans="1:15" ht="18" customHeight="1">
      <c r="A19" s="169" t="str">
        <f>+A9</f>
        <v>GS Intermediate 1,000 To 4,999 KW</v>
      </c>
      <c r="B19" s="163"/>
      <c r="C19" s="163"/>
      <c r="D19" s="163"/>
      <c r="E19" s="163"/>
      <c r="F19" s="163"/>
      <c r="G19" s="163"/>
      <c r="H19" s="163"/>
      <c r="I19" s="185">
        <f>'Transformer Allowance'!C34</f>
        <v>-109307.05246829765</v>
      </c>
    </row>
    <row r="20" spans="1:15" ht="18" customHeight="1">
      <c r="A20" s="664" t="str">
        <f>A10</f>
        <v>Large Use</v>
      </c>
      <c r="B20" s="617"/>
      <c r="C20" s="617"/>
      <c r="D20" s="617"/>
      <c r="E20" s="617"/>
      <c r="F20" s="617"/>
      <c r="G20" s="617"/>
      <c r="H20" s="617"/>
      <c r="I20" s="185">
        <f>'Transformer Allowance'!C35</f>
        <v>-57899.060885069113</v>
      </c>
    </row>
    <row r="21" spans="1:15" ht="18" customHeight="1">
      <c r="A21" s="664" t="str">
        <f>A11</f>
        <v>Street Lighting</v>
      </c>
      <c r="B21" s="617"/>
      <c r="C21" s="617"/>
      <c r="D21" s="617"/>
      <c r="E21" s="617"/>
      <c r="F21" s="617"/>
      <c r="G21" s="617"/>
      <c r="H21" s="617"/>
      <c r="I21" s="185">
        <f>'Transformer Allowance'!C36</f>
        <v>0</v>
      </c>
    </row>
    <row r="22" spans="1:15" ht="8.1999999999999993" customHeight="1">
      <c r="A22" s="617"/>
      <c r="B22" s="617"/>
      <c r="C22" s="617"/>
      <c r="D22" s="617"/>
      <c r="E22" s="617"/>
      <c r="F22" s="617"/>
      <c r="G22" s="617"/>
      <c r="H22" s="617"/>
      <c r="I22" s="87"/>
    </row>
    <row r="23" spans="1:15" ht="18" customHeight="1" thickBot="1">
      <c r="A23" s="619" t="s">
        <v>61</v>
      </c>
      <c r="B23" s="619"/>
      <c r="C23" s="619"/>
      <c r="D23" s="619"/>
      <c r="E23" s="619"/>
      <c r="F23" s="619"/>
      <c r="G23" s="619"/>
      <c r="H23" s="619"/>
      <c r="I23" s="88">
        <f>+I15+I18+I19+I20</f>
        <v>20958198.399054602</v>
      </c>
    </row>
    <row r="24" spans="1:15" ht="8.1999999999999993" customHeight="1" thickTop="1">
      <c r="A24" s="617"/>
      <c r="B24" s="617"/>
      <c r="C24" s="617"/>
      <c r="D24" s="617"/>
      <c r="E24" s="617"/>
      <c r="F24" s="617"/>
      <c r="G24" s="617"/>
      <c r="H24" s="617"/>
      <c r="I24" s="89"/>
    </row>
    <row r="25" spans="1:15" ht="18" customHeight="1">
      <c r="A25" s="647" t="s">
        <v>58</v>
      </c>
      <c r="B25" s="647"/>
      <c r="C25" s="647"/>
      <c r="D25" s="647"/>
      <c r="E25" s="647"/>
      <c r="F25" s="647"/>
      <c r="G25" s="647"/>
      <c r="H25" s="647"/>
      <c r="I25" s="90">
        <f>+'Revenue Input'!C6</f>
        <v>1472342.2217248676</v>
      </c>
    </row>
    <row r="26" spans="1:15" ht="18" customHeight="1" thickBot="1">
      <c r="A26" s="619" t="s">
        <v>59</v>
      </c>
      <c r="B26" s="619"/>
      <c r="C26" s="619"/>
      <c r="D26" s="619"/>
      <c r="E26" s="619"/>
      <c r="F26" s="619"/>
      <c r="G26" s="619"/>
      <c r="H26" s="619"/>
      <c r="I26" s="91">
        <f>+I23+I25</f>
        <v>22430540.62077947</v>
      </c>
    </row>
    <row r="27" spans="1:15" ht="8.1999999999999993" customHeight="1">
      <c r="A27" s="617"/>
      <c r="B27" s="617"/>
      <c r="C27" s="617"/>
      <c r="D27" s="617"/>
      <c r="E27" s="617"/>
      <c r="F27" s="617"/>
      <c r="G27" s="617"/>
      <c r="H27" s="617"/>
      <c r="I27" s="89"/>
    </row>
    <row r="28" spans="1:15" ht="18" customHeight="1" thickBot="1">
      <c r="A28" s="619" t="s">
        <v>56</v>
      </c>
      <c r="B28" s="619"/>
      <c r="C28" s="619"/>
      <c r="D28" s="619"/>
      <c r="E28" s="619"/>
      <c r="F28" s="619"/>
      <c r="G28" s="619"/>
      <c r="H28" s="619"/>
      <c r="I28" s="91">
        <f>+'Revenue Input'!C5</f>
        <v>23911127.39394312</v>
      </c>
    </row>
    <row r="29" spans="1:15" ht="8.1999999999999993" customHeight="1" thickBot="1">
      <c r="A29" s="617"/>
      <c r="B29" s="617"/>
      <c r="C29" s="617"/>
      <c r="D29" s="617"/>
      <c r="E29" s="617"/>
      <c r="F29" s="617"/>
      <c r="G29" s="617"/>
      <c r="H29" s="617"/>
      <c r="I29" s="92"/>
    </row>
    <row r="30" spans="1:15" ht="18" customHeight="1" thickBot="1">
      <c r="A30" s="619" t="s">
        <v>57</v>
      </c>
      <c r="B30" s="619"/>
      <c r="C30" s="619"/>
      <c r="D30" s="619"/>
      <c r="E30" s="619"/>
      <c r="F30" s="619"/>
      <c r="G30" s="619"/>
      <c r="H30" s="619"/>
      <c r="I30" s="158">
        <f>+I28-I26</f>
        <v>1480586.7731636502</v>
      </c>
      <c r="L30" s="376">
        <v>1480586.773163656</v>
      </c>
      <c r="M30" s="377" t="s">
        <v>252</v>
      </c>
      <c r="N30" s="188"/>
      <c r="O30" s="189"/>
    </row>
    <row r="31" spans="1:15" ht="13.5" thickTop="1" thickBot="1">
      <c r="L31" s="378">
        <f>L30-I30</f>
        <v>5.8207660913467407E-9</v>
      </c>
      <c r="M31" s="379" t="s">
        <v>253</v>
      </c>
      <c r="N31" s="380"/>
      <c r="O31" s="381"/>
    </row>
    <row r="32" spans="1:15">
      <c r="G32" s="14"/>
      <c r="H32" s="14"/>
      <c r="I32" s="14"/>
      <c r="J32" s="14"/>
      <c r="K32" s="14"/>
      <c r="L32" s="383"/>
    </row>
    <row r="33" spans="1:13">
      <c r="G33" s="14"/>
      <c r="H33" s="14"/>
      <c r="I33" s="14"/>
      <c r="J33" s="14"/>
      <c r="K33" s="14"/>
    </row>
    <row r="37" spans="1:13" ht="17.649999999999999">
      <c r="A37" s="621" t="s">
        <v>180</v>
      </c>
      <c r="B37" s="621"/>
      <c r="C37" s="621"/>
      <c r="D37" s="621"/>
      <c r="E37" s="621"/>
      <c r="F37" s="621"/>
      <c r="G37" s="621"/>
      <c r="H37" s="621"/>
      <c r="I37" s="621"/>
      <c r="J37" s="621"/>
      <c r="K37" s="621"/>
      <c r="L37" s="621"/>
      <c r="M37" s="621"/>
    </row>
    <row r="38" spans="1:13" ht="17.649999999999999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</row>
    <row r="39" spans="1:13" ht="52.5">
      <c r="A39" s="375" t="s">
        <v>23</v>
      </c>
      <c r="B39" s="375" t="s">
        <v>6</v>
      </c>
      <c r="C39" s="375" t="s">
        <v>7</v>
      </c>
      <c r="D39" s="375" t="s">
        <v>9</v>
      </c>
      <c r="E39" s="375" t="s">
        <v>26</v>
      </c>
      <c r="F39" s="375" t="s">
        <v>137</v>
      </c>
      <c r="G39" s="375" t="s">
        <v>138</v>
      </c>
      <c r="H39" s="375" t="s">
        <v>10</v>
      </c>
      <c r="I39" s="375" t="s">
        <v>11</v>
      </c>
      <c r="J39" s="375" t="s">
        <v>91</v>
      </c>
      <c r="K39" s="375" t="s">
        <v>5</v>
      </c>
      <c r="L39" s="375" t="s">
        <v>92</v>
      </c>
      <c r="M39" s="375" t="s">
        <v>50</v>
      </c>
    </row>
    <row r="40" spans="1:13" ht="13.15">
      <c r="A40" s="41" t="s">
        <v>97</v>
      </c>
      <c r="B40" s="47">
        <v>511988476.3068043</v>
      </c>
      <c r="C40" s="47"/>
      <c r="D40" s="47">
        <v>641028</v>
      </c>
      <c r="E40" s="47"/>
      <c r="F40" s="172">
        <v>9.7212270454914904</v>
      </c>
      <c r="G40" s="173">
        <v>1.3772694751581801E-2</v>
      </c>
      <c r="H40" s="47">
        <v>6231578.7305173194</v>
      </c>
      <c r="I40" s="47">
        <v>7051461.0005010869</v>
      </c>
      <c r="J40" s="47">
        <v>13283039.731018405</v>
      </c>
      <c r="K40" s="47"/>
      <c r="L40" s="47">
        <v>13283039.731018405</v>
      </c>
      <c r="M40" s="48">
        <v>0.61692805084794777</v>
      </c>
    </row>
    <row r="41" spans="1:13" ht="13.15">
      <c r="A41" s="41" t="s">
        <v>212</v>
      </c>
      <c r="B41" s="47">
        <v>135870915.07175967</v>
      </c>
      <c r="C41" s="47"/>
      <c r="D41" s="47">
        <v>47916</v>
      </c>
      <c r="E41" s="47"/>
      <c r="F41" s="172">
        <v>8.5183272657335696</v>
      </c>
      <c r="G41" s="173">
        <v>1.7280616171535885E-2</v>
      </c>
      <c r="H41" s="47">
        <v>408164.16926488973</v>
      </c>
      <c r="I41" s="47">
        <v>2347933.132230429</v>
      </c>
      <c r="J41" s="47">
        <v>2756097.3014953188</v>
      </c>
      <c r="K41" s="47"/>
      <c r="L41" s="47">
        <v>2756097.3014953188</v>
      </c>
      <c r="M41" s="48">
        <v>0.12800637283258606</v>
      </c>
    </row>
    <row r="42" spans="1:13" ht="13.15">
      <c r="A42" s="41" t="s">
        <v>213</v>
      </c>
      <c r="B42" s="47">
        <v>346500452.67920822</v>
      </c>
      <c r="C42" s="47">
        <v>876553.02578846528</v>
      </c>
      <c r="D42" s="47">
        <v>6108</v>
      </c>
      <c r="E42" s="47"/>
      <c r="F42" s="172">
        <v>49.348385546309764</v>
      </c>
      <c r="G42" s="173">
        <v>4.233306018807335</v>
      </c>
      <c r="H42" s="47">
        <v>301419.93891686003</v>
      </c>
      <c r="I42" s="47">
        <v>3710717.1998740914</v>
      </c>
      <c r="J42" s="47">
        <v>4012137.1387909516</v>
      </c>
      <c r="K42" s="47">
        <v>68396.959790095789</v>
      </c>
      <c r="L42" s="47">
        <v>3943740.1790008559</v>
      </c>
      <c r="M42" s="48">
        <v>0.18316620223608993</v>
      </c>
    </row>
    <row r="43" spans="1:13" ht="13.15">
      <c r="A43" s="41" t="s">
        <v>214</v>
      </c>
      <c r="B43" s="47">
        <v>75927661.80800122</v>
      </c>
      <c r="C43" s="47">
        <v>167210.30705428656</v>
      </c>
      <c r="D43" s="47">
        <v>132</v>
      </c>
      <c r="E43" s="47"/>
      <c r="F43" s="172">
        <v>1060.5565479118804</v>
      </c>
      <c r="G43" s="173">
        <v>2.3246230741317508</v>
      </c>
      <c r="H43" s="47">
        <v>139993.46432436822</v>
      </c>
      <c r="I43" s="47">
        <v>388700.93801104958</v>
      </c>
      <c r="J43" s="47">
        <v>528694.40233541781</v>
      </c>
      <c r="K43" s="47">
        <v>93888.604200896647</v>
      </c>
      <c r="L43" s="47">
        <v>434805.79813452117</v>
      </c>
      <c r="M43" s="48">
        <v>2.0194465948491915E-2</v>
      </c>
    </row>
    <row r="44" spans="1:13" ht="13.15">
      <c r="A44" s="41" t="s">
        <v>98</v>
      </c>
      <c r="B44" s="47">
        <v>43826972.608927421</v>
      </c>
      <c r="C44" s="47">
        <v>92612.903357759424</v>
      </c>
      <c r="D44" s="47">
        <v>12</v>
      </c>
      <c r="E44" s="47"/>
      <c r="F44" s="172">
        <v>7711.6788305903565</v>
      </c>
      <c r="G44" s="173">
        <v>1.9548958928053031</v>
      </c>
      <c r="H44" s="47">
        <v>92540.145967084274</v>
      </c>
      <c r="I44" s="47">
        <v>181048.58439485836</v>
      </c>
      <c r="J44" s="47">
        <v>273588.73036194267</v>
      </c>
      <c r="K44" s="47">
        <v>55568.091486006182</v>
      </c>
      <c r="L44" s="47">
        <v>218020.63887593648</v>
      </c>
      <c r="M44" s="48">
        <v>1.0125923772723934E-2</v>
      </c>
    </row>
    <row r="45" spans="1:13" ht="13.15">
      <c r="A45" s="41" t="s">
        <v>99</v>
      </c>
      <c r="B45" s="47">
        <v>6925383.9470246164</v>
      </c>
      <c r="C45" s="47">
        <v>18684.880112212562</v>
      </c>
      <c r="D45" s="281"/>
      <c r="E45" s="47">
        <v>154848</v>
      </c>
      <c r="F45" s="172">
        <v>1.8179480098686212</v>
      </c>
      <c r="G45" s="173">
        <v>28.130337060054252</v>
      </c>
      <c r="H45" s="47">
        <v>281505.61343213625</v>
      </c>
      <c r="I45" s="47">
        <v>525611.9754832437</v>
      </c>
      <c r="J45" s="47">
        <v>807117.58891537995</v>
      </c>
      <c r="K45" s="47"/>
      <c r="L45" s="47">
        <v>807117.58891537995</v>
      </c>
      <c r="M45" s="48">
        <v>3.7486410566994831E-2</v>
      </c>
    </row>
    <row r="46" spans="1:13" ht="13.15">
      <c r="A46" s="41" t="s">
        <v>208</v>
      </c>
      <c r="B46" s="47">
        <v>38426.512623702562</v>
      </c>
      <c r="C46" s="47">
        <v>112.66489895840373</v>
      </c>
      <c r="D46" s="47"/>
      <c r="E46" s="47">
        <v>276</v>
      </c>
      <c r="F46" s="172">
        <v>4.9679908883084254</v>
      </c>
      <c r="G46" s="173">
        <v>7.1101794017601234</v>
      </c>
      <c r="H46" s="47">
        <v>1371.1654851731255</v>
      </c>
      <c r="I46" s="47">
        <v>801.06764387542773</v>
      </c>
      <c r="J46" s="47">
        <v>2172.2331290485531</v>
      </c>
      <c r="K46" s="47"/>
      <c r="L46" s="47">
        <v>2172.2331290485531</v>
      </c>
      <c r="M46" s="48">
        <v>1.0088892131835223E-4</v>
      </c>
    </row>
    <row r="47" spans="1:13" ht="13.15">
      <c r="A47" s="41" t="s">
        <v>207</v>
      </c>
      <c r="B47" s="47">
        <v>2999866.8582112123</v>
      </c>
      <c r="C47" s="47"/>
      <c r="D47" s="47"/>
      <c r="E47" s="47">
        <v>3516</v>
      </c>
      <c r="F47" s="172">
        <v>5.4633891215119093</v>
      </c>
      <c r="G47" s="173">
        <v>2.2246135345078438E-2</v>
      </c>
      <c r="H47" s="47">
        <v>19209.276151235874</v>
      </c>
      <c r="I47" s="47">
        <v>66735.444144981855</v>
      </c>
      <c r="J47" s="47">
        <v>85944.720296217725</v>
      </c>
      <c r="K47" s="47"/>
      <c r="L47" s="47">
        <v>85944.720296217725</v>
      </c>
      <c r="M47" s="48">
        <v>3.9916848738472078E-3</v>
      </c>
    </row>
    <row r="48" spans="1:13" ht="13.15">
      <c r="A48" s="41"/>
      <c r="B48" s="47"/>
      <c r="C48" s="47"/>
      <c r="D48" s="47"/>
      <c r="E48" s="47"/>
      <c r="F48" s="172"/>
      <c r="G48" s="173"/>
      <c r="H48" s="47"/>
      <c r="I48" s="47"/>
      <c r="J48" s="47"/>
      <c r="K48" s="47"/>
      <c r="L48" s="47"/>
      <c r="M48" s="48"/>
    </row>
    <row r="49" spans="1:13" ht="13.5" thickBot="1">
      <c r="A49" s="374"/>
      <c r="B49" s="79">
        <v>1124078155.7925606</v>
      </c>
      <c r="C49" s="79">
        <v>1155173.7812116821</v>
      </c>
      <c r="D49" s="79">
        <v>695196</v>
      </c>
      <c r="E49" s="79">
        <v>158640</v>
      </c>
      <c r="F49" s="79"/>
      <c r="G49" s="79"/>
      <c r="H49" s="79">
        <v>7475782.504059067</v>
      </c>
      <c r="I49" s="79">
        <v>14273009.342283618</v>
      </c>
      <c r="J49" s="79">
        <v>21748791.846342683</v>
      </c>
      <c r="K49" s="79">
        <v>217853.65547699863</v>
      </c>
      <c r="L49" s="79">
        <v>21530938.190865684</v>
      </c>
      <c r="M49" s="49">
        <v>1</v>
      </c>
    </row>
    <row r="50" spans="1:13" ht="13.15" thickTop="1"/>
  </sheetData>
  <mergeCells count="19">
    <mergeCell ref="A23:H23"/>
    <mergeCell ref="A24:H24"/>
    <mergeCell ref="A26:H26"/>
    <mergeCell ref="A27:H27"/>
    <mergeCell ref="A17:H17"/>
    <mergeCell ref="A21:H21"/>
    <mergeCell ref="A18:H18"/>
    <mergeCell ref="A20:H20"/>
    <mergeCell ref="A22:H22"/>
    <mergeCell ref="A1:I1"/>
    <mergeCell ref="A2:I2"/>
    <mergeCell ref="A3:I3"/>
    <mergeCell ref="A4:I4"/>
    <mergeCell ref="A16:I16"/>
    <mergeCell ref="A28:H28"/>
    <mergeCell ref="A29:H29"/>
    <mergeCell ref="A30:H30"/>
    <mergeCell ref="A37:M37"/>
    <mergeCell ref="A25:H25"/>
  </mergeCells>
  <pageMargins left="0.75" right="0.75" top="1" bottom="1" header="0.5" footer="0.5"/>
  <pageSetup scale="84" orientation="landscape" horizontalDpi="355" verticalDpi="355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topLeftCell="A13" workbookViewId="0">
      <selection activeCell="A5" sqref="A5:I30"/>
    </sheetView>
  </sheetViews>
  <sheetFormatPr defaultRowHeight="12.7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2" max="12" width="9.73046875" bestFit="1" customWidth="1"/>
    <col min="13" max="13" width="28" bestFit="1" customWidth="1"/>
  </cols>
  <sheetData>
    <row r="1" spans="1:10" ht="13.15">
      <c r="A1" s="608" t="str">
        <f>+'Revenue Input'!A1</f>
        <v>Oshawa PUC Networks Inc</v>
      </c>
      <c r="B1" s="608"/>
      <c r="C1" s="608"/>
      <c r="D1" s="608"/>
      <c r="E1" s="608"/>
      <c r="F1" s="608"/>
      <c r="G1" s="608"/>
      <c r="H1" s="608"/>
      <c r="I1" s="608"/>
    </row>
    <row r="2" spans="1:10" ht="7.5" customHeight="1">
      <c r="A2" s="617"/>
      <c r="B2" s="617"/>
      <c r="C2" s="617"/>
      <c r="D2" s="617"/>
      <c r="E2" s="617"/>
      <c r="F2" s="617"/>
      <c r="G2" s="617"/>
      <c r="H2" s="617"/>
      <c r="I2" s="617"/>
    </row>
    <row r="3" spans="1:10" ht="15">
      <c r="A3" s="661" t="s">
        <v>254</v>
      </c>
      <c r="B3" s="662"/>
      <c r="C3" s="662"/>
      <c r="D3" s="662"/>
      <c r="E3" s="662"/>
      <c r="F3" s="662"/>
      <c r="G3" s="662"/>
      <c r="H3" s="662"/>
      <c r="I3" s="662"/>
    </row>
    <row r="4" spans="1:10" ht="8.25" customHeight="1">
      <c r="A4" s="662"/>
      <c r="B4" s="662"/>
      <c r="C4" s="662"/>
      <c r="D4" s="662"/>
      <c r="E4" s="662"/>
      <c r="F4" s="662"/>
      <c r="G4" s="662"/>
      <c r="H4" s="662"/>
      <c r="I4" s="662"/>
    </row>
    <row r="5" spans="1:10" ht="39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0" ht="20.2" customHeight="1">
      <c r="A6" s="82" t="str">
        <f>'Dist. Revenue Reconciliation'!A6</f>
        <v>Residential</v>
      </c>
      <c r="B6" s="74">
        <f>+'Forecast Data For 2015 to 2019'!$E$6</f>
        <v>492297000.53160763</v>
      </c>
      <c r="C6" s="74"/>
      <c r="D6" s="74"/>
      <c r="E6" s="74">
        <f>+'Forecast Data For 2015 to 2019'!$E$5*12</f>
        <v>630217.64563768182</v>
      </c>
      <c r="F6" s="74"/>
      <c r="G6" s="85">
        <f>+E6*ROUND('Rates By Rate Class'!D37,2)</f>
        <v>7064739.8075984139</v>
      </c>
      <c r="H6" s="85">
        <f>+B6*ROUND('Rates By Rate Class'!E37,4)</f>
        <v>6990617.407548829</v>
      </c>
      <c r="I6" s="85">
        <f>+G6+H6</f>
        <v>14055357.215147242</v>
      </c>
      <c r="J6" s="30"/>
    </row>
    <row r="7" spans="1:10" ht="20.2" customHeight="1">
      <c r="A7" s="82" t="str">
        <f>'Dist. Revenue Reconciliation'!A7</f>
        <v>GS Less Than 50 KW</v>
      </c>
      <c r="B7" s="74">
        <f>+'Forecast Data For 2015 to 2019'!$E$8</f>
        <v>135063742.04659477</v>
      </c>
      <c r="C7" s="74"/>
      <c r="D7" s="74"/>
      <c r="E7" s="74">
        <f>+'Forecast Data For 2015 to 2019'!$E$7*12</f>
        <v>49480.503378823727</v>
      </c>
      <c r="F7" s="74"/>
      <c r="G7" s="85">
        <f>+E7*ROUND('Rates By Rate Class'!D38,2)</f>
        <v>792677.66412875603</v>
      </c>
      <c r="H7" s="85">
        <f>+B7*ROUND('Rates By Rate Class'!E38,4)</f>
        <v>2120500.7501315377</v>
      </c>
      <c r="I7" s="85">
        <f t="shared" ref="I7:I13" si="0">+G7+H7</f>
        <v>2913178.4142602938</v>
      </c>
      <c r="J7" s="30"/>
    </row>
    <row r="8" spans="1:10" ht="20.2" customHeight="1">
      <c r="A8" s="82" t="str">
        <f>'Dist. Revenue Reconciliation'!A8</f>
        <v>GS 50 To 999 KW</v>
      </c>
      <c r="B8" s="74">
        <f>+'Forecast Data For 2015 to 2019'!$E$11</f>
        <v>342688526.37423319</v>
      </c>
      <c r="C8" s="74">
        <f>+'Forecast Data For 2015 to 2019'!$E$10</f>
        <v>865544.379866131</v>
      </c>
      <c r="D8" s="74">
        <f>'Transformer Allowance'!B44</f>
        <v>112563.26847805515</v>
      </c>
      <c r="E8" s="74">
        <f>+'Forecast Data For 2015 to 2019'!$E$9*12</f>
        <v>6267.5999999999995</v>
      </c>
      <c r="F8" s="74"/>
      <c r="G8" s="85">
        <f>+E8*ROUND('Rates By Rate Class'!D39,2)</f>
        <v>327168.71999999997</v>
      </c>
      <c r="H8" s="85">
        <f>+C8*ROUND('Rates By Rate Class'!E39,4)</f>
        <v>3872445.5555210705</v>
      </c>
      <c r="I8" s="85">
        <f t="shared" si="0"/>
        <v>4199614.2755210707</v>
      </c>
      <c r="J8" s="30"/>
    </row>
    <row r="9" spans="1:10" ht="20.2" customHeight="1">
      <c r="A9" s="82" t="str">
        <f>'Dist. Revenue Reconciliation'!A9</f>
        <v>GS Intermediate 1,000 To 4,999 KW</v>
      </c>
      <c r="B9" s="74">
        <f>+'Forecast Data For 2015 to 2019'!$E$14</f>
        <v>87493646.788693547</v>
      </c>
      <c r="C9" s="74">
        <f>+'Forecast Data For 2015 to 2019'!$E$13</f>
        <v>193285.76673996553</v>
      </c>
      <c r="D9" s="74">
        <f>'Transformer Allowance'!B45</f>
        <v>180883.29572115568</v>
      </c>
      <c r="E9" s="74">
        <f>+'Forecast Data For 2015 to 2019'!$E$12*12</f>
        <v>144</v>
      </c>
      <c r="F9" s="74"/>
      <c r="G9" s="85">
        <f>+E9*ROUND('Rates By Rate Class'!D40,2)</f>
        <v>157969.44</v>
      </c>
      <c r="H9" s="85">
        <f>+C9*ROUND('Rates By Rate Class'!E40,4)</f>
        <v>461025.21082816581</v>
      </c>
      <c r="I9" s="85">
        <f>+G9+H9</f>
        <v>618994.65082816582</v>
      </c>
      <c r="J9" s="30"/>
    </row>
    <row r="10" spans="1:10" ht="20.2" customHeight="1">
      <c r="A10" s="82" t="str">
        <f>'Dist. Revenue Reconciliation'!A10</f>
        <v>Large Use</v>
      </c>
      <c r="B10" s="74">
        <f>'Forecast Data For 2015 to 2019'!$E$17</f>
        <v>42752494.396360196</v>
      </c>
      <c r="C10" s="74">
        <f>+'Forecast Data For 2015 to 2019'!$E$16</f>
        <v>96705.677469853224</v>
      </c>
      <c r="D10" s="74">
        <f>'Transformer Allowance'!B46</f>
        <v>96706.285661989226</v>
      </c>
      <c r="E10" s="74">
        <f>+'Forecast Data For 2015 to 2019'!$E$15*12</f>
        <v>12</v>
      </c>
      <c r="F10" s="74"/>
      <c r="G10" s="85">
        <f>+E10*ROUND('Rates By Rate Class'!D41,2)</f>
        <v>100169.04000000001</v>
      </c>
      <c r="H10" s="85">
        <f>+C10*ROUND('Rates By Rate Class'!E41,4)</f>
        <v>199851.95305919868</v>
      </c>
      <c r="I10" s="85">
        <f t="shared" si="0"/>
        <v>300020.99305919872</v>
      </c>
      <c r="J10" s="30"/>
    </row>
    <row r="11" spans="1:10" ht="20.2" customHeight="1">
      <c r="A11" s="82" t="str">
        <f>'Dist. Revenue Reconciliation'!A11</f>
        <v>Street Lighting</v>
      </c>
      <c r="B11" s="74">
        <f>'Forecast Data For 2015 to 2019'!$E$20</f>
        <v>4853625.207928787</v>
      </c>
      <c r="C11" s="74">
        <f>'Forecast Data For 2015 to 2019'!$E$19</f>
        <v>13528.419217862043</v>
      </c>
      <c r="D11" s="74"/>
      <c r="E11" s="74"/>
      <c r="F11" s="74">
        <f>'Forecast Data For 2015 to 2019'!$E$18*12</f>
        <v>158581.48715458444</v>
      </c>
      <c r="G11" s="85">
        <f>+F11*ROUND('Rates By Rate Class'!D42,2)</f>
        <v>290204.12149288954</v>
      </c>
      <c r="H11" s="85">
        <f>+C11*ROUND('Rates By Rate Class'!E42,4)</f>
        <v>382299.59867756348</v>
      </c>
      <c r="I11" s="85">
        <f t="shared" si="0"/>
        <v>672503.72017045296</v>
      </c>
      <c r="J11" s="30"/>
    </row>
    <row r="12" spans="1:10" ht="20.2" customHeight="1">
      <c r="A12" s="82" t="str">
        <f>'Dist. Revenue Reconciliation'!A12</f>
        <v>Sentinel Lighting</v>
      </c>
      <c r="B12" s="74">
        <f>+'Forecast Data For 2015 to 2019'!$E$23</f>
        <v>31630.444959402575</v>
      </c>
      <c r="C12" s="74">
        <f>+'Forecast Data For 2015 to 2019'!$E$22</f>
        <v>92.371157468960305</v>
      </c>
      <c r="D12" s="74"/>
      <c r="E12" s="74"/>
      <c r="F12" s="74">
        <f>+'Forecast Data For 2015 to 2019'!$E$21*12</f>
        <v>260.8606233627994</v>
      </c>
      <c r="G12" s="85">
        <f>+F12*ROUND('Rates By Rate Class'!D43,2)</f>
        <v>1372.1268788883249</v>
      </c>
      <c r="H12" s="85">
        <f>+C12*ROUND('Rates By Rate Class'!E43,4)</f>
        <v>693.59654720292917</v>
      </c>
      <c r="I12" s="85">
        <f t="shared" si="0"/>
        <v>2065.7234260912542</v>
      </c>
      <c r="J12" s="30"/>
    </row>
    <row r="13" spans="1:10" ht="20.2" customHeight="1">
      <c r="A13" s="82" t="str">
        <f>'Dist. Revenue Reconciliation'!A13</f>
        <v>Unmetered Scattered Load</v>
      </c>
      <c r="B13" s="74">
        <f>+'Forecast Data For 2015 to 2019'!$E$26</f>
        <v>2652384.9112346303</v>
      </c>
      <c r="C13" s="74"/>
      <c r="D13" s="74"/>
      <c r="E13" s="74"/>
      <c r="F13" s="74">
        <f>+'Forecast Data For 2015 to 2019'!$E$24*12</f>
        <v>3557.5416641009588</v>
      </c>
      <c r="G13" s="85">
        <f>+F13*ROUND('Rates By Rate Class'!D44,2)</f>
        <v>15510.881655480182</v>
      </c>
      <c r="H13" s="85">
        <f>+B13*ROUND('Rates By Rate Class'!E44,4)</f>
        <v>47212.451419976416</v>
      </c>
      <c r="I13" s="85">
        <f t="shared" si="0"/>
        <v>62723.333075456598</v>
      </c>
      <c r="J13" s="30"/>
    </row>
    <row r="14" spans="1:10" ht="20.2" customHeight="1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0" ht="24.75" customHeight="1" thickBot="1">
      <c r="A15" s="165" t="s">
        <v>37</v>
      </c>
      <c r="B15" s="75">
        <f t="shared" ref="B15:I15" si="1">SUM(B6:B14)</f>
        <v>1107833050.7016122</v>
      </c>
      <c r="C15" s="75">
        <f t="shared" si="1"/>
        <v>1169156.6144512808</v>
      </c>
      <c r="D15" s="75">
        <f t="shared" si="1"/>
        <v>390152.84986120008</v>
      </c>
      <c r="E15" s="75">
        <f t="shared" si="1"/>
        <v>686121.74901650555</v>
      </c>
      <c r="F15" s="75">
        <f t="shared" si="1"/>
        <v>162399.88944204818</v>
      </c>
      <c r="G15" s="76">
        <f t="shared" si="1"/>
        <v>8749811.8017544262</v>
      </c>
      <c r="H15" s="76">
        <f t="shared" si="1"/>
        <v>14074646.523733543</v>
      </c>
      <c r="I15" s="76">
        <f t="shared" si="1"/>
        <v>22824458.325487971</v>
      </c>
    </row>
    <row r="16" spans="1:10" ht="9.75" customHeight="1" thickTop="1">
      <c r="A16" s="617"/>
      <c r="B16" s="617"/>
      <c r="C16" s="617"/>
      <c r="D16" s="617"/>
      <c r="E16" s="617"/>
      <c r="F16" s="617"/>
      <c r="G16" s="617"/>
      <c r="H16" s="617"/>
      <c r="I16" s="617"/>
    </row>
    <row r="17" spans="1:15" ht="18" customHeight="1">
      <c r="A17" s="663" t="s">
        <v>60</v>
      </c>
      <c r="B17" s="617"/>
      <c r="C17" s="617"/>
      <c r="D17" s="617"/>
      <c r="E17" s="617"/>
      <c r="F17" s="617"/>
      <c r="G17" s="617"/>
      <c r="H17" s="617"/>
      <c r="I17" s="163"/>
    </row>
    <row r="18" spans="1:15" ht="18" customHeight="1">
      <c r="A18" s="664" t="str">
        <f>A8</f>
        <v>GS 50 To 999 KW</v>
      </c>
      <c r="B18" s="617"/>
      <c r="C18" s="617"/>
      <c r="D18" s="617"/>
      <c r="E18" s="617"/>
      <c r="F18" s="617"/>
      <c r="G18" s="617"/>
      <c r="H18" s="617"/>
      <c r="I18" s="185">
        <f>'Transformer Allowance'!C44</f>
        <v>-67537.961086833093</v>
      </c>
    </row>
    <row r="19" spans="1:15" ht="18" customHeight="1">
      <c r="A19" s="169" t="str">
        <f>+A9</f>
        <v>GS Intermediate 1,000 To 4,999 KW</v>
      </c>
      <c r="B19" s="163"/>
      <c r="C19" s="163"/>
      <c r="D19" s="163"/>
      <c r="E19" s="163"/>
      <c r="F19" s="163"/>
      <c r="G19" s="163"/>
      <c r="H19" s="163"/>
      <c r="I19" s="185">
        <f>'Transformer Allowance'!C45</f>
        <v>-108529.9774326934</v>
      </c>
    </row>
    <row r="20" spans="1:15" ht="18" customHeight="1">
      <c r="A20" s="664" t="str">
        <f>A10</f>
        <v>Large Use</v>
      </c>
      <c r="B20" s="617"/>
      <c r="C20" s="617"/>
      <c r="D20" s="617"/>
      <c r="E20" s="617"/>
      <c r="F20" s="617"/>
      <c r="G20" s="617"/>
      <c r="H20" s="617"/>
      <c r="I20" s="185">
        <f>'Transformer Allowance'!C46</f>
        <v>-58023.771397193537</v>
      </c>
    </row>
    <row r="21" spans="1:15" ht="18" customHeight="1">
      <c r="A21" s="664" t="str">
        <f>A11</f>
        <v>Street Lighting</v>
      </c>
      <c r="B21" s="617"/>
      <c r="C21" s="617"/>
      <c r="D21" s="617"/>
      <c r="E21" s="617"/>
      <c r="F21" s="617"/>
      <c r="G21" s="617"/>
      <c r="H21" s="617"/>
      <c r="I21" s="185">
        <f>'Transformer Allowance'!C47</f>
        <v>0</v>
      </c>
    </row>
    <row r="22" spans="1:15" ht="8.1999999999999993" customHeight="1">
      <c r="A22" s="617"/>
      <c r="B22" s="617"/>
      <c r="C22" s="617"/>
      <c r="D22" s="617"/>
      <c r="E22" s="617"/>
      <c r="F22" s="617"/>
      <c r="G22" s="617"/>
      <c r="H22" s="617"/>
      <c r="I22" s="87"/>
    </row>
    <row r="23" spans="1:15" ht="18" customHeight="1" thickBot="1">
      <c r="A23" s="619" t="s">
        <v>61</v>
      </c>
      <c r="B23" s="619"/>
      <c r="C23" s="619"/>
      <c r="D23" s="619"/>
      <c r="E23" s="619"/>
      <c r="F23" s="619"/>
      <c r="G23" s="619"/>
      <c r="H23" s="619"/>
      <c r="I23" s="88">
        <f>+I15+I18+I19+I20</f>
        <v>22590366.615571253</v>
      </c>
    </row>
    <row r="24" spans="1:15" ht="8.1999999999999993" customHeight="1" thickTop="1">
      <c r="A24" s="617"/>
      <c r="B24" s="617"/>
      <c r="C24" s="617"/>
      <c r="D24" s="617"/>
      <c r="E24" s="617"/>
      <c r="F24" s="617"/>
      <c r="G24" s="617"/>
      <c r="H24" s="617"/>
      <c r="I24" s="89"/>
    </row>
    <row r="25" spans="1:15" ht="18" customHeight="1">
      <c r="A25" s="647" t="s">
        <v>58</v>
      </c>
      <c r="B25" s="647"/>
      <c r="C25" s="647"/>
      <c r="D25" s="647"/>
      <c r="E25" s="647"/>
      <c r="F25" s="647"/>
      <c r="G25" s="647"/>
      <c r="H25" s="647"/>
      <c r="I25" s="90">
        <f>+'Revenue Input'!D6</f>
        <v>1578649.1781861789</v>
      </c>
    </row>
    <row r="26" spans="1:15" ht="18" customHeight="1" thickBot="1">
      <c r="A26" s="619" t="s">
        <v>59</v>
      </c>
      <c r="B26" s="619"/>
      <c r="C26" s="619"/>
      <c r="D26" s="619"/>
      <c r="E26" s="619"/>
      <c r="F26" s="619"/>
      <c r="G26" s="619"/>
      <c r="H26" s="619"/>
      <c r="I26" s="91">
        <f>+I23+I25</f>
        <v>24169015.793757431</v>
      </c>
    </row>
    <row r="27" spans="1:15" ht="8.1999999999999993" customHeight="1">
      <c r="A27" s="617"/>
      <c r="B27" s="617"/>
      <c r="C27" s="617"/>
      <c r="D27" s="617"/>
      <c r="E27" s="617"/>
      <c r="F27" s="617"/>
      <c r="G27" s="617"/>
      <c r="H27" s="617"/>
      <c r="I27" s="89"/>
    </row>
    <row r="28" spans="1:15" ht="18" customHeight="1" thickBot="1">
      <c r="A28" s="619" t="s">
        <v>56</v>
      </c>
      <c r="B28" s="619"/>
      <c r="C28" s="619"/>
      <c r="D28" s="619"/>
      <c r="E28" s="619"/>
      <c r="F28" s="619"/>
      <c r="G28" s="619"/>
      <c r="H28" s="619"/>
      <c r="I28" s="91">
        <f>+'Revenue Input'!D5</f>
        <v>24657648.406286586</v>
      </c>
    </row>
    <row r="29" spans="1:15" ht="8.1999999999999993" customHeight="1" thickBot="1">
      <c r="A29" s="617"/>
      <c r="B29" s="617"/>
      <c r="C29" s="617"/>
      <c r="D29" s="617"/>
      <c r="E29" s="617"/>
      <c r="F29" s="617"/>
      <c r="G29" s="617"/>
      <c r="H29" s="617"/>
      <c r="I29" s="92"/>
    </row>
    <row r="30" spans="1:15" ht="18" customHeight="1" thickBot="1">
      <c r="A30" s="619" t="s">
        <v>57</v>
      </c>
      <c r="B30" s="619"/>
      <c r="C30" s="619"/>
      <c r="D30" s="619"/>
      <c r="E30" s="619"/>
      <c r="F30" s="619"/>
      <c r="G30" s="619"/>
      <c r="H30" s="619"/>
      <c r="I30" s="158">
        <f>+I28-I26</f>
        <v>488632.61252915487</v>
      </c>
      <c r="L30" s="376">
        <v>488632.6125291533</v>
      </c>
      <c r="M30" s="377" t="s">
        <v>252</v>
      </c>
      <c r="N30" s="188"/>
      <c r="O30" s="189"/>
    </row>
    <row r="31" spans="1:15" ht="13.5" thickTop="1" thickBot="1">
      <c r="L31" s="378">
        <f>L30-I30</f>
        <v>-1.57160684466362E-9</v>
      </c>
      <c r="M31" s="379" t="s">
        <v>253</v>
      </c>
      <c r="N31" s="380"/>
      <c r="O31" s="381"/>
    </row>
    <row r="32" spans="1:15">
      <c r="G32" s="14"/>
      <c r="H32" s="14"/>
      <c r="I32" s="14"/>
      <c r="J32" s="14"/>
      <c r="K32" s="14"/>
      <c r="L32" s="383"/>
    </row>
    <row r="33" spans="7:11">
      <c r="G33" s="14"/>
      <c r="H33" s="14"/>
      <c r="I33" s="14"/>
      <c r="J33" s="14"/>
      <c r="K33" s="14"/>
    </row>
    <row r="34" spans="7:11">
      <c r="I34" s="8"/>
    </row>
  </sheetData>
  <mergeCells count="18">
    <mergeCell ref="A25:H25"/>
    <mergeCell ref="A1:I1"/>
    <mergeCell ref="A2:I2"/>
    <mergeCell ref="A3:I3"/>
    <mergeCell ref="A4:I4"/>
    <mergeCell ref="A16:I16"/>
    <mergeCell ref="A17:H17"/>
    <mergeCell ref="A21:H21"/>
    <mergeCell ref="A18:H18"/>
    <mergeCell ref="A20:H20"/>
    <mergeCell ref="A22:H22"/>
    <mergeCell ref="A23:H23"/>
    <mergeCell ref="A24:H24"/>
    <mergeCell ref="A26:H26"/>
    <mergeCell ref="A27:H27"/>
    <mergeCell ref="A28:H28"/>
    <mergeCell ref="A29:H29"/>
    <mergeCell ref="A30:H30"/>
  </mergeCells>
  <pageMargins left="0.75" right="0.75" top="1" bottom="1" header="0.5" footer="0.5"/>
  <pageSetup scale="84" orientation="landscape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opLeftCell="A40" workbookViewId="0">
      <selection activeCell="B68" sqref="B68"/>
    </sheetView>
  </sheetViews>
  <sheetFormatPr defaultRowHeight="12.75"/>
  <cols>
    <col min="1" max="1" width="40.796875" customWidth="1"/>
    <col min="2" max="2" width="15.73046875" customWidth="1"/>
    <col min="3" max="3" width="16.19921875" customWidth="1"/>
    <col min="4" max="4" width="15.73046875" customWidth="1"/>
    <col min="5" max="5" width="17.53125" bestFit="1" customWidth="1"/>
    <col min="6" max="6" width="15.73046875" customWidth="1"/>
    <col min="7" max="7" width="17.53125" bestFit="1" customWidth="1"/>
    <col min="8" max="8" width="15.73046875" customWidth="1"/>
    <col min="9" max="9" width="17.53125" bestFit="1" customWidth="1"/>
  </cols>
  <sheetData>
    <row r="1" spans="1:9" ht="13.15">
      <c r="A1" s="608" t="str">
        <f>+'Revenue Input'!A1</f>
        <v>Oshawa PUC Networks Inc</v>
      </c>
      <c r="B1" s="608"/>
      <c r="C1" s="608"/>
    </row>
    <row r="3" spans="1:9" ht="8.25" customHeight="1">
      <c r="A3" s="7"/>
      <c r="B3" s="7"/>
      <c r="C3" s="7"/>
      <c r="D3" s="7"/>
      <c r="E3" s="7"/>
      <c r="F3" s="7"/>
      <c r="G3" s="7"/>
      <c r="H3" s="7"/>
      <c r="I3" s="7"/>
    </row>
    <row r="4" spans="1:9" ht="17.25" customHeight="1">
      <c r="A4" s="7"/>
      <c r="B4" s="7"/>
      <c r="C4" s="7"/>
      <c r="D4" s="7"/>
      <c r="E4" s="7"/>
      <c r="F4" s="7"/>
      <c r="G4" s="7"/>
      <c r="H4" s="7"/>
      <c r="I4" s="7"/>
    </row>
    <row r="5" spans="1:9" ht="15" customHeight="1">
      <c r="A5" s="112" t="s">
        <v>35</v>
      </c>
      <c r="B5" s="112"/>
      <c r="C5" s="112"/>
    </row>
    <row r="6" spans="1:9" ht="15" customHeight="1"/>
    <row r="7" spans="1:9" ht="15">
      <c r="A7" s="3" t="s">
        <v>106</v>
      </c>
    </row>
    <row r="8" spans="1:9" ht="15">
      <c r="A8" s="609" t="s">
        <v>83</v>
      </c>
      <c r="B8" s="611" t="s">
        <v>113</v>
      </c>
      <c r="C8" s="612"/>
    </row>
    <row r="9" spans="1:9" ht="15">
      <c r="A9" s="610"/>
      <c r="B9" s="132" t="s">
        <v>32</v>
      </c>
      <c r="C9" s="133" t="s">
        <v>34</v>
      </c>
    </row>
    <row r="10" spans="1:9" ht="15">
      <c r="A10" s="35"/>
      <c r="B10" s="36"/>
      <c r="C10" s="37"/>
    </row>
    <row r="11" spans="1:9" ht="15">
      <c r="A11" s="38" t="str">
        <f>'Forecast Data For 2015 to 2019'!A9</f>
        <v>GS 50 To 999 KW</v>
      </c>
      <c r="B11" s="141">
        <f>'Data '!B9</f>
        <v>108173.41167251767</v>
      </c>
      <c r="C11" s="86">
        <f>+B11*$B$17</f>
        <v>-64904.047003510597</v>
      </c>
      <c r="E11" s="31"/>
      <c r="F11" s="31"/>
      <c r="G11" s="31"/>
      <c r="H11" s="7"/>
      <c r="I11" s="7"/>
    </row>
    <row r="12" spans="1:9" ht="15">
      <c r="A12" s="38" t="str">
        <f>'Forecast Data For 2015 to 2019'!A12</f>
        <v>GS Intermediate 1,000 To 4,999 KW</v>
      </c>
      <c r="B12" s="141">
        <f>'Data '!B10</f>
        <v>174733.21624719797</v>
      </c>
      <c r="C12" s="86">
        <f t="shared" ref="C12:C13" si="0">+B12*$B$17</f>
        <v>-104839.92974831878</v>
      </c>
      <c r="E12" s="31"/>
      <c r="F12" s="31"/>
      <c r="G12" s="31"/>
      <c r="H12" s="7"/>
      <c r="I12" s="7"/>
    </row>
    <row r="13" spans="1:9" ht="15">
      <c r="A13" s="38" t="str">
        <f>'Forecast Data For 2015 to 2019'!A15</f>
        <v>Large Use</v>
      </c>
      <c r="B13" s="141">
        <f>'Data '!B11</f>
        <v>93203.586163430475</v>
      </c>
      <c r="C13" s="86">
        <f t="shared" si="0"/>
        <v>-55922.151698058282</v>
      </c>
      <c r="E13" s="31"/>
      <c r="F13" s="31"/>
      <c r="G13" s="31"/>
      <c r="H13" s="7"/>
      <c r="I13" s="7"/>
    </row>
    <row r="14" spans="1:9" ht="15">
      <c r="A14" s="38"/>
      <c r="B14" s="141"/>
      <c r="C14" s="86"/>
      <c r="E14" s="31"/>
      <c r="F14" s="31"/>
      <c r="G14" s="31"/>
      <c r="H14" s="7"/>
      <c r="I14" s="7"/>
    </row>
    <row r="15" spans="1:9" ht="15">
      <c r="A15" s="39" t="s">
        <v>33</v>
      </c>
      <c r="B15" s="80">
        <f>SUM(B11:B14)</f>
        <v>376110.21408314613</v>
      </c>
      <c r="C15" s="86">
        <f>SUM(C11:C14)</f>
        <v>-225666.12844988768</v>
      </c>
    </row>
    <row r="16" spans="1:9" ht="13.15" thickBot="1"/>
    <row r="17" spans="1:9" ht="15.4" thickBot="1">
      <c r="A17" s="4" t="s">
        <v>84</v>
      </c>
      <c r="B17" s="261">
        <f>'Data '!B14</f>
        <v>-0.6</v>
      </c>
    </row>
    <row r="18" spans="1:9" ht="15">
      <c r="A18" s="4"/>
      <c r="B18" s="171"/>
    </row>
    <row r="19" spans="1:9" ht="15">
      <c r="A19" s="609" t="s">
        <v>83</v>
      </c>
      <c r="B19" s="611" t="s">
        <v>114</v>
      </c>
      <c r="C19" s="613"/>
    </row>
    <row r="20" spans="1:9" ht="15">
      <c r="A20" s="610"/>
      <c r="B20" s="132" t="s">
        <v>32</v>
      </c>
      <c r="C20" s="133" t="s">
        <v>34</v>
      </c>
    </row>
    <row r="21" spans="1:9" ht="15">
      <c r="A21" s="35"/>
      <c r="B21" s="36"/>
      <c r="C21" s="37"/>
    </row>
    <row r="22" spans="1:9" ht="15">
      <c r="A22" s="38" t="str">
        <f>A11</f>
        <v>GS 50 To 999 KW</v>
      </c>
      <c r="B22" s="141">
        <f>'Data '!D9</f>
        <v>110795.85841689903</v>
      </c>
      <c r="C22" s="86">
        <f>+B22*$B$28</f>
        <v>-66477.515050139424</v>
      </c>
      <c r="E22" s="31"/>
      <c r="F22" s="31"/>
      <c r="G22" s="31"/>
      <c r="H22" s="7"/>
      <c r="I22" s="7"/>
    </row>
    <row r="23" spans="1:9" ht="15">
      <c r="A23" s="38" t="str">
        <f t="shared" ref="A23:A24" si="1">A12</f>
        <v>GS Intermediate 1,000 To 4,999 KW</v>
      </c>
      <c r="B23" s="141">
        <f>'Data '!D10</f>
        <v>182799.36194517399</v>
      </c>
      <c r="C23" s="86">
        <f>+B23*$B$28</f>
        <v>-109679.6171671044</v>
      </c>
      <c r="E23" s="31"/>
      <c r="F23" s="31"/>
      <c r="G23" s="31"/>
      <c r="H23" s="7"/>
      <c r="I23" s="7"/>
    </row>
    <row r="24" spans="1:9" ht="15">
      <c r="A24" s="38" t="str">
        <f t="shared" si="1"/>
        <v>Large Use</v>
      </c>
      <c r="B24" s="141">
        <f>'Data '!D11</f>
        <v>96450.886709032784</v>
      </c>
      <c r="C24" s="86">
        <f>+B24*$B$28</f>
        <v>-57870.53202541967</v>
      </c>
      <c r="E24" s="31"/>
      <c r="F24" s="31"/>
      <c r="G24" s="31"/>
      <c r="H24" s="7"/>
      <c r="I24" s="7"/>
    </row>
    <row r="25" spans="1:9" ht="15">
      <c r="A25" s="38"/>
      <c r="B25" s="141"/>
      <c r="C25" s="86">
        <f>+B25*$B$28</f>
        <v>0</v>
      </c>
      <c r="E25" s="31"/>
      <c r="F25" s="31"/>
      <c r="G25" s="31"/>
      <c r="H25" s="7"/>
      <c r="I25" s="7"/>
    </row>
    <row r="26" spans="1:9" ht="15">
      <c r="A26" s="39" t="s">
        <v>33</v>
      </c>
      <c r="B26" s="80">
        <f>SUM(B22:B25)</f>
        <v>390046.10707110586</v>
      </c>
      <c r="C26" s="86">
        <f>SUM(C22:C25)</f>
        <v>-234027.66424266351</v>
      </c>
    </row>
    <row r="27" spans="1:9" ht="13.15" thickBot="1"/>
    <row r="28" spans="1:9" ht="15.4" thickBot="1">
      <c r="A28" s="4" t="s">
        <v>84</v>
      </c>
      <c r="B28" s="261">
        <f>'Data '!D14</f>
        <v>-0.6</v>
      </c>
    </row>
    <row r="29" spans="1:9" ht="15">
      <c r="A29" s="4"/>
      <c r="B29" s="171"/>
    </row>
    <row r="30" spans="1:9" ht="15">
      <c r="A30" s="609" t="s">
        <v>83</v>
      </c>
      <c r="B30" s="611" t="s">
        <v>133</v>
      </c>
      <c r="C30" s="613"/>
    </row>
    <row r="31" spans="1:9" ht="15">
      <c r="A31" s="610"/>
      <c r="B31" s="132" t="s">
        <v>32</v>
      </c>
      <c r="C31" s="133" t="s">
        <v>34</v>
      </c>
    </row>
    <row r="32" spans="1:9" ht="15">
      <c r="A32" s="35"/>
      <c r="B32" s="36"/>
      <c r="C32" s="37"/>
    </row>
    <row r="33" spans="1:3" ht="15">
      <c r="A33" s="38" t="str">
        <f>A22</f>
        <v>GS 50 To 999 KW</v>
      </c>
      <c r="B33" s="141">
        <f>'Data '!F9</f>
        <v>111894.04853174697</v>
      </c>
      <c r="C33" s="86">
        <f>+B33*$B$39</f>
        <v>-67136.429119048174</v>
      </c>
    </row>
    <row r="34" spans="1:3" ht="15">
      <c r="A34" s="38" t="str">
        <f t="shared" ref="A34:A35" si="2">A23</f>
        <v>GS Intermediate 1,000 To 4,999 KW</v>
      </c>
      <c r="B34" s="141">
        <f>'Data '!F10</f>
        <v>182178.42078049609</v>
      </c>
      <c r="C34" s="86">
        <f t="shared" ref="C34:C36" si="3">+B34*$B$39</f>
        <v>-109307.05246829765</v>
      </c>
    </row>
    <row r="35" spans="1:3" ht="15">
      <c r="A35" s="38" t="str">
        <f t="shared" si="2"/>
        <v>Large Use</v>
      </c>
      <c r="B35" s="141">
        <f>'Data '!F11</f>
        <v>96498.434808448525</v>
      </c>
      <c r="C35" s="86">
        <f t="shared" si="3"/>
        <v>-57899.060885069113</v>
      </c>
    </row>
    <row r="36" spans="1:3" ht="15">
      <c r="A36" s="38"/>
      <c r="B36" s="141"/>
      <c r="C36" s="86">
        <f t="shared" si="3"/>
        <v>0</v>
      </c>
    </row>
    <row r="37" spans="1:3" ht="15">
      <c r="A37" s="39" t="s">
        <v>33</v>
      </c>
      <c r="B37" s="80">
        <f>SUM(B33:B36)</f>
        <v>390570.90412069159</v>
      </c>
      <c r="C37" s="86">
        <f>SUM(C33:C36)</f>
        <v>-234342.54247241493</v>
      </c>
    </row>
    <row r="38" spans="1:3" ht="13.15" thickBot="1"/>
    <row r="39" spans="1:3" ht="15.4" thickBot="1">
      <c r="A39" s="4" t="s">
        <v>84</v>
      </c>
      <c r="B39" s="261">
        <f>'Data '!F14</f>
        <v>-0.6</v>
      </c>
    </row>
    <row r="40" spans="1:3" ht="15">
      <c r="A40" s="4"/>
      <c r="B40" s="171"/>
    </row>
    <row r="41" spans="1:3" ht="15">
      <c r="A41" s="609" t="s">
        <v>83</v>
      </c>
      <c r="B41" s="611" t="s">
        <v>134</v>
      </c>
      <c r="C41" s="613"/>
    </row>
    <row r="42" spans="1:3" ht="15">
      <c r="A42" s="610"/>
      <c r="B42" s="132" t="s">
        <v>32</v>
      </c>
      <c r="C42" s="133" t="s">
        <v>34</v>
      </c>
    </row>
    <row r="43" spans="1:3" ht="15">
      <c r="A43" s="35"/>
      <c r="B43" s="36"/>
      <c r="C43" s="37"/>
    </row>
    <row r="44" spans="1:3" ht="15">
      <c r="A44" s="38" t="str">
        <f>A33</f>
        <v>GS 50 To 999 KW</v>
      </c>
      <c r="B44" s="141">
        <f>'Data '!H9</f>
        <v>112563.26847805515</v>
      </c>
      <c r="C44" s="86">
        <f>+B44*$B$50</f>
        <v>-67537.961086833093</v>
      </c>
    </row>
    <row r="45" spans="1:3" ht="15">
      <c r="A45" s="38" t="str">
        <f t="shared" ref="A45:A46" si="4">A34</f>
        <v>GS Intermediate 1,000 To 4,999 KW</v>
      </c>
      <c r="B45" s="141">
        <f>'Data '!H10</f>
        <v>180883.29572115568</v>
      </c>
      <c r="C45" s="86">
        <f t="shared" ref="C45:C47" si="5">+B45*$B$50</f>
        <v>-108529.9774326934</v>
      </c>
    </row>
    <row r="46" spans="1:3" ht="15">
      <c r="A46" s="38" t="str">
        <f t="shared" si="4"/>
        <v>Large Use</v>
      </c>
      <c r="B46" s="141">
        <f>'Data '!H11</f>
        <v>96706.285661989226</v>
      </c>
      <c r="C46" s="86">
        <f t="shared" si="5"/>
        <v>-58023.771397193537</v>
      </c>
    </row>
    <row r="47" spans="1:3" ht="15">
      <c r="A47" s="38"/>
      <c r="B47" s="141"/>
      <c r="C47" s="86">
        <f t="shared" si="5"/>
        <v>0</v>
      </c>
    </row>
    <row r="48" spans="1:3" ht="15">
      <c r="A48" s="39" t="s">
        <v>33</v>
      </c>
      <c r="B48" s="80">
        <f>SUM(B44:B47)</f>
        <v>390152.84986120008</v>
      </c>
      <c r="C48" s="86">
        <f>SUM(C44:C47)</f>
        <v>-234091.70991672005</v>
      </c>
    </row>
    <row r="49" spans="1:3" ht="13.15" thickBot="1"/>
    <row r="50" spans="1:3" ht="15.4" thickBot="1">
      <c r="A50" s="4" t="s">
        <v>84</v>
      </c>
      <c r="B50" s="261">
        <f>'Data '!H14</f>
        <v>-0.6</v>
      </c>
    </row>
    <row r="51" spans="1:3" ht="15">
      <c r="A51" s="4"/>
      <c r="B51" s="171"/>
    </row>
    <row r="52" spans="1:3" ht="15">
      <c r="A52" s="609" t="s">
        <v>83</v>
      </c>
      <c r="B52" s="611" t="s">
        <v>135</v>
      </c>
      <c r="C52" s="613"/>
    </row>
    <row r="53" spans="1:3" ht="15">
      <c r="A53" s="610"/>
      <c r="B53" s="132" t="s">
        <v>32</v>
      </c>
      <c r="C53" s="133" t="s">
        <v>34</v>
      </c>
    </row>
    <row r="54" spans="1:3" ht="15">
      <c r="A54" s="35"/>
      <c r="B54" s="36"/>
      <c r="C54" s="37"/>
    </row>
    <row r="55" spans="1:3" ht="15">
      <c r="A55" s="38" t="str">
        <f>A44</f>
        <v>GS 50 To 999 KW</v>
      </c>
      <c r="B55" s="141">
        <f>'Data '!J9</f>
        <v>108469.95300861838</v>
      </c>
      <c r="C55" s="86">
        <f>+B55*$B$61</f>
        <v>-65081.971805171022</v>
      </c>
    </row>
    <row r="56" spans="1:3" ht="15">
      <c r="A56" s="38" t="str">
        <f t="shared" ref="A56:A57" si="6">A45</f>
        <v>GS Intermediate 1,000 To 4,999 KW</v>
      </c>
      <c r="B56" s="141">
        <f>'Data '!J10</f>
        <v>156952.38297850513</v>
      </c>
      <c r="C56" s="86">
        <f t="shared" ref="C56:C58" si="7">+B56*$B$61</f>
        <v>-94171.429787103072</v>
      </c>
    </row>
    <row r="57" spans="1:3" ht="15">
      <c r="A57" s="38" t="str">
        <f t="shared" si="6"/>
        <v>Large Use</v>
      </c>
      <c r="B57" s="141">
        <f>'Data '!J11</f>
        <v>90488.941198678614</v>
      </c>
      <c r="C57" s="86">
        <f t="shared" si="7"/>
        <v>-54293.364719207166</v>
      </c>
    </row>
    <row r="58" spans="1:3" ht="15">
      <c r="A58" s="38"/>
      <c r="B58" s="141"/>
      <c r="C58" s="86">
        <f t="shared" si="7"/>
        <v>0</v>
      </c>
    </row>
    <row r="59" spans="1:3" ht="15">
      <c r="A59" s="39" t="s">
        <v>33</v>
      </c>
      <c r="B59" s="80">
        <f>SUM(B55:B58)</f>
        <v>355911.27718580217</v>
      </c>
      <c r="C59" s="86">
        <f>SUM(C55:C58)</f>
        <v>-213546.76631148125</v>
      </c>
    </row>
    <row r="60" spans="1:3" ht="13.15" thickBot="1"/>
    <row r="61" spans="1:3" ht="15.4" thickBot="1">
      <c r="A61" s="4" t="s">
        <v>84</v>
      </c>
      <c r="B61" s="261">
        <f>'Data '!J14</f>
        <v>-0.6</v>
      </c>
    </row>
    <row r="62" spans="1:3" ht="15">
      <c r="A62" s="4"/>
      <c r="B62" s="171"/>
    </row>
    <row r="63" spans="1:3" ht="15">
      <c r="A63" s="609" t="s">
        <v>83</v>
      </c>
      <c r="B63" s="611" t="s">
        <v>136</v>
      </c>
      <c r="C63" s="613"/>
    </row>
    <row r="64" spans="1:3" ht="15">
      <c r="A64" s="610"/>
      <c r="B64" s="132" t="s">
        <v>32</v>
      </c>
      <c r="C64" s="133" t="s">
        <v>34</v>
      </c>
    </row>
    <row r="65" spans="1:3" ht="15">
      <c r="A65" s="35"/>
      <c r="B65" s="36"/>
      <c r="C65" s="37"/>
    </row>
    <row r="66" spans="1:3" ht="15">
      <c r="A66" s="38" t="str">
        <f>A55</f>
        <v>GS 50 To 999 KW</v>
      </c>
      <c r="B66" s="141">
        <f>'Data '!L9</f>
        <v>108606.37606094687</v>
      </c>
      <c r="C66" s="86">
        <f>+B66*$B$72</f>
        <v>-65163.825636568123</v>
      </c>
    </row>
    <row r="67" spans="1:3" ht="15">
      <c r="A67" s="38" t="str">
        <f t="shared" ref="A67:A68" si="8">A56</f>
        <v>GS Intermediate 1,000 To 4,999 KW</v>
      </c>
      <c r="B67" s="141">
        <f>'Data '!L10</f>
        <v>158219.35203689666</v>
      </c>
      <c r="C67" s="86">
        <f t="shared" ref="C67:C69" si="9">+B67*$B$72</f>
        <v>-94931.611222137988</v>
      </c>
    </row>
    <row r="68" spans="1:3" ht="15">
      <c r="A68" s="38" t="str">
        <f t="shared" si="8"/>
        <v>Large Use</v>
      </c>
      <c r="B68" s="141">
        <f>'Data '!L11</f>
        <v>88370.658378621389</v>
      </c>
      <c r="C68" s="86">
        <f t="shared" si="9"/>
        <v>-53022.395027172832</v>
      </c>
    </row>
    <row r="69" spans="1:3" ht="15">
      <c r="A69" s="38"/>
      <c r="B69" s="141"/>
      <c r="C69" s="86">
        <f t="shared" si="9"/>
        <v>0</v>
      </c>
    </row>
    <row r="70" spans="1:3" ht="15">
      <c r="A70" s="39" t="s">
        <v>33</v>
      </c>
      <c r="B70" s="80">
        <f>SUM(B66:B69)</f>
        <v>355196.38647646492</v>
      </c>
      <c r="C70" s="86">
        <f>SUM(C66:C69)</f>
        <v>-213117.83188587896</v>
      </c>
    </row>
    <row r="71" spans="1:3" ht="13.15" thickBot="1"/>
    <row r="72" spans="1:3" ht="15.4" thickBot="1">
      <c r="A72" s="4" t="s">
        <v>84</v>
      </c>
      <c r="B72" s="261">
        <f>'Data '!L14</f>
        <v>-0.6</v>
      </c>
    </row>
  </sheetData>
  <mergeCells count="13">
    <mergeCell ref="A63:A64"/>
    <mergeCell ref="B63:C63"/>
    <mergeCell ref="A30:A31"/>
    <mergeCell ref="B30:C30"/>
    <mergeCell ref="A41:A42"/>
    <mergeCell ref="B41:C41"/>
    <mergeCell ref="A52:A53"/>
    <mergeCell ref="B52:C52"/>
    <mergeCell ref="A1:C1"/>
    <mergeCell ref="A8:A9"/>
    <mergeCell ref="B8:C8"/>
    <mergeCell ref="B19:C19"/>
    <mergeCell ref="A19:A20"/>
  </mergeCells>
  <phoneticPr fontId="0" type="noConversion"/>
  <pageMargins left="0.75" right="0.75" top="1" bottom="1" header="0.5" footer="0.5"/>
  <pageSetup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topLeftCell="A7" workbookViewId="0">
      <selection activeCell="I28" sqref="I28"/>
    </sheetView>
  </sheetViews>
  <sheetFormatPr defaultRowHeight="12.7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2" max="12" width="10.19921875" customWidth="1"/>
  </cols>
  <sheetData>
    <row r="1" spans="1:10" ht="13.15">
      <c r="A1" s="608" t="str">
        <f>+'Revenue Input'!A1</f>
        <v>Oshawa PUC Networks Inc</v>
      </c>
      <c r="B1" s="608"/>
      <c r="C1" s="608"/>
      <c r="D1" s="608"/>
      <c r="E1" s="608"/>
      <c r="F1" s="608"/>
      <c r="G1" s="608"/>
      <c r="H1" s="608"/>
      <c r="I1" s="608"/>
    </row>
    <row r="2" spans="1:10" ht="7.5" customHeight="1">
      <c r="A2" s="617"/>
      <c r="B2" s="617"/>
      <c r="C2" s="617"/>
      <c r="D2" s="617"/>
      <c r="E2" s="617"/>
      <c r="F2" s="617"/>
      <c r="G2" s="617"/>
      <c r="H2" s="617"/>
      <c r="I2" s="617"/>
    </row>
    <row r="3" spans="1:10" ht="15">
      <c r="A3" s="661" t="s">
        <v>256</v>
      </c>
      <c r="B3" s="662"/>
      <c r="C3" s="662"/>
      <c r="D3" s="662"/>
      <c r="E3" s="662"/>
      <c r="F3" s="662"/>
      <c r="G3" s="662"/>
      <c r="H3" s="662"/>
      <c r="I3" s="662"/>
    </row>
    <row r="4" spans="1:10" ht="8.25" customHeight="1">
      <c r="A4" s="662"/>
      <c r="B4" s="662"/>
      <c r="C4" s="662"/>
      <c r="D4" s="662"/>
      <c r="E4" s="662"/>
      <c r="F4" s="662"/>
      <c r="G4" s="662"/>
      <c r="H4" s="662"/>
      <c r="I4" s="662"/>
    </row>
    <row r="5" spans="1:10" ht="39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0" ht="20.2" customHeight="1">
      <c r="A6" s="82" t="str">
        <f>'Dist. Revenue Reconciliation'!A6</f>
        <v>Residential</v>
      </c>
      <c r="B6" s="74">
        <f>+'Forecast Data For 2015 to 2019'!$F$6</f>
        <v>480011939.38473219</v>
      </c>
      <c r="C6" s="74"/>
      <c r="D6" s="74"/>
      <c r="E6" s="74">
        <f>+'Forecast Data For 2015 to 2019'!$F$5*12</f>
        <v>645754.13985089678</v>
      </c>
      <c r="F6" s="74"/>
      <c r="G6" s="85">
        <f>+E6*ROUND('Rates By Rate Class'!D68,2)</f>
        <v>9182623.8686797526</v>
      </c>
      <c r="H6" s="85">
        <f>+B6*ROUND('Rates By Rate Class'!E68,4)</f>
        <v>5232130.1392935812</v>
      </c>
      <c r="I6" s="85">
        <f>+G6+H6</f>
        <v>14414754.007973334</v>
      </c>
      <c r="J6" s="30"/>
    </row>
    <row r="7" spans="1:10" ht="20.2" customHeight="1">
      <c r="A7" s="82" t="str">
        <f>'Dist. Revenue Reconciliation'!A7</f>
        <v>GS Less Than 50 KW</v>
      </c>
      <c r="B7" s="74">
        <f>+'Forecast Data For 2015 to 2019'!$F$8</f>
        <v>129585178.21250525</v>
      </c>
      <c r="C7" s="74"/>
      <c r="D7" s="74"/>
      <c r="E7" s="74">
        <f>+'Forecast Data For 2015 to 2019'!$F$7*12</f>
        <v>50653.795759968212</v>
      </c>
      <c r="F7" s="74"/>
      <c r="G7" s="85">
        <f>+E7*ROUND('Rates By Rate Class'!D69,2)</f>
        <v>822617.64314188366</v>
      </c>
      <c r="H7" s="85">
        <f>+B7*ROUND('Rates By Rate Class'!E69,4)</f>
        <v>2086321.3692213346</v>
      </c>
      <c r="I7" s="85">
        <f t="shared" ref="I7:I13" si="0">+G7+H7</f>
        <v>2908939.0123632182</v>
      </c>
      <c r="J7" s="30"/>
    </row>
    <row r="8" spans="1:10" ht="20.2" customHeight="1">
      <c r="A8" s="82" t="str">
        <f>'Dist. Revenue Reconciliation'!A8</f>
        <v>GS 50 To 999 KW</v>
      </c>
      <c r="B8" s="74">
        <f>+'Forecast Data For 2015 to 2019'!$F$11</f>
        <v>329595262.30701321</v>
      </c>
      <c r="C8" s="74">
        <f>+'Forecast Data For 2015 to 2019'!$F$10</f>
        <v>834069.22595941229</v>
      </c>
      <c r="D8" s="74">
        <f>'Transformer Allowance'!B55</f>
        <v>108469.95300861838</v>
      </c>
      <c r="E8" s="74">
        <f>+'Forecast Data For 2015 to 2019'!$F$9*12</f>
        <v>6309.5999999999995</v>
      </c>
      <c r="F8" s="74"/>
      <c r="G8" s="85">
        <f>+E8*ROUND('Rates By Rate Class'!D70,2)</f>
        <v>336490.96799999994</v>
      </c>
      <c r="H8" s="85">
        <f>+C8*ROUND('Rates By Rate Class'!E70,4)</f>
        <v>3810945.7003311506</v>
      </c>
      <c r="I8" s="85">
        <f t="shared" si="0"/>
        <v>4147436.6683311504</v>
      </c>
      <c r="J8" s="30"/>
    </row>
    <row r="9" spans="1:10" ht="20.2" customHeight="1">
      <c r="A9" s="82" t="str">
        <f>'Dist. Revenue Reconciliation'!A9</f>
        <v>GS Intermediate 1,000 To 4,999 KW</v>
      </c>
      <c r="B9" s="74">
        <f>+'Forecast Data For 2015 to 2019'!$F$14</f>
        <v>75038332.350385889</v>
      </c>
      <c r="C9" s="74">
        <f>+'Forecast Data For 2015 to 2019'!$F$13</f>
        <v>167714.00346680533</v>
      </c>
      <c r="D9" s="74">
        <f>'Transformer Allowance'!B56</f>
        <v>156952.38297850513</v>
      </c>
      <c r="E9" s="74">
        <f>+'Forecast Data For 2015 to 2019'!$F$12*12</f>
        <v>158.39999999999998</v>
      </c>
      <c r="F9" s="74"/>
      <c r="G9" s="85">
        <f>+E9*ROUND('Rates By Rate Class'!D71,2)</f>
        <v>177525.21599999999</v>
      </c>
      <c r="H9" s="85">
        <f>+C9*ROUND('Rates By Rate Class'!E71,4)</f>
        <v>406639.37280561618</v>
      </c>
      <c r="I9" s="85">
        <f>+G9+H9</f>
        <v>584164.58880561613</v>
      </c>
      <c r="J9" s="30"/>
    </row>
    <row r="10" spans="1:10" ht="20.2" customHeight="1">
      <c r="A10" s="82" t="str">
        <f>'Dist. Revenue Reconciliation'!A10</f>
        <v>Large Use</v>
      </c>
      <c r="B10" s="74">
        <f>'Forecast Data For 2015 to 2019'!$F$17</f>
        <v>39807306.868036307</v>
      </c>
      <c r="C10" s="74">
        <f>+'Forecast Data For 2015 to 2019'!$F$16</f>
        <v>90488.372107827323</v>
      </c>
      <c r="D10" s="74">
        <f>'Transformer Allowance'!B57</f>
        <v>90488.941198678614</v>
      </c>
      <c r="E10" s="74">
        <f>+'Forecast Data For 2015 to 2019'!$F$15*12</f>
        <v>12</v>
      </c>
      <c r="F10" s="74"/>
      <c r="G10" s="85">
        <f>+E10*ROUND('Rates By Rate Class'!D72,2)</f>
        <v>102335.76</v>
      </c>
      <c r="H10" s="85">
        <f>+C10*ROUND('Rates By Rate Class'!E72,4)</f>
        <v>189871.75119385408</v>
      </c>
      <c r="I10" s="85">
        <f t="shared" si="0"/>
        <v>292207.51119385409</v>
      </c>
      <c r="J10" s="30"/>
    </row>
    <row r="11" spans="1:10" ht="20.2" customHeight="1">
      <c r="A11" s="82" t="str">
        <f>'Dist. Revenue Reconciliation'!A11</f>
        <v>Street Lighting</v>
      </c>
      <c r="B11" s="74">
        <f>'Forecast Data For 2015 to 2019'!$F$20</f>
        <v>4912438.1569634676</v>
      </c>
      <c r="C11" s="74">
        <f>'Forecast Data For 2015 to 2019'!$F$19</f>
        <v>13345.422407816242</v>
      </c>
      <c r="D11" s="74"/>
      <c r="E11" s="74"/>
      <c r="F11" s="74">
        <f>'Forecast Data For 2015 to 2019'!$F$18*12</f>
        <v>161666.62527582207</v>
      </c>
      <c r="G11" s="85">
        <f>+F11*ROUND('Rates By Rate Class'!D73,2)</f>
        <v>310399.92052957835</v>
      </c>
      <c r="H11" s="85">
        <f>+C11*ROUND('Rates By Rate Class'!E73,4)</f>
        <v>395910.63931923977</v>
      </c>
      <c r="I11" s="85">
        <f t="shared" si="0"/>
        <v>706310.55984881811</v>
      </c>
      <c r="J11" s="30"/>
    </row>
    <row r="12" spans="1:10" ht="20.2" customHeight="1">
      <c r="A12" s="82" t="str">
        <f>'Dist. Revenue Reconciliation'!A12</f>
        <v>Sentinel Lighting</v>
      </c>
      <c r="B12" s="74">
        <f>+'Forecast Data For 2015 to 2019'!$F$23</f>
        <v>33345.033034021741</v>
      </c>
      <c r="C12" s="74">
        <f>+'Forecast Data For 2015 to 2019'!$F$22</f>
        <v>96.768186330400098</v>
      </c>
      <c r="D12" s="74"/>
      <c r="E12" s="74"/>
      <c r="F12" s="74">
        <f>+'Forecast Data For 2015 to 2019'!$F$21*12</f>
        <v>272.36112896379973</v>
      </c>
      <c r="G12" s="85">
        <f>+F12*ROUND('Rates By Rate Class'!D74,2)</f>
        <v>1462.5792625356046</v>
      </c>
      <c r="H12" s="85">
        <f>+C12*ROUND('Rates By Rate Class'!E74,4)</f>
        <v>742.32811097776516</v>
      </c>
      <c r="I12" s="85">
        <f t="shared" si="0"/>
        <v>2204.9073735133697</v>
      </c>
      <c r="J12" s="30"/>
    </row>
    <row r="13" spans="1:10" ht="20.2" customHeight="1">
      <c r="A13" s="82" t="str">
        <f>'Dist. Revenue Reconciliation'!A13</f>
        <v>Unmetered Scattered Load</v>
      </c>
      <c r="B13" s="74">
        <f>+'Forecast Data For 2015 to 2019'!$F$26</f>
        <v>2612658.5895418967</v>
      </c>
      <c r="C13" s="74"/>
      <c r="D13" s="74"/>
      <c r="E13" s="74"/>
      <c r="F13" s="74">
        <f>+'Forecast Data For 2015 to 2019'!$F$24*12</f>
        <v>3249.1175176904344</v>
      </c>
      <c r="G13" s="85">
        <f>+F13*ROUND('Rates By Rate Class'!D75,2)</f>
        <v>14458.572953722434</v>
      </c>
      <c r="H13" s="85">
        <f>+B13*ROUND('Rates By Rate Class'!E75,4)</f>
        <v>47550.38632966252</v>
      </c>
      <c r="I13" s="85">
        <f t="shared" si="0"/>
        <v>62008.959283384953</v>
      </c>
      <c r="J13" s="30"/>
    </row>
    <row r="14" spans="1:10" ht="20.2" customHeight="1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0" ht="24.75" customHeight="1" thickBot="1">
      <c r="A15" s="177" t="s">
        <v>37</v>
      </c>
      <c r="B15" s="75">
        <f t="shared" ref="B15:I15" si="1">SUM(B6:B14)</f>
        <v>1061596460.9022121</v>
      </c>
      <c r="C15" s="75">
        <f t="shared" si="1"/>
        <v>1105713.7921281913</v>
      </c>
      <c r="D15" s="75">
        <f t="shared" si="1"/>
        <v>355911.27718580217</v>
      </c>
      <c r="E15" s="75">
        <f t="shared" si="1"/>
        <v>702887.93561086501</v>
      </c>
      <c r="F15" s="75">
        <f t="shared" si="1"/>
        <v>165188.10392247629</v>
      </c>
      <c r="G15" s="76">
        <f t="shared" si="1"/>
        <v>10947914.528567472</v>
      </c>
      <c r="H15" s="76">
        <f t="shared" si="1"/>
        <v>12170111.686605416</v>
      </c>
      <c r="I15" s="76">
        <f t="shared" si="1"/>
        <v>23118026.215172891</v>
      </c>
    </row>
    <row r="16" spans="1:10" ht="9.75" customHeight="1" thickTop="1">
      <c r="A16" s="617"/>
      <c r="B16" s="617"/>
      <c r="C16" s="617"/>
      <c r="D16" s="617"/>
      <c r="E16" s="617"/>
      <c r="F16" s="617"/>
      <c r="G16" s="617"/>
      <c r="H16" s="617"/>
      <c r="I16" s="617"/>
    </row>
    <row r="17" spans="1:15" ht="18" customHeight="1">
      <c r="A17" s="663" t="s">
        <v>60</v>
      </c>
      <c r="B17" s="617"/>
      <c r="C17" s="617"/>
      <c r="D17" s="617"/>
      <c r="E17" s="617"/>
      <c r="F17" s="617"/>
      <c r="G17" s="617"/>
      <c r="H17" s="617"/>
      <c r="I17" s="175"/>
    </row>
    <row r="18" spans="1:15" ht="18" customHeight="1">
      <c r="A18" s="664" t="str">
        <f>A8</f>
        <v>GS 50 To 999 KW</v>
      </c>
      <c r="B18" s="617"/>
      <c r="C18" s="617"/>
      <c r="D18" s="617"/>
      <c r="E18" s="617"/>
      <c r="F18" s="617"/>
      <c r="G18" s="617"/>
      <c r="H18" s="617"/>
      <c r="I18" s="185">
        <f>'Transformer Allowance'!C55</f>
        <v>-65081.971805171022</v>
      </c>
    </row>
    <row r="19" spans="1:15" ht="18" customHeight="1">
      <c r="A19" s="181" t="str">
        <f>+A9</f>
        <v>GS Intermediate 1,000 To 4,999 KW</v>
      </c>
      <c r="B19" s="175"/>
      <c r="C19" s="175"/>
      <c r="D19" s="175"/>
      <c r="E19" s="175"/>
      <c r="F19" s="175"/>
      <c r="G19" s="175"/>
      <c r="H19" s="175"/>
      <c r="I19" s="185">
        <f>'Transformer Allowance'!C56</f>
        <v>-94171.429787103072</v>
      </c>
    </row>
    <row r="20" spans="1:15" ht="18" customHeight="1">
      <c r="A20" s="664" t="str">
        <f>A10</f>
        <v>Large Use</v>
      </c>
      <c r="B20" s="617"/>
      <c r="C20" s="617"/>
      <c r="D20" s="617"/>
      <c r="E20" s="617"/>
      <c r="F20" s="617"/>
      <c r="G20" s="617"/>
      <c r="H20" s="617"/>
      <c r="I20" s="185">
        <f>'Transformer Allowance'!C57</f>
        <v>-54293.364719207166</v>
      </c>
    </row>
    <row r="21" spans="1:15" ht="18" customHeight="1">
      <c r="A21" s="664" t="str">
        <f>A11</f>
        <v>Street Lighting</v>
      </c>
      <c r="B21" s="617"/>
      <c r="C21" s="617"/>
      <c r="D21" s="617"/>
      <c r="E21" s="617"/>
      <c r="F21" s="617"/>
      <c r="G21" s="617"/>
      <c r="H21" s="617"/>
      <c r="I21" s="185">
        <f>'Transformer Allowance'!C47</f>
        <v>0</v>
      </c>
    </row>
    <row r="22" spans="1:15" ht="8.1999999999999993" customHeight="1">
      <c r="A22" s="617"/>
      <c r="B22" s="617"/>
      <c r="C22" s="617"/>
      <c r="D22" s="617"/>
      <c r="E22" s="617"/>
      <c r="F22" s="617"/>
      <c r="G22" s="617"/>
      <c r="H22" s="617"/>
      <c r="I22" s="87"/>
    </row>
    <row r="23" spans="1:15" ht="18" customHeight="1" thickBot="1">
      <c r="A23" s="619" t="s">
        <v>61</v>
      </c>
      <c r="B23" s="619"/>
      <c r="C23" s="619"/>
      <c r="D23" s="619"/>
      <c r="E23" s="619"/>
      <c r="F23" s="619"/>
      <c r="G23" s="619"/>
      <c r="H23" s="619"/>
      <c r="I23" s="88">
        <f>+I15+I18+I19+I20</f>
        <v>22904479.448861409</v>
      </c>
    </row>
    <row r="24" spans="1:15" ht="8.1999999999999993" customHeight="1" thickTop="1">
      <c r="A24" s="617"/>
      <c r="B24" s="617"/>
      <c r="C24" s="617"/>
      <c r="D24" s="617"/>
      <c r="E24" s="617"/>
      <c r="F24" s="617"/>
      <c r="G24" s="617"/>
      <c r="H24" s="617"/>
      <c r="I24" s="89"/>
    </row>
    <row r="25" spans="1:15" ht="18" customHeight="1">
      <c r="A25" s="647" t="s">
        <v>58</v>
      </c>
      <c r="B25" s="647"/>
      <c r="C25" s="647"/>
      <c r="D25" s="647"/>
      <c r="E25" s="647"/>
      <c r="F25" s="647"/>
      <c r="G25" s="647"/>
      <c r="H25" s="647"/>
      <c r="I25" s="90">
        <f>+'Revenue Input'!E6</f>
        <v>1389649.886392134</v>
      </c>
    </row>
    <row r="26" spans="1:15" ht="18" customHeight="1" thickBot="1">
      <c r="A26" s="619" t="s">
        <v>59</v>
      </c>
      <c r="B26" s="619"/>
      <c r="C26" s="619"/>
      <c r="D26" s="619"/>
      <c r="E26" s="619"/>
      <c r="F26" s="619"/>
      <c r="G26" s="619"/>
      <c r="H26" s="619"/>
      <c r="I26" s="91">
        <f>+I23+I25</f>
        <v>24294129.335253544</v>
      </c>
    </row>
    <row r="27" spans="1:15" ht="8.1999999999999993" customHeight="1">
      <c r="A27" s="617"/>
      <c r="B27" s="617"/>
      <c r="C27" s="617"/>
      <c r="D27" s="617"/>
      <c r="E27" s="617"/>
      <c r="F27" s="617"/>
      <c r="G27" s="617"/>
      <c r="H27" s="617"/>
      <c r="I27" s="89"/>
    </row>
    <row r="28" spans="1:15" ht="18" customHeight="1" thickBot="1">
      <c r="A28" s="619" t="s">
        <v>56</v>
      </c>
      <c r="B28" s="619"/>
      <c r="C28" s="619"/>
      <c r="D28" s="619"/>
      <c r="E28" s="619"/>
      <c r="F28" s="619"/>
      <c r="G28" s="619"/>
      <c r="H28" s="619"/>
      <c r="I28" s="91">
        <f>+'Revenue Input'!E5</f>
        <v>25130180.327870287</v>
      </c>
    </row>
    <row r="29" spans="1:15" ht="8.1999999999999993" customHeight="1" thickBot="1">
      <c r="A29" s="617"/>
      <c r="B29" s="617"/>
      <c r="C29" s="617"/>
      <c r="D29" s="617"/>
      <c r="E29" s="617"/>
      <c r="F29" s="617"/>
      <c r="G29" s="617"/>
      <c r="H29" s="617"/>
      <c r="I29" s="92"/>
    </row>
    <row r="30" spans="1:15" ht="18" customHeight="1" thickBot="1">
      <c r="A30" s="619" t="s">
        <v>57</v>
      </c>
      <c r="B30" s="619"/>
      <c r="C30" s="619"/>
      <c r="D30" s="619"/>
      <c r="E30" s="619"/>
      <c r="F30" s="619"/>
      <c r="G30" s="619"/>
      <c r="H30" s="619"/>
      <c r="I30" s="158">
        <f>+I28-I26</f>
        <v>836050.99261674285</v>
      </c>
      <c r="L30" s="376">
        <v>836050.99261673808</v>
      </c>
      <c r="M30" s="377" t="s">
        <v>252</v>
      </c>
      <c r="N30" s="188"/>
      <c r="O30" s="189"/>
    </row>
    <row r="31" spans="1:15" ht="13.5" thickTop="1" thickBot="1">
      <c r="L31" s="378">
        <f>L30-I30</f>
        <v>-4.7730281949043274E-9</v>
      </c>
      <c r="M31" s="379" t="s">
        <v>253</v>
      </c>
      <c r="N31" s="380"/>
      <c r="O31" s="381"/>
    </row>
    <row r="32" spans="1:15">
      <c r="G32" s="14"/>
      <c r="H32" s="14"/>
      <c r="I32" s="14"/>
      <c r="J32" s="14"/>
      <c r="K32" s="14"/>
      <c r="L32" s="383"/>
    </row>
    <row r="33" spans="7:11">
      <c r="G33" s="14"/>
      <c r="H33" s="14"/>
      <c r="I33" s="14"/>
      <c r="J33" s="14"/>
      <c r="K33" s="14"/>
    </row>
    <row r="34" spans="7:11">
      <c r="I34" s="8"/>
    </row>
  </sheetData>
  <mergeCells count="18">
    <mergeCell ref="A26:H26"/>
    <mergeCell ref="A27:H27"/>
    <mergeCell ref="A28:H28"/>
    <mergeCell ref="A29:H29"/>
    <mergeCell ref="A30:H30"/>
    <mergeCell ref="A24:H24"/>
    <mergeCell ref="A25:H25"/>
    <mergeCell ref="A1:I1"/>
    <mergeCell ref="A2:I2"/>
    <mergeCell ref="A3:I3"/>
    <mergeCell ref="A4:I4"/>
    <mergeCell ref="A16:I16"/>
    <mergeCell ref="A17:H17"/>
    <mergeCell ref="A21:H21"/>
    <mergeCell ref="A18:H18"/>
    <mergeCell ref="A20:H20"/>
    <mergeCell ref="A22:H22"/>
    <mergeCell ref="A23:H23"/>
  </mergeCells>
  <pageMargins left="0.75" right="0.75" top="1" bottom="1" header="0.5" footer="0.5"/>
  <pageSetup scale="84" orientation="landscape" horizontalDpi="355" verticalDpi="35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workbookViewId="0">
      <selection activeCell="H35" sqref="H35"/>
    </sheetView>
  </sheetViews>
  <sheetFormatPr defaultRowHeight="12.7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2" max="12" width="16.19921875" customWidth="1"/>
    <col min="13" max="13" width="12.53125" style="307" customWidth="1"/>
  </cols>
  <sheetData>
    <row r="1" spans="1:12" ht="13.15">
      <c r="A1" s="608" t="str">
        <f>+'Revenue Input'!A1</f>
        <v>Oshawa PUC Networks Inc</v>
      </c>
      <c r="B1" s="608"/>
      <c r="C1" s="608"/>
      <c r="D1" s="608"/>
      <c r="E1" s="608"/>
      <c r="F1" s="608"/>
      <c r="G1" s="608"/>
      <c r="H1" s="608"/>
      <c r="I1" s="608"/>
    </row>
    <row r="2" spans="1:12" ht="7.5" customHeight="1">
      <c r="A2" s="617"/>
      <c r="B2" s="617"/>
      <c r="C2" s="617"/>
      <c r="D2" s="617"/>
      <c r="E2" s="617"/>
      <c r="F2" s="617"/>
      <c r="G2" s="617"/>
      <c r="H2" s="617"/>
      <c r="I2" s="617"/>
    </row>
    <row r="3" spans="1:12" ht="15">
      <c r="A3" s="661" t="s">
        <v>257</v>
      </c>
      <c r="B3" s="662"/>
      <c r="C3" s="662"/>
      <c r="D3" s="662"/>
      <c r="E3" s="662"/>
      <c r="F3" s="662"/>
      <c r="G3" s="662"/>
      <c r="H3" s="662"/>
      <c r="I3" s="662"/>
    </row>
    <row r="4" spans="1:12" ht="8.25" customHeight="1">
      <c r="A4" s="662"/>
      <c r="B4" s="662"/>
      <c r="C4" s="662"/>
      <c r="D4" s="662"/>
      <c r="E4" s="662"/>
      <c r="F4" s="662"/>
      <c r="G4" s="662"/>
      <c r="H4" s="662"/>
      <c r="I4" s="662"/>
    </row>
    <row r="5" spans="1:12" ht="39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2" ht="20.2" customHeight="1">
      <c r="A6" s="82" t="str">
        <f>'Dist. Revenue Reconciliation'!A6</f>
        <v>Residential</v>
      </c>
      <c r="B6" s="74">
        <f>+'Forecast Data For 2015 to 2019'!$G$6</f>
        <v>478548339.49470502</v>
      </c>
      <c r="C6" s="74"/>
      <c r="D6" s="74"/>
      <c r="E6" s="74">
        <f>+'Forecast Data For 2015 to 2019'!$G$5*12</f>
        <v>657378.03088320931</v>
      </c>
      <c r="F6" s="74"/>
      <c r="G6" s="85">
        <f>+E6*ROUND('Rates By Rate Class'!D99,2)</f>
        <v>11405508.835823683</v>
      </c>
      <c r="H6" s="85">
        <f>+B6*ROUND('Rates By Rate Class'!E99,4)</f>
        <v>3732677.0480586989</v>
      </c>
      <c r="I6" s="85">
        <f>+G6+H6</f>
        <v>15138185.883882381</v>
      </c>
      <c r="J6" s="30"/>
      <c r="L6" s="307"/>
    </row>
    <row r="7" spans="1:12" ht="20.2" customHeight="1">
      <c r="A7" s="82" t="str">
        <f>'Dist. Revenue Reconciliation'!A7</f>
        <v>GS Less Than 50 KW</v>
      </c>
      <c r="B7" s="74">
        <f>+'Forecast Data For 2015 to 2019'!$G$8</f>
        <v>129015225.78797366</v>
      </c>
      <c r="C7" s="74"/>
      <c r="D7" s="74"/>
      <c r="E7" s="74">
        <f>+'Forecast Data For 2015 to 2019'!$G$7*12</f>
        <v>51565.327010553097</v>
      </c>
      <c r="F7" s="74"/>
      <c r="G7" s="85">
        <f>+E7*ROUND('Rates By Rate Class'!D100,2)</f>
        <v>828654.80505958828</v>
      </c>
      <c r="H7" s="85">
        <f>+B7*ROUND('Rates By Rate Class'!E100,4)</f>
        <v>2193258.8383955522</v>
      </c>
      <c r="I7" s="85">
        <f t="shared" ref="I7:I13" si="0">+G7+H7</f>
        <v>3021913.6434551403</v>
      </c>
      <c r="J7" s="30"/>
      <c r="L7" s="307"/>
    </row>
    <row r="8" spans="1:12" ht="20.2" customHeight="1">
      <c r="A8" s="82" t="str">
        <f>'Dist. Revenue Reconciliation'!A8</f>
        <v>GS 50 To 999 KW</v>
      </c>
      <c r="B8" s="74">
        <f>+'Forecast Data For 2015 to 2019'!$G$11</f>
        <v>330009795.46084768</v>
      </c>
      <c r="C8" s="74">
        <f>+'Forecast Data For 2015 to 2019'!$G$10</f>
        <v>835118.23784245062</v>
      </c>
      <c r="D8" s="74">
        <f>'Transformer Allowance'!B66</f>
        <v>108606.37606094687</v>
      </c>
      <c r="E8" s="74">
        <f>+'Forecast Data For 2015 to 2019'!$G$9*12</f>
        <v>6423.5999999999995</v>
      </c>
      <c r="F8" s="74"/>
      <c r="G8" s="85">
        <f>+E8*ROUND('Rates By Rate Class'!D101,2)</f>
        <v>355096.60799999995</v>
      </c>
      <c r="H8" s="85">
        <f>+C8*ROUND('Rates By Rate Class'!E101,4)</f>
        <v>3952614.6197083183</v>
      </c>
      <c r="I8" s="85">
        <f t="shared" si="0"/>
        <v>4307711.2277083183</v>
      </c>
      <c r="J8" s="30"/>
      <c r="L8" s="307"/>
    </row>
    <row r="9" spans="1:12" ht="20.2" customHeight="1">
      <c r="A9" s="82" t="str">
        <f>'Dist. Revenue Reconciliation'!A9</f>
        <v>GS Intermediate 1,000 To 4,999 KW</v>
      </c>
      <c r="B9" s="74">
        <f>+'Forecast Data For 2015 to 2019'!$G$14</f>
        <v>75644065.398059711</v>
      </c>
      <c r="C9" s="74">
        <f>+'Forecast Data For 2015 to 2019'!$G$13</f>
        <v>169067.84371452243</v>
      </c>
      <c r="D9" s="74">
        <f>'Transformer Allowance'!B67</f>
        <v>158219.35203689666</v>
      </c>
      <c r="E9" s="74">
        <f>+'Forecast Data For 2015 to 2019'!$G$12*12</f>
        <v>170.39999999999998</v>
      </c>
      <c r="F9" s="74"/>
      <c r="G9" s="85">
        <f>+E9*ROUND('Rates By Rate Class'!D102,2)</f>
        <v>197945.16</v>
      </c>
      <c r="H9" s="85">
        <f>+C9*ROUND('Rates By Rate Class'!E102,4)</f>
        <v>421418.5072428186</v>
      </c>
      <c r="I9" s="85">
        <f>+G9+H9</f>
        <v>619363.66724281863</v>
      </c>
      <c r="J9" s="30"/>
      <c r="L9" s="307"/>
    </row>
    <row r="10" spans="1:12" ht="20.2" customHeight="1">
      <c r="A10" s="82" t="str">
        <f>'Dist. Revenue Reconciliation'!A10</f>
        <v>Large Use</v>
      </c>
      <c r="B10" s="74">
        <f>'Forecast Data For 2015 to 2019'!$G$17</f>
        <v>38875445.657878414</v>
      </c>
      <c r="C10" s="74">
        <f>+'Forecast Data For 2015 to 2019'!$G$16</f>
        <v>88370.102609788868</v>
      </c>
      <c r="D10" s="74">
        <f>'Transformer Allowance'!B68</f>
        <v>88370.658378621389</v>
      </c>
      <c r="E10" s="74">
        <f>+'Forecast Data For 2015 to 2019'!$G$15*12</f>
        <v>12</v>
      </c>
      <c r="F10" s="74"/>
      <c r="G10" s="85">
        <f>+E10*ROUND('Rates By Rate Class'!D103,2)</f>
        <v>106071.24</v>
      </c>
      <c r="H10" s="85">
        <f>+C10*ROUND('Rates By Rate Class'!E103,4)</f>
        <v>190260.83091887544</v>
      </c>
      <c r="I10" s="85">
        <f t="shared" si="0"/>
        <v>296332.07091887546</v>
      </c>
      <c r="J10" s="30"/>
      <c r="L10" s="307"/>
    </row>
    <row r="11" spans="1:12" ht="20.2" customHeight="1">
      <c r="A11" s="82" t="str">
        <f>'Dist. Revenue Reconciliation'!A11</f>
        <v>Street Lighting</v>
      </c>
      <c r="B11" s="74">
        <f>'Forecast Data For 2015 to 2019'!$G$20</f>
        <v>5117254.1990519855</v>
      </c>
      <c r="C11" s="74">
        <f>'Forecast Data For 2015 to 2019'!$G$19</f>
        <v>13901.837880180767</v>
      </c>
      <c r="D11" s="74"/>
      <c r="E11" s="74"/>
      <c r="F11" s="74">
        <f>'Forecast Data For 2015 to 2019'!$G$18*12</f>
        <v>164846.34686765232</v>
      </c>
      <c r="G11" s="85">
        <f>+F11*ROUND('Rates By Rate Class'!D104,2)</f>
        <v>328044.23026662809</v>
      </c>
      <c r="H11" s="85">
        <f>+C11*ROUND('Rates By Rate Class'!E104,4)</f>
        <v>427471.7835290425</v>
      </c>
      <c r="I11" s="85">
        <f t="shared" si="0"/>
        <v>755516.01379567059</v>
      </c>
      <c r="J11" s="30"/>
      <c r="L11" s="307"/>
    </row>
    <row r="12" spans="1:12" ht="20.2" customHeight="1">
      <c r="A12" s="82" t="str">
        <f>'Dist. Revenue Reconciliation'!A12</f>
        <v>Sentinel Lighting</v>
      </c>
      <c r="B12" s="74">
        <f>+'Forecast Data For 2015 to 2019'!$G$23</f>
        <v>32059.16311080223</v>
      </c>
      <c r="C12" s="74">
        <f>+'Forecast Data For 2015 to 2019'!$G$22</f>
        <v>93.036557088953359</v>
      </c>
      <c r="D12" s="74"/>
      <c r="E12" s="74"/>
      <c r="F12" s="74">
        <f>+'Forecast Data For 2015 to 2019'!$G$21*12</f>
        <v>264.86309199805925</v>
      </c>
      <c r="G12" s="85">
        <f>+F12*ROUND('Rates By Rate Class'!D105,2)</f>
        <v>1475.28742242919</v>
      </c>
      <c r="H12" s="85">
        <f>+C12*ROUND('Rates By Rate Class'!E105,4)</f>
        <v>739.752272725686</v>
      </c>
      <c r="I12" s="85">
        <f t="shared" si="0"/>
        <v>2215.039695154876</v>
      </c>
      <c r="J12" s="30"/>
      <c r="L12" s="307"/>
    </row>
    <row r="13" spans="1:12" ht="20.2" customHeight="1">
      <c r="A13" s="82" t="str">
        <f>'Dist. Revenue Reconciliation'!A13</f>
        <v>Unmetered Scattered Load</v>
      </c>
      <c r="B13" s="74">
        <f>+'Forecast Data For 2015 to 2019'!$G$26</f>
        <v>2660941.3975806902</v>
      </c>
      <c r="C13" s="74"/>
      <c r="D13" s="74"/>
      <c r="E13" s="74"/>
      <c r="F13" s="74">
        <f>+'Forecast Data For 2015 to 2019'!$G$24*12</f>
        <v>3232.8000276768216</v>
      </c>
      <c r="G13" s="85">
        <f>+F13*ROUND('Rates By Rate Class'!D106,2)</f>
        <v>14515.272124268929</v>
      </c>
      <c r="H13" s="85">
        <f>+B13*ROUND('Rates By Rate Class'!E106,4)</f>
        <v>48961.321715484701</v>
      </c>
      <c r="I13" s="85">
        <f t="shared" si="0"/>
        <v>63476.59383975363</v>
      </c>
      <c r="J13" s="30"/>
      <c r="L13" s="307"/>
    </row>
    <row r="14" spans="1:12" ht="20.2" customHeight="1">
      <c r="A14" s="82"/>
      <c r="B14" s="74"/>
      <c r="C14" s="74"/>
      <c r="D14" s="74"/>
      <c r="E14" s="74"/>
      <c r="F14" s="74"/>
      <c r="G14" s="85"/>
      <c r="H14" s="85"/>
      <c r="I14" s="85"/>
      <c r="J14" s="30"/>
      <c r="L14" s="307"/>
    </row>
    <row r="15" spans="1:12" ht="24.75" customHeight="1" thickBot="1">
      <c r="A15" s="177" t="s">
        <v>37</v>
      </c>
      <c r="B15" s="75">
        <f t="shared" ref="B15:I15" si="1">SUM(B6:B14)</f>
        <v>1059903126.5592082</v>
      </c>
      <c r="C15" s="75">
        <f t="shared" si="1"/>
        <v>1106551.0586040313</v>
      </c>
      <c r="D15" s="75">
        <f t="shared" si="1"/>
        <v>355196.38647646492</v>
      </c>
      <c r="E15" s="75">
        <f t="shared" si="1"/>
        <v>715549.35789376241</v>
      </c>
      <c r="F15" s="75">
        <f t="shared" si="1"/>
        <v>168344.00998732721</v>
      </c>
      <c r="G15" s="76">
        <f t="shared" si="1"/>
        <v>13237311.438696597</v>
      </c>
      <c r="H15" s="76">
        <f t="shared" si="1"/>
        <v>10967402.701841516</v>
      </c>
      <c r="I15" s="76">
        <f t="shared" si="1"/>
        <v>24204714.140538111</v>
      </c>
      <c r="L15" s="307"/>
    </row>
    <row r="16" spans="1:12" ht="9.75" customHeight="1" thickTop="1">
      <c r="A16" s="617"/>
      <c r="B16" s="617"/>
      <c r="C16" s="617"/>
      <c r="D16" s="617"/>
      <c r="E16" s="617"/>
      <c r="F16" s="617"/>
      <c r="G16" s="617"/>
      <c r="H16" s="617"/>
      <c r="I16" s="617"/>
    </row>
    <row r="17" spans="1:15" ht="18" customHeight="1">
      <c r="A17" s="663" t="s">
        <v>60</v>
      </c>
      <c r="B17" s="617"/>
      <c r="C17" s="617"/>
      <c r="D17" s="617"/>
      <c r="E17" s="617"/>
      <c r="F17" s="617"/>
      <c r="G17" s="617"/>
      <c r="H17" s="617"/>
      <c r="I17" s="175"/>
    </row>
    <row r="18" spans="1:15" ht="18" customHeight="1">
      <c r="A18" s="664" t="str">
        <f>A8</f>
        <v>GS 50 To 999 KW</v>
      </c>
      <c r="B18" s="617"/>
      <c r="C18" s="617"/>
      <c r="D18" s="617"/>
      <c r="E18" s="617"/>
      <c r="F18" s="617"/>
      <c r="G18" s="617"/>
      <c r="H18" s="617"/>
      <c r="I18" s="185">
        <f>'Transformer Allowance'!C66</f>
        <v>-65163.825636568123</v>
      </c>
    </row>
    <row r="19" spans="1:15" ht="18" customHeight="1">
      <c r="A19" s="181" t="str">
        <f>+A9</f>
        <v>GS Intermediate 1,000 To 4,999 KW</v>
      </c>
      <c r="B19" s="175"/>
      <c r="C19" s="175"/>
      <c r="D19" s="175"/>
      <c r="E19" s="175"/>
      <c r="F19" s="175"/>
      <c r="G19" s="175"/>
      <c r="H19" s="175"/>
      <c r="I19" s="185">
        <f>'Transformer Allowance'!C67</f>
        <v>-94931.611222137988</v>
      </c>
    </row>
    <row r="20" spans="1:15" ht="18" customHeight="1">
      <c r="A20" s="664" t="str">
        <f>A10</f>
        <v>Large Use</v>
      </c>
      <c r="B20" s="617"/>
      <c r="C20" s="617"/>
      <c r="D20" s="617"/>
      <c r="E20" s="617"/>
      <c r="F20" s="617"/>
      <c r="G20" s="617"/>
      <c r="H20" s="617"/>
      <c r="I20" s="185">
        <f>'Transformer Allowance'!C68</f>
        <v>-53022.395027172832</v>
      </c>
    </row>
    <row r="21" spans="1:15" ht="18" customHeight="1">
      <c r="A21" s="664" t="str">
        <f>A11</f>
        <v>Street Lighting</v>
      </c>
      <c r="B21" s="617"/>
      <c r="C21" s="617"/>
      <c r="D21" s="617"/>
      <c r="E21" s="617"/>
      <c r="F21" s="617"/>
      <c r="G21" s="617"/>
      <c r="H21" s="617"/>
      <c r="I21" s="185">
        <f>'Transformer Allowance'!C69</f>
        <v>0</v>
      </c>
    </row>
    <row r="22" spans="1:15" ht="8.1999999999999993" customHeight="1">
      <c r="A22" s="617"/>
      <c r="B22" s="617"/>
      <c r="C22" s="617"/>
      <c r="D22" s="617"/>
      <c r="E22" s="617"/>
      <c r="F22" s="617"/>
      <c r="G22" s="617"/>
      <c r="H22" s="617"/>
      <c r="I22" s="87"/>
    </row>
    <row r="23" spans="1:15" ht="18" customHeight="1" thickBot="1">
      <c r="A23" s="619" t="s">
        <v>61</v>
      </c>
      <c r="B23" s="619"/>
      <c r="C23" s="619"/>
      <c r="D23" s="619"/>
      <c r="E23" s="619"/>
      <c r="F23" s="619"/>
      <c r="G23" s="619"/>
      <c r="H23" s="619"/>
      <c r="I23" s="88">
        <f>+I15+I18+I19+I20</f>
        <v>23991596.308652233</v>
      </c>
    </row>
    <row r="24" spans="1:15" ht="8.1999999999999993" customHeight="1" thickTop="1">
      <c r="A24" s="617"/>
      <c r="B24" s="617"/>
      <c r="C24" s="617"/>
      <c r="D24" s="617"/>
      <c r="E24" s="617"/>
      <c r="F24" s="617"/>
      <c r="G24" s="617"/>
      <c r="H24" s="617"/>
      <c r="I24" s="89"/>
    </row>
    <row r="25" spans="1:15" ht="18" customHeight="1">
      <c r="A25" s="647" t="s">
        <v>58</v>
      </c>
      <c r="B25" s="647"/>
      <c r="C25" s="647"/>
      <c r="D25" s="647"/>
      <c r="E25" s="647"/>
      <c r="F25" s="647"/>
      <c r="G25" s="647"/>
      <c r="H25" s="647"/>
      <c r="I25" s="90">
        <f>+'Revenue Input'!F6</f>
        <v>1438252.4134143393</v>
      </c>
    </row>
    <row r="26" spans="1:15" ht="18" customHeight="1" thickBot="1">
      <c r="A26" s="619" t="s">
        <v>59</v>
      </c>
      <c r="B26" s="619"/>
      <c r="C26" s="619"/>
      <c r="D26" s="619"/>
      <c r="E26" s="619"/>
      <c r="F26" s="619"/>
      <c r="G26" s="619"/>
      <c r="H26" s="619"/>
      <c r="I26" s="91">
        <f>+I23+I25</f>
        <v>25429848.722066574</v>
      </c>
    </row>
    <row r="27" spans="1:15" ht="8.1999999999999993" customHeight="1">
      <c r="A27" s="617"/>
      <c r="B27" s="617"/>
      <c r="C27" s="617"/>
      <c r="D27" s="617"/>
      <c r="E27" s="617"/>
      <c r="F27" s="617"/>
      <c r="G27" s="617"/>
      <c r="H27" s="617"/>
      <c r="I27" s="89"/>
    </row>
    <row r="28" spans="1:15" ht="18" customHeight="1" thickBot="1">
      <c r="A28" s="619" t="s">
        <v>56</v>
      </c>
      <c r="B28" s="619"/>
      <c r="C28" s="619"/>
      <c r="D28" s="619"/>
      <c r="E28" s="619"/>
      <c r="F28" s="619"/>
      <c r="G28" s="619"/>
      <c r="H28" s="619"/>
      <c r="I28" s="91">
        <f>+'Revenue Input'!F5</f>
        <v>26412383.825894691</v>
      </c>
    </row>
    <row r="29" spans="1:15" ht="8.1999999999999993" customHeight="1" thickBot="1">
      <c r="A29" s="617"/>
      <c r="B29" s="617"/>
      <c r="C29" s="617"/>
      <c r="D29" s="617"/>
      <c r="E29" s="617"/>
      <c r="F29" s="617"/>
      <c r="G29" s="617"/>
      <c r="H29" s="617"/>
      <c r="I29" s="92"/>
    </row>
    <row r="30" spans="1:15" ht="18" customHeight="1" thickBot="1">
      <c r="A30" s="619" t="s">
        <v>57</v>
      </c>
      <c r="B30" s="619"/>
      <c r="C30" s="619"/>
      <c r="D30" s="619"/>
      <c r="E30" s="619"/>
      <c r="F30" s="619"/>
      <c r="G30" s="619"/>
      <c r="H30" s="619"/>
      <c r="I30" s="158">
        <f>+I28-I26</f>
        <v>982535.10382811725</v>
      </c>
      <c r="L30" s="376">
        <v>982535.10382811213</v>
      </c>
      <c r="M30" s="377" t="s">
        <v>252</v>
      </c>
      <c r="N30" s="188"/>
      <c r="O30" s="189"/>
    </row>
    <row r="31" spans="1:15" ht="13.5" thickTop="1" thickBot="1">
      <c r="L31" s="378">
        <f>L30-I30</f>
        <v>-5.1222741603851318E-9</v>
      </c>
      <c r="M31" s="379" t="s">
        <v>253</v>
      </c>
      <c r="N31" s="380"/>
      <c r="O31" s="381"/>
    </row>
    <row r="32" spans="1:15">
      <c r="G32" s="14"/>
      <c r="H32" s="14"/>
      <c r="I32" s="14"/>
      <c r="J32" s="14"/>
      <c r="K32" s="14"/>
      <c r="L32" s="383"/>
    </row>
    <row r="33" spans="7:11">
      <c r="G33" s="14"/>
      <c r="H33" s="14"/>
      <c r="I33" s="14"/>
      <c r="J33" s="14"/>
      <c r="K33" s="14"/>
    </row>
    <row r="34" spans="7:11">
      <c r="I34" s="8"/>
    </row>
  </sheetData>
  <mergeCells count="18">
    <mergeCell ref="A26:H26"/>
    <mergeCell ref="A27:H27"/>
    <mergeCell ref="A28:H28"/>
    <mergeCell ref="A29:H29"/>
    <mergeCell ref="A30:H30"/>
    <mergeCell ref="A24:H24"/>
    <mergeCell ref="A25:H25"/>
    <mergeCell ref="A1:I1"/>
    <mergeCell ref="A2:I2"/>
    <mergeCell ref="A3:I3"/>
    <mergeCell ref="A4:I4"/>
    <mergeCell ref="A16:I16"/>
    <mergeCell ref="A17:H17"/>
    <mergeCell ref="A21:H21"/>
    <mergeCell ref="A18:H18"/>
    <mergeCell ref="A20:H20"/>
    <mergeCell ref="A22:H22"/>
    <mergeCell ref="A23:H23"/>
  </mergeCells>
  <pageMargins left="0.75" right="0.75" top="1" bottom="1" header="0.5" footer="0.5"/>
  <pageSetup scale="84" orientation="landscape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54"/>
  <sheetViews>
    <sheetView topLeftCell="A4" zoomScale="75" zoomScaleNormal="75" workbookViewId="0">
      <selection activeCell="L10" sqref="L10"/>
    </sheetView>
  </sheetViews>
  <sheetFormatPr defaultRowHeight="12.75"/>
  <cols>
    <col min="1" max="1" width="42.19921875" bestFit="1" customWidth="1"/>
    <col min="2" max="14" width="15.73046875" customWidth="1"/>
    <col min="15" max="15" width="5.19921875" style="519" customWidth="1"/>
    <col min="16" max="16" width="42.19921875" style="281" bestFit="1" customWidth="1"/>
    <col min="17" max="29" width="15.73046875" style="281" customWidth="1"/>
    <col min="30" max="30" width="5.19921875" style="519" customWidth="1"/>
    <col min="31" max="31" width="42.19921875" style="281" bestFit="1" customWidth="1"/>
    <col min="32" max="43" width="15.73046875" style="281" customWidth="1"/>
  </cols>
  <sheetData>
    <row r="1" spans="1:43" ht="12.75" customHeight="1">
      <c r="A1" s="212" t="s">
        <v>206</v>
      </c>
      <c r="P1" s="212" t="s">
        <v>358</v>
      </c>
      <c r="AE1" s="212" t="s">
        <v>350</v>
      </c>
    </row>
    <row r="3" spans="1:43" ht="13.15">
      <c r="A3" s="223" t="s">
        <v>35</v>
      </c>
      <c r="B3" s="112"/>
      <c r="C3" s="112"/>
      <c r="D3" s="224"/>
      <c r="E3" s="224"/>
      <c r="F3" s="224"/>
      <c r="G3" s="224"/>
      <c r="H3" s="224"/>
      <c r="I3" s="224"/>
      <c r="J3" s="224"/>
      <c r="K3" s="224"/>
      <c r="L3" s="224"/>
      <c r="M3" s="224"/>
      <c r="P3" s="223" t="s">
        <v>35</v>
      </c>
      <c r="Q3" s="112"/>
      <c r="R3" s="112"/>
      <c r="S3" s="224"/>
      <c r="T3" s="224"/>
      <c r="U3" s="224"/>
      <c r="V3" s="224"/>
      <c r="W3" s="224"/>
      <c r="X3" s="224"/>
      <c r="Y3" s="224"/>
      <c r="Z3" s="224"/>
      <c r="AA3" s="224"/>
      <c r="AB3" s="224"/>
      <c r="AE3" s="223" t="s">
        <v>35</v>
      </c>
      <c r="AF3" s="112"/>
      <c r="AG3" s="112"/>
      <c r="AH3" s="224"/>
      <c r="AI3" s="224"/>
      <c r="AJ3" s="224"/>
      <c r="AK3" s="224"/>
      <c r="AL3" s="224"/>
      <c r="AM3" s="224"/>
      <c r="AN3" s="224"/>
      <c r="AO3" s="224"/>
      <c r="AP3" s="224"/>
      <c r="AQ3" s="224"/>
    </row>
    <row r="4" spans="1:43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</row>
    <row r="5" spans="1:43" ht="15">
      <c r="A5" s="225" t="s">
        <v>106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P5" s="225" t="s">
        <v>106</v>
      </c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E5" s="225" t="s">
        <v>106</v>
      </c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</row>
    <row r="6" spans="1:43" ht="15">
      <c r="A6" s="226" t="s">
        <v>83</v>
      </c>
      <c r="B6" s="208" t="s">
        <v>113</v>
      </c>
      <c r="C6" s="209"/>
      <c r="D6" s="208" t="s">
        <v>114</v>
      </c>
      <c r="E6" s="209"/>
      <c r="F6" s="208" t="s">
        <v>133</v>
      </c>
      <c r="G6" s="209"/>
      <c r="H6" s="208" t="s">
        <v>134</v>
      </c>
      <c r="I6" s="209"/>
      <c r="J6" s="208" t="s">
        <v>135</v>
      </c>
      <c r="K6" s="209"/>
      <c r="L6" s="208" t="s">
        <v>136</v>
      </c>
      <c r="M6" s="209"/>
      <c r="P6" s="226" t="s">
        <v>83</v>
      </c>
      <c r="Q6" s="525" t="s">
        <v>113</v>
      </c>
      <c r="R6" s="526"/>
      <c r="S6" s="525" t="s">
        <v>114</v>
      </c>
      <c r="T6" s="526"/>
      <c r="U6" s="525" t="s">
        <v>133</v>
      </c>
      <c r="V6" s="526"/>
      <c r="W6" s="525" t="s">
        <v>134</v>
      </c>
      <c r="X6" s="526"/>
      <c r="Y6" s="525" t="s">
        <v>135</v>
      </c>
      <c r="Z6" s="526"/>
      <c r="AA6" s="525" t="s">
        <v>136</v>
      </c>
      <c r="AB6" s="526"/>
      <c r="AE6" s="226" t="s">
        <v>83</v>
      </c>
      <c r="AF6" s="516" t="s">
        <v>113</v>
      </c>
      <c r="AG6" s="517"/>
      <c r="AH6" s="516" t="s">
        <v>114</v>
      </c>
      <c r="AI6" s="517"/>
      <c r="AJ6" s="516" t="s">
        <v>133</v>
      </c>
      <c r="AK6" s="517"/>
      <c r="AL6" s="516" t="s">
        <v>134</v>
      </c>
      <c r="AM6" s="517"/>
      <c r="AN6" s="516" t="s">
        <v>135</v>
      </c>
      <c r="AO6" s="517"/>
      <c r="AP6" s="516" t="s">
        <v>136</v>
      </c>
      <c r="AQ6" s="517"/>
    </row>
    <row r="7" spans="1:43" ht="15">
      <c r="A7" s="227"/>
      <c r="B7" s="228" t="s">
        <v>32</v>
      </c>
      <c r="C7" s="133" t="s">
        <v>215</v>
      </c>
      <c r="D7" s="228" t="s">
        <v>32</v>
      </c>
      <c r="E7" s="133" t="s">
        <v>215</v>
      </c>
      <c r="F7" s="228" t="s">
        <v>32</v>
      </c>
      <c r="G7" s="133" t="s">
        <v>215</v>
      </c>
      <c r="H7" s="228" t="s">
        <v>32</v>
      </c>
      <c r="I7" s="133" t="s">
        <v>215</v>
      </c>
      <c r="J7" s="228" t="s">
        <v>32</v>
      </c>
      <c r="K7" s="133" t="s">
        <v>215</v>
      </c>
      <c r="L7" s="228" t="s">
        <v>32</v>
      </c>
      <c r="M7" s="133" t="s">
        <v>215</v>
      </c>
      <c r="P7" s="227"/>
      <c r="Q7" s="228" t="s">
        <v>32</v>
      </c>
      <c r="R7" s="133" t="s">
        <v>215</v>
      </c>
      <c r="S7" s="228" t="s">
        <v>32</v>
      </c>
      <c r="T7" s="133" t="s">
        <v>215</v>
      </c>
      <c r="U7" s="228" t="s">
        <v>32</v>
      </c>
      <c r="V7" s="133" t="s">
        <v>215</v>
      </c>
      <c r="W7" s="228" t="s">
        <v>32</v>
      </c>
      <c r="X7" s="133" t="s">
        <v>215</v>
      </c>
      <c r="Y7" s="228" t="s">
        <v>32</v>
      </c>
      <c r="Z7" s="133" t="s">
        <v>215</v>
      </c>
      <c r="AA7" s="228" t="s">
        <v>32</v>
      </c>
      <c r="AB7" s="133" t="s">
        <v>215</v>
      </c>
      <c r="AE7" s="227"/>
      <c r="AF7" s="228" t="s">
        <v>32</v>
      </c>
      <c r="AG7" s="133" t="s">
        <v>215</v>
      </c>
      <c r="AH7" s="228" t="s">
        <v>32</v>
      </c>
      <c r="AI7" s="133" t="s">
        <v>215</v>
      </c>
      <c r="AJ7" s="228" t="s">
        <v>32</v>
      </c>
      <c r="AK7" s="133" t="s">
        <v>215</v>
      </c>
      <c r="AL7" s="228" t="s">
        <v>32</v>
      </c>
      <c r="AM7" s="133" t="s">
        <v>215</v>
      </c>
      <c r="AN7" s="228" t="s">
        <v>32</v>
      </c>
      <c r="AO7" s="133" t="s">
        <v>215</v>
      </c>
      <c r="AP7" s="228" t="s">
        <v>32</v>
      </c>
      <c r="AQ7" s="133" t="s">
        <v>215</v>
      </c>
    </row>
    <row r="8" spans="1:43" ht="15">
      <c r="A8" s="229"/>
      <c r="B8" s="230"/>
      <c r="C8" s="231"/>
      <c r="D8" s="230"/>
      <c r="E8" s="231"/>
      <c r="F8" s="230"/>
      <c r="G8" s="231"/>
      <c r="H8" s="230"/>
      <c r="I8" s="231"/>
      <c r="J8" s="230"/>
      <c r="K8" s="231"/>
      <c r="L8" s="230"/>
      <c r="M8" s="231"/>
      <c r="P8" s="229"/>
      <c r="Q8" s="230"/>
      <c r="R8" s="231"/>
      <c r="S8" s="230"/>
      <c r="T8" s="231"/>
      <c r="U8" s="230"/>
      <c r="V8" s="231"/>
      <c r="W8" s="230"/>
      <c r="X8" s="231"/>
      <c r="Y8" s="230"/>
      <c r="Z8" s="231"/>
      <c r="AA8" s="230"/>
      <c r="AB8" s="231"/>
      <c r="AE8" s="229"/>
      <c r="AF8" s="230"/>
      <c r="AG8" s="231"/>
      <c r="AH8" s="230"/>
      <c r="AI8" s="231"/>
      <c r="AJ8" s="230"/>
      <c r="AK8" s="231"/>
      <c r="AL8" s="230"/>
      <c r="AM8" s="231"/>
      <c r="AN8" s="230"/>
      <c r="AO8" s="231"/>
      <c r="AP8" s="230"/>
      <c r="AQ8" s="231"/>
    </row>
    <row r="9" spans="1:43" ht="15">
      <c r="A9" s="232" t="s">
        <v>213</v>
      </c>
      <c r="B9" s="141">
        <v>108173.41167251767</v>
      </c>
      <c r="C9" s="233">
        <v>-64904.047003510597</v>
      </c>
      <c r="D9" s="141">
        <v>110795.85841689903</v>
      </c>
      <c r="E9" s="233">
        <v>-66477.515050139424</v>
      </c>
      <c r="F9" s="141">
        <v>111894.04853174697</v>
      </c>
      <c r="G9" s="233">
        <v>-67136.429119048174</v>
      </c>
      <c r="H9" s="141">
        <v>112563.26847805515</v>
      </c>
      <c r="I9" s="233">
        <v>-67537.961086833093</v>
      </c>
      <c r="J9" s="601">
        <v>108469.95300861838</v>
      </c>
      <c r="K9" s="233">
        <v>-65081.971805171022</v>
      </c>
      <c r="L9" s="601">
        <v>108606.37606094687</v>
      </c>
      <c r="M9" s="233">
        <v>-65163.825636568123</v>
      </c>
      <c r="P9" s="232" t="s">
        <v>213</v>
      </c>
      <c r="Q9" s="141">
        <v>108173.41167251767</v>
      </c>
      <c r="R9" s="233">
        <v>-64904.047003510597</v>
      </c>
      <c r="S9" s="141">
        <v>113620.95602597641</v>
      </c>
      <c r="T9" s="233">
        <v>-68172.573615585847</v>
      </c>
      <c r="U9" s="141">
        <v>115709.42692726596</v>
      </c>
      <c r="V9" s="233">
        <v>-69425.656156359575</v>
      </c>
      <c r="W9" s="141">
        <v>117549.1842417498</v>
      </c>
      <c r="X9" s="233">
        <v>-70529.510545049881</v>
      </c>
      <c r="Y9" s="141">
        <v>119494.94896700224</v>
      </c>
      <c r="Z9" s="233">
        <v>-71696.96938020135</v>
      </c>
      <c r="AA9" s="141">
        <v>120756.39874724855</v>
      </c>
      <c r="AB9" s="233">
        <v>-72453.839248349119</v>
      </c>
      <c r="AE9" s="232" t="s">
        <v>213</v>
      </c>
      <c r="AF9" s="141">
        <v>108173.41167251767</v>
      </c>
      <c r="AG9" s="233">
        <v>-64904.047003510597</v>
      </c>
      <c r="AH9" s="141">
        <v>120407.30161904629</v>
      </c>
      <c r="AI9" s="233">
        <v>-72244.380971427774</v>
      </c>
      <c r="AJ9" s="141">
        <v>126086.5426467678</v>
      </c>
      <c r="AK9" s="233">
        <v>-75651.92558806068</v>
      </c>
      <c r="AL9" s="141">
        <v>130965.06406110358</v>
      </c>
      <c r="AM9" s="233">
        <v>-78579.038436662144</v>
      </c>
      <c r="AN9" s="141">
        <v>136219.49446679716</v>
      </c>
      <c r="AO9" s="233">
        <v>-81731.696680078298</v>
      </c>
      <c r="AP9" s="141">
        <v>141540.97551591133</v>
      </c>
      <c r="AQ9" s="233">
        <v>-84924.58530954679</v>
      </c>
    </row>
    <row r="10" spans="1:43" ht="15">
      <c r="A10" s="232" t="s">
        <v>214</v>
      </c>
      <c r="B10" s="141">
        <v>174733.21624719797</v>
      </c>
      <c r="C10" s="233">
        <v>-104839.92974831878</v>
      </c>
      <c r="D10" s="141">
        <v>182799.36194517399</v>
      </c>
      <c r="E10" s="233">
        <v>-109679.6171671044</v>
      </c>
      <c r="F10" s="141">
        <v>182178.42078049609</v>
      </c>
      <c r="G10" s="233">
        <v>-109307.05246829765</v>
      </c>
      <c r="H10" s="141">
        <v>180883.29572115568</v>
      </c>
      <c r="I10" s="233">
        <v>-108529.9774326934</v>
      </c>
      <c r="J10" s="601">
        <v>156952.38297850513</v>
      </c>
      <c r="K10" s="233">
        <v>-94171.429787103072</v>
      </c>
      <c r="L10" s="601">
        <v>158219.35203689666</v>
      </c>
      <c r="M10" s="233">
        <v>-94931.611222137988</v>
      </c>
      <c r="P10" s="232" t="s">
        <v>214</v>
      </c>
      <c r="Q10" s="141">
        <v>174733.21624719797</v>
      </c>
      <c r="R10" s="233">
        <v>-104839.92974831878</v>
      </c>
      <c r="S10" s="141">
        <v>172736.6332740392</v>
      </c>
      <c r="T10" s="233">
        <v>-103641.97996442352</v>
      </c>
      <c r="U10" s="141">
        <v>177158.91677350126</v>
      </c>
      <c r="V10" s="233">
        <v>-106295.35006410076</v>
      </c>
      <c r="W10" s="141">
        <v>179577.71860448507</v>
      </c>
      <c r="X10" s="233">
        <v>-107746.63116269103</v>
      </c>
      <c r="Y10" s="141">
        <v>183501.98693170893</v>
      </c>
      <c r="Z10" s="233">
        <v>-110101.19215902536</v>
      </c>
      <c r="AA10" s="141">
        <v>186251.99276664926</v>
      </c>
      <c r="AB10" s="233">
        <v>-111751.19565998955</v>
      </c>
      <c r="AE10" s="232" t="s">
        <v>214</v>
      </c>
      <c r="AF10" s="141">
        <v>174733.21624719797</v>
      </c>
      <c r="AG10" s="233">
        <v>-104839.92974831878</v>
      </c>
      <c r="AH10" s="141">
        <v>136911.88476589872</v>
      </c>
      <c r="AI10" s="233">
        <v>-82147.130859539233</v>
      </c>
      <c r="AJ10" s="141">
        <v>126925.27778495614</v>
      </c>
      <c r="AK10" s="233">
        <v>-76155.166670973675</v>
      </c>
      <c r="AL10" s="141">
        <v>115666.93827300334</v>
      </c>
      <c r="AM10" s="233">
        <v>-69400.162963801995</v>
      </c>
      <c r="AN10" s="141">
        <v>106347.0589235248</v>
      </c>
      <c r="AO10" s="233">
        <v>-63808.235354114877</v>
      </c>
      <c r="AP10" s="141">
        <v>97603.190740767153</v>
      </c>
      <c r="AQ10" s="233">
        <v>-58561.914444460293</v>
      </c>
    </row>
    <row r="11" spans="1:43" ht="15">
      <c r="A11" s="232" t="s">
        <v>98</v>
      </c>
      <c r="B11" s="141">
        <v>93203.586163430475</v>
      </c>
      <c r="C11" s="233">
        <v>-55922.151698058282</v>
      </c>
      <c r="D11" s="141">
        <v>96450.886709032784</v>
      </c>
      <c r="E11" s="233">
        <v>-57870.53202541967</v>
      </c>
      <c r="F11" s="141">
        <v>96498.434808448525</v>
      </c>
      <c r="G11" s="233">
        <v>-57899.060885069113</v>
      </c>
      <c r="H11" s="141">
        <v>96706.285661989226</v>
      </c>
      <c r="I11" s="233">
        <v>-58023.771397193537</v>
      </c>
      <c r="J11" s="601">
        <v>90488.941198678614</v>
      </c>
      <c r="K11" s="233">
        <v>-54293.364719207166</v>
      </c>
      <c r="L11" s="601">
        <v>88370.658378621389</v>
      </c>
      <c r="M11" s="233">
        <v>-53022.395027172832</v>
      </c>
      <c r="P11" s="232" t="s">
        <v>98</v>
      </c>
      <c r="Q11" s="141">
        <v>93203.586163430475</v>
      </c>
      <c r="R11" s="233">
        <v>-55922.151698058282</v>
      </c>
      <c r="S11" s="141">
        <v>96598.112036330262</v>
      </c>
      <c r="T11" s="233">
        <v>-57958.867221798158</v>
      </c>
      <c r="U11" s="141">
        <v>96552.973743101771</v>
      </c>
      <c r="V11" s="233">
        <v>-57931.784245861061</v>
      </c>
      <c r="W11" s="141">
        <v>96729.637313451094</v>
      </c>
      <c r="X11" s="233">
        <v>-58037.782388070656</v>
      </c>
      <c r="Y11" s="141">
        <v>96665.918840983548</v>
      </c>
      <c r="Z11" s="233">
        <v>-57999.551304590124</v>
      </c>
      <c r="AA11" s="141">
        <v>95915.471213822166</v>
      </c>
      <c r="AB11" s="233">
        <v>-57549.282728293299</v>
      </c>
      <c r="AE11" s="232" t="s">
        <v>98</v>
      </c>
      <c r="AF11" s="141">
        <v>93203.586163430475</v>
      </c>
      <c r="AG11" s="233">
        <v>-55922.151698058282</v>
      </c>
      <c r="AH11" s="141">
        <v>102201.14147883728</v>
      </c>
      <c r="AI11" s="233">
        <v>-61320.684887302363</v>
      </c>
      <c r="AJ11" s="141">
        <v>105270.82566192414</v>
      </c>
      <c r="AK11" s="233">
        <v>-63162.495397154482</v>
      </c>
      <c r="AL11" s="141">
        <v>108164.18447408822</v>
      </c>
      <c r="AM11" s="233">
        <v>-64898.510684452929</v>
      </c>
      <c r="AN11" s="141">
        <v>111043.93207167873</v>
      </c>
      <c r="AO11" s="233">
        <v>-66626.359243007231</v>
      </c>
      <c r="AP11" s="141">
        <v>113943.55364884232</v>
      </c>
      <c r="AQ11" s="233">
        <v>-68366.132189305397</v>
      </c>
    </row>
    <row r="12" spans="1:43" ht="15">
      <c r="A12" s="234" t="s">
        <v>33</v>
      </c>
      <c r="B12" s="235">
        <v>376110.21408314613</v>
      </c>
      <c r="C12" s="233">
        <v>-225666.12844988768</v>
      </c>
      <c r="D12" s="235">
        <v>390046.10707110586</v>
      </c>
      <c r="E12" s="233">
        <v>-234027.66424266351</v>
      </c>
      <c r="F12" s="235">
        <v>390570.90412069159</v>
      </c>
      <c r="G12" s="233">
        <v>-234342.54247241493</v>
      </c>
      <c r="H12" s="235">
        <v>390152.84986120008</v>
      </c>
      <c r="I12" s="233">
        <v>-234091.70991672005</v>
      </c>
      <c r="J12" s="235">
        <v>355911.27718580217</v>
      </c>
      <c r="K12" s="233">
        <v>-213546.76631148125</v>
      </c>
      <c r="L12" s="235">
        <v>355196.38647646492</v>
      </c>
      <c r="M12" s="233">
        <v>-213117.83188587896</v>
      </c>
      <c r="P12" s="234" t="s">
        <v>33</v>
      </c>
      <c r="Q12" s="235">
        <v>376110.21408314613</v>
      </c>
      <c r="R12" s="233">
        <v>-225666.12844988768</v>
      </c>
      <c r="S12" s="235">
        <v>382955.70133634587</v>
      </c>
      <c r="T12" s="233">
        <v>-229773.42080180754</v>
      </c>
      <c r="U12" s="235">
        <v>389421.31744386896</v>
      </c>
      <c r="V12" s="233">
        <v>-233652.7904663214</v>
      </c>
      <c r="W12" s="235">
        <v>393856.54015968594</v>
      </c>
      <c r="X12" s="233">
        <v>-236313.92409581156</v>
      </c>
      <c r="Y12" s="235">
        <v>399662.85473969474</v>
      </c>
      <c r="Z12" s="233">
        <v>-239797.71284381684</v>
      </c>
      <c r="AA12" s="235">
        <v>402923.86272771994</v>
      </c>
      <c r="AB12" s="233">
        <v>-241754.31763663198</v>
      </c>
      <c r="AE12" s="234" t="s">
        <v>33</v>
      </c>
      <c r="AF12" s="235">
        <v>376110.21408314613</v>
      </c>
      <c r="AG12" s="233">
        <v>-225666.12844988768</v>
      </c>
      <c r="AH12" s="235">
        <v>359520.3278637823</v>
      </c>
      <c r="AI12" s="233">
        <v>-215712.19671826938</v>
      </c>
      <c r="AJ12" s="235">
        <v>358282.6460936481</v>
      </c>
      <c r="AK12" s="233">
        <v>-214969.58765618881</v>
      </c>
      <c r="AL12" s="235">
        <v>354796.18680819514</v>
      </c>
      <c r="AM12" s="233">
        <v>-212877.71208491706</v>
      </c>
      <c r="AN12" s="235">
        <v>353610.48546200071</v>
      </c>
      <c r="AO12" s="233">
        <v>-212166.29127720042</v>
      </c>
      <c r="AP12" s="235">
        <v>353087.71990552079</v>
      </c>
      <c r="AQ12" s="233">
        <v>-211852.63194331247</v>
      </c>
    </row>
    <row r="13" spans="1:43" ht="13.15" thickBot="1">
      <c r="A13" s="224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P13" s="224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E13" s="224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</row>
    <row r="14" spans="1:43" ht="15.4" thickBot="1">
      <c r="A14" s="237" t="s">
        <v>84</v>
      </c>
      <c r="B14" s="238">
        <v>-0.6</v>
      </c>
      <c r="C14" s="236"/>
      <c r="D14" s="238">
        <v>-0.6</v>
      </c>
      <c r="E14" s="236"/>
      <c r="F14" s="238">
        <v>-0.6</v>
      </c>
      <c r="G14" s="236"/>
      <c r="H14" s="238">
        <v>-0.6</v>
      </c>
      <c r="I14" s="236"/>
      <c r="J14" s="238">
        <v>-0.6</v>
      </c>
      <c r="K14" s="236"/>
      <c r="L14" s="238">
        <v>-0.6</v>
      </c>
      <c r="M14" s="236"/>
      <c r="P14" s="237" t="s">
        <v>84</v>
      </c>
      <c r="Q14" s="238">
        <v>-0.6</v>
      </c>
      <c r="R14" s="236"/>
      <c r="S14" s="238">
        <v>-0.6</v>
      </c>
      <c r="T14" s="236"/>
      <c r="U14" s="238">
        <v>-0.6</v>
      </c>
      <c r="V14" s="236"/>
      <c r="W14" s="238">
        <v>-0.6</v>
      </c>
      <c r="X14" s="236"/>
      <c r="Y14" s="238">
        <v>-0.6</v>
      </c>
      <c r="Z14" s="236"/>
      <c r="AA14" s="238">
        <v>-0.6</v>
      </c>
      <c r="AB14" s="236"/>
      <c r="AE14" s="237" t="s">
        <v>84</v>
      </c>
      <c r="AF14" s="238">
        <v>-0.6</v>
      </c>
      <c r="AG14" s="236"/>
      <c r="AH14" s="238">
        <v>-0.6</v>
      </c>
      <c r="AI14" s="236"/>
      <c r="AJ14" s="238">
        <v>-0.6</v>
      </c>
      <c r="AK14" s="236"/>
      <c r="AL14" s="238">
        <v>-0.6</v>
      </c>
      <c r="AM14" s="236"/>
      <c r="AN14" s="238">
        <v>-0.6</v>
      </c>
      <c r="AO14" s="236"/>
      <c r="AP14" s="238">
        <v>-0.6</v>
      </c>
      <c r="AQ14" s="236"/>
    </row>
    <row r="15" spans="1:43" ht="15">
      <c r="A15" s="237"/>
      <c r="B15" s="171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P15" s="237"/>
      <c r="Q15" s="171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E15" s="237"/>
      <c r="AF15" s="171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</row>
    <row r="16" spans="1:43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</row>
    <row r="17" spans="1:43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</row>
    <row r="18" spans="1:43" ht="13.15">
      <c r="A18" s="239" t="s">
        <v>251</v>
      </c>
      <c r="B18" s="239"/>
      <c r="C18" s="239"/>
      <c r="D18" s="239"/>
      <c r="E18" s="239"/>
      <c r="F18" s="239"/>
      <c r="G18" s="239"/>
      <c r="H18" s="224"/>
      <c r="I18" s="224"/>
      <c r="J18" s="224"/>
      <c r="K18" s="665" t="s">
        <v>391</v>
      </c>
      <c r="L18" s="666"/>
      <c r="M18" s="665" t="s">
        <v>390</v>
      </c>
      <c r="N18" s="666"/>
      <c r="P18" s="239" t="s">
        <v>251</v>
      </c>
      <c r="Q18" s="239"/>
      <c r="R18" s="239"/>
      <c r="S18" s="239"/>
      <c r="T18" s="239"/>
      <c r="U18" s="239"/>
      <c r="V18" s="239"/>
      <c r="W18" s="224"/>
      <c r="X18" s="224"/>
      <c r="Y18" s="224"/>
      <c r="Z18" s="224"/>
      <c r="AA18" s="224"/>
      <c r="AB18" s="224"/>
      <c r="AE18" s="239" t="s">
        <v>251</v>
      </c>
      <c r="AF18" s="239"/>
      <c r="AG18" s="239"/>
      <c r="AH18" s="239"/>
      <c r="AI18" s="239"/>
      <c r="AJ18" s="239"/>
      <c r="AK18" s="239"/>
      <c r="AL18" s="224"/>
      <c r="AM18" s="224"/>
      <c r="AN18" s="224"/>
      <c r="AO18" s="224"/>
      <c r="AP18" s="224"/>
      <c r="AQ18" s="224"/>
    </row>
    <row r="19" spans="1:43" ht="13.15">
      <c r="A19" s="210" t="s">
        <v>28</v>
      </c>
      <c r="B19" s="210"/>
      <c r="C19" s="210"/>
      <c r="D19" s="210"/>
      <c r="E19" s="210"/>
      <c r="F19" s="210"/>
      <c r="G19" s="210"/>
      <c r="H19" s="224"/>
      <c r="I19" s="224"/>
      <c r="J19" s="224"/>
      <c r="K19" s="667"/>
      <c r="L19" s="668"/>
      <c r="M19" s="667"/>
      <c r="N19" s="668"/>
      <c r="P19" s="527" t="s">
        <v>28</v>
      </c>
      <c r="Q19" s="527"/>
      <c r="R19" s="527"/>
      <c r="S19" s="527"/>
      <c r="T19" s="527"/>
      <c r="U19" s="527"/>
      <c r="V19" s="527"/>
      <c r="W19" s="224"/>
      <c r="X19" s="224"/>
      <c r="Y19" s="224"/>
      <c r="Z19" s="224"/>
      <c r="AA19" s="224"/>
      <c r="AB19" s="224"/>
      <c r="AE19" s="518" t="s">
        <v>28</v>
      </c>
      <c r="AF19" s="518"/>
      <c r="AG19" s="518"/>
      <c r="AH19" s="518"/>
      <c r="AI19" s="518"/>
      <c r="AJ19" s="518"/>
      <c r="AK19" s="518"/>
      <c r="AL19" s="224"/>
      <c r="AM19" s="224"/>
      <c r="AN19" s="224"/>
      <c r="AO19" s="224"/>
      <c r="AP19" s="224"/>
      <c r="AQ19" s="224"/>
    </row>
    <row r="20" spans="1:43" ht="26.65" thickBot="1">
      <c r="A20" s="240" t="s">
        <v>23</v>
      </c>
      <c r="B20" s="241" t="s">
        <v>80</v>
      </c>
      <c r="C20" s="159" t="s">
        <v>115</v>
      </c>
      <c r="D20" s="159" t="s">
        <v>129</v>
      </c>
      <c r="E20" s="159" t="s">
        <v>130</v>
      </c>
      <c r="F20" s="159" t="s">
        <v>131</v>
      </c>
      <c r="G20" s="159" t="s">
        <v>132</v>
      </c>
      <c r="H20" s="224"/>
      <c r="I20" s="159" t="s">
        <v>113</v>
      </c>
      <c r="J20" s="224"/>
      <c r="K20" s="576" t="s">
        <v>131</v>
      </c>
      <c r="L20" s="576" t="s">
        <v>132</v>
      </c>
      <c r="M20" s="576" t="s">
        <v>131</v>
      </c>
      <c r="N20" s="576" t="s">
        <v>132</v>
      </c>
      <c r="P20" s="286" t="s">
        <v>23</v>
      </c>
      <c r="Q20" s="287" t="s">
        <v>80</v>
      </c>
      <c r="R20" s="159" t="s">
        <v>115</v>
      </c>
      <c r="S20" s="159" t="s">
        <v>129</v>
      </c>
      <c r="T20" s="159" t="s">
        <v>130</v>
      </c>
      <c r="U20" s="159" t="s">
        <v>131</v>
      </c>
      <c r="V20" s="159" t="s">
        <v>132</v>
      </c>
      <c r="W20" s="224"/>
      <c r="X20" s="159" t="s">
        <v>113</v>
      </c>
      <c r="Y20" s="224"/>
      <c r="Z20" s="224"/>
      <c r="AA20" s="224"/>
      <c r="AB20" s="224"/>
      <c r="AE20" s="286" t="s">
        <v>23</v>
      </c>
      <c r="AF20" s="287" t="s">
        <v>80</v>
      </c>
      <c r="AG20" s="159" t="s">
        <v>115</v>
      </c>
      <c r="AH20" s="159" t="s">
        <v>129</v>
      </c>
      <c r="AI20" s="159" t="s">
        <v>130</v>
      </c>
      <c r="AJ20" s="159" t="s">
        <v>131</v>
      </c>
      <c r="AK20" s="159" t="s">
        <v>132</v>
      </c>
      <c r="AL20" s="224"/>
      <c r="AM20" s="159" t="s">
        <v>113</v>
      </c>
      <c r="AN20" s="224"/>
      <c r="AO20" s="224"/>
      <c r="AP20" s="224"/>
      <c r="AQ20" s="224"/>
    </row>
    <row r="21" spans="1:43" ht="13.15">
      <c r="A21" s="242" t="s">
        <v>97</v>
      </c>
      <c r="B21" s="243" t="s">
        <v>81</v>
      </c>
      <c r="C21" s="244">
        <v>50977.327408831858</v>
      </c>
      <c r="D21" s="244">
        <v>51741.998652925271</v>
      </c>
      <c r="E21" s="244">
        <v>52518.137136473488</v>
      </c>
      <c r="F21" s="602">
        <v>53812.844987574732</v>
      </c>
      <c r="G21" s="602">
        <v>54781.502573600781</v>
      </c>
      <c r="H21" s="224"/>
      <c r="I21" s="249">
        <v>50203</v>
      </c>
      <c r="J21" s="245"/>
      <c r="K21" s="577">
        <f>F21-M21</f>
        <v>-280.82294154442206</v>
      </c>
      <c r="L21" s="577">
        <f>G21-N21</f>
        <v>-935.01521483025863</v>
      </c>
      <c r="M21" s="577">
        <v>54093.667929119154</v>
      </c>
      <c r="N21" s="577">
        <v>55716.51778843104</v>
      </c>
      <c r="P21" s="242" t="s">
        <v>97</v>
      </c>
      <c r="Q21" s="243" t="s">
        <v>81</v>
      </c>
      <c r="R21" s="244">
        <v>51708.527408831855</v>
      </c>
      <c r="S21" s="244">
        <v>53259.798652925267</v>
      </c>
      <c r="T21" s="244">
        <v>54857.637136473488</v>
      </c>
      <c r="U21" s="244">
        <v>56503.367929119158</v>
      </c>
      <c r="V21" s="244">
        <v>58198.417788431041</v>
      </c>
      <c r="W21" s="224"/>
      <c r="X21" s="249">
        <v>50203</v>
      </c>
      <c r="Y21" s="245"/>
      <c r="Z21" s="224"/>
      <c r="AA21" s="224"/>
      <c r="AB21" s="224"/>
      <c r="AE21" s="242" t="s">
        <v>97</v>
      </c>
      <c r="AF21" s="243" t="s">
        <v>81</v>
      </c>
      <c r="AG21" s="244">
        <v>51682.185299937883</v>
      </c>
      <c r="AH21" s="244">
        <v>53232.681046856349</v>
      </c>
      <c r="AI21" s="244">
        <v>54829.574392436392</v>
      </c>
      <c r="AJ21" s="244">
        <v>56474.48903363257</v>
      </c>
      <c r="AK21" s="244">
        <v>58168.750330978961</v>
      </c>
      <c r="AL21" s="224"/>
      <c r="AM21" s="249">
        <v>50203</v>
      </c>
      <c r="AN21" s="245"/>
      <c r="AO21" s="224"/>
      <c r="AP21" s="224"/>
      <c r="AQ21" s="224"/>
    </row>
    <row r="22" spans="1:43" ht="13.5" thickBot="1">
      <c r="A22" s="246"/>
      <c r="B22" s="247" t="s">
        <v>15</v>
      </c>
      <c r="C22" s="248">
        <v>488310441.84458584</v>
      </c>
      <c r="D22" s="248">
        <v>491380160.90018409</v>
      </c>
      <c r="E22" s="248">
        <v>492297000.53160763</v>
      </c>
      <c r="F22" s="603">
        <v>480011939.38473219</v>
      </c>
      <c r="G22" s="603">
        <v>478548339.49470502</v>
      </c>
      <c r="H22" s="224"/>
      <c r="I22" s="248">
        <v>481146683.4118793</v>
      </c>
      <c r="J22" s="245"/>
      <c r="K22" s="578">
        <f t="shared" ref="K22:K40" si="0">F22-M22</f>
        <v>-19233083.364559233</v>
      </c>
      <c r="L22" s="578">
        <f t="shared" ref="L22:L40" si="1">G22-N22</f>
        <v>-28269790.587676704</v>
      </c>
      <c r="M22" s="578">
        <v>499245022.74929142</v>
      </c>
      <c r="N22" s="578">
        <v>506818130.08238173</v>
      </c>
      <c r="P22" s="246"/>
      <c r="Q22" s="247" t="s">
        <v>15</v>
      </c>
      <c r="R22" s="248">
        <v>497610662.85013276</v>
      </c>
      <c r="S22" s="248">
        <v>504749333.27643669</v>
      </c>
      <c r="T22" s="248">
        <v>510469391.34748471</v>
      </c>
      <c r="U22" s="248">
        <v>516502314.78977972</v>
      </c>
      <c r="V22" s="248">
        <v>519267546.5319913</v>
      </c>
      <c r="W22" s="224"/>
      <c r="X22" s="248">
        <v>481146683.4118793</v>
      </c>
      <c r="Y22" s="245"/>
      <c r="Z22" s="224"/>
      <c r="AA22" s="224"/>
      <c r="AB22" s="224"/>
      <c r="AE22" s="246"/>
      <c r="AF22" s="247" t="s">
        <v>15</v>
      </c>
      <c r="AG22" s="248">
        <v>483663532.29648578</v>
      </c>
      <c r="AH22" s="248">
        <v>486758735.37501377</v>
      </c>
      <c r="AI22" s="248">
        <v>485640571.09087658</v>
      </c>
      <c r="AJ22" s="248">
        <v>485086336.06007928</v>
      </c>
      <c r="AK22" s="248">
        <v>483951298.77224517</v>
      </c>
      <c r="AL22" s="224"/>
      <c r="AM22" s="248">
        <v>481146683.4118793</v>
      </c>
      <c r="AN22" s="245"/>
      <c r="AO22" s="224"/>
      <c r="AP22" s="224"/>
      <c r="AQ22" s="224"/>
    </row>
    <row r="23" spans="1:43" ht="13.15">
      <c r="A23" s="242" t="s">
        <v>209</v>
      </c>
      <c r="B23" s="243" t="s">
        <v>81</v>
      </c>
      <c r="C23" s="244">
        <v>4002.4682995893245</v>
      </c>
      <c r="D23" s="244">
        <v>4062.4930652948956</v>
      </c>
      <c r="E23" s="244">
        <v>4123.3752815686439</v>
      </c>
      <c r="F23" s="602">
        <v>4221.1496466640174</v>
      </c>
      <c r="G23" s="602">
        <v>4297.1105842127581</v>
      </c>
      <c r="H23" s="224"/>
      <c r="I23" s="244">
        <v>3953</v>
      </c>
      <c r="J23" s="245"/>
      <c r="K23" s="577">
        <f t="shared" si="0"/>
        <v>-25.966292392446121</v>
      </c>
      <c r="L23" s="577">
        <f t="shared" si="1"/>
        <v>-77.405450424427727</v>
      </c>
      <c r="M23" s="577">
        <v>4247.1159390564635</v>
      </c>
      <c r="N23" s="577">
        <v>4374.5160346371858</v>
      </c>
      <c r="P23" s="242" t="s">
        <v>209</v>
      </c>
      <c r="Q23" s="243" t="s">
        <v>81</v>
      </c>
      <c r="R23" s="244">
        <v>4071.0682995893244</v>
      </c>
      <c r="S23" s="244">
        <v>4193.1930652948959</v>
      </c>
      <c r="T23" s="244">
        <v>4318.9752815686434</v>
      </c>
      <c r="U23" s="244">
        <v>4448.6159390564635</v>
      </c>
      <c r="V23" s="244">
        <v>4582.0160346371858</v>
      </c>
      <c r="W23" s="224"/>
      <c r="X23" s="244">
        <v>3953</v>
      </c>
      <c r="Y23" s="245"/>
      <c r="Z23" s="224"/>
      <c r="AA23" s="224"/>
      <c r="AB23" s="224"/>
      <c r="AE23" s="242" t="s">
        <v>209</v>
      </c>
      <c r="AF23" s="243" t="s">
        <v>81</v>
      </c>
      <c r="AG23" s="244">
        <v>4041.6536632728203</v>
      </c>
      <c r="AH23" s="244">
        <v>4162.9666579810846</v>
      </c>
      <c r="AI23" s="244">
        <v>4287.8046933441428</v>
      </c>
      <c r="AJ23" s="244">
        <v>4416.4684732367114</v>
      </c>
      <c r="AK23" s="244">
        <v>4548.9587054957365</v>
      </c>
      <c r="AL23" s="224"/>
      <c r="AM23" s="244">
        <v>3953</v>
      </c>
      <c r="AN23" s="245"/>
      <c r="AO23" s="224"/>
      <c r="AP23" s="224"/>
      <c r="AQ23" s="224"/>
    </row>
    <row r="24" spans="1:43" ht="13.5" thickBot="1">
      <c r="A24" s="246"/>
      <c r="B24" s="247" t="s">
        <v>15</v>
      </c>
      <c r="C24" s="248">
        <v>134064266.11914393</v>
      </c>
      <c r="D24" s="248">
        <v>134854491.64774501</v>
      </c>
      <c r="E24" s="248">
        <v>135063742.04659477</v>
      </c>
      <c r="F24" s="603">
        <v>129585178.21250525</v>
      </c>
      <c r="G24" s="603">
        <v>129015225.78797366</v>
      </c>
      <c r="H24" s="224"/>
      <c r="I24" s="248">
        <v>132772555.20491263</v>
      </c>
      <c r="J24" s="245"/>
      <c r="K24" s="578">
        <f t="shared" si="0"/>
        <v>-7366441.7465025187</v>
      </c>
      <c r="L24" s="578">
        <f t="shared" si="1"/>
        <v>-10025141.060004547</v>
      </c>
      <c r="M24" s="578">
        <v>136951619.95900777</v>
      </c>
      <c r="N24" s="578">
        <v>139040366.8479782</v>
      </c>
      <c r="P24" s="246"/>
      <c r="Q24" s="247" t="s">
        <v>15</v>
      </c>
      <c r="R24" s="248">
        <v>136996360.64027488</v>
      </c>
      <c r="S24" s="248">
        <v>138910441.31964967</v>
      </c>
      <c r="T24" s="248">
        <v>140443159.56641656</v>
      </c>
      <c r="U24" s="248">
        <v>142085760.01485717</v>
      </c>
      <c r="V24" s="248">
        <v>142875985.37385976</v>
      </c>
      <c r="W24" s="224"/>
      <c r="X24" s="248">
        <v>132772555.20491263</v>
      </c>
      <c r="Y24" s="245"/>
      <c r="Z24" s="224"/>
      <c r="AA24" s="224"/>
      <c r="AB24" s="224"/>
      <c r="AE24" s="246"/>
      <c r="AF24" s="247" t="s">
        <v>15</v>
      </c>
      <c r="AG24" s="248">
        <v>137144452.34571704</v>
      </c>
      <c r="AH24" s="248">
        <v>139823684.88361743</v>
      </c>
      <c r="AI24" s="248">
        <v>141342094.33386183</v>
      </c>
      <c r="AJ24" s="248">
        <v>143067914.90363961</v>
      </c>
      <c r="AK24" s="248">
        <v>144664011.00824618</v>
      </c>
      <c r="AL24" s="224"/>
      <c r="AM24" s="248">
        <v>132772555.20491263</v>
      </c>
      <c r="AN24" s="245"/>
      <c r="AO24" s="224"/>
      <c r="AP24" s="224"/>
      <c r="AQ24" s="224"/>
    </row>
    <row r="25" spans="1:43" ht="13.15">
      <c r="A25" s="242" t="s">
        <v>210</v>
      </c>
      <c r="B25" s="243" t="s">
        <v>81</v>
      </c>
      <c r="C25" s="249">
        <v>507</v>
      </c>
      <c r="D25" s="249">
        <v>514.6</v>
      </c>
      <c r="E25" s="249">
        <v>522.29999999999995</v>
      </c>
      <c r="F25" s="604">
        <v>525.79999999999995</v>
      </c>
      <c r="G25" s="604">
        <v>535.29999999999995</v>
      </c>
      <c r="H25" s="224"/>
      <c r="I25" s="249">
        <v>503</v>
      </c>
      <c r="J25" s="245"/>
      <c r="K25" s="579">
        <f t="shared" si="0"/>
        <v>-12.200000000000045</v>
      </c>
      <c r="L25" s="579">
        <f t="shared" si="1"/>
        <v>-18.800000000000068</v>
      </c>
      <c r="M25" s="579">
        <v>538</v>
      </c>
      <c r="N25" s="579">
        <v>554.1</v>
      </c>
      <c r="P25" s="242" t="s">
        <v>210</v>
      </c>
      <c r="Q25" s="243" t="s">
        <v>81</v>
      </c>
      <c r="R25" s="249">
        <v>517.6</v>
      </c>
      <c r="S25" s="249">
        <v>533.1</v>
      </c>
      <c r="T25" s="249">
        <v>549.1</v>
      </c>
      <c r="U25" s="249">
        <v>565.6</v>
      </c>
      <c r="V25" s="249">
        <v>582.5</v>
      </c>
      <c r="W25" s="224"/>
      <c r="X25" s="249">
        <v>503</v>
      </c>
      <c r="Y25" s="245"/>
      <c r="Z25" s="224"/>
      <c r="AA25" s="224"/>
      <c r="AB25" s="224"/>
      <c r="AE25" s="242" t="s">
        <v>210</v>
      </c>
      <c r="AF25" s="243" t="s">
        <v>81</v>
      </c>
      <c r="AG25" s="249">
        <v>515</v>
      </c>
      <c r="AH25" s="249">
        <v>530.5</v>
      </c>
      <c r="AI25" s="249">
        <v>546.4</v>
      </c>
      <c r="AJ25" s="249">
        <v>562.79999999999995</v>
      </c>
      <c r="AK25" s="249">
        <v>579.6</v>
      </c>
      <c r="AL25" s="224"/>
      <c r="AM25" s="249">
        <v>503</v>
      </c>
      <c r="AN25" s="245"/>
      <c r="AO25" s="224"/>
      <c r="AP25" s="224"/>
      <c r="AQ25" s="224"/>
    </row>
    <row r="26" spans="1:43" ht="13.15">
      <c r="A26" s="250"/>
      <c r="B26" s="251" t="s">
        <v>16</v>
      </c>
      <c r="C26" s="244">
        <v>851954.05092458322</v>
      </c>
      <c r="D26" s="244">
        <v>860398.47773257422</v>
      </c>
      <c r="E26" s="244">
        <v>865544.379866131</v>
      </c>
      <c r="F26" s="602">
        <v>834069.22595941229</v>
      </c>
      <c r="G26" s="602">
        <v>835118.23784245062</v>
      </c>
      <c r="H26" s="224"/>
      <c r="I26" s="244">
        <v>831789</v>
      </c>
      <c r="J26" s="245"/>
      <c r="K26" s="577">
        <f t="shared" si="0"/>
        <v>-47639.499989033444</v>
      </c>
      <c r="L26" s="577">
        <f t="shared" si="1"/>
        <v>-64015.640797671163</v>
      </c>
      <c r="M26" s="577">
        <v>881708.72594844573</v>
      </c>
      <c r="N26" s="577">
        <v>899133.87864012178</v>
      </c>
      <c r="P26" s="250"/>
      <c r="Q26" s="251" t="s">
        <v>16</v>
      </c>
      <c r="R26" s="244">
        <v>873677.36609810172</v>
      </c>
      <c r="S26" s="244">
        <v>889736.46135684976</v>
      </c>
      <c r="T26" s="244">
        <v>903883.09751444799</v>
      </c>
      <c r="U26" s="244">
        <v>918844.86741732142</v>
      </c>
      <c r="V26" s="244">
        <v>928544.66365225753</v>
      </c>
      <c r="W26" s="224"/>
      <c r="X26" s="244">
        <v>831789</v>
      </c>
      <c r="Y26" s="245"/>
      <c r="Z26" s="224"/>
      <c r="AA26" s="224"/>
      <c r="AB26" s="224"/>
      <c r="AE26" s="250"/>
      <c r="AF26" s="251" t="s">
        <v>16</v>
      </c>
      <c r="AG26" s="244">
        <v>925860.31500612909</v>
      </c>
      <c r="AH26" s="244">
        <v>969530.29030013748</v>
      </c>
      <c r="AI26" s="244">
        <v>1007043.2094728614</v>
      </c>
      <c r="AJ26" s="244">
        <v>1047446.6445235453</v>
      </c>
      <c r="AK26" s="244">
        <v>1088365.6590200269</v>
      </c>
      <c r="AL26" s="224"/>
      <c r="AM26" s="244">
        <v>831789</v>
      </c>
      <c r="AN26" s="245"/>
      <c r="AO26" s="224"/>
      <c r="AP26" s="224"/>
      <c r="AQ26" s="224"/>
    </row>
    <row r="27" spans="1:43" ht="13.5" thickBot="1">
      <c r="A27" s="246"/>
      <c r="B27" s="247" t="s">
        <v>15</v>
      </c>
      <c r="C27" s="248">
        <v>337307808.8671304</v>
      </c>
      <c r="D27" s="248">
        <v>340651147.74867117</v>
      </c>
      <c r="E27" s="248">
        <v>342688526.37423319</v>
      </c>
      <c r="F27" s="603">
        <v>329595262.30701321</v>
      </c>
      <c r="G27" s="603">
        <v>330009795.46084768</v>
      </c>
      <c r="H27" s="224"/>
      <c r="I27" s="248">
        <v>334564809</v>
      </c>
      <c r="J27" s="245"/>
      <c r="K27" s="578">
        <f t="shared" si="0"/>
        <v>-19493092.969821453</v>
      </c>
      <c r="L27" s="578">
        <f t="shared" si="1"/>
        <v>-25977570.469467342</v>
      </c>
      <c r="M27" s="578">
        <v>349088355.27683467</v>
      </c>
      <c r="N27" s="578">
        <v>355987365.93031502</v>
      </c>
      <c r="P27" s="246"/>
      <c r="Q27" s="247" t="s">
        <v>15</v>
      </c>
      <c r="R27" s="248">
        <v>345908558.91293103</v>
      </c>
      <c r="S27" s="248">
        <v>352266716.64249188</v>
      </c>
      <c r="T27" s="248">
        <v>357867688.71367508</v>
      </c>
      <c r="U27" s="248">
        <v>363791390.6049161</v>
      </c>
      <c r="V27" s="248">
        <v>367631758.53428179</v>
      </c>
      <c r="W27" s="224"/>
      <c r="X27" s="248">
        <v>334564809</v>
      </c>
      <c r="Y27" s="245"/>
      <c r="Z27" s="224"/>
      <c r="AA27" s="224"/>
      <c r="AB27" s="224"/>
      <c r="AE27" s="246"/>
      <c r="AF27" s="247" t="s">
        <v>15</v>
      </c>
      <c r="AG27" s="248">
        <v>365803341.05727828</v>
      </c>
      <c r="AH27" s="248">
        <v>383057156.35481733</v>
      </c>
      <c r="AI27" s="248">
        <v>397878345.8407315</v>
      </c>
      <c r="AJ27" s="248">
        <v>413841565.44544375</v>
      </c>
      <c r="AK27" s="248">
        <v>430008488.2230823</v>
      </c>
      <c r="AL27" s="224"/>
      <c r="AM27" s="248">
        <v>334564809</v>
      </c>
      <c r="AN27" s="245"/>
      <c r="AO27" s="224"/>
      <c r="AP27" s="224"/>
      <c r="AQ27" s="224"/>
    </row>
    <row r="28" spans="1:43" ht="13.15">
      <c r="A28" s="242" t="s">
        <v>211</v>
      </c>
      <c r="B28" s="243" t="s">
        <v>81</v>
      </c>
      <c r="C28" s="249">
        <v>12</v>
      </c>
      <c r="D28" s="249">
        <v>12</v>
      </c>
      <c r="E28" s="249">
        <v>12</v>
      </c>
      <c r="F28" s="604">
        <v>13.2</v>
      </c>
      <c r="G28" s="604">
        <v>14.2</v>
      </c>
      <c r="H28" s="224"/>
      <c r="I28" s="249">
        <v>11</v>
      </c>
      <c r="J28" s="245"/>
      <c r="K28" s="579">
        <f t="shared" si="0"/>
        <v>0.19999999999999929</v>
      </c>
      <c r="L28" s="579">
        <f t="shared" si="1"/>
        <v>1.1999999999999993</v>
      </c>
      <c r="M28" s="579">
        <v>13</v>
      </c>
      <c r="N28" s="579">
        <v>13</v>
      </c>
      <c r="P28" s="242" t="s">
        <v>211</v>
      </c>
      <c r="Q28" s="243" t="s">
        <v>81</v>
      </c>
      <c r="R28" s="249">
        <v>11.3</v>
      </c>
      <c r="S28" s="249">
        <v>11.7</v>
      </c>
      <c r="T28" s="249">
        <v>12</v>
      </c>
      <c r="U28" s="249">
        <v>12.4</v>
      </c>
      <c r="V28" s="249">
        <v>12.8</v>
      </c>
      <c r="W28" s="224"/>
      <c r="X28" s="249">
        <v>11</v>
      </c>
      <c r="Y28" s="245"/>
      <c r="Z28" s="224"/>
      <c r="AA28" s="224"/>
      <c r="AB28" s="224"/>
      <c r="AE28" s="242" t="s">
        <v>211</v>
      </c>
      <c r="AF28" s="243" t="s">
        <v>81</v>
      </c>
      <c r="AG28" s="249">
        <v>11.3</v>
      </c>
      <c r="AH28" s="249">
        <v>11.7</v>
      </c>
      <c r="AI28" s="249">
        <v>12</v>
      </c>
      <c r="AJ28" s="249">
        <v>12.4</v>
      </c>
      <c r="AK28" s="249">
        <v>12.8</v>
      </c>
      <c r="AL28" s="224"/>
      <c r="AM28" s="249">
        <v>11</v>
      </c>
      <c r="AN28" s="245"/>
      <c r="AO28" s="224"/>
      <c r="AP28" s="224"/>
      <c r="AQ28" s="224"/>
    </row>
    <row r="29" spans="1:43">
      <c r="A29" s="250"/>
      <c r="B29" s="251" t="s">
        <v>16</v>
      </c>
      <c r="C29" s="244">
        <v>195333.21024632914</v>
      </c>
      <c r="D29" s="244">
        <v>194669.69353718983</v>
      </c>
      <c r="E29" s="244">
        <v>193285.76673996553</v>
      </c>
      <c r="F29" s="602">
        <v>167714.00346680533</v>
      </c>
      <c r="G29" s="602">
        <v>169067.84371452243</v>
      </c>
      <c r="H29" s="224"/>
      <c r="I29" s="244">
        <v>186714</v>
      </c>
      <c r="J29" s="224"/>
      <c r="K29" s="577">
        <f t="shared" si="0"/>
        <v>-40122.600317156961</v>
      </c>
      <c r="L29" s="577">
        <f t="shared" si="1"/>
        <v>-36981.257900437224</v>
      </c>
      <c r="M29" s="577">
        <v>207836.60378396229</v>
      </c>
      <c r="N29" s="577">
        <v>206049.10161495965</v>
      </c>
      <c r="P29" s="250"/>
      <c r="Q29" s="251" t="s">
        <v>16</v>
      </c>
      <c r="R29" s="244">
        <v>184580.51902107167</v>
      </c>
      <c r="S29" s="244">
        <v>189306.02147019058</v>
      </c>
      <c r="T29" s="244">
        <v>191890.67122809004</v>
      </c>
      <c r="U29" s="244">
        <v>196084.01152243163</v>
      </c>
      <c r="V29" s="244">
        <v>199022.57466739567</v>
      </c>
      <c r="W29" s="224"/>
      <c r="X29" s="244">
        <v>186714</v>
      </c>
      <c r="Y29" s="224"/>
      <c r="Z29" s="224"/>
      <c r="AA29" s="224"/>
      <c r="AB29" s="224"/>
      <c r="AE29" s="250"/>
      <c r="AF29" s="251" t="s">
        <v>16</v>
      </c>
      <c r="AG29" s="244">
        <v>146299.40546630297</v>
      </c>
      <c r="AH29" s="244">
        <v>135628.05530239493</v>
      </c>
      <c r="AI29" s="244">
        <v>123597.77480517743</v>
      </c>
      <c r="AJ29" s="244">
        <v>113638.86721890194</v>
      </c>
      <c r="AK29" s="244">
        <v>104295.4656668711</v>
      </c>
      <c r="AL29" s="224"/>
      <c r="AM29" s="244">
        <v>186714</v>
      </c>
      <c r="AN29" s="224"/>
      <c r="AO29" s="224"/>
      <c r="AP29" s="224"/>
      <c r="AQ29" s="224"/>
    </row>
    <row r="30" spans="1:43" ht="13.15" thickBot="1">
      <c r="A30" s="246"/>
      <c r="B30" s="247" t="s">
        <v>15</v>
      </c>
      <c r="C30" s="248">
        <v>88420452.222880453</v>
      </c>
      <c r="D30" s="248">
        <v>88120101.619900286</v>
      </c>
      <c r="E30" s="248">
        <v>87493646.788693547</v>
      </c>
      <c r="F30" s="603">
        <v>75038332.350385889</v>
      </c>
      <c r="G30" s="603">
        <v>75644065.398059711</v>
      </c>
      <c r="H30" s="224"/>
      <c r="I30" s="248">
        <v>81176518</v>
      </c>
      <c r="J30" s="224"/>
      <c r="K30" s="578">
        <f t="shared" si="0"/>
        <v>-19041964.962451249</v>
      </c>
      <c r="L30" s="578">
        <f t="shared" si="1"/>
        <v>-17627092.752351955</v>
      </c>
      <c r="M30" s="578">
        <v>94080297.312837139</v>
      </c>
      <c r="N30" s="578">
        <v>93271158.150411665</v>
      </c>
      <c r="P30" s="246"/>
      <c r="Q30" s="247" t="s">
        <v>15</v>
      </c>
      <c r="R30" s="248">
        <v>83553088.298685014</v>
      </c>
      <c r="S30" s="248">
        <v>85692156.524740934</v>
      </c>
      <c r="T30" s="248">
        <v>86862136.274436489</v>
      </c>
      <c r="U30" s="248">
        <v>88760313.469612524</v>
      </c>
      <c r="V30" s="248">
        <v>90090497.322299674</v>
      </c>
      <c r="W30" s="224"/>
      <c r="X30" s="248">
        <v>81176518</v>
      </c>
      <c r="Y30" s="224"/>
      <c r="Z30" s="224"/>
      <c r="AA30" s="224"/>
      <c r="AB30" s="224"/>
      <c r="AE30" s="246"/>
      <c r="AF30" s="247" t="s">
        <v>15</v>
      </c>
      <c r="AG30" s="248">
        <v>66360780.741462775</v>
      </c>
      <c r="AH30" s="248">
        <v>61520302.229705706</v>
      </c>
      <c r="AI30" s="248">
        <v>56063418.766717009</v>
      </c>
      <c r="AJ30" s="248">
        <v>51546101.142281838</v>
      </c>
      <c r="AK30" s="248">
        <v>47307974.406240016</v>
      </c>
      <c r="AL30" s="224"/>
      <c r="AM30" s="248">
        <v>81176518</v>
      </c>
      <c r="AN30" s="224"/>
      <c r="AO30" s="224"/>
      <c r="AP30" s="224"/>
      <c r="AQ30" s="224"/>
    </row>
    <row r="31" spans="1:43">
      <c r="A31" s="242" t="s">
        <v>98</v>
      </c>
      <c r="B31" s="252" t="s">
        <v>81</v>
      </c>
      <c r="C31" s="253">
        <v>1</v>
      </c>
      <c r="D31" s="253">
        <v>1</v>
      </c>
      <c r="E31" s="253">
        <v>1</v>
      </c>
      <c r="F31" s="605">
        <v>1</v>
      </c>
      <c r="G31" s="605">
        <v>1</v>
      </c>
      <c r="H31" s="224"/>
      <c r="I31" s="249">
        <v>1</v>
      </c>
      <c r="J31" s="224"/>
      <c r="K31" s="580">
        <f t="shared" si="0"/>
        <v>0</v>
      </c>
      <c r="L31" s="580">
        <f t="shared" si="1"/>
        <v>0</v>
      </c>
      <c r="M31" s="580">
        <v>1</v>
      </c>
      <c r="N31" s="580">
        <v>1</v>
      </c>
      <c r="P31" s="242" t="s">
        <v>98</v>
      </c>
      <c r="Q31" s="252" t="s">
        <v>81</v>
      </c>
      <c r="R31" s="253">
        <v>1</v>
      </c>
      <c r="S31" s="253">
        <v>1</v>
      </c>
      <c r="T31" s="253">
        <v>1</v>
      </c>
      <c r="U31" s="253">
        <v>1</v>
      </c>
      <c r="V31" s="253">
        <v>1</v>
      </c>
      <c r="W31" s="224"/>
      <c r="X31" s="249">
        <v>1</v>
      </c>
      <c r="Y31" s="224"/>
      <c r="Z31" s="224"/>
      <c r="AA31" s="224"/>
      <c r="AB31" s="224"/>
      <c r="AE31" s="242" t="s">
        <v>98</v>
      </c>
      <c r="AF31" s="252" t="s">
        <v>81</v>
      </c>
      <c r="AG31" s="253">
        <v>1</v>
      </c>
      <c r="AH31" s="253">
        <v>1</v>
      </c>
      <c r="AI31" s="253">
        <v>1</v>
      </c>
      <c r="AJ31" s="253">
        <v>1</v>
      </c>
      <c r="AK31" s="253">
        <v>1</v>
      </c>
      <c r="AL31" s="224"/>
      <c r="AM31" s="249">
        <v>1</v>
      </c>
      <c r="AN31" s="224"/>
      <c r="AO31" s="224"/>
      <c r="AP31" s="224"/>
      <c r="AQ31" s="224"/>
    </row>
    <row r="32" spans="1:43">
      <c r="A32" s="250"/>
      <c r="B32" s="254" t="s">
        <v>16</v>
      </c>
      <c r="C32" s="255">
        <v>96450.280123117438</v>
      </c>
      <c r="D32" s="255">
        <v>96497.827923500081</v>
      </c>
      <c r="E32" s="255">
        <v>96705.677469853224</v>
      </c>
      <c r="F32" s="606">
        <v>90488.372107827323</v>
      </c>
      <c r="G32" s="606">
        <v>88370.102609788868</v>
      </c>
      <c r="H32" s="224"/>
      <c r="I32" s="244">
        <v>93203</v>
      </c>
      <c r="J32" s="224"/>
      <c r="K32" s="581">
        <f t="shared" si="0"/>
        <v>-6141.534242523936</v>
      </c>
      <c r="L32" s="581">
        <f t="shared" si="1"/>
        <v>-7837.140228651333</v>
      </c>
      <c r="M32" s="581">
        <v>96629.906350351259</v>
      </c>
      <c r="N32" s="581">
        <v>96207.242838440201</v>
      </c>
      <c r="P32" s="250"/>
      <c r="Q32" s="254" t="s">
        <v>16</v>
      </c>
      <c r="R32" s="255">
        <v>96597.504524505232</v>
      </c>
      <c r="S32" s="255">
        <v>96552.366515154412</v>
      </c>
      <c r="T32" s="255">
        <v>96729.028974455025</v>
      </c>
      <c r="U32" s="255">
        <v>96665.310902717101</v>
      </c>
      <c r="V32" s="255">
        <v>95914.867995169785</v>
      </c>
      <c r="W32" s="224"/>
      <c r="X32" s="244">
        <v>93203</v>
      </c>
      <c r="Y32" s="224"/>
      <c r="Z32" s="224"/>
      <c r="AA32" s="224"/>
      <c r="AB32" s="224"/>
      <c r="AE32" s="250"/>
      <c r="AF32" s="254" t="s">
        <v>16</v>
      </c>
      <c r="AG32" s="255">
        <v>102200.49872919476</v>
      </c>
      <c r="AH32" s="255">
        <v>105270.16360683765</v>
      </c>
      <c r="AI32" s="255">
        <v>108163.5042224795</v>
      </c>
      <c r="AJ32" s="255">
        <v>111043.2337091496</v>
      </c>
      <c r="AK32" s="255">
        <v>113942.83705040404</v>
      </c>
      <c r="AL32" s="224"/>
      <c r="AM32" s="244">
        <v>93203</v>
      </c>
      <c r="AN32" s="224"/>
      <c r="AO32" s="224"/>
      <c r="AP32" s="224"/>
      <c r="AQ32" s="224"/>
    </row>
    <row r="33" spans="1:43" ht="13.15" thickBot="1">
      <c r="A33" s="246"/>
      <c r="B33" s="256" t="s">
        <v>15</v>
      </c>
      <c r="C33" s="255">
        <v>42639586.096446052</v>
      </c>
      <c r="D33" s="255">
        <v>42660606.445226006</v>
      </c>
      <c r="E33" s="255">
        <v>42752494.396360196</v>
      </c>
      <c r="F33" s="606">
        <v>39807306.868036307</v>
      </c>
      <c r="G33" s="606">
        <v>38875445.657878414</v>
      </c>
      <c r="H33" s="224"/>
      <c r="I33" s="244">
        <v>42552763</v>
      </c>
      <c r="J33" s="224"/>
      <c r="K33" s="581">
        <f t="shared" si="0"/>
        <v>-2911689.9669948369</v>
      </c>
      <c r="L33" s="581">
        <f t="shared" si="1"/>
        <v>-3656696.3833361417</v>
      </c>
      <c r="M33" s="581">
        <v>42718996.835031144</v>
      </c>
      <c r="N33" s="581">
        <v>42532142.041214556</v>
      </c>
      <c r="P33" s="246"/>
      <c r="Q33" s="256" t="s">
        <v>15</v>
      </c>
      <c r="R33" s="255">
        <v>42704672.351565883</v>
      </c>
      <c r="S33" s="255">
        <v>42684717.3443489</v>
      </c>
      <c r="T33" s="255">
        <v>42762817.834401838</v>
      </c>
      <c r="U33" s="255">
        <v>42734648.790182367</v>
      </c>
      <c r="V33" s="255">
        <v>42402886.405189961</v>
      </c>
      <c r="W33" s="224"/>
      <c r="X33" s="244">
        <v>42552763</v>
      </c>
      <c r="Y33" s="224"/>
      <c r="Z33" s="224"/>
      <c r="AA33" s="224"/>
      <c r="AB33" s="224"/>
      <c r="AE33" s="246"/>
      <c r="AF33" s="256" t="s">
        <v>15</v>
      </c>
      <c r="AG33" s="255">
        <v>44988087.018268302</v>
      </c>
      <c r="AH33" s="255">
        <v>46339336.301290356</v>
      </c>
      <c r="AI33" s="255">
        <v>47612968.631939657</v>
      </c>
      <c r="AJ33" s="255">
        <v>48880609.419864491</v>
      </c>
      <c r="AK33" s="255">
        <v>50156998.567244969</v>
      </c>
      <c r="AL33" s="224"/>
      <c r="AM33" s="244">
        <v>42552763</v>
      </c>
      <c r="AN33" s="224"/>
      <c r="AO33" s="224"/>
      <c r="AP33" s="224"/>
      <c r="AQ33" s="224"/>
    </row>
    <row r="34" spans="1:43">
      <c r="A34" s="242" t="s">
        <v>99</v>
      </c>
      <c r="B34" s="252" t="s">
        <v>81</v>
      </c>
      <c r="C34" s="253">
        <v>12709.846964330369</v>
      </c>
      <c r="D34" s="253">
        <v>12960.023254578835</v>
      </c>
      <c r="E34" s="253">
        <v>13215.123929548703</v>
      </c>
      <c r="F34" s="605">
        <v>13472.218772985172</v>
      </c>
      <c r="G34" s="605">
        <v>13737.195572304361</v>
      </c>
      <c r="H34" s="224"/>
      <c r="I34" s="249">
        <v>12465</v>
      </c>
      <c r="J34" s="224"/>
      <c r="K34" s="580">
        <f t="shared" si="0"/>
        <v>-3.0271461631455168</v>
      </c>
      <c r="L34" s="580">
        <f t="shared" si="1"/>
        <v>-3.2924889169025846</v>
      </c>
      <c r="M34" s="580">
        <v>13475.245919148318</v>
      </c>
      <c r="N34" s="580">
        <v>13740.488061221264</v>
      </c>
      <c r="P34" s="242" t="s">
        <v>99</v>
      </c>
      <c r="Q34" s="252" t="s">
        <v>81</v>
      </c>
      <c r="R34" s="253">
        <v>12838.446964330369</v>
      </c>
      <c r="S34" s="253">
        <v>13223.623254578835</v>
      </c>
      <c r="T34" s="253">
        <v>13620.323929548704</v>
      </c>
      <c r="U34" s="253">
        <v>14028.945919148318</v>
      </c>
      <c r="V34" s="253">
        <v>14449.788061221263</v>
      </c>
      <c r="W34" s="224"/>
      <c r="X34" s="249">
        <v>12465</v>
      </c>
      <c r="Y34" s="224"/>
      <c r="Z34" s="224"/>
      <c r="AA34" s="224"/>
      <c r="AB34" s="224"/>
      <c r="AE34" s="242" t="s">
        <v>99</v>
      </c>
      <c r="AF34" s="252" t="s">
        <v>81</v>
      </c>
      <c r="AG34" s="253">
        <v>12958.232158180668</v>
      </c>
      <c r="AH34" s="253">
        <v>13346.909989506667</v>
      </c>
      <c r="AI34" s="253">
        <v>13747.307050225967</v>
      </c>
      <c r="AJ34" s="253">
        <v>14159.734676636504</v>
      </c>
      <c r="AK34" s="253">
        <v>14584.506492404096</v>
      </c>
      <c r="AL34" s="224"/>
      <c r="AM34" s="249">
        <v>12465</v>
      </c>
      <c r="AN34" s="224"/>
      <c r="AO34" s="224"/>
      <c r="AP34" s="224"/>
      <c r="AQ34" s="224"/>
    </row>
    <row r="35" spans="1:43">
      <c r="A35" s="250"/>
      <c r="B35" s="254" t="s">
        <v>16</v>
      </c>
      <c r="C35" s="255">
        <v>23911.673714127413</v>
      </c>
      <c r="D35" s="255">
        <v>14599.316515348542</v>
      </c>
      <c r="E35" s="255">
        <v>13528.419217862043</v>
      </c>
      <c r="F35" s="606">
        <v>13345.422407816242</v>
      </c>
      <c r="G35" s="606">
        <v>13901.837880180767</v>
      </c>
      <c r="H35" s="224"/>
      <c r="I35" s="244">
        <v>25620</v>
      </c>
      <c r="J35" s="224"/>
      <c r="K35" s="581">
        <f t="shared" si="0"/>
        <v>-449.28559718456199</v>
      </c>
      <c r="L35" s="581">
        <f t="shared" si="1"/>
        <v>-164.40044957039208</v>
      </c>
      <c r="M35" s="581">
        <v>13794.708005000804</v>
      </c>
      <c r="N35" s="581">
        <v>14066.238329751159</v>
      </c>
      <c r="P35" s="250"/>
      <c r="Q35" s="254" t="s">
        <v>16</v>
      </c>
      <c r="R35" s="255">
        <v>18742.893699603548</v>
      </c>
      <c r="S35" s="255">
        <v>12502.517137185854</v>
      </c>
      <c r="T35" s="255">
        <v>12388.592866418654</v>
      </c>
      <c r="U35" s="255">
        <v>12276.075349922326</v>
      </c>
      <c r="V35" s="255">
        <v>12164.85145263752</v>
      </c>
      <c r="W35" s="224"/>
      <c r="X35" s="244">
        <v>25620</v>
      </c>
      <c r="Y35" s="224"/>
      <c r="Z35" s="224"/>
      <c r="AA35" s="224"/>
      <c r="AB35" s="224"/>
      <c r="AE35" s="250"/>
      <c r="AF35" s="254" t="s">
        <v>16</v>
      </c>
      <c r="AG35" s="255">
        <v>18601.549507485201</v>
      </c>
      <c r="AH35" s="255">
        <v>12409.738229211556</v>
      </c>
      <c r="AI35" s="255">
        <v>12751.913831654809</v>
      </c>
      <c r="AJ35" s="255">
        <v>13101.192940163424</v>
      </c>
      <c r="AK35" s="255">
        <v>13457.621329861753</v>
      </c>
      <c r="AL35" s="224"/>
      <c r="AM35" s="244">
        <v>25620</v>
      </c>
      <c r="AN35" s="224"/>
      <c r="AO35" s="224"/>
      <c r="AP35" s="224"/>
      <c r="AQ35" s="224"/>
    </row>
    <row r="36" spans="1:43" ht="13.15" thickBot="1">
      <c r="A36" s="246"/>
      <c r="B36" s="256" t="s">
        <v>15</v>
      </c>
      <c r="C36" s="255">
        <v>8578851.707184026</v>
      </c>
      <c r="D36" s="255">
        <v>5237833.7421617098</v>
      </c>
      <c r="E36" s="255">
        <v>4853625.207928787</v>
      </c>
      <c r="F36" s="606">
        <v>4912438.1569634676</v>
      </c>
      <c r="G36" s="606">
        <v>5117254.1990519855</v>
      </c>
      <c r="H36" s="224"/>
      <c r="I36" s="244">
        <v>9142652</v>
      </c>
      <c r="J36" s="224"/>
      <c r="K36" s="581">
        <f t="shared" si="0"/>
        <v>-36724.153196671046</v>
      </c>
      <c r="L36" s="581">
        <f t="shared" si="1"/>
        <v>70674.266943427734</v>
      </c>
      <c r="M36" s="581">
        <v>4949162.3101601386</v>
      </c>
      <c r="N36" s="581">
        <v>5046579.9321085578</v>
      </c>
      <c r="P36" s="246"/>
      <c r="Q36" s="256" t="s">
        <v>15</v>
      </c>
      <c r="R36" s="255">
        <v>6934206.2815438015</v>
      </c>
      <c r="S36" s="255">
        <v>4625488.1587263634</v>
      </c>
      <c r="T36" s="255">
        <v>4583340.2168644872</v>
      </c>
      <c r="U36" s="255">
        <v>4541712.7242170181</v>
      </c>
      <c r="V36" s="255">
        <v>4500563.824822342</v>
      </c>
      <c r="W36" s="224"/>
      <c r="X36" s="244">
        <v>9142652</v>
      </c>
      <c r="Y36" s="224"/>
      <c r="Z36" s="224"/>
      <c r="AA36" s="224"/>
      <c r="AB36" s="224"/>
      <c r="AE36" s="246"/>
      <c r="AF36" s="256" t="s">
        <v>15</v>
      </c>
      <c r="AG36" s="255">
        <v>6898975.2993049342</v>
      </c>
      <c r="AH36" s="255">
        <v>4602545.4750272129</v>
      </c>
      <c r="AI36" s="255">
        <v>4729452.1624690769</v>
      </c>
      <c r="AJ36" s="255">
        <v>4858993.4106965186</v>
      </c>
      <c r="AK36" s="255">
        <v>4991186.1968679242</v>
      </c>
      <c r="AL36" s="224"/>
      <c r="AM36" s="244">
        <v>9142652</v>
      </c>
      <c r="AN36" s="224"/>
      <c r="AO36" s="224"/>
      <c r="AP36" s="224"/>
      <c r="AQ36" s="224"/>
    </row>
    <row r="37" spans="1:43">
      <c r="A37" s="242" t="s">
        <v>208</v>
      </c>
      <c r="B37" s="252" t="s">
        <v>82</v>
      </c>
      <c r="C37" s="253">
        <v>23.221124933174856</v>
      </c>
      <c r="D37" s="253">
        <v>22.46752679842146</v>
      </c>
      <c r="E37" s="253">
        <v>21.738385280233285</v>
      </c>
      <c r="F37" s="605">
        <v>22.696760746983312</v>
      </c>
      <c r="G37" s="605">
        <v>22.071924333171605</v>
      </c>
      <c r="H37" s="224"/>
      <c r="I37" s="249">
        <v>0</v>
      </c>
      <c r="J37" s="224"/>
      <c r="K37" s="580">
        <f t="shared" si="0"/>
        <v>1.6638540620755435</v>
      </c>
      <c r="L37" s="580">
        <f t="shared" si="1"/>
        <v>1.7216012565861085</v>
      </c>
      <c r="M37" s="580">
        <v>21.032906684907768</v>
      </c>
      <c r="N37" s="580">
        <v>20.350323076585497</v>
      </c>
      <c r="P37" s="242" t="s">
        <v>208</v>
      </c>
      <c r="Q37" s="252" t="s">
        <v>82</v>
      </c>
      <c r="R37" s="253">
        <v>23.221124933174856</v>
      </c>
      <c r="S37" s="253">
        <v>22.46752679842146</v>
      </c>
      <c r="T37" s="253">
        <v>21.738385280233285</v>
      </c>
      <c r="U37" s="253">
        <v>21.032906684907768</v>
      </c>
      <c r="V37" s="253">
        <v>20.350323076585497</v>
      </c>
      <c r="W37" s="224"/>
      <c r="X37" s="249">
        <v>0</v>
      </c>
      <c r="Y37" s="224"/>
      <c r="Z37" s="224"/>
      <c r="AA37" s="224"/>
      <c r="AB37" s="224"/>
      <c r="AE37" s="242" t="s">
        <v>208</v>
      </c>
      <c r="AF37" s="252" t="s">
        <v>82</v>
      </c>
      <c r="AG37" s="253">
        <v>22.319767741452615</v>
      </c>
      <c r="AH37" s="253">
        <v>21.524292526362714</v>
      </c>
      <c r="AI37" s="253">
        <v>20.757168001349534</v>
      </c>
      <c r="AJ37" s="253">
        <v>20.017383749479173</v>
      </c>
      <c r="AK37" s="253">
        <v>19.303965365018076</v>
      </c>
      <c r="AL37" s="224"/>
      <c r="AM37" s="249">
        <v>0</v>
      </c>
      <c r="AN37" s="224"/>
      <c r="AO37" s="224"/>
      <c r="AP37" s="224"/>
      <c r="AQ37" s="224"/>
    </row>
    <row r="38" spans="1:43">
      <c r="A38" s="250"/>
      <c r="B38" s="254" t="s">
        <v>16</v>
      </c>
      <c r="C38" s="255">
        <v>100.15889621450508</v>
      </c>
      <c r="D38" s="255">
        <v>96.106500369299738</v>
      </c>
      <c r="E38" s="255">
        <v>92.371157468960305</v>
      </c>
      <c r="F38" s="606">
        <v>96.768186330400098</v>
      </c>
      <c r="G38" s="606">
        <v>93.036557088953359</v>
      </c>
      <c r="H38" s="224"/>
      <c r="I38" s="244">
        <v>0</v>
      </c>
      <c r="J38" s="224"/>
      <c r="K38" s="581">
        <f t="shared" si="0"/>
        <v>8.2474207579142558</v>
      </c>
      <c r="L38" s="581">
        <f t="shared" si="1"/>
        <v>8.5105099027197753</v>
      </c>
      <c r="M38" s="581">
        <v>88.520765572485843</v>
      </c>
      <c r="N38" s="581">
        <v>84.526047186233583</v>
      </c>
      <c r="P38" s="250"/>
      <c r="Q38" s="254" t="s">
        <v>16</v>
      </c>
      <c r="R38" s="255">
        <v>100.31178155107455</v>
      </c>
      <c r="S38" s="255">
        <v>96.160817790652715</v>
      </c>
      <c r="T38" s="255">
        <v>92.393462317704902</v>
      </c>
      <c r="U38" s="255">
        <v>88.553198989825731</v>
      </c>
      <c r="V38" s="255">
        <v>84.269171621887097</v>
      </c>
      <c r="W38" s="224"/>
      <c r="X38" s="244">
        <v>0</v>
      </c>
      <c r="Y38" s="224"/>
      <c r="Z38" s="224"/>
      <c r="AA38" s="224"/>
      <c r="AB38" s="224"/>
      <c r="AE38" s="250"/>
      <c r="AF38" s="254" t="s">
        <v>16</v>
      </c>
      <c r="AG38" s="255">
        <v>98.894464114702075</v>
      </c>
      <c r="AH38" s="255">
        <v>95.88995425459909</v>
      </c>
      <c r="AI38" s="255">
        <v>92.746474393525105</v>
      </c>
      <c r="AJ38" s="255">
        <v>89.630869274067337</v>
      </c>
      <c r="AK38" s="255">
        <v>86.576770934504481</v>
      </c>
      <c r="AL38" s="224"/>
      <c r="AM38" s="244">
        <v>0</v>
      </c>
      <c r="AN38" s="224"/>
      <c r="AO38" s="224"/>
      <c r="AP38" s="224"/>
      <c r="AQ38" s="224"/>
    </row>
    <row r="39" spans="1:43" ht="13.15" thickBot="1">
      <c r="A39" s="246"/>
      <c r="B39" s="247" t="s">
        <v>15</v>
      </c>
      <c r="C39" s="248">
        <v>34297.182591568067</v>
      </c>
      <c r="D39" s="248">
        <v>32909.529916775595</v>
      </c>
      <c r="E39" s="248">
        <v>31630.444959402575</v>
      </c>
      <c r="F39" s="603">
        <v>33345.033034021741</v>
      </c>
      <c r="G39" s="603">
        <v>32059.16311080223</v>
      </c>
      <c r="H39" s="224"/>
      <c r="I39" s="248">
        <v>0</v>
      </c>
      <c r="J39" s="224"/>
      <c r="K39" s="578">
        <f t="shared" si="0"/>
        <v>3033.0689975684145</v>
      </c>
      <c r="L39" s="578">
        <f t="shared" si="1"/>
        <v>3115.1013883057785</v>
      </c>
      <c r="M39" s="578">
        <v>30311.964036453326</v>
      </c>
      <c r="N39" s="578">
        <v>28944.061722496452</v>
      </c>
      <c r="P39" s="246"/>
      <c r="Q39" s="247" t="s">
        <v>15</v>
      </c>
      <c r="R39" s="248">
        <v>34349.534768978912</v>
      </c>
      <c r="S39" s="248">
        <v>32928.129707592547</v>
      </c>
      <c r="T39" s="248">
        <v>31638.082757930551</v>
      </c>
      <c r="U39" s="248">
        <v>30323.070137644703</v>
      </c>
      <c r="V39" s="248">
        <v>28856.100408357815</v>
      </c>
      <c r="W39" s="224"/>
      <c r="X39" s="248">
        <v>0</v>
      </c>
      <c r="Y39" s="224"/>
      <c r="Z39" s="224"/>
      <c r="AA39" s="224"/>
      <c r="AB39" s="224"/>
      <c r="AE39" s="246"/>
      <c r="AF39" s="247" t="s">
        <v>15</v>
      </c>
      <c r="AG39" s="248">
        <v>33729.84317964848</v>
      </c>
      <c r="AH39" s="248">
        <v>32705.097787475253</v>
      </c>
      <c r="AI39" s="248">
        <v>31632.95402592525</v>
      </c>
      <c r="AJ39" s="248">
        <v>30570.317476652544</v>
      </c>
      <c r="AK39" s="248">
        <v>29528.658987768886</v>
      </c>
      <c r="AL39" s="224"/>
      <c r="AM39" s="248">
        <v>0</v>
      </c>
      <c r="AN39" s="224"/>
      <c r="AO39" s="224"/>
      <c r="AP39" s="224"/>
      <c r="AQ39" s="224"/>
    </row>
    <row r="40" spans="1:43">
      <c r="A40" s="242" t="s">
        <v>207</v>
      </c>
      <c r="B40" s="243" t="s">
        <v>82</v>
      </c>
      <c r="C40" s="249">
        <v>295.82025457231583</v>
      </c>
      <c r="D40" s="249">
        <v>296.14085622751179</v>
      </c>
      <c r="E40" s="249">
        <v>296.46180534174658</v>
      </c>
      <c r="F40" s="604">
        <v>270.75979314086953</v>
      </c>
      <c r="G40" s="604">
        <v>269.4000023064018</v>
      </c>
      <c r="H40" s="224"/>
      <c r="I40" s="249">
        <v>296</v>
      </c>
      <c r="J40" s="224"/>
      <c r="K40" s="579">
        <f t="shared" si="0"/>
        <v>-26.023309150716955</v>
      </c>
      <c r="L40" s="579">
        <f t="shared" si="1"/>
        <v>-27.704745147604172</v>
      </c>
      <c r="M40" s="579">
        <v>296.78310229158649</v>
      </c>
      <c r="N40" s="579">
        <v>297.10474745400597</v>
      </c>
      <c r="P40" s="242" t="s">
        <v>207</v>
      </c>
      <c r="Q40" s="243" t="s">
        <v>82</v>
      </c>
      <c r="R40" s="249">
        <v>295.82025457231583</v>
      </c>
      <c r="S40" s="249">
        <v>296.14085622751179</v>
      </c>
      <c r="T40" s="249">
        <v>296.46180534174658</v>
      </c>
      <c r="U40" s="249">
        <v>296.78310229158649</v>
      </c>
      <c r="V40" s="249">
        <v>297.10474745400597</v>
      </c>
      <c r="W40" s="224"/>
      <c r="X40" s="249">
        <v>296</v>
      </c>
      <c r="Y40" s="224"/>
      <c r="Z40" s="224"/>
      <c r="AA40" s="224"/>
      <c r="AB40" s="224"/>
      <c r="AE40" s="242" t="s">
        <v>207</v>
      </c>
      <c r="AF40" s="243" t="s">
        <v>82</v>
      </c>
      <c r="AG40" s="249">
        <v>295.60368854348479</v>
      </c>
      <c r="AH40" s="249">
        <v>295.90599592834724</v>
      </c>
      <c r="AI40" s="249">
        <v>296.20861247631717</v>
      </c>
      <c r="AJ40" s="249">
        <v>296.51153850356894</v>
      </c>
      <c r="AK40" s="249">
        <v>296.81477432660017</v>
      </c>
      <c r="AL40" s="224"/>
      <c r="AM40" s="249">
        <v>296</v>
      </c>
      <c r="AN40" s="224"/>
      <c r="AO40" s="224"/>
      <c r="AP40" s="224"/>
      <c r="AQ40" s="224"/>
    </row>
    <row r="41" spans="1:43">
      <c r="A41" s="250"/>
      <c r="B41" s="251" t="s">
        <v>16</v>
      </c>
      <c r="C41" s="244"/>
      <c r="D41" s="244"/>
      <c r="E41" s="244"/>
      <c r="F41" s="602"/>
      <c r="G41" s="602"/>
      <c r="H41" s="224"/>
      <c r="I41" s="244"/>
      <c r="J41" s="224"/>
      <c r="K41" s="577"/>
      <c r="L41" s="577"/>
      <c r="M41" s="577"/>
      <c r="N41" s="577"/>
      <c r="P41" s="250"/>
      <c r="Q41" s="251" t="s">
        <v>16</v>
      </c>
      <c r="R41" s="244"/>
      <c r="S41" s="244"/>
      <c r="T41" s="244"/>
      <c r="U41" s="244"/>
      <c r="V41" s="244"/>
      <c r="W41" s="224"/>
      <c r="X41" s="244"/>
      <c r="Y41" s="224"/>
      <c r="Z41" s="224"/>
      <c r="AA41" s="224"/>
      <c r="AB41" s="224"/>
      <c r="AE41" s="250"/>
      <c r="AF41" s="251" t="s">
        <v>16</v>
      </c>
      <c r="AG41" s="244"/>
      <c r="AH41" s="244"/>
      <c r="AI41" s="244"/>
      <c r="AJ41" s="244"/>
      <c r="AK41" s="244"/>
      <c r="AL41" s="224"/>
      <c r="AM41" s="244"/>
      <c r="AN41" s="224"/>
      <c r="AO41" s="224"/>
      <c r="AP41" s="224"/>
      <c r="AQ41" s="224"/>
    </row>
    <row r="42" spans="1:43" ht="13.15" thickBot="1">
      <c r="A42" s="246"/>
      <c r="B42" s="247" t="s">
        <v>15</v>
      </c>
      <c r="C42" s="248">
        <v>2686537.3140891874</v>
      </c>
      <c r="D42" s="248">
        <v>2667193.4637021297</v>
      </c>
      <c r="E42" s="248">
        <v>2652384.9112346303</v>
      </c>
      <c r="F42" s="603">
        <v>2612658.5895418967</v>
      </c>
      <c r="G42" s="603">
        <v>2660941.3975806902</v>
      </c>
      <c r="H42" s="224"/>
      <c r="I42" s="248">
        <v>2701125.7421476976</v>
      </c>
      <c r="J42" s="224"/>
      <c r="K42" s="578">
        <f>F42-M42</f>
        <v>-17268.643248304259</v>
      </c>
      <c r="L42" s="578">
        <f>G42-N42</f>
        <v>62651.894735853653</v>
      </c>
      <c r="M42" s="578">
        <v>2629927.232790201</v>
      </c>
      <c r="N42" s="578">
        <v>2598289.5028448366</v>
      </c>
      <c r="P42" s="246"/>
      <c r="Q42" s="247" t="s">
        <v>15</v>
      </c>
      <c r="R42" s="248">
        <v>2690638.1196790505</v>
      </c>
      <c r="S42" s="248">
        <v>2668700.9067017306</v>
      </c>
      <c r="T42" s="248">
        <v>2653025.3821984963</v>
      </c>
      <c r="U42" s="248">
        <v>2630890.8205649224</v>
      </c>
      <c r="V42" s="248">
        <v>2590393.2731665666</v>
      </c>
      <c r="W42" s="224"/>
      <c r="X42" s="248">
        <v>2701125.7421476976</v>
      </c>
      <c r="Y42" s="224"/>
      <c r="Z42" s="224"/>
      <c r="AA42" s="224"/>
      <c r="AB42" s="224"/>
      <c r="AE42" s="246"/>
      <c r="AF42" s="247" t="s">
        <v>15</v>
      </c>
      <c r="AG42" s="248">
        <v>2688071.7815343305</v>
      </c>
      <c r="AH42" s="248">
        <v>2654070.8537207819</v>
      </c>
      <c r="AI42" s="248">
        <v>2614010.5244777231</v>
      </c>
      <c r="AJ42" s="248">
        <v>2572397.3381351824</v>
      </c>
      <c r="AK42" s="248">
        <v>2530185.414528877</v>
      </c>
      <c r="AL42" s="224"/>
      <c r="AM42" s="248">
        <v>2701125.7421476976</v>
      </c>
      <c r="AN42" s="224"/>
      <c r="AO42" s="224"/>
      <c r="AP42" s="224"/>
      <c r="AQ42" s="224"/>
    </row>
    <row r="43" spans="1:43">
      <c r="A43" s="242"/>
      <c r="B43" s="243" t="s">
        <v>82</v>
      </c>
      <c r="C43" s="249"/>
      <c r="D43" s="249"/>
      <c r="E43" s="249"/>
      <c r="F43" s="604"/>
      <c r="G43" s="604"/>
      <c r="H43" s="224"/>
      <c r="I43" s="249"/>
      <c r="J43" s="224"/>
      <c r="K43" s="579"/>
      <c r="L43" s="579"/>
      <c r="M43" s="579"/>
      <c r="N43" s="579"/>
      <c r="P43" s="242"/>
      <c r="Q43" s="243" t="s">
        <v>82</v>
      </c>
      <c r="R43" s="249"/>
      <c r="S43" s="249"/>
      <c r="T43" s="249"/>
      <c r="U43" s="249"/>
      <c r="V43" s="249"/>
      <c r="W43" s="224"/>
      <c r="X43" s="249"/>
      <c r="Y43" s="224"/>
      <c r="Z43" s="224"/>
      <c r="AA43" s="224"/>
      <c r="AB43" s="224"/>
      <c r="AE43" s="242"/>
      <c r="AF43" s="243" t="s">
        <v>82</v>
      </c>
      <c r="AG43" s="249"/>
      <c r="AH43" s="249"/>
      <c r="AI43" s="249"/>
      <c r="AJ43" s="249"/>
      <c r="AK43" s="249"/>
      <c r="AL43" s="224"/>
      <c r="AM43" s="249"/>
      <c r="AN43" s="224"/>
      <c r="AO43" s="224"/>
      <c r="AP43" s="224"/>
      <c r="AQ43" s="224"/>
    </row>
    <row r="44" spans="1:43" ht="13.15" thickBot="1">
      <c r="A44" s="246"/>
      <c r="B44" s="247" t="s">
        <v>15</v>
      </c>
      <c r="C44" s="244"/>
      <c r="D44" s="244"/>
      <c r="E44" s="244"/>
      <c r="F44" s="602"/>
      <c r="G44" s="602"/>
      <c r="H44" s="224"/>
      <c r="I44" s="248"/>
      <c r="J44" s="224"/>
      <c r="K44" s="577"/>
      <c r="L44" s="577"/>
      <c r="M44" s="577"/>
      <c r="N44" s="577"/>
      <c r="P44" s="246"/>
      <c r="Q44" s="247" t="s">
        <v>15</v>
      </c>
      <c r="R44" s="244"/>
      <c r="S44" s="244"/>
      <c r="T44" s="244"/>
      <c r="U44" s="244"/>
      <c r="V44" s="244"/>
      <c r="W44" s="224"/>
      <c r="X44" s="248"/>
      <c r="Y44" s="224"/>
      <c r="Z44" s="224"/>
      <c r="AA44" s="224"/>
      <c r="AB44" s="224"/>
      <c r="AE44" s="246"/>
      <c r="AF44" s="247" t="s">
        <v>15</v>
      </c>
      <c r="AG44" s="244"/>
      <c r="AH44" s="244"/>
      <c r="AI44" s="244"/>
      <c r="AJ44" s="244"/>
      <c r="AK44" s="244"/>
      <c r="AL44" s="224"/>
      <c r="AM44" s="248"/>
      <c r="AN44" s="224"/>
      <c r="AO44" s="224"/>
      <c r="AP44" s="224"/>
      <c r="AQ44" s="224"/>
    </row>
    <row r="45" spans="1:43">
      <c r="A45" s="242" t="s">
        <v>100</v>
      </c>
      <c r="B45" s="243" t="s">
        <v>101</v>
      </c>
      <c r="C45" s="257">
        <v>68528.684052257042</v>
      </c>
      <c r="D45" s="257">
        <v>69610.723355824943</v>
      </c>
      <c r="E45" s="257">
        <v>70710.136538212828</v>
      </c>
      <c r="F45" s="257">
        <v>72339.66996111178</v>
      </c>
      <c r="G45" s="257">
        <v>73657.780656757473</v>
      </c>
      <c r="H45" s="224"/>
      <c r="I45" s="257">
        <v>67432</v>
      </c>
      <c r="J45" s="224"/>
      <c r="K45" s="579">
        <f t="shared" ref="K45:K47" si="2">F45-M45</f>
        <v>-346.17583518865285</v>
      </c>
      <c r="L45" s="579">
        <f t="shared" ref="L45:L47" si="3">G45-N45</f>
        <v>-1059.296298062618</v>
      </c>
      <c r="M45" s="579">
        <v>72685.845796300433</v>
      </c>
      <c r="N45" s="579">
        <v>74717.076954820091</v>
      </c>
      <c r="P45" s="242" t="s">
        <v>100</v>
      </c>
      <c r="Q45" s="243" t="s">
        <v>101</v>
      </c>
      <c r="R45" s="257">
        <v>69466.984052257045</v>
      </c>
      <c r="S45" s="257">
        <v>71541.023355824931</v>
      </c>
      <c r="T45" s="257">
        <v>73677.236538212819</v>
      </c>
      <c r="U45" s="257">
        <v>75877.745796300442</v>
      </c>
      <c r="V45" s="257">
        <v>78143.9769548201</v>
      </c>
      <c r="W45" s="224"/>
      <c r="X45" s="257">
        <v>67432</v>
      </c>
      <c r="Y45" s="224"/>
      <c r="Z45" s="224"/>
      <c r="AA45" s="224"/>
      <c r="AB45" s="224"/>
      <c r="AE45" s="242" t="s">
        <v>100</v>
      </c>
      <c r="AF45" s="243" t="s">
        <v>101</v>
      </c>
      <c r="AG45" s="257">
        <v>69527.294577676308</v>
      </c>
      <c r="AH45" s="257">
        <v>71603.187982798801</v>
      </c>
      <c r="AI45" s="257">
        <v>73741.051916484168</v>
      </c>
      <c r="AJ45" s="257">
        <v>75943.42110575884</v>
      </c>
      <c r="AK45" s="257">
        <v>78211.734268570421</v>
      </c>
      <c r="AL45" s="224"/>
      <c r="AM45" s="257">
        <v>67432</v>
      </c>
      <c r="AN45" s="224"/>
      <c r="AO45" s="224"/>
      <c r="AP45" s="224"/>
      <c r="AQ45" s="224"/>
    </row>
    <row r="46" spans="1:43">
      <c r="A46" s="258"/>
      <c r="B46" s="251" t="s">
        <v>16</v>
      </c>
      <c r="C46" s="259">
        <v>1167749.3739043716</v>
      </c>
      <c r="D46" s="259">
        <v>1166261.4222089818</v>
      </c>
      <c r="E46" s="259">
        <v>1169156.6144512808</v>
      </c>
      <c r="F46" s="259">
        <v>1105713.7921281913</v>
      </c>
      <c r="G46" s="259">
        <v>1106551.0586040313</v>
      </c>
      <c r="H46" s="224"/>
      <c r="I46" s="259">
        <v>1137326</v>
      </c>
      <c r="J46" s="224"/>
      <c r="K46" s="577">
        <f t="shared" si="2"/>
        <v>-94344.672725141281</v>
      </c>
      <c r="L46" s="577">
        <f t="shared" si="3"/>
        <v>-108989.92886642762</v>
      </c>
      <c r="M46" s="577">
        <v>1200058.4648533326</v>
      </c>
      <c r="N46" s="577">
        <v>1215540.987470459</v>
      </c>
      <c r="P46" s="258"/>
      <c r="Q46" s="251" t="s">
        <v>16</v>
      </c>
      <c r="R46" s="259">
        <v>1173698.5951248333</v>
      </c>
      <c r="S46" s="259">
        <v>1188193.5272971713</v>
      </c>
      <c r="T46" s="259">
        <v>1204983.7840457296</v>
      </c>
      <c r="U46" s="259">
        <v>1223958.818391382</v>
      </c>
      <c r="V46" s="259">
        <v>1235731.2269390821</v>
      </c>
      <c r="W46" s="224"/>
      <c r="X46" s="259">
        <v>1137326</v>
      </c>
      <c r="Y46" s="224"/>
      <c r="Z46" s="224"/>
      <c r="AA46" s="224"/>
      <c r="AB46" s="224"/>
      <c r="AE46" s="258"/>
      <c r="AF46" s="251" t="s">
        <v>16</v>
      </c>
      <c r="AG46" s="259">
        <v>1193060.6631732266</v>
      </c>
      <c r="AH46" s="259">
        <v>1222934.1373928362</v>
      </c>
      <c r="AI46" s="259">
        <v>1251649.1488065664</v>
      </c>
      <c r="AJ46" s="259">
        <v>1285319.5692610343</v>
      </c>
      <c r="AK46" s="259">
        <v>1320148.1598380981</v>
      </c>
      <c r="AL46" s="224"/>
      <c r="AM46" s="259">
        <v>1137326</v>
      </c>
      <c r="AN46" s="224"/>
      <c r="AO46" s="224"/>
      <c r="AP46" s="224"/>
      <c r="AQ46" s="224"/>
    </row>
    <row r="47" spans="1:43" ht="13.15" thickBot="1">
      <c r="A47" s="246"/>
      <c r="B47" s="247" t="s">
        <v>15</v>
      </c>
      <c r="C47" s="260">
        <v>1102042241.3540518</v>
      </c>
      <c r="D47" s="260">
        <v>1105604445.0975072</v>
      </c>
      <c r="E47" s="260">
        <v>1107833050.7016122</v>
      </c>
      <c r="F47" s="260">
        <v>1061596460.9022121</v>
      </c>
      <c r="G47" s="260">
        <v>1059903126.5592082</v>
      </c>
      <c r="H47" s="224"/>
      <c r="I47" s="260">
        <v>1084057106.3589396</v>
      </c>
      <c r="J47" s="224"/>
      <c r="K47" s="578">
        <f t="shared" si="2"/>
        <v>-68097232.737776756</v>
      </c>
      <c r="L47" s="578">
        <f t="shared" si="3"/>
        <v>-85419849.989768982</v>
      </c>
      <c r="M47" s="578">
        <v>1129693693.6399889</v>
      </c>
      <c r="N47" s="578">
        <v>1145322976.5489771</v>
      </c>
      <c r="P47" s="246"/>
      <c r="Q47" s="247" t="s">
        <v>15</v>
      </c>
      <c r="R47" s="260">
        <v>1116432536.9895813</v>
      </c>
      <c r="S47" s="260">
        <v>1131630482.302804</v>
      </c>
      <c r="T47" s="260">
        <v>1145673197.4182358</v>
      </c>
      <c r="U47" s="260">
        <v>1161077354.2842677</v>
      </c>
      <c r="V47" s="260">
        <v>1169388487.36602</v>
      </c>
      <c r="W47" s="224"/>
      <c r="X47" s="260">
        <v>1084057106.3589396</v>
      </c>
      <c r="Y47" s="224"/>
      <c r="Z47" s="224"/>
      <c r="AA47" s="224"/>
      <c r="AB47" s="224"/>
      <c r="AE47" s="246"/>
      <c r="AF47" s="247" t="s">
        <v>15</v>
      </c>
      <c r="AG47" s="260">
        <v>1107580970.3832314</v>
      </c>
      <c r="AH47" s="260">
        <v>1124788536.5709801</v>
      </c>
      <c r="AI47" s="260">
        <v>1135912494.3050995</v>
      </c>
      <c r="AJ47" s="260">
        <v>1149884488.0376174</v>
      </c>
      <c r="AK47" s="260">
        <v>1163639671.2474432</v>
      </c>
      <c r="AL47" s="224"/>
      <c r="AM47" s="260">
        <v>1084057106.3589396</v>
      </c>
      <c r="AN47" s="224"/>
      <c r="AO47" s="224"/>
      <c r="AP47" s="224"/>
      <c r="AQ47" s="224"/>
    </row>
    <row r="48" spans="1:43">
      <c r="A48" s="224"/>
      <c r="B48" s="224"/>
      <c r="C48" s="249"/>
      <c r="D48" s="249"/>
      <c r="E48" s="249"/>
      <c r="F48" s="604"/>
      <c r="G48" s="604"/>
      <c r="H48" s="224"/>
      <c r="I48" s="249"/>
      <c r="J48" s="224"/>
      <c r="K48" s="579"/>
      <c r="L48" s="579"/>
      <c r="M48" s="579"/>
      <c r="N48" s="579"/>
      <c r="P48" s="224"/>
      <c r="Q48" s="224"/>
      <c r="R48" s="249"/>
      <c r="S48" s="249"/>
      <c r="T48" s="249"/>
      <c r="U48" s="249"/>
      <c r="V48" s="249"/>
      <c r="W48" s="224"/>
      <c r="X48" s="249"/>
      <c r="Y48" s="224"/>
      <c r="Z48" s="224"/>
      <c r="AA48" s="224"/>
      <c r="AB48" s="224"/>
      <c r="AE48" s="224"/>
      <c r="AF48" s="224"/>
      <c r="AG48" s="249"/>
      <c r="AH48" s="249"/>
      <c r="AI48" s="249"/>
      <c r="AJ48" s="249"/>
      <c r="AK48" s="249"/>
      <c r="AL48" s="224"/>
      <c r="AM48" s="249"/>
      <c r="AN48" s="224"/>
      <c r="AO48" s="224"/>
      <c r="AP48" s="224"/>
      <c r="AQ48" s="224"/>
    </row>
    <row r="49" spans="1:43">
      <c r="A49" s="224"/>
      <c r="B49" s="224"/>
      <c r="C49" s="244"/>
      <c r="D49" s="244"/>
      <c r="E49" s="244"/>
      <c r="F49" s="602"/>
      <c r="G49" s="602"/>
      <c r="H49" s="224"/>
      <c r="I49" s="244"/>
      <c r="J49" s="224"/>
      <c r="K49" s="577"/>
      <c r="L49" s="577"/>
      <c r="M49" s="577"/>
      <c r="N49" s="577"/>
      <c r="P49" s="224"/>
      <c r="Q49" s="224"/>
      <c r="R49" s="244"/>
      <c r="S49" s="244"/>
      <c r="T49" s="244"/>
      <c r="U49" s="244"/>
      <c r="V49" s="244"/>
      <c r="W49" s="224"/>
      <c r="X49" s="244"/>
      <c r="Y49" s="224"/>
      <c r="Z49" s="224"/>
      <c r="AA49" s="224"/>
      <c r="AB49" s="224"/>
      <c r="AE49" s="224"/>
      <c r="AF49" s="224"/>
      <c r="AG49" s="244"/>
      <c r="AH49" s="244"/>
      <c r="AI49" s="244"/>
      <c r="AJ49" s="244"/>
      <c r="AK49" s="244"/>
      <c r="AL49" s="224"/>
      <c r="AM49" s="244"/>
      <c r="AN49" s="224"/>
      <c r="AO49" s="224"/>
      <c r="AP49" s="224"/>
      <c r="AQ49" s="224"/>
    </row>
    <row r="50" spans="1:43" ht="13.15" thickBot="1">
      <c r="A50" s="224"/>
      <c r="B50" s="224"/>
      <c r="C50" s="248"/>
      <c r="D50" s="248"/>
      <c r="E50" s="248"/>
      <c r="F50" s="603"/>
      <c r="G50" s="603"/>
      <c r="H50" s="224"/>
      <c r="I50" s="248"/>
      <c r="J50" s="224"/>
      <c r="K50" s="578"/>
      <c r="L50" s="578"/>
      <c r="M50" s="578"/>
      <c r="N50" s="578"/>
      <c r="P50" s="224"/>
      <c r="Q50" s="224"/>
      <c r="R50" s="248"/>
      <c r="S50" s="248"/>
      <c r="T50" s="248"/>
      <c r="U50" s="248"/>
      <c r="V50" s="248"/>
      <c r="W50" s="224"/>
      <c r="X50" s="248"/>
      <c r="Y50" s="224"/>
      <c r="Z50" s="224"/>
      <c r="AA50" s="224"/>
      <c r="AB50" s="224"/>
      <c r="AE50" s="224"/>
      <c r="AF50" s="224"/>
      <c r="AG50" s="248"/>
      <c r="AH50" s="248"/>
      <c r="AI50" s="248"/>
      <c r="AJ50" s="248"/>
      <c r="AK50" s="248"/>
      <c r="AL50" s="224"/>
      <c r="AM50" s="248"/>
      <c r="AN50" s="224"/>
      <c r="AO50" s="224"/>
      <c r="AP50" s="224"/>
      <c r="AQ50" s="224"/>
    </row>
    <row r="51" spans="1:43">
      <c r="A51" s="224"/>
      <c r="B51" s="224"/>
      <c r="C51" s="257">
        <v>-68528.684052257042</v>
      </c>
      <c r="D51" s="257">
        <v>-69610.723355824943</v>
      </c>
      <c r="E51" s="257">
        <v>-70710.136538212828</v>
      </c>
      <c r="F51" s="257">
        <v>-72339.66996111178</v>
      </c>
      <c r="G51" s="257">
        <v>-73657.780656757473</v>
      </c>
      <c r="H51" s="224"/>
      <c r="I51" s="257">
        <v>-67432</v>
      </c>
      <c r="J51" s="224"/>
      <c r="K51" s="579">
        <f t="shared" ref="K51:K53" si="4">F51-M51</f>
        <v>346.17583518865285</v>
      </c>
      <c r="L51" s="579">
        <f t="shared" ref="L51:L53" si="5">G51-N51</f>
        <v>1059.296298062618</v>
      </c>
      <c r="M51" s="579">
        <v>-72685.845796300433</v>
      </c>
      <c r="N51" s="579">
        <v>-74717.076954820091</v>
      </c>
      <c r="P51" s="224"/>
      <c r="Q51" s="224"/>
      <c r="R51" s="257">
        <v>-69466.984052257045</v>
      </c>
      <c r="S51" s="257">
        <v>-71541.023355824931</v>
      </c>
      <c r="T51" s="257">
        <v>-73677.236538212819</v>
      </c>
      <c r="U51" s="257">
        <v>-75877.745796300442</v>
      </c>
      <c r="V51" s="257">
        <v>-78143.9769548201</v>
      </c>
      <c r="W51" s="224"/>
      <c r="X51" s="257">
        <v>-67432</v>
      </c>
      <c r="Y51" s="224"/>
      <c r="Z51" s="224"/>
      <c r="AA51" s="224"/>
      <c r="AB51" s="224"/>
      <c r="AE51" s="224"/>
      <c r="AF51" s="224"/>
      <c r="AG51" s="257">
        <v>-69527.294577676308</v>
      </c>
      <c r="AH51" s="257">
        <v>-71603.187982798801</v>
      </c>
      <c r="AI51" s="257">
        <v>-73741.051916484168</v>
      </c>
      <c r="AJ51" s="257">
        <v>-75943.42110575884</v>
      </c>
      <c r="AK51" s="257">
        <v>-78211.734268570421</v>
      </c>
      <c r="AL51" s="224"/>
      <c r="AM51" s="257">
        <v>-67432</v>
      </c>
      <c r="AN51" s="224"/>
      <c r="AO51" s="224"/>
      <c r="AP51" s="224"/>
      <c r="AQ51" s="224"/>
    </row>
    <row r="52" spans="1:43">
      <c r="A52" s="224"/>
      <c r="B52" s="224"/>
      <c r="C52" s="259">
        <v>-1167749.3739043716</v>
      </c>
      <c r="D52" s="259">
        <v>-1166261.4222089818</v>
      </c>
      <c r="E52" s="259">
        <v>-1169156.6144512808</v>
      </c>
      <c r="F52" s="259">
        <v>-1105713.7921281913</v>
      </c>
      <c r="G52" s="259">
        <v>-1106551.0586040313</v>
      </c>
      <c r="H52" s="224"/>
      <c r="I52" s="259">
        <v>-1137326</v>
      </c>
      <c r="J52" s="224"/>
      <c r="K52" s="577">
        <f t="shared" si="4"/>
        <v>94344.672725141281</v>
      </c>
      <c r="L52" s="577">
        <f t="shared" si="5"/>
        <v>108989.92886642762</v>
      </c>
      <c r="M52" s="577">
        <v>-1200058.4648533326</v>
      </c>
      <c r="N52" s="577">
        <v>-1215540.987470459</v>
      </c>
      <c r="P52" s="224"/>
      <c r="Q52" s="224"/>
      <c r="R52" s="259">
        <v>-1173698.5951248333</v>
      </c>
      <c r="S52" s="259">
        <v>-1188193.5272971713</v>
      </c>
      <c r="T52" s="259">
        <v>-1204983.7840457296</v>
      </c>
      <c r="U52" s="259">
        <v>-1223958.818391382</v>
      </c>
      <c r="V52" s="259">
        <v>-1235731.2269390821</v>
      </c>
      <c r="W52" s="224"/>
      <c r="X52" s="259">
        <v>-1137326</v>
      </c>
      <c r="Y52" s="224"/>
      <c r="Z52" s="224"/>
      <c r="AA52" s="224"/>
      <c r="AB52" s="224"/>
      <c r="AE52" s="224"/>
      <c r="AF52" s="224"/>
      <c r="AG52" s="259">
        <v>-1193060.6631732266</v>
      </c>
      <c r="AH52" s="259">
        <v>-1222934.1373928362</v>
      </c>
      <c r="AI52" s="259">
        <v>-1251649.1488065664</v>
      </c>
      <c r="AJ52" s="259">
        <v>-1285319.5692610343</v>
      </c>
      <c r="AK52" s="259">
        <v>-1320148.1598380981</v>
      </c>
      <c r="AL52" s="224"/>
      <c r="AM52" s="259">
        <v>-1137326</v>
      </c>
      <c r="AN52" s="224"/>
      <c r="AO52" s="224"/>
      <c r="AP52" s="224"/>
      <c r="AQ52" s="224"/>
    </row>
    <row r="53" spans="1:43" ht="13.15" thickBot="1">
      <c r="A53" s="224"/>
      <c r="B53" s="224"/>
      <c r="C53" s="260">
        <v>-1102042241.3540518</v>
      </c>
      <c r="D53" s="260">
        <v>-1105604445.0975072</v>
      </c>
      <c r="E53" s="260">
        <v>-1107833050.7016122</v>
      </c>
      <c r="F53" s="260">
        <v>-1061596460.9022121</v>
      </c>
      <c r="G53" s="260">
        <v>-1059903126.5592082</v>
      </c>
      <c r="H53" s="224"/>
      <c r="I53" s="260">
        <v>-1084057106.3589396</v>
      </c>
      <c r="J53" s="224"/>
      <c r="K53" s="578">
        <f t="shared" si="4"/>
        <v>68097232.737776756</v>
      </c>
      <c r="L53" s="578">
        <f t="shared" si="5"/>
        <v>85419849.989768982</v>
      </c>
      <c r="M53" s="578">
        <v>-1129693693.6399889</v>
      </c>
      <c r="N53" s="578">
        <v>-1145322976.5489771</v>
      </c>
      <c r="P53" s="224"/>
      <c r="Q53" s="224"/>
      <c r="R53" s="260">
        <v>-1116432536.9895813</v>
      </c>
      <c r="S53" s="260">
        <v>-1131630482.302804</v>
      </c>
      <c r="T53" s="260">
        <v>-1145673197.4182358</v>
      </c>
      <c r="U53" s="260">
        <v>-1161077354.2842677</v>
      </c>
      <c r="V53" s="260">
        <v>-1169388487.36602</v>
      </c>
      <c r="W53" s="224"/>
      <c r="X53" s="260">
        <v>-1084057106.3589396</v>
      </c>
      <c r="Y53" s="224"/>
      <c r="Z53" s="224"/>
      <c r="AA53" s="224"/>
      <c r="AB53" s="224"/>
      <c r="AE53" s="224"/>
      <c r="AF53" s="224"/>
      <c r="AG53" s="260">
        <v>-1107580970.3832314</v>
      </c>
      <c r="AH53" s="260">
        <v>-1124788536.5709801</v>
      </c>
      <c r="AI53" s="260">
        <v>-1135912494.3050995</v>
      </c>
      <c r="AJ53" s="260">
        <v>-1149884488.0376174</v>
      </c>
      <c r="AK53" s="260">
        <v>-1163639671.2474432</v>
      </c>
      <c r="AL53" s="224"/>
      <c r="AM53" s="260">
        <v>-1084057106.3589396</v>
      </c>
      <c r="AN53" s="224"/>
      <c r="AO53" s="224"/>
      <c r="AP53" s="224"/>
      <c r="AQ53" s="224"/>
    </row>
    <row r="54" spans="1:43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</row>
  </sheetData>
  <mergeCells count="2">
    <mergeCell ref="M18:N19"/>
    <mergeCell ref="K18:L19"/>
  </mergeCells>
  <pageMargins left="0.70866141732283472" right="0.70866141732283472" top="0.74803149606299213" bottom="0.74803149606299213" header="0.31496062992125984" footer="0.31496062992125984"/>
  <pageSetup scale="1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Normal="100" workbookViewId="0">
      <selection activeCell="F13" sqref="F13"/>
    </sheetView>
  </sheetViews>
  <sheetFormatPr defaultRowHeight="12.75"/>
  <cols>
    <col min="1" max="1" width="33.19921875" customWidth="1"/>
    <col min="2" max="2" width="16.19921875" bestFit="1" customWidth="1"/>
    <col min="3" max="7" width="15.73046875" customWidth="1"/>
    <col min="8" max="8" width="11.19921875" customWidth="1"/>
    <col min="9" max="9" width="10.19921875" customWidth="1"/>
    <col min="10" max="10" width="14.73046875" customWidth="1"/>
    <col min="11" max="11" width="16.796875" customWidth="1"/>
    <col min="12" max="12" width="25.46484375" customWidth="1"/>
    <col min="13" max="13" width="17.53125" customWidth="1"/>
    <col min="14" max="14" width="2.73046875" customWidth="1"/>
    <col min="15" max="15" width="19" customWidth="1"/>
    <col min="16" max="16" width="11.796875" customWidth="1"/>
  </cols>
  <sheetData>
    <row r="1" spans="1:16" ht="13.15">
      <c r="A1" s="616" t="str">
        <f>+'Revenue Input'!A1</f>
        <v>Oshawa PUC Networks Inc</v>
      </c>
      <c r="B1" s="616"/>
      <c r="C1" s="616"/>
      <c r="D1" s="616"/>
      <c r="E1" s="616"/>
      <c r="F1" s="616"/>
      <c r="G1" s="616"/>
      <c r="I1" s="345" t="s">
        <v>241</v>
      </c>
      <c r="J1" s="270"/>
      <c r="K1" s="270"/>
    </row>
    <row r="2" spans="1:16" ht="27" customHeight="1">
      <c r="A2" s="615" t="s">
        <v>216</v>
      </c>
      <c r="B2" s="615"/>
      <c r="C2" s="615"/>
      <c r="D2" s="615"/>
      <c r="E2" s="615"/>
      <c r="F2" s="615"/>
      <c r="G2" s="615"/>
    </row>
    <row r="3" spans="1:16" ht="18.75" customHeight="1">
      <c r="A3" s="614" t="s">
        <v>28</v>
      </c>
      <c r="B3" s="614"/>
      <c r="C3" s="614"/>
      <c r="D3" s="614"/>
      <c r="E3" s="614"/>
      <c r="F3" s="614"/>
      <c r="G3" s="614"/>
    </row>
    <row r="4" spans="1:16" ht="39.75" thickBot="1">
      <c r="A4" s="136" t="s">
        <v>23</v>
      </c>
      <c r="B4" s="137" t="s">
        <v>80</v>
      </c>
      <c r="C4" s="159" t="s">
        <v>115</v>
      </c>
      <c r="D4" s="159" t="s">
        <v>129</v>
      </c>
      <c r="E4" s="159" t="s">
        <v>130</v>
      </c>
      <c r="F4" s="159" t="s">
        <v>131</v>
      </c>
      <c r="G4" s="159" t="s">
        <v>132</v>
      </c>
      <c r="H4" s="14"/>
      <c r="I4" s="280" t="s">
        <v>227</v>
      </c>
      <c r="J4" s="294" t="s">
        <v>242</v>
      </c>
      <c r="K4" s="294" t="s">
        <v>226</v>
      </c>
      <c r="L4" s="286" t="s">
        <v>23</v>
      </c>
      <c r="M4" s="287" t="s">
        <v>80</v>
      </c>
      <c r="N4" s="283"/>
      <c r="O4" s="294" t="s">
        <v>218</v>
      </c>
      <c r="P4" s="294" t="s">
        <v>219</v>
      </c>
    </row>
    <row r="5" spans="1:16" ht="15" customHeight="1">
      <c r="A5" s="213" t="s">
        <v>97</v>
      </c>
      <c r="B5" s="214" t="s">
        <v>81</v>
      </c>
      <c r="C5" s="262">
        <f>'Data '!C21</f>
        <v>50977.327408831858</v>
      </c>
      <c r="D5" s="262">
        <f>'Data '!D21</f>
        <v>51741.998652925271</v>
      </c>
      <c r="E5" s="262">
        <f>'Data '!E21</f>
        <v>52518.137136473488</v>
      </c>
      <c r="F5" s="262">
        <f>'Data '!F21</f>
        <v>53812.844987574732</v>
      </c>
      <c r="G5" s="262">
        <f>'Data '!G21</f>
        <v>54781.502573600781</v>
      </c>
      <c r="H5" s="14"/>
      <c r="I5" s="343">
        <f t="shared" ref="I5:I24" si="0">(C5-K5)/K5</f>
        <v>2.1186054074416313E-2</v>
      </c>
      <c r="J5" s="295"/>
      <c r="K5" s="295">
        <v>49919.725406979574</v>
      </c>
      <c r="L5" s="288" t="s">
        <v>97</v>
      </c>
      <c r="M5" s="362" t="s">
        <v>81</v>
      </c>
      <c r="N5" s="283"/>
      <c r="O5" s="295">
        <v>49919.725406979574</v>
      </c>
      <c r="P5" s="295">
        <v>0</v>
      </c>
    </row>
    <row r="6" spans="1:16" ht="15" customHeight="1" thickBot="1">
      <c r="A6" s="215"/>
      <c r="B6" s="216" t="s">
        <v>15</v>
      </c>
      <c r="C6" s="248">
        <f>'Data '!C22</f>
        <v>488310441.84458584</v>
      </c>
      <c r="D6" s="248">
        <f>'Data '!D22</f>
        <v>491380160.90018409</v>
      </c>
      <c r="E6" s="248">
        <f>'Data '!E22</f>
        <v>492297000.53160763</v>
      </c>
      <c r="F6" s="248">
        <f>'Data '!F22</f>
        <v>480011939.38473219</v>
      </c>
      <c r="G6" s="248">
        <f>'Data '!G22</f>
        <v>478548339.49470502</v>
      </c>
      <c r="H6" s="14"/>
      <c r="I6" s="337">
        <f t="shared" si="0"/>
        <v>-1.6390323078903809E-2</v>
      </c>
      <c r="J6" s="296"/>
      <c r="K6" s="296">
        <v>496447374.70771897</v>
      </c>
      <c r="L6" s="285"/>
      <c r="M6" s="363" t="s">
        <v>15</v>
      </c>
      <c r="N6" s="283"/>
      <c r="O6" s="296">
        <v>482416462.07272798</v>
      </c>
      <c r="P6" s="296">
        <v>14030912.63499099</v>
      </c>
    </row>
    <row r="7" spans="1:16" ht="15" customHeight="1">
      <c r="A7" s="213" t="s">
        <v>212</v>
      </c>
      <c r="B7" s="214" t="s">
        <v>81</v>
      </c>
      <c r="C7" s="262">
        <f>'Data '!C23</f>
        <v>4002.4682995893245</v>
      </c>
      <c r="D7" s="262">
        <f>'Data '!D23</f>
        <v>4062.4930652948956</v>
      </c>
      <c r="E7" s="262">
        <f>'Data '!E23</f>
        <v>4123.3752815686439</v>
      </c>
      <c r="F7" s="262">
        <f>'Data '!F23</f>
        <v>4221.1496466640174</v>
      </c>
      <c r="G7" s="262">
        <f>'Data '!G23</f>
        <v>4297.1105842127581</v>
      </c>
      <c r="H7" s="14"/>
      <c r="I7" s="343">
        <f t="shared" si="0"/>
        <v>1.046914910106652E-2</v>
      </c>
      <c r="J7" s="297"/>
      <c r="K7" s="297">
        <v>3961</v>
      </c>
      <c r="L7" s="288" t="s">
        <v>220</v>
      </c>
      <c r="M7" s="362" t="s">
        <v>81</v>
      </c>
      <c r="N7" s="283"/>
      <c r="O7" s="297">
        <v>3961</v>
      </c>
      <c r="P7" s="297">
        <v>0</v>
      </c>
    </row>
    <row r="8" spans="1:16" ht="15" customHeight="1" thickBot="1">
      <c r="A8" s="215"/>
      <c r="B8" s="216" t="s">
        <v>15</v>
      </c>
      <c r="C8" s="248">
        <f>'Data '!C24</f>
        <v>134064266.11914393</v>
      </c>
      <c r="D8" s="248">
        <f>'Data '!D24</f>
        <v>134854491.64774501</v>
      </c>
      <c r="E8" s="248">
        <f>'Data '!E24</f>
        <v>135063742.04659477</v>
      </c>
      <c r="F8" s="248">
        <f>'Data '!F24</f>
        <v>129585178.21250525</v>
      </c>
      <c r="G8" s="248">
        <f>'Data '!G24</f>
        <v>129015225.78797366</v>
      </c>
      <c r="H8" s="14"/>
      <c r="I8" s="337">
        <f t="shared" si="0"/>
        <v>1.3185155177570101E-2</v>
      </c>
      <c r="J8" s="298"/>
      <c r="K8" s="298">
        <v>132319611.50837028</v>
      </c>
      <c r="L8" s="285"/>
      <c r="M8" s="363" t="s">
        <v>15</v>
      </c>
      <c r="N8" s="283"/>
      <c r="O8" s="298">
        <v>128579910.17534795</v>
      </c>
      <c r="P8" s="298">
        <v>3739701.3330223262</v>
      </c>
    </row>
    <row r="9" spans="1:16" ht="15" customHeight="1">
      <c r="A9" s="213" t="s">
        <v>213</v>
      </c>
      <c r="B9" s="214" t="s">
        <v>81</v>
      </c>
      <c r="C9" s="263">
        <f>'Data '!C25</f>
        <v>507</v>
      </c>
      <c r="D9" s="263">
        <f>'Data '!D25</f>
        <v>514.6</v>
      </c>
      <c r="E9" s="263">
        <f>'Data '!E25</f>
        <v>522.29999999999995</v>
      </c>
      <c r="F9" s="263">
        <f>'Data '!F25</f>
        <v>525.79999999999995</v>
      </c>
      <c r="G9" s="263">
        <f>'Data '!G25</f>
        <v>535.29999999999995</v>
      </c>
      <c r="H9" s="14"/>
      <c r="I9" s="343">
        <f t="shared" si="0"/>
        <v>-2.1235521235521235E-2</v>
      </c>
      <c r="J9" s="299"/>
      <c r="K9" s="299">
        <v>518</v>
      </c>
      <c r="L9" s="288" t="s">
        <v>221</v>
      </c>
      <c r="M9" s="362" t="s">
        <v>81</v>
      </c>
      <c r="N9" s="306"/>
      <c r="O9" s="299">
        <v>518</v>
      </c>
      <c r="P9" s="299">
        <v>0</v>
      </c>
    </row>
    <row r="10" spans="1:16" ht="15" customHeight="1">
      <c r="A10" s="217"/>
      <c r="B10" s="218" t="s">
        <v>16</v>
      </c>
      <c r="C10" s="244">
        <f>'Data '!C26</f>
        <v>851954.05092458322</v>
      </c>
      <c r="D10" s="244">
        <f>'Data '!D26</f>
        <v>860398.47773257422</v>
      </c>
      <c r="E10" s="244">
        <f>'Data '!E26</f>
        <v>865544.379866131</v>
      </c>
      <c r="F10" s="244">
        <f>'Data '!F26</f>
        <v>834069.22595941229</v>
      </c>
      <c r="G10" s="244">
        <f>'Data '!G26</f>
        <v>835118.23784245062</v>
      </c>
      <c r="H10" s="14"/>
      <c r="I10" s="348">
        <f t="shared" si="0"/>
        <v>-7.1298357464825032E-2</v>
      </c>
      <c r="J10" s="297"/>
      <c r="K10" s="297">
        <v>917360.33609127067</v>
      </c>
      <c r="L10" s="284"/>
      <c r="M10" s="364" t="s">
        <v>16</v>
      </c>
      <c r="N10" s="306"/>
      <c r="O10" s="297">
        <v>892988.62032612122</v>
      </c>
      <c r="P10" s="297">
        <v>24371.715765149449</v>
      </c>
    </row>
    <row r="11" spans="1:16" ht="15" customHeight="1" thickBot="1">
      <c r="A11" s="215"/>
      <c r="B11" s="216" t="s">
        <v>15</v>
      </c>
      <c r="C11" s="248">
        <f>'Data '!C27</f>
        <v>337307808.8671304</v>
      </c>
      <c r="D11" s="248">
        <f>'Data '!D27</f>
        <v>340651147.74867117</v>
      </c>
      <c r="E11" s="248">
        <f>'Data '!E27</f>
        <v>342688526.37423319</v>
      </c>
      <c r="F11" s="248">
        <f>'Data '!F27</f>
        <v>329595262.30701321</v>
      </c>
      <c r="G11" s="248">
        <f>'Data '!G27</f>
        <v>330009795.46084768</v>
      </c>
      <c r="I11" s="337">
        <f t="shared" si="0"/>
        <v>-6.1373226346482249E-2</v>
      </c>
      <c r="J11" s="298"/>
      <c r="K11" s="298">
        <v>359363080.55031395</v>
      </c>
      <c r="L11" s="285"/>
      <c r="M11" s="363" t="s">
        <v>15</v>
      </c>
      <c r="N11" s="307"/>
      <c r="O11" s="298">
        <v>349815801.78635681</v>
      </c>
      <c r="P11" s="298">
        <v>9547278.7639571428</v>
      </c>
    </row>
    <row r="12" spans="1:16" ht="15" customHeight="1">
      <c r="A12" s="213" t="s">
        <v>214</v>
      </c>
      <c r="B12" s="214" t="s">
        <v>81</v>
      </c>
      <c r="C12" s="263">
        <f>'Data '!C28</f>
        <v>12</v>
      </c>
      <c r="D12" s="263">
        <f>'Data '!D28</f>
        <v>12</v>
      </c>
      <c r="E12" s="263">
        <f>'Data '!E28</f>
        <v>12</v>
      </c>
      <c r="F12" s="263">
        <f>'Data '!F28</f>
        <v>13.2</v>
      </c>
      <c r="G12" s="263">
        <f>'Data '!G28</f>
        <v>14.2</v>
      </c>
      <c r="H12" s="14"/>
      <c r="I12" s="343">
        <f t="shared" si="0"/>
        <v>0.2</v>
      </c>
      <c r="J12" s="359"/>
      <c r="K12" s="359">
        <v>10</v>
      </c>
      <c r="L12" s="288" t="s">
        <v>222</v>
      </c>
      <c r="M12" s="362" t="s">
        <v>81</v>
      </c>
      <c r="N12" s="306"/>
      <c r="O12" s="299">
        <v>10</v>
      </c>
      <c r="P12" s="300">
        <v>0</v>
      </c>
    </row>
    <row r="13" spans="1:16" ht="15" customHeight="1">
      <c r="A13" s="217"/>
      <c r="B13" s="218" t="s">
        <v>16</v>
      </c>
      <c r="C13" s="244">
        <f>'Data '!C29</f>
        <v>195333.21024632914</v>
      </c>
      <c r="D13" s="244">
        <f>'Data '!D29</f>
        <v>194669.69353718983</v>
      </c>
      <c r="E13" s="244">
        <f>'Data '!E29</f>
        <v>193285.76673996553</v>
      </c>
      <c r="F13" s="244">
        <f>'Data '!F29</f>
        <v>167714.00346680533</v>
      </c>
      <c r="G13" s="244">
        <f>'Data '!G29</f>
        <v>169067.84371452243</v>
      </c>
      <c r="H13" s="14"/>
      <c r="I13" s="348">
        <f t="shared" si="0"/>
        <v>0.16854968458054015</v>
      </c>
      <c r="J13" s="360"/>
      <c r="K13" s="360">
        <v>167158.6692665494</v>
      </c>
      <c r="L13" s="284"/>
      <c r="M13" s="364" t="s">
        <v>16</v>
      </c>
      <c r="N13" s="283"/>
      <c r="O13" s="297">
        <v>163063.18688323881</v>
      </c>
      <c r="P13" s="301">
        <v>4095.4823833105911</v>
      </c>
    </row>
    <row r="14" spans="1:16" ht="15" customHeight="1" thickBot="1">
      <c r="A14" s="215"/>
      <c r="B14" s="216" t="s">
        <v>15</v>
      </c>
      <c r="C14" s="248">
        <f>'Data '!C30</f>
        <v>88420452.222880453</v>
      </c>
      <c r="D14" s="248">
        <f>'Data '!D30</f>
        <v>88120101.619900286</v>
      </c>
      <c r="E14" s="248">
        <f>'Data '!E30</f>
        <v>87493646.788693547</v>
      </c>
      <c r="F14" s="248">
        <f>'Data '!F30</f>
        <v>75038332.350385889</v>
      </c>
      <c r="G14" s="248">
        <f>'Data '!G30</f>
        <v>75644065.398059711</v>
      </c>
      <c r="I14" s="337">
        <f t="shared" si="0"/>
        <v>0.13105348964592634</v>
      </c>
      <c r="J14" s="361"/>
      <c r="K14" s="361">
        <v>78175305.617562145</v>
      </c>
      <c r="L14" s="285"/>
      <c r="M14" s="363" t="s">
        <v>15</v>
      </c>
      <c r="N14" s="281"/>
      <c r="O14" s="298">
        <v>76259966.20757848</v>
      </c>
      <c r="P14" s="302">
        <v>1915339.4099836648</v>
      </c>
    </row>
    <row r="15" spans="1:16" ht="15" customHeight="1">
      <c r="A15" s="213" t="s">
        <v>98</v>
      </c>
      <c r="B15" s="219" t="s">
        <v>81</v>
      </c>
      <c r="C15" s="264">
        <f>'Data '!C31</f>
        <v>1</v>
      </c>
      <c r="D15" s="264">
        <f>'Data '!D31</f>
        <v>1</v>
      </c>
      <c r="E15" s="264">
        <f>'Data '!E31</f>
        <v>1</v>
      </c>
      <c r="F15" s="264">
        <f>'Data '!F31</f>
        <v>1</v>
      </c>
      <c r="G15" s="264">
        <f>'Data '!G31</f>
        <v>1</v>
      </c>
      <c r="H15" s="14"/>
      <c r="I15" s="341">
        <f t="shared" si="0"/>
        <v>0</v>
      </c>
      <c r="J15" s="359"/>
      <c r="K15" s="359">
        <v>1</v>
      </c>
      <c r="L15" s="288" t="s">
        <v>223</v>
      </c>
      <c r="M15" s="362" t="s">
        <v>81</v>
      </c>
      <c r="N15" s="281"/>
      <c r="O15" s="299">
        <v>1</v>
      </c>
      <c r="P15" s="300">
        <v>0</v>
      </c>
    </row>
    <row r="16" spans="1:16" ht="15" customHeight="1">
      <c r="A16" s="217"/>
      <c r="B16" s="220" t="s">
        <v>16</v>
      </c>
      <c r="C16" s="255">
        <f>'Data '!C32</f>
        <v>96450.280123117438</v>
      </c>
      <c r="D16" s="255">
        <f>'Data '!D32</f>
        <v>96497.827923500081</v>
      </c>
      <c r="E16" s="255">
        <f>'Data '!E32</f>
        <v>96705.677469853224</v>
      </c>
      <c r="F16" s="255">
        <f>'Data '!F32</f>
        <v>90488.372107827323</v>
      </c>
      <c r="G16" s="255">
        <f>'Data '!G32</f>
        <v>88370.102609788868</v>
      </c>
      <c r="H16" s="14"/>
      <c r="I16" s="346">
        <f t="shared" si="0"/>
        <v>0.36644159698402545</v>
      </c>
      <c r="J16" s="360"/>
      <c r="K16" s="360">
        <v>70585</v>
      </c>
      <c r="L16" s="284"/>
      <c r="M16" s="364" t="s">
        <v>16</v>
      </c>
      <c r="N16" s="281"/>
      <c r="O16" s="297">
        <v>70585</v>
      </c>
      <c r="P16" s="301">
        <v>0</v>
      </c>
    </row>
    <row r="17" spans="1:16" ht="15" customHeight="1" thickBot="1">
      <c r="A17" s="215"/>
      <c r="B17" s="221" t="s">
        <v>15</v>
      </c>
      <c r="C17" s="255">
        <f>'Data '!C33</f>
        <v>42639586.096446052</v>
      </c>
      <c r="D17" s="255">
        <f>'Data '!D33</f>
        <v>42660606.445226006</v>
      </c>
      <c r="E17" s="255">
        <f>'Data '!E33</f>
        <v>42752494.396360196</v>
      </c>
      <c r="F17" s="255">
        <f>'Data '!F33</f>
        <v>39807306.868036307</v>
      </c>
      <c r="G17" s="255">
        <f>'Data '!G33</f>
        <v>38875445.657878414</v>
      </c>
      <c r="I17" s="338">
        <f t="shared" si="0"/>
        <v>0.27652871400027751</v>
      </c>
      <c r="J17" s="361"/>
      <c r="K17" s="361">
        <v>33402763</v>
      </c>
      <c r="L17" s="285"/>
      <c r="M17" s="363" t="s">
        <v>15</v>
      </c>
      <c r="N17" s="281"/>
      <c r="O17" s="298">
        <v>33402763</v>
      </c>
      <c r="P17" s="298">
        <v>0</v>
      </c>
    </row>
    <row r="18" spans="1:16" ht="15" customHeight="1">
      <c r="A18" s="213" t="s">
        <v>99</v>
      </c>
      <c r="B18" s="219" t="s">
        <v>81</v>
      </c>
      <c r="C18" s="264">
        <f>'Data '!C34</f>
        <v>12709.846964330369</v>
      </c>
      <c r="D18" s="264">
        <f>'Data '!D34</f>
        <v>12960.023254578835</v>
      </c>
      <c r="E18" s="264">
        <f>'Data '!E34</f>
        <v>13215.123929548703</v>
      </c>
      <c r="F18" s="264">
        <f>'Data '!F34</f>
        <v>13472.218772985172</v>
      </c>
      <c r="G18" s="264">
        <f>'Data '!G34</f>
        <v>13737.195572304361</v>
      </c>
      <c r="I18" s="343">
        <f t="shared" si="0"/>
        <v>-4.0787672035727252E-3</v>
      </c>
      <c r="J18" s="299"/>
      <c r="K18" s="299">
        <v>12761.899782618997</v>
      </c>
      <c r="L18" s="288" t="s">
        <v>99</v>
      </c>
      <c r="M18" s="362" t="s">
        <v>82</v>
      </c>
      <c r="N18" s="281"/>
      <c r="O18" s="299">
        <v>12761.899782618997</v>
      </c>
      <c r="P18" s="299">
        <v>0</v>
      </c>
    </row>
    <row r="19" spans="1:16" ht="15" customHeight="1">
      <c r="A19" s="217"/>
      <c r="B19" s="220" t="s">
        <v>16</v>
      </c>
      <c r="C19" s="255">
        <f>'Data '!C35</f>
        <v>23911.673714127413</v>
      </c>
      <c r="D19" s="255">
        <f>'Data '!D35</f>
        <v>14599.316515348542</v>
      </c>
      <c r="E19" s="255">
        <f>'Data '!E35</f>
        <v>13528.419217862043</v>
      </c>
      <c r="F19" s="255">
        <f>'Data '!F35</f>
        <v>13345.422407816242</v>
      </c>
      <c r="G19" s="255">
        <f>'Data '!G35</f>
        <v>13901.837880180767</v>
      </c>
      <c r="I19" s="348">
        <f t="shared" si="0"/>
        <v>-0.19131194958711098</v>
      </c>
      <c r="J19" s="297"/>
      <c r="K19" s="297">
        <v>29568.476623240462</v>
      </c>
      <c r="L19" s="284"/>
      <c r="M19" s="364" t="s">
        <v>16</v>
      </c>
      <c r="N19" s="281"/>
      <c r="O19" s="297">
        <v>29568.476623240462</v>
      </c>
      <c r="P19" s="297">
        <v>0</v>
      </c>
    </row>
    <row r="20" spans="1:16" ht="15" customHeight="1" thickBot="1">
      <c r="A20" s="215"/>
      <c r="B20" s="221" t="s">
        <v>15</v>
      </c>
      <c r="C20" s="255">
        <f>'Data '!C36</f>
        <v>8578851.707184026</v>
      </c>
      <c r="D20" s="255">
        <f>'Data '!D36</f>
        <v>5237833.7421617098</v>
      </c>
      <c r="E20" s="255">
        <f>'Data '!E36</f>
        <v>4853625.207928787</v>
      </c>
      <c r="F20" s="255">
        <f>'Data '!F36</f>
        <v>4912438.1569634676</v>
      </c>
      <c r="G20" s="255">
        <f>'Data '!G36</f>
        <v>5117254.1990519855</v>
      </c>
      <c r="I20" s="337">
        <f t="shared" si="0"/>
        <v>-0.22326751853644117</v>
      </c>
      <c r="J20" s="298"/>
      <c r="K20" s="298">
        <v>11044795.87491863</v>
      </c>
      <c r="L20" s="285"/>
      <c r="M20" s="363" t="s">
        <v>15</v>
      </c>
      <c r="N20" s="281"/>
      <c r="O20" s="298">
        <v>11044795.87491863</v>
      </c>
      <c r="P20" s="298">
        <v>0</v>
      </c>
    </row>
    <row r="21" spans="1:16" ht="15" customHeight="1">
      <c r="A21" s="213" t="s">
        <v>208</v>
      </c>
      <c r="B21" s="219" t="s">
        <v>82</v>
      </c>
      <c r="C21" s="264">
        <f>'Data '!C37</f>
        <v>23.221124933174856</v>
      </c>
      <c r="D21" s="264">
        <f>'Data '!D37</f>
        <v>22.46752679842146</v>
      </c>
      <c r="E21" s="264">
        <f>'Data '!E37</f>
        <v>21.738385280233285</v>
      </c>
      <c r="F21" s="264">
        <f>'Data '!F37</f>
        <v>22.696760746983312</v>
      </c>
      <c r="G21" s="264">
        <f>'Data '!G37</f>
        <v>22.071924333171605</v>
      </c>
      <c r="I21" s="343">
        <f t="shared" si="0"/>
        <v>4.0948599845324764E-2</v>
      </c>
      <c r="J21" s="299"/>
      <c r="K21" s="299">
        <v>22.307657589073369</v>
      </c>
      <c r="L21" s="288" t="s">
        <v>225</v>
      </c>
      <c r="M21" s="362" t="s">
        <v>82</v>
      </c>
      <c r="N21" s="281"/>
      <c r="O21" s="299">
        <v>22.307657589073369</v>
      </c>
      <c r="P21" s="299">
        <v>0</v>
      </c>
    </row>
    <row r="22" spans="1:16" ht="15" customHeight="1">
      <c r="A22" s="217"/>
      <c r="B22" s="220" t="s">
        <v>16</v>
      </c>
      <c r="C22" s="255">
        <f>'Data '!C38</f>
        <v>100.15889621450508</v>
      </c>
      <c r="D22" s="255">
        <f>'Data '!D38</f>
        <v>96.106500369299738</v>
      </c>
      <c r="E22" s="255">
        <f>'Data '!E38</f>
        <v>92.371157468960305</v>
      </c>
      <c r="F22" s="255">
        <f>'Data '!F38</f>
        <v>96.768186330400098</v>
      </c>
      <c r="G22" s="255">
        <f>'Data '!G38</f>
        <v>93.036557088953359</v>
      </c>
      <c r="I22" s="348">
        <f t="shared" si="0"/>
        <v>-0.12978356527496496</v>
      </c>
      <c r="J22" s="297"/>
      <c r="K22" s="297">
        <v>115.09653485934518</v>
      </c>
      <c r="L22" s="284"/>
      <c r="M22" s="364" t="s">
        <v>16</v>
      </c>
      <c r="N22" s="281"/>
      <c r="O22" s="297">
        <v>115.09653485934518</v>
      </c>
      <c r="P22" s="297">
        <v>0</v>
      </c>
    </row>
    <row r="23" spans="1:16" ht="15" customHeight="1" thickBot="1">
      <c r="A23" s="215"/>
      <c r="B23" s="216" t="s">
        <v>15</v>
      </c>
      <c r="C23" s="248">
        <f>'Data '!C39</f>
        <v>34297.182591568067</v>
      </c>
      <c r="D23" s="248">
        <f>'Data '!D39</f>
        <v>32909.529916775595</v>
      </c>
      <c r="E23" s="248">
        <f>'Data '!E39</f>
        <v>31630.444959402575</v>
      </c>
      <c r="F23" s="248">
        <f>'Data '!F39</f>
        <v>33345.033034021741</v>
      </c>
      <c r="G23" s="248">
        <f>'Data '!G39</f>
        <v>32059.16311080223</v>
      </c>
      <c r="I23" s="337">
        <f t="shared" si="0"/>
        <v>-0.1107177788282296</v>
      </c>
      <c r="J23" s="298"/>
      <c r="K23" s="298">
        <v>38567.264446573652</v>
      </c>
      <c r="L23" s="308"/>
      <c r="M23" s="363" t="s">
        <v>15</v>
      </c>
      <c r="N23" s="281"/>
      <c r="O23" s="298">
        <v>38567.264446573652</v>
      </c>
      <c r="P23" s="298">
        <v>0</v>
      </c>
    </row>
    <row r="24" spans="1:16" ht="15" customHeight="1">
      <c r="A24" s="213" t="s">
        <v>207</v>
      </c>
      <c r="B24" s="214" t="s">
        <v>82</v>
      </c>
      <c r="C24" s="263">
        <f>'Data '!C40</f>
        <v>295.82025457231583</v>
      </c>
      <c r="D24" s="263">
        <f>'Data '!D40</f>
        <v>296.14085622751179</v>
      </c>
      <c r="E24" s="263">
        <f>'Data '!E40</f>
        <v>296.46180534174658</v>
      </c>
      <c r="F24" s="263">
        <f>'Data '!F40</f>
        <v>270.75979314086953</v>
      </c>
      <c r="G24" s="263">
        <f>'Data '!G40</f>
        <v>269.4000023064018</v>
      </c>
      <c r="I24" s="343">
        <f t="shared" si="0"/>
        <v>-5.5127008608043683E-2</v>
      </c>
      <c r="J24" s="299"/>
      <c r="K24" s="299">
        <v>313.0793844964528</v>
      </c>
      <c r="L24" s="288" t="s">
        <v>224</v>
      </c>
      <c r="M24" s="362" t="s">
        <v>82</v>
      </c>
      <c r="N24" s="281"/>
      <c r="O24" s="299">
        <v>313.0793844964528</v>
      </c>
      <c r="P24" s="299">
        <v>0</v>
      </c>
    </row>
    <row r="25" spans="1:16" ht="15" customHeight="1">
      <c r="A25" s="217"/>
      <c r="B25" s="218" t="s">
        <v>16</v>
      </c>
      <c r="C25" s="244">
        <f>'Data '!C41</f>
        <v>0</v>
      </c>
      <c r="D25" s="244">
        <f>'Data '!D41</f>
        <v>0</v>
      </c>
      <c r="E25" s="244">
        <f>'Data '!E41</f>
        <v>0</v>
      </c>
      <c r="F25" s="244">
        <f>'Data '!F41</f>
        <v>0</v>
      </c>
      <c r="G25" s="244">
        <f>'Data '!G41</f>
        <v>0</v>
      </c>
      <c r="I25" s="348"/>
      <c r="J25" s="297"/>
      <c r="K25" s="297"/>
      <c r="L25" s="292"/>
      <c r="M25" s="364" t="s">
        <v>16</v>
      </c>
      <c r="N25" s="281"/>
      <c r="O25" s="297"/>
      <c r="P25" s="297"/>
    </row>
    <row r="26" spans="1:16" ht="15" customHeight="1" thickBot="1">
      <c r="A26" s="215"/>
      <c r="B26" s="216" t="s">
        <v>15</v>
      </c>
      <c r="C26" s="248">
        <f>'Data '!C42</f>
        <v>2686537.3140891874</v>
      </c>
      <c r="D26" s="248">
        <f>'Data '!D42</f>
        <v>2667193.4637021297</v>
      </c>
      <c r="E26" s="248">
        <f>'Data '!E42</f>
        <v>2652384.9112346303</v>
      </c>
      <c r="F26" s="248">
        <f>'Data '!F42</f>
        <v>2612658.5895418967</v>
      </c>
      <c r="G26" s="248">
        <f>'Data '!G42</f>
        <v>2660941.3975806902</v>
      </c>
      <c r="I26" s="337">
        <f>(C26-K26)/K26</f>
        <v>-0.16268165141769469</v>
      </c>
      <c r="J26" s="297"/>
      <c r="K26" s="297">
        <v>3208501.6632417804</v>
      </c>
      <c r="L26" s="285"/>
      <c r="M26" s="363" t="s">
        <v>15</v>
      </c>
      <c r="N26" s="281"/>
      <c r="O26" s="297">
        <v>3208501.6632417804</v>
      </c>
      <c r="P26" s="297">
        <v>0</v>
      </c>
    </row>
    <row r="27" spans="1:16" ht="15" customHeight="1">
      <c r="A27" s="213"/>
      <c r="B27" s="214" t="s">
        <v>82</v>
      </c>
      <c r="C27" s="263"/>
      <c r="D27" s="263"/>
      <c r="E27" s="263"/>
      <c r="F27" s="263"/>
      <c r="G27" s="263"/>
      <c r="I27" s="342"/>
      <c r="J27" s="300"/>
      <c r="K27" s="300"/>
      <c r="L27" s="288"/>
      <c r="M27" s="362" t="s">
        <v>81</v>
      </c>
      <c r="N27" s="281"/>
      <c r="O27" s="299"/>
      <c r="P27" s="300"/>
    </row>
    <row r="28" spans="1:16" ht="15" customHeight="1" thickBot="1">
      <c r="A28" s="215"/>
      <c r="B28" s="216" t="s">
        <v>15</v>
      </c>
      <c r="C28" s="244"/>
      <c r="D28" s="244"/>
      <c r="E28" s="244"/>
      <c r="F28" s="244"/>
      <c r="G28" s="244"/>
      <c r="I28" s="342"/>
      <c r="J28" s="302"/>
      <c r="K28" s="302"/>
      <c r="L28" s="285"/>
      <c r="M28" s="363" t="s">
        <v>15</v>
      </c>
      <c r="N28" s="281"/>
      <c r="O28" s="298"/>
      <c r="P28" s="302"/>
    </row>
    <row r="29" spans="1:16" ht="15" customHeight="1">
      <c r="A29" s="213" t="s">
        <v>100</v>
      </c>
      <c r="B29" s="214" t="s">
        <v>101</v>
      </c>
      <c r="C29" s="257">
        <f>C5+C7+C9+C12+C15+C18+C21+C24+C27</f>
        <v>68528.684052257042</v>
      </c>
      <c r="D29" s="257">
        <f t="shared" ref="D29:G29" si="1">D5+D7+D9+D12+D15+D18+D21+D24+D27</f>
        <v>69610.723355824943</v>
      </c>
      <c r="E29" s="257">
        <f>E5+E7+E9+E12+E15+E18+E21+E24+E27</f>
        <v>70710.136538212828</v>
      </c>
      <c r="F29" s="257">
        <f t="shared" si="1"/>
        <v>72339.66996111178</v>
      </c>
      <c r="G29" s="257">
        <f t="shared" si="1"/>
        <v>73657.780656757473</v>
      </c>
      <c r="I29" s="343">
        <f>(C29-K29)/K29</f>
        <v>1.513430659716598E-2</v>
      </c>
      <c r="J29" s="257">
        <f t="shared" ref="J29" si="2">J5+J7+J9+J12+J15+J18+J21+J24+J27</f>
        <v>0</v>
      </c>
      <c r="K29" s="303">
        <v>67507.012231684101</v>
      </c>
      <c r="L29" s="291" t="s">
        <v>100</v>
      </c>
      <c r="M29" s="362" t="s">
        <v>101</v>
      </c>
      <c r="N29" s="281"/>
      <c r="O29" s="303">
        <v>67507.012231684101</v>
      </c>
      <c r="P29" s="303">
        <v>0</v>
      </c>
    </row>
    <row r="30" spans="1:16" ht="15" customHeight="1">
      <c r="A30" s="222"/>
      <c r="B30" s="218" t="s">
        <v>16</v>
      </c>
      <c r="C30" s="259">
        <f>C10+C13+C16+C19+C22+C25</f>
        <v>1167749.3739043716</v>
      </c>
      <c r="D30" s="259">
        <f t="shared" ref="D30:G30" si="3">D10+D13+D16+D19+D22+D25</f>
        <v>1166261.4222089818</v>
      </c>
      <c r="E30" s="259">
        <f t="shared" si="3"/>
        <v>1169156.6144512808</v>
      </c>
      <c r="F30" s="259">
        <f t="shared" si="3"/>
        <v>1105713.7921281913</v>
      </c>
      <c r="G30" s="259">
        <f t="shared" si="3"/>
        <v>1106551.0586040313</v>
      </c>
      <c r="I30" s="348">
        <f>(C30-K30)/K30</f>
        <v>-1.4380809624026018E-2</v>
      </c>
      <c r="J30" s="259">
        <f t="shared" ref="J30" si="4">J10+J13+J16+J19+J22+J25</f>
        <v>0</v>
      </c>
      <c r="K30" s="304">
        <v>1184787.5785159199</v>
      </c>
      <c r="L30" s="292"/>
      <c r="M30" s="364" t="s">
        <v>16</v>
      </c>
      <c r="N30" s="281"/>
      <c r="O30" s="304">
        <v>1156320.3803674597</v>
      </c>
      <c r="P30" s="304">
        <v>28467.19814846004</v>
      </c>
    </row>
    <row r="31" spans="1:16" ht="15" customHeight="1" thickBot="1">
      <c r="A31" s="215"/>
      <c r="B31" s="216" t="s">
        <v>15</v>
      </c>
      <c r="C31" s="260">
        <f>C6+C8+C11+C14+C17+C20+C23+C26+C28</f>
        <v>1102042241.3540518</v>
      </c>
      <c r="D31" s="260">
        <f t="shared" ref="D31:G31" si="5">D6+D8+D11+D14+D17+D20+D23+D26+D28</f>
        <v>1105604445.0975072</v>
      </c>
      <c r="E31" s="260">
        <f t="shared" si="5"/>
        <v>1107833050.7016122</v>
      </c>
      <c r="F31" s="260">
        <f t="shared" si="5"/>
        <v>1061596460.9022121</v>
      </c>
      <c r="G31" s="260">
        <f t="shared" si="5"/>
        <v>1059903126.5592082</v>
      </c>
      <c r="I31" s="337">
        <f>(C31-K31)/K31</f>
        <v>-1.0734074354145457E-2</v>
      </c>
      <c r="J31" s="260">
        <f t="shared" ref="J31" si="6">J6+J8+J11+J14+J17+J20+J23+J26+J28</f>
        <v>0</v>
      </c>
      <c r="K31" s="305">
        <v>1114000000.1865726</v>
      </c>
      <c r="L31" s="285"/>
      <c r="M31" s="363" t="s">
        <v>15</v>
      </c>
      <c r="N31" s="281"/>
      <c r="O31" s="305">
        <v>1084766768.0446184</v>
      </c>
      <c r="P31" s="305">
        <v>29233232.141954124</v>
      </c>
    </row>
    <row r="32" spans="1:16">
      <c r="C32" s="249"/>
      <c r="D32" s="249"/>
      <c r="E32" s="249"/>
      <c r="F32" s="249"/>
      <c r="G32" s="249"/>
      <c r="K32" s="281"/>
      <c r="L32" s="281"/>
      <c r="M32" s="281"/>
      <c r="N32" s="281"/>
      <c r="O32" s="281"/>
      <c r="P32" s="281"/>
    </row>
    <row r="33" spans="1:10">
      <c r="C33" s="244"/>
      <c r="D33" s="244"/>
      <c r="E33" s="244"/>
      <c r="F33" s="244"/>
      <c r="G33" s="244"/>
    </row>
    <row r="34" spans="1:10" ht="13.15" thickBot="1">
      <c r="C34" s="248"/>
      <c r="D34" s="248"/>
      <c r="E34" s="248"/>
      <c r="F34" s="248"/>
      <c r="G34" s="248"/>
    </row>
    <row r="35" spans="1:10">
      <c r="C35" s="257">
        <f>C32-C29</f>
        <v>-68528.684052257042</v>
      </c>
      <c r="D35" s="257">
        <f t="shared" ref="D35:G35" si="7">D32-D29</f>
        <v>-69610.723355824943</v>
      </c>
      <c r="E35" s="257">
        <f t="shared" si="7"/>
        <v>-70710.136538212828</v>
      </c>
      <c r="F35" s="257">
        <f t="shared" si="7"/>
        <v>-72339.66996111178</v>
      </c>
      <c r="G35" s="257">
        <f t="shared" si="7"/>
        <v>-73657.780656757473</v>
      </c>
    </row>
    <row r="36" spans="1:10">
      <c r="C36" s="259">
        <f>C33-C30</f>
        <v>-1167749.3739043716</v>
      </c>
      <c r="D36" s="259">
        <f t="shared" ref="D36:G36" si="8">D33-D30</f>
        <v>-1166261.4222089818</v>
      </c>
      <c r="E36" s="259">
        <f t="shared" si="8"/>
        <v>-1169156.6144512808</v>
      </c>
      <c r="F36" s="259">
        <f t="shared" si="8"/>
        <v>-1105713.7921281913</v>
      </c>
      <c r="G36" s="259">
        <f t="shared" si="8"/>
        <v>-1106551.0586040313</v>
      </c>
    </row>
    <row r="37" spans="1:10" ht="13.15" thickBot="1">
      <c r="C37" s="260">
        <f>C34-C31</f>
        <v>-1102042241.3540518</v>
      </c>
      <c r="D37" s="260">
        <f t="shared" ref="D37:G37" si="9">D34-D31</f>
        <v>-1105604445.0975072</v>
      </c>
      <c r="E37" s="260">
        <f t="shared" si="9"/>
        <v>-1107833050.7016122</v>
      </c>
      <c r="F37" s="260">
        <f t="shared" si="9"/>
        <v>-1061596460.9022121</v>
      </c>
      <c r="G37" s="260">
        <f t="shared" si="9"/>
        <v>-1059903126.5592082</v>
      </c>
    </row>
    <row r="38" spans="1:10">
      <c r="C38" s="265"/>
      <c r="D38" s="265"/>
      <c r="E38" s="265"/>
      <c r="F38" s="265"/>
      <c r="G38" s="265"/>
    </row>
    <row r="39" spans="1:10">
      <c r="C39" s="265"/>
      <c r="D39" s="265"/>
      <c r="E39" s="265"/>
      <c r="F39" s="265"/>
      <c r="G39" s="265"/>
    </row>
    <row r="40" spans="1:10">
      <c r="C40" s="265"/>
      <c r="D40" s="265"/>
      <c r="E40" s="265"/>
      <c r="F40" s="265"/>
      <c r="G40" s="265"/>
    </row>
    <row r="41" spans="1:10" s="270" customFormat="1">
      <c r="A41" s="345" t="s">
        <v>240</v>
      </c>
    </row>
    <row r="43" spans="1:10" ht="13.15" thickBot="1"/>
    <row r="44" spans="1:10" ht="13.15">
      <c r="B44" s="349"/>
      <c r="C44" s="350">
        <v>1</v>
      </c>
      <c r="D44" s="350">
        <v>2</v>
      </c>
      <c r="E44" s="350">
        <v>3</v>
      </c>
      <c r="F44" s="350">
        <v>4</v>
      </c>
      <c r="G44" s="350">
        <v>5</v>
      </c>
      <c r="H44" s="350">
        <v>6</v>
      </c>
      <c r="I44" s="350">
        <v>7</v>
      </c>
      <c r="J44" s="350">
        <v>8</v>
      </c>
    </row>
    <row r="45" spans="1:10" ht="26.25">
      <c r="B45" s="352" t="s">
        <v>37</v>
      </c>
      <c r="C45" s="351" t="s">
        <v>97</v>
      </c>
      <c r="D45" s="351" t="s">
        <v>220</v>
      </c>
      <c r="E45" s="351" t="s">
        <v>221</v>
      </c>
      <c r="F45" s="351" t="s">
        <v>222</v>
      </c>
      <c r="G45" s="351" t="s">
        <v>223</v>
      </c>
      <c r="H45" s="351" t="s">
        <v>99</v>
      </c>
      <c r="I45" s="351" t="s">
        <v>224</v>
      </c>
      <c r="J45" s="351" t="s">
        <v>225</v>
      </c>
    </row>
    <row r="47" spans="1:10" ht="13.5" thickBot="1">
      <c r="A47" s="353" t="s">
        <v>239</v>
      </c>
      <c r="B47" s="354">
        <v>105137815.34597804</v>
      </c>
      <c r="C47" s="355">
        <v>60208005.143307962</v>
      </c>
      <c r="D47" s="355">
        <v>11971931.445137152</v>
      </c>
      <c r="E47" s="355">
        <v>22870147.094105542</v>
      </c>
      <c r="F47" s="355">
        <v>3033921.4225065312</v>
      </c>
      <c r="G47" s="355">
        <v>1670242.1302293944</v>
      </c>
      <c r="H47" s="355">
        <v>5045196.1180309951</v>
      </c>
      <c r="I47" s="355">
        <v>332183.03653108992</v>
      </c>
      <c r="J47" s="355">
        <v>6188.9561293696524</v>
      </c>
    </row>
    <row r="48" spans="1:10" ht="13.15" thickTop="1">
      <c r="A48" s="336" t="s">
        <v>246</v>
      </c>
      <c r="B48" s="347">
        <f>SUM(C48:J48)</f>
        <v>1</v>
      </c>
      <c r="C48" s="347">
        <f>C47/$B47</f>
        <v>0.57265794372063838</v>
      </c>
      <c r="D48" s="347">
        <f t="shared" ref="D48:J48" si="10">D47/$B47</f>
        <v>0.11386893864725076</v>
      </c>
      <c r="E48" s="347">
        <f t="shared" si="10"/>
        <v>0.21752541670041864</v>
      </c>
      <c r="F48" s="347">
        <f t="shared" si="10"/>
        <v>2.8856614649284622E-2</v>
      </c>
      <c r="G48" s="347">
        <f t="shared" si="10"/>
        <v>1.588621681678578E-2</v>
      </c>
      <c r="H48" s="347">
        <f t="shared" si="10"/>
        <v>4.7986503252219183E-2</v>
      </c>
      <c r="I48" s="347">
        <f t="shared" si="10"/>
        <v>3.1595010362158653E-3</v>
      </c>
      <c r="J48" s="365">
        <f t="shared" si="10"/>
        <v>5.8865177186758104E-5</v>
      </c>
    </row>
    <row r="49" spans="1:10" s="281" customFormat="1">
      <c r="A49" s="336" t="s">
        <v>247</v>
      </c>
      <c r="B49" s="347">
        <f>SUM(C49:J49)</f>
        <v>4.4723339615027058E-17</v>
      </c>
      <c r="C49" s="366">
        <f>C48-C55</f>
        <v>1.4113527310350094E-2</v>
      </c>
      <c r="D49" s="366">
        <f t="shared" ref="D49:J49" si="11">D48-D55</f>
        <v>-4.3871725036589704E-3</v>
      </c>
      <c r="E49" s="366">
        <f t="shared" si="11"/>
        <v>-8.2779118901821769E-3</v>
      </c>
      <c r="F49" s="366">
        <f t="shared" si="11"/>
        <v>-3.8808577990870063E-3</v>
      </c>
      <c r="G49" s="366">
        <f t="shared" si="11"/>
        <v>1.7251432364058638E-3</v>
      </c>
      <c r="H49" s="366">
        <f t="shared" si="11"/>
        <v>9.4349404168306977E-4</v>
      </c>
      <c r="I49" s="366">
        <f t="shared" si="11"/>
        <v>-2.0977895117481717E-4</v>
      </c>
      <c r="J49" s="366">
        <f t="shared" si="11"/>
        <v>-2.6443444336011633E-5</v>
      </c>
    </row>
    <row r="50" spans="1:10" s="281" customFormat="1">
      <c r="B50" s="347"/>
      <c r="C50" s="347"/>
      <c r="D50" s="347"/>
      <c r="E50" s="347"/>
      <c r="F50" s="347"/>
      <c r="G50" s="347"/>
      <c r="H50" s="347"/>
      <c r="I50" s="347"/>
      <c r="J50" s="365"/>
    </row>
    <row r="51" spans="1:10">
      <c r="A51" s="336" t="s">
        <v>243</v>
      </c>
      <c r="B51" s="347">
        <f>SUM(C51:J51)</f>
        <v>0.99999999999999967</v>
      </c>
      <c r="C51" s="347">
        <f>C6/C31</f>
        <v>0.4430959390854301</v>
      </c>
      <c r="D51" s="347">
        <f>C8/C31</f>
        <v>0.12165075084093194</v>
      </c>
      <c r="E51" s="347">
        <f>C11/C31</f>
        <v>0.30607520856250364</v>
      </c>
      <c r="F51" s="347">
        <f>C14/C31</f>
        <v>8.0233269565275878E-2</v>
      </c>
      <c r="G51" s="347">
        <f>C17/C31</f>
        <v>3.8691426241571153E-2</v>
      </c>
      <c r="H51" s="347">
        <f>C20/C31</f>
        <v>7.784503520158542E-3</v>
      </c>
      <c r="I51" s="347">
        <f>C26/C31</f>
        <v>2.4377807068341646E-3</v>
      </c>
      <c r="J51" s="365">
        <f>C23/C31</f>
        <v>3.1121477294216935E-5</v>
      </c>
    </row>
    <row r="52" spans="1:10" s="281" customFormat="1">
      <c r="A52" s="336" t="s">
        <v>247</v>
      </c>
      <c r="B52" s="347">
        <f>SUM(C52:J52)</f>
        <v>-2.0353862909341935E-16</v>
      </c>
      <c r="C52" s="366">
        <f>C51-C56</f>
        <v>-2.5480237732539712E-3</v>
      </c>
      <c r="D52" s="366">
        <f t="shared" ref="D52:J52" si="12">D51-D56</f>
        <v>2.8719254493615454E-3</v>
      </c>
      <c r="E52" s="366">
        <f t="shared" si="12"/>
        <v>-1.6512834965438816E-2</v>
      </c>
      <c r="F52" s="366">
        <f t="shared" si="12"/>
        <v>1.0057950351210029E-2</v>
      </c>
      <c r="G52" s="366">
        <f t="shared" si="12"/>
        <v>8.7068993166109117E-3</v>
      </c>
      <c r="H52" s="366">
        <f t="shared" si="12"/>
        <v>-2.1300349655406043E-3</v>
      </c>
      <c r="I52" s="366">
        <f t="shared" si="12"/>
        <v>-4.4238236561145545E-4</v>
      </c>
      <c r="J52" s="366">
        <f t="shared" si="12"/>
        <v>-3.4990473378426792E-6</v>
      </c>
    </row>
    <row r="54" spans="1:10" ht="13.5" thickBot="1">
      <c r="A54" s="356" t="s">
        <v>245</v>
      </c>
      <c r="B54" s="357">
        <v>77669256.318998978</v>
      </c>
      <c r="C54" s="358">
        <v>43381729.443716377</v>
      </c>
      <c r="D54" s="358">
        <v>9184864.2082680408</v>
      </c>
      <c r="E54" s="358">
        <v>17537976.605986524</v>
      </c>
      <c r="F54" s="358">
        <v>2542695.1388287428</v>
      </c>
      <c r="G54" s="358">
        <v>1099880.0536667323</v>
      </c>
      <c r="H54" s="358">
        <v>3653795.540390159</v>
      </c>
      <c r="I54" s="358">
        <v>261689.47095112057</v>
      </c>
      <c r="J54" s="358">
        <v>6625.8571912724756</v>
      </c>
    </row>
    <row r="55" spans="1:10" ht="13.15" thickTop="1">
      <c r="B55" s="347">
        <f>SUM(C55:J55)</f>
        <v>1</v>
      </c>
      <c r="C55" s="347">
        <f>C54/$B54</f>
        <v>0.55854441641028829</v>
      </c>
      <c r="D55" s="347">
        <f t="shared" ref="D55" si="13">D54/$B54</f>
        <v>0.11825611115090973</v>
      </c>
      <c r="E55" s="347">
        <f t="shared" ref="E55" si="14">E54/$B54</f>
        <v>0.22580332859060082</v>
      </c>
      <c r="F55" s="347">
        <f t="shared" ref="F55" si="15">F54/$B54</f>
        <v>3.2737472448371628E-2</v>
      </c>
      <c r="G55" s="347">
        <f t="shared" ref="G55" si="16">G54/$B54</f>
        <v>1.4161073580379916E-2</v>
      </c>
      <c r="H55" s="347">
        <f t="shared" ref="H55" si="17">H54/$B54</f>
        <v>4.7043009210536113E-2</v>
      </c>
      <c r="I55" s="347">
        <f t="shared" ref="I55" si="18">I54/$B54</f>
        <v>3.3692799873906824E-3</v>
      </c>
      <c r="J55" s="365">
        <f t="shared" ref="J55" si="19">J54/$B54</f>
        <v>8.5308621522769737E-5</v>
      </c>
    </row>
    <row r="56" spans="1:10" s="281" customFormat="1">
      <c r="A56" s="336" t="s">
        <v>244</v>
      </c>
      <c r="B56" s="347">
        <f>SUM(C56:J56)</f>
        <v>0.99999999999999989</v>
      </c>
      <c r="C56" s="347">
        <f>K6/K31</f>
        <v>0.44564396285868407</v>
      </c>
      <c r="D56" s="347">
        <f>K8/K31</f>
        <v>0.11877882539157039</v>
      </c>
      <c r="E56" s="347">
        <f>K11/K31</f>
        <v>0.32258804352794246</v>
      </c>
      <c r="F56" s="347">
        <f>K14/K31</f>
        <v>7.0175319214065848E-2</v>
      </c>
      <c r="G56" s="347">
        <f>K17/K31</f>
        <v>2.9984526924960241E-2</v>
      </c>
      <c r="H56" s="347">
        <f>K20/K31</f>
        <v>9.9145384856991464E-3</v>
      </c>
      <c r="I56" s="347">
        <f>K26/K31</f>
        <v>2.8801630724456201E-3</v>
      </c>
      <c r="J56" s="365">
        <f>K23/K31</f>
        <v>3.4620524632059615E-5</v>
      </c>
    </row>
  </sheetData>
  <mergeCells count="3">
    <mergeCell ref="A3:G3"/>
    <mergeCell ref="A2:G2"/>
    <mergeCell ref="A1:G1"/>
  </mergeCells>
  <phoneticPr fontId="0" type="noConversion"/>
  <printOptions headings="1"/>
  <pageMargins left="0.74803149606299213" right="0.74803149606299213" top="0.98425196850393704" bottom="0.98425196850393704" header="0.51181102362204722" footer="0.51181102362204722"/>
  <pageSetup scale="93" orientation="landscape" horizontalDpi="355" verticalDpi="355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workbookViewId="0">
      <selection activeCell="B41" sqref="B41"/>
    </sheetView>
  </sheetViews>
  <sheetFormatPr defaultColWidth="9.265625" defaultRowHeight="12.75"/>
  <cols>
    <col min="1" max="1" width="32.73046875" bestFit="1" customWidth="1"/>
    <col min="2" max="2" width="16.46484375" customWidth="1"/>
    <col min="3" max="3" width="15.19921875" customWidth="1"/>
    <col min="4" max="4" width="12" customWidth="1"/>
    <col min="5" max="5" width="14.46484375" customWidth="1"/>
    <col min="6" max="6" width="12.19921875" customWidth="1"/>
    <col min="7" max="7" width="11.796875" customWidth="1"/>
    <col min="8" max="13" width="13.53125" customWidth="1"/>
    <col min="14" max="14" width="11.53125" customWidth="1"/>
    <col min="15" max="15" width="12.73046875" customWidth="1"/>
    <col min="16" max="16" width="22" customWidth="1"/>
  </cols>
  <sheetData>
    <row r="1" spans="1:13" ht="13.15">
      <c r="A1" s="608" t="str">
        <f>+'Revenue Input'!A1</f>
        <v>Oshawa PUC Networks Inc</v>
      </c>
      <c r="B1" s="608"/>
      <c r="C1" s="608"/>
      <c r="D1" s="608"/>
      <c r="E1" s="608"/>
    </row>
    <row r="2" spans="1:13" ht="13.15">
      <c r="A2" s="619"/>
      <c r="B2" s="619"/>
      <c r="C2" s="619"/>
      <c r="D2" s="619"/>
      <c r="E2" s="619"/>
    </row>
    <row r="3" spans="1:13" s="7" customFormat="1" ht="13.9">
      <c r="A3" s="618" t="s">
        <v>116</v>
      </c>
      <c r="B3" s="618"/>
      <c r="C3" s="618"/>
      <c r="D3" s="618"/>
      <c r="E3" s="618"/>
      <c r="I3" s="618"/>
      <c r="J3" s="618"/>
      <c r="K3" s="618"/>
      <c r="L3" s="618"/>
      <c r="M3" s="618"/>
    </row>
    <row r="4" spans="1:13" s="7" customFormat="1" ht="26.25" customHeight="1" thickBot="1">
      <c r="A4" s="134"/>
      <c r="B4" s="620" t="s">
        <v>107</v>
      </c>
      <c r="C4" s="620"/>
      <c r="D4" s="620" t="s">
        <v>108</v>
      </c>
      <c r="E4" s="620"/>
    </row>
    <row r="5" spans="1:13" ht="13.5" thickBot="1">
      <c r="A5" s="135" t="s">
        <v>0</v>
      </c>
      <c r="B5" s="266" t="s">
        <v>24</v>
      </c>
      <c r="C5" s="266" t="s">
        <v>25</v>
      </c>
      <c r="D5" s="266" t="s">
        <v>16</v>
      </c>
      <c r="E5" s="266" t="s">
        <v>15</v>
      </c>
    </row>
    <row r="6" spans="1:13" ht="13.15">
      <c r="A6" s="40" t="str">
        <f>'Forecast Data For 2015 to 2019'!A5</f>
        <v>Residential</v>
      </c>
      <c r="B6" s="267"/>
      <c r="C6" s="267">
        <v>8.4700000000000006</v>
      </c>
      <c r="D6" s="268"/>
      <c r="E6" s="268">
        <v>1.2E-2</v>
      </c>
      <c r="F6" s="31"/>
    </row>
    <row r="7" spans="1:13" ht="13.15">
      <c r="A7" s="41" t="str">
        <f>'Forecast Data For 2015 to 2019'!A7</f>
        <v>GS Less Than 50 KW</v>
      </c>
      <c r="B7" s="267"/>
      <c r="C7" s="267">
        <v>8.3800000000000008</v>
      </c>
      <c r="D7" s="268"/>
      <c r="E7" s="268">
        <v>1.7000000000000001E-2</v>
      </c>
      <c r="F7" s="7"/>
    </row>
    <row r="8" spans="1:13" ht="13.15">
      <c r="A8" s="41" t="str">
        <f>'Forecast Data For 2015 to 2019'!A9</f>
        <v>GS 50 To 999 KW</v>
      </c>
      <c r="B8" s="267"/>
      <c r="C8" s="267">
        <v>43.13</v>
      </c>
      <c r="D8" s="268">
        <v>3.7097000000000002</v>
      </c>
      <c r="E8" s="268"/>
      <c r="F8" s="7"/>
    </row>
    <row r="9" spans="1:13" ht="13.15">
      <c r="A9" s="41" t="str">
        <f>+'Forecast Data For 2015 to 2019'!A12</f>
        <v>GS Intermediate 1,000 To 4,999 KW</v>
      </c>
      <c r="B9" s="267"/>
      <c r="C9" s="267">
        <v>1221.57</v>
      </c>
      <c r="D9" s="268">
        <v>2.5922999999999998</v>
      </c>
      <c r="E9" s="268"/>
      <c r="F9" s="7"/>
    </row>
    <row r="10" spans="1:13" ht="13.15">
      <c r="A10" s="41" t="str">
        <f>'Forecast Data For 2015 to 2019'!A15</f>
        <v>Large Use</v>
      </c>
      <c r="B10" s="267"/>
      <c r="C10" s="267">
        <v>8270.6299999999992</v>
      </c>
      <c r="D10" s="268">
        <v>2.0531000000000001</v>
      </c>
      <c r="E10" s="268"/>
      <c r="F10" s="7"/>
    </row>
    <row r="11" spans="1:13" ht="13.15">
      <c r="A11" s="41" t="str">
        <f>'Forecast Data For 2015 to 2019'!A18</f>
        <v>Street Lighting</v>
      </c>
      <c r="B11" s="267">
        <v>1.17</v>
      </c>
      <c r="C11" s="267"/>
      <c r="D11" s="268">
        <v>18.104199999999999</v>
      </c>
      <c r="E11" s="268"/>
      <c r="F11" s="163"/>
    </row>
    <row r="12" spans="1:13" ht="13.15">
      <c r="A12" s="41" t="str">
        <f>'Forecast Data For 2015 to 2019'!A21</f>
        <v>Sentinel Lighting</v>
      </c>
      <c r="B12" s="267">
        <v>4.34</v>
      </c>
      <c r="C12" s="267"/>
      <c r="D12" s="268">
        <v>6.2114000000000003</v>
      </c>
      <c r="E12" s="268"/>
      <c r="F12" s="7"/>
    </row>
    <row r="13" spans="1:13" ht="13.15">
      <c r="A13" s="41" t="str">
        <f>'Forecast Data For 2015 to 2019'!A24</f>
        <v>Unmetered Scattered Load</v>
      </c>
      <c r="B13" s="267">
        <v>3.34</v>
      </c>
      <c r="C13" s="267"/>
      <c r="D13" s="268"/>
      <c r="E13" s="268">
        <v>1.3599999999999999E-2</v>
      </c>
      <c r="F13" s="7"/>
    </row>
    <row r="14" spans="1:13" ht="13.15">
      <c r="A14" s="41"/>
      <c r="B14" s="267"/>
      <c r="C14" s="267"/>
      <c r="D14" s="268"/>
      <c r="E14" s="268"/>
      <c r="F14" s="7"/>
    </row>
    <row r="15" spans="1:13" ht="13.15">
      <c r="A15" s="41"/>
      <c r="B15" s="267"/>
      <c r="C15" s="267"/>
      <c r="D15" s="268"/>
      <c r="E15" s="268"/>
      <c r="F15" s="7"/>
    </row>
    <row r="16" spans="1:13" s="7" customFormat="1">
      <c r="A16" s="617"/>
      <c r="B16" s="617"/>
      <c r="C16" s="617"/>
      <c r="D16" s="617"/>
      <c r="E16" s="617"/>
    </row>
    <row r="18" spans="1:17" s="281" customFormat="1"/>
    <row r="19" spans="1:17" s="270" customFormat="1">
      <c r="A19" s="345" t="s">
        <v>236</v>
      </c>
    </row>
    <row r="20" spans="1:17" s="281" customFormat="1"/>
    <row r="22" spans="1:17" ht="17.649999999999999">
      <c r="A22" s="340" t="s">
        <v>232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</row>
    <row r="23" spans="1:17" ht="39.4">
      <c r="A23" s="313" t="s">
        <v>23</v>
      </c>
      <c r="B23" s="313" t="s">
        <v>6</v>
      </c>
      <c r="C23" s="313" t="s">
        <v>7</v>
      </c>
      <c r="D23" s="313" t="s">
        <v>9</v>
      </c>
      <c r="E23" s="313" t="s">
        <v>26</v>
      </c>
      <c r="F23" s="313" t="s">
        <v>233</v>
      </c>
      <c r="G23" s="313" t="s">
        <v>234</v>
      </c>
      <c r="H23" s="313" t="s">
        <v>10</v>
      </c>
      <c r="I23" s="313" t="s">
        <v>11</v>
      </c>
      <c r="J23" s="313" t="s">
        <v>91</v>
      </c>
      <c r="K23" s="313" t="s">
        <v>5</v>
      </c>
      <c r="L23" s="313" t="s">
        <v>92</v>
      </c>
      <c r="M23" s="313" t="s">
        <v>235</v>
      </c>
    </row>
    <row r="24" spans="1:17" ht="13.15">
      <c r="A24" s="40" t="s">
        <v>97</v>
      </c>
      <c r="B24" s="47">
        <v>496447374.70771897</v>
      </c>
      <c r="C24" s="47"/>
      <c r="D24" s="47">
        <f>49920*12</f>
        <v>599040</v>
      </c>
      <c r="E24" s="47"/>
      <c r="F24" s="172">
        <v>8.4700000000000006</v>
      </c>
      <c r="G24" s="173">
        <v>1.2E-2</v>
      </c>
      <c r="H24" s="47">
        <f>D24*F24</f>
        <v>5073868.8000000007</v>
      </c>
      <c r="I24" s="47">
        <f>B24*G24</f>
        <v>5957368.496492628</v>
      </c>
      <c r="J24" s="47">
        <f t="shared" ref="J24:J31" si="0">+H24+I24</f>
        <v>11031237.296492629</v>
      </c>
      <c r="K24" s="47"/>
      <c r="L24" s="47">
        <f>J24-K24</f>
        <v>11031237.296492629</v>
      </c>
      <c r="M24" s="48">
        <f>+L24/$L$33</f>
        <v>0.5887506279232867</v>
      </c>
      <c r="O24" s="347">
        <f>H24/J24</f>
        <v>0.45995464186172774</v>
      </c>
      <c r="P24" t="s">
        <v>97</v>
      </c>
      <c r="Q24" s="347">
        <v>0.45936610590249571</v>
      </c>
    </row>
    <row r="25" spans="1:17" ht="13.15">
      <c r="A25" s="41" t="s">
        <v>212</v>
      </c>
      <c r="B25" s="47">
        <v>132319611.50837028</v>
      </c>
      <c r="C25" s="47"/>
      <c r="D25" s="47">
        <f>3961*12</f>
        <v>47532</v>
      </c>
      <c r="E25" s="47"/>
      <c r="F25" s="172">
        <v>8.3800000000000008</v>
      </c>
      <c r="G25" s="173">
        <v>1.7000000000000001E-2</v>
      </c>
      <c r="H25" s="47">
        <f t="shared" ref="H25:H28" si="1">D25*F25</f>
        <v>398318.16000000003</v>
      </c>
      <c r="I25" s="47">
        <f>B25*G25</f>
        <v>2249433.395642295</v>
      </c>
      <c r="J25" s="47">
        <f t="shared" si="0"/>
        <v>2647751.5556422952</v>
      </c>
      <c r="K25" s="47"/>
      <c r="L25" s="47">
        <f t="shared" ref="L25:L31" si="2">J25-K25</f>
        <v>2647751.5556422952</v>
      </c>
      <c r="M25" s="48">
        <f t="shared" ref="M25:M31" si="3">+L25/$L$33</f>
        <v>0.14131373925433552</v>
      </c>
      <c r="O25" s="347">
        <f>H25/J25</f>
        <v>0.1504363803133997</v>
      </c>
      <c r="P25" t="s">
        <v>220</v>
      </c>
      <c r="Q25" s="347">
        <v>0.15058886520184478</v>
      </c>
    </row>
    <row r="26" spans="1:17" ht="13.15">
      <c r="A26" s="41" t="s">
        <v>213</v>
      </c>
      <c r="B26" s="47">
        <v>359363080.55031395</v>
      </c>
      <c r="C26" s="47">
        <v>917360.33609127067</v>
      </c>
      <c r="D26" s="47">
        <f>518*12</f>
        <v>6216</v>
      </c>
      <c r="E26" s="47"/>
      <c r="F26" s="172">
        <v>43.13</v>
      </c>
      <c r="G26" s="173">
        <v>3.7097000000000002</v>
      </c>
      <c r="H26" s="47">
        <f t="shared" si="1"/>
        <v>268096.08</v>
      </c>
      <c r="I26" s="47">
        <f>C26*G26</f>
        <v>3403131.638797787</v>
      </c>
      <c r="J26" s="47">
        <f t="shared" si="0"/>
        <v>3671227.7187977871</v>
      </c>
      <c r="K26" s="47">
        <v>70809.84</v>
      </c>
      <c r="L26" s="47">
        <f t="shared" si="2"/>
        <v>3600417.8787977872</v>
      </c>
      <c r="M26" s="48">
        <f t="shared" si="3"/>
        <v>0.19215870622259185</v>
      </c>
      <c r="O26" s="347">
        <f t="shared" ref="O26:O31" si="4">H26/J26</f>
        <v>7.3026273643355788E-2</v>
      </c>
      <c r="P26" t="s">
        <v>221</v>
      </c>
      <c r="Q26" s="347">
        <v>7.4508210246807205E-2</v>
      </c>
    </row>
    <row r="27" spans="1:17" ht="13.15">
      <c r="A27" s="41" t="s">
        <v>214</v>
      </c>
      <c r="B27" s="47">
        <v>78175305.617562145</v>
      </c>
      <c r="C27" s="47">
        <v>167158.6692665494</v>
      </c>
      <c r="D27" s="47">
        <f>10*12</f>
        <v>120</v>
      </c>
      <c r="E27" s="47"/>
      <c r="F27" s="172">
        <v>1221.57</v>
      </c>
      <c r="G27" s="173">
        <v>2.5922999999999998</v>
      </c>
      <c r="H27" s="47">
        <f t="shared" si="1"/>
        <v>146588.4</v>
      </c>
      <c r="I27" s="47">
        <f t="shared" ref="I27:I30" si="5">C27*G27</f>
        <v>433325.41833967599</v>
      </c>
      <c r="J27" s="47">
        <f t="shared" si="0"/>
        <v>579913.81833967601</v>
      </c>
      <c r="K27" s="47">
        <v>99008.639999999999</v>
      </c>
      <c r="L27" s="47">
        <f t="shared" si="2"/>
        <v>480905.178339676</v>
      </c>
      <c r="M27" s="48">
        <f t="shared" si="3"/>
        <v>2.5666497611203265E-2</v>
      </c>
      <c r="O27" s="347">
        <f t="shared" si="4"/>
        <v>0.25277618046710865</v>
      </c>
      <c r="P27" t="s">
        <v>222</v>
      </c>
      <c r="Q27" s="347">
        <v>0.30649345162650232</v>
      </c>
    </row>
    <row r="28" spans="1:17" ht="13.15">
      <c r="A28" s="41" t="s">
        <v>98</v>
      </c>
      <c r="B28" s="47">
        <v>33402763</v>
      </c>
      <c r="C28" s="47">
        <v>70585</v>
      </c>
      <c r="D28" s="47">
        <f>1*12</f>
        <v>12</v>
      </c>
      <c r="E28" s="47"/>
      <c r="F28" s="172">
        <v>8270.6299999999992</v>
      </c>
      <c r="G28" s="173">
        <v>2.0531000000000001</v>
      </c>
      <c r="H28" s="47">
        <f t="shared" si="1"/>
        <v>99247.56</v>
      </c>
      <c r="I28" s="47">
        <f t="shared" si="5"/>
        <v>144918.06350000002</v>
      </c>
      <c r="J28" s="47">
        <f t="shared" si="0"/>
        <v>244165.62350000002</v>
      </c>
      <c r="K28" s="47">
        <v>40322.160000000003</v>
      </c>
      <c r="L28" s="47">
        <f t="shared" si="2"/>
        <v>203843.46350000001</v>
      </c>
      <c r="M28" s="48">
        <f t="shared" si="3"/>
        <v>1.0879374988319814E-2</v>
      </c>
      <c r="O28" s="347">
        <f t="shared" si="4"/>
        <v>0.40647638507555911</v>
      </c>
      <c r="P28" t="s">
        <v>223</v>
      </c>
      <c r="Q28" s="347">
        <v>0.48944458876941344</v>
      </c>
    </row>
    <row r="29" spans="1:17" ht="13.15">
      <c r="A29" s="41" t="s">
        <v>99</v>
      </c>
      <c r="B29" s="47">
        <v>11044795.87491863</v>
      </c>
      <c r="C29" s="47">
        <v>29568.476623240462</v>
      </c>
      <c r="D29" s="281"/>
      <c r="E29" s="47">
        <f>12762*12</f>
        <v>153144</v>
      </c>
      <c r="F29" s="172">
        <v>1.17</v>
      </c>
      <c r="G29" s="173">
        <v>18.104199999999999</v>
      </c>
      <c r="H29" s="47">
        <f>E29*F29</f>
        <v>179178.47999999998</v>
      </c>
      <c r="I29" s="47">
        <f t="shared" si="5"/>
        <v>535313.61448246997</v>
      </c>
      <c r="J29" s="47">
        <f t="shared" si="0"/>
        <v>714492.09448246995</v>
      </c>
      <c r="K29" s="47"/>
      <c r="L29" s="47">
        <f t="shared" si="2"/>
        <v>714492.09448246995</v>
      </c>
      <c r="M29" s="48">
        <f t="shared" si="3"/>
        <v>3.8133317049260304E-2</v>
      </c>
      <c r="O29" s="347">
        <f t="shared" si="4"/>
        <v>0.25077741431104961</v>
      </c>
      <c r="P29" t="s">
        <v>99</v>
      </c>
      <c r="Q29" s="347">
        <v>0.25107762156035374</v>
      </c>
    </row>
    <row r="30" spans="1:17" ht="13.15">
      <c r="A30" s="41" t="s">
        <v>208</v>
      </c>
      <c r="B30" s="47">
        <v>38567.264446573652</v>
      </c>
      <c r="C30" s="47">
        <v>115.09653485934518</v>
      </c>
      <c r="D30" s="47"/>
      <c r="E30" s="47">
        <f>22*12</f>
        <v>264</v>
      </c>
      <c r="F30" s="172">
        <v>4.34</v>
      </c>
      <c r="G30" s="173">
        <v>6.2114000000000003</v>
      </c>
      <c r="H30" s="47">
        <f>E30*F30</f>
        <v>1145.76</v>
      </c>
      <c r="I30" s="47">
        <f t="shared" si="5"/>
        <v>714.91061662533673</v>
      </c>
      <c r="J30" s="47">
        <f t="shared" si="0"/>
        <v>1860.6706166253366</v>
      </c>
      <c r="K30" s="47"/>
      <c r="L30" s="47">
        <f t="shared" si="2"/>
        <v>1860.6706166253366</v>
      </c>
      <c r="M30" s="48">
        <f t="shared" si="3"/>
        <v>9.9306266781594836E-5</v>
      </c>
      <c r="O30" s="347">
        <f t="shared" si="4"/>
        <v>0.61577798335851797</v>
      </c>
      <c r="P30" t="s">
        <v>225</v>
      </c>
      <c r="Q30" s="347">
        <v>0.61860958739706295</v>
      </c>
    </row>
    <row r="31" spans="1:17" ht="13.15">
      <c r="A31" s="41" t="s">
        <v>207</v>
      </c>
      <c r="B31" s="47">
        <v>3208501.6632417804</v>
      </c>
      <c r="C31" s="47"/>
      <c r="D31" s="47"/>
      <c r="E31" s="47">
        <f>313*12</f>
        <v>3756</v>
      </c>
      <c r="F31" s="172">
        <v>3.34</v>
      </c>
      <c r="G31" s="173">
        <v>1.3599999999999999E-2</v>
      </c>
      <c r="H31" s="47">
        <f t="shared" ref="H31" si="6">E31*F31</f>
        <v>12545.039999999999</v>
      </c>
      <c r="I31" s="47">
        <f>B31*G31</f>
        <v>43635.622620088208</v>
      </c>
      <c r="J31" s="47">
        <f t="shared" si="0"/>
        <v>56180.662620088209</v>
      </c>
      <c r="K31" s="47"/>
      <c r="L31" s="47">
        <f t="shared" si="2"/>
        <v>56180.662620088209</v>
      </c>
      <c r="M31" s="48">
        <f t="shared" si="3"/>
        <v>2.998430684220696E-3</v>
      </c>
      <c r="O31" s="347">
        <f t="shared" si="4"/>
        <v>0.22329818508609647</v>
      </c>
      <c r="P31" t="s">
        <v>224</v>
      </c>
      <c r="Q31" s="347">
        <v>0.22282248009451722</v>
      </c>
    </row>
    <row r="32" spans="1:17" ht="13.15">
      <c r="A32" s="41"/>
      <c r="B32" s="47"/>
      <c r="C32" s="47"/>
      <c r="D32" s="47"/>
      <c r="E32" s="47"/>
      <c r="F32" s="172"/>
      <c r="G32" s="173"/>
      <c r="H32" s="47"/>
      <c r="I32" s="47"/>
      <c r="J32" s="47"/>
      <c r="K32" s="47"/>
      <c r="L32" s="47"/>
      <c r="M32" s="48"/>
      <c r="O32" s="347"/>
      <c r="Q32" s="347"/>
    </row>
    <row r="33" spans="1:17" ht="13.5" thickBot="1">
      <c r="A33" s="311"/>
      <c r="B33" s="79">
        <f t="shared" ref="B33:M33" si="7">SUM(B24:B32)</f>
        <v>1114000000.1865726</v>
      </c>
      <c r="C33" s="79">
        <f t="shared" si="7"/>
        <v>1184787.5785159199</v>
      </c>
      <c r="D33" s="79">
        <f t="shared" si="7"/>
        <v>652920</v>
      </c>
      <c r="E33" s="79">
        <f t="shared" si="7"/>
        <v>157164</v>
      </c>
      <c r="F33" s="79"/>
      <c r="G33" s="79"/>
      <c r="H33" s="79">
        <f t="shared" si="7"/>
        <v>6178988.2800000003</v>
      </c>
      <c r="I33" s="79">
        <f t="shared" si="7"/>
        <v>12767841.160491569</v>
      </c>
      <c r="J33" s="79">
        <f t="shared" si="7"/>
        <v>18946829.440491576</v>
      </c>
      <c r="K33" s="79">
        <f t="shared" si="7"/>
        <v>210140.63999999998</v>
      </c>
      <c r="L33" s="79">
        <f t="shared" si="7"/>
        <v>18736688.800491575</v>
      </c>
      <c r="M33" s="49">
        <f t="shared" si="7"/>
        <v>0.99999999999999978</v>
      </c>
      <c r="Q33" s="347"/>
    </row>
    <row r="34" spans="1:17" ht="13.15" thickTop="1">
      <c r="A34" s="281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</row>
    <row r="35" spans="1:17">
      <c r="A35" s="281"/>
      <c r="B35" s="281"/>
      <c r="C35" s="281"/>
      <c r="D35" s="281"/>
      <c r="K35" s="339" t="s">
        <v>237</v>
      </c>
      <c r="L35" s="344">
        <v>18113604.350110993</v>
      </c>
    </row>
    <row r="36" spans="1:17">
      <c r="A36" s="281"/>
      <c r="B36" s="281"/>
      <c r="C36" s="281"/>
      <c r="D36" s="281"/>
      <c r="G36" s="281"/>
      <c r="H36" s="281"/>
      <c r="I36" s="281"/>
      <c r="J36" s="281"/>
      <c r="K36" s="281"/>
    </row>
    <row r="37" spans="1:17">
      <c r="A37" s="281"/>
      <c r="B37" s="281"/>
      <c r="C37" s="281"/>
      <c r="D37" s="281"/>
      <c r="G37" s="281"/>
      <c r="H37" s="281"/>
      <c r="I37" s="281"/>
      <c r="J37" s="281"/>
      <c r="K37" s="281"/>
    </row>
    <row r="38" spans="1:17">
      <c r="A38" s="281"/>
      <c r="B38" s="281"/>
      <c r="C38" s="281"/>
      <c r="D38" s="281"/>
      <c r="G38" s="281"/>
      <c r="H38" s="281"/>
      <c r="I38" s="281"/>
      <c r="J38" s="281"/>
      <c r="K38" s="281"/>
    </row>
    <row r="39" spans="1:17">
      <c r="A39" s="281"/>
      <c r="B39" s="281"/>
      <c r="C39" s="281"/>
      <c r="D39" s="281"/>
      <c r="G39" s="281"/>
      <c r="H39" s="281"/>
      <c r="I39" s="281"/>
      <c r="J39" s="281"/>
      <c r="K39" s="281"/>
    </row>
    <row r="40" spans="1:17">
      <c r="A40" s="281"/>
      <c r="B40" s="281"/>
      <c r="C40" s="281"/>
      <c r="D40" s="281"/>
      <c r="G40" s="281"/>
      <c r="H40" s="281"/>
      <c r="I40" s="281"/>
      <c r="J40" s="281"/>
      <c r="K40" s="281"/>
    </row>
    <row r="41" spans="1:17">
      <c r="A41" s="281"/>
      <c r="B41" s="281"/>
      <c r="C41" s="281"/>
      <c r="D41" s="281"/>
      <c r="G41" s="281"/>
      <c r="H41" s="281"/>
      <c r="I41" s="281"/>
      <c r="J41" s="281"/>
      <c r="K41" s="281"/>
    </row>
    <row r="42" spans="1:17">
      <c r="A42" s="281"/>
      <c r="B42" s="281"/>
      <c r="C42" s="281"/>
      <c r="D42" s="281"/>
      <c r="G42" s="281"/>
      <c r="H42" s="281"/>
      <c r="I42" s="281"/>
      <c r="J42" s="281"/>
      <c r="K42" s="281"/>
    </row>
    <row r="43" spans="1:17">
      <c r="A43" s="281"/>
      <c r="B43" s="281"/>
      <c r="C43" s="281"/>
      <c r="D43" s="281"/>
      <c r="G43" s="281"/>
      <c r="H43" s="281"/>
      <c r="I43" s="281"/>
      <c r="J43" s="281"/>
      <c r="K43" s="281"/>
    </row>
    <row r="44" spans="1:17">
      <c r="A44" s="281"/>
      <c r="B44" s="281"/>
      <c r="C44" s="281"/>
      <c r="D44" s="281"/>
      <c r="G44" s="281"/>
      <c r="H44" s="281"/>
      <c r="I44" s="281"/>
      <c r="J44" s="281"/>
      <c r="K44" s="281"/>
    </row>
    <row r="45" spans="1:17">
      <c r="A45" s="281"/>
      <c r="B45" s="281"/>
      <c r="C45" s="281"/>
      <c r="D45" s="281"/>
      <c r="G45" s="281"/>
      <c r="H45" s="281"/>
      <c r="I45" s="281"/>
      <c r="J45" s="281"/>
      <c r="K45" s="281"/>
    </row>
    <row r="46" spans="1:17">
      <c r="A46" s="281"/>
      <c r="B46" s="281"/>
      <c r="C46" s="281"/>
      <c r="D46" s="281"/>
      <c r="G46" s="281"/>
      <c r="H46" s="281"/>
      <c r="I46" s="281"/>
      <c r="J46" s="281"/>
      <c r="K46" s="281"/>
    </row>
    <row r="47" spans="1:17">
      <c r="A47" s="281"/>
      <c r="B47" s="281"/>
      <c r="C47" s="281"/>
      <c r="D47" s="281"/>
      <c r="G47" s="281"/>
      <c r="H47" s="281"/>
      <c r="I47" s="281"/>
      <c r="J47" s="281"/>
      <c r="K47" s="281"/>
    </row>
    <row r="48" spans="1:17">
      <c r="A48" s="281"/>
      <c r="B48" s="281"/>
      <c r="C48" s="281"/>
      <c r="D48" s="281"/>
      <c r="G48" s="281"/>
      <c r="H48" s="281"/>
      <c r="I48" s="281"/>
      <c r="J48" s="281"/>
      <c r="K48" s="281"/>
    </row>
    <row r="49" spans="1:11">
      <c r="A49" s="281"/>
      <c r="B49" s="281"/>
      <c r="C49" s="281"/>
      <c r="D49" s="281"/>
      <c r="G49" s="281"/>
      <c r="H49" s="281"/>
      <c r="I49" s="281"/>
      <c r="J49" s="281"/>
      <c r="K49" s="281"/>
    </row>
    <row r="50" spans="1:11">
      <c r="A50" s="281"/>
      <c r="B50" s="281"/>
      <c r="C50" s="281"/>
      <c r="D50" s="281"/>
      <c r="G50" s="281"/>
      <c r="H50" s="281"/>
      <c r="I50" s="281"/>
      <c r="J50" s="281"/>
      <c r="K50" s="281"/>
    </row>
    <row r="51" spans="1:11">
      <c r="A51" s="281"/>
      <c r="B51" s="281"/>
      <c r="C51" s="281"/>
      <c r="D51" s="281"/>
      <c r="G51" s="281"/>
      <c r="H51" s="281"/>
      <c r="I51" s="281"/>
      <c r="J51" s="281"/>
      <c r="K51" s="281"/>
    </row>
    <row r="52" spans="1:11">
      <c r="A52" s="281"/>
      <c r="B52" s="281"/>
      <c r="C52" s="281"/>
      <c r="D52" s="281"/>
      <c r="G52" s="281"/>
      <c r="H52" s="281"/>
      <c r="I52" s="281"/>
      <c r="J52" s="281"/>
      <c r="K52" s="281"/>
    </row>
    <row r="53" spans="1:11">
      <c r="A53" s="281"/>
      <c r="B53" s="281"/>
      <c r="C53" s="281"/>
      <c r="D53" s="281"/>
      <c r="G53" s="281"/>
      <c r="H53" s="281"/>
      <c r="I53" s="281"/>
      <c r="J53" s="281"/>
      <c r="K53" s="281"/>
    </row>
    <row r="54" spans="1:11">
      <c r="A54" s="281"/>
      <c r="B54" s="281"/>
      <c r="C54" s="281"/>
      <c r="D54" s="281"/>
      <c r="G54" s="281"/>
      <c r="H54" s="281"/>
      <c r="I54" s="281"/>
      <c r="J54" s="281"/>
      <c r="K54" s="281"/>
    </row>
    <row r="55" spans="1:11">
      <c r="A55" s="281"/>
      <c r="B55" s="281"/>
      <c r="C55" s="281"/>
      <c r="D55" s="281"/>
      <c r="G55" s="281"/>
      <c r="H55" s="281"/>
      <c r="I55" s="281"/>
      <c r="J55" s="281"/>
      <c r="K55" s="281"/>
    </row>
    <row r="56" spans="1:11">
      <c r="A56" s="281"/>
      <c r="B56" s="281"/>
      <c r="C56" s="281"/>
      <c r="D56" s="281"/>
      <c r="G56" s="281"/>
      <c r="H56" s="281"/>
      <c r="I56" s="281"/>
      <c r="J56" s="281"/>
      <c r="K56" s="281"/>
    </row>
    <row r="57" spans="1:11">
      <c r="A57" s="281"/>
      <c r="B57" s="281"/>
      <c r="C57" s="281"/>
      <c r="D57" s="281"/>
      <c r="G57" s="281"/>
      <c r="H57" s="281"/>
      <c r="I57" s="281"/>
      <c r="J57" s="281"/>
      <c r="K57" s="281"/>
    </row>
    <row r="58" spans="1:11">
      <c r="G58" s="281"/>
      <c r="H58" s="281"/>
      <c r="I58" s="281"/>
      <c r="J58" s="281"/>
      <c r="K58" s="281"/>
    </row>
    <row r="59" spans="1:11">
      <c r="G59" s="281"/>
      <c r="H59" s="281"/>
      <c r="I59" s="281"/>
      <c r="J59" s="281"/>
      <c r="K59" s="281"/>
    </row>
    <row r="60" spans="1:11">
      <c r="G60" s="281"/>
      <c r="H60" s="281"/>
      <c r="I60" s="281"/>
      <c r="J60" s="281"/>
      <c r="K60" s="281"/>
    </row>
    <row r="61" spans="1:11">
      <c r="G61" s="281"/>
      <c r="H61" s="281"/>
      <c r="I61" s="281"/>
      <c r="J61" s="281"/>
      <c r="K61" s="281"/>
    </row>
    <row r="62" spans="1:11">
      <c r="G62" s="281"/>
      <c r="H62" s="281"/>
      <c r="I62" s="281"/>
      <c r="J62" s="281"/>
      <c r="K62" s="281"/>
    </row>
    <row r="63" spans="1:11">
      <c r="G63" s="281"/>
      <c r="H63" s="281"/>
      <c r="I63" s="281"/>
      <c r="J63" s="281"/>
      <c r="K63" s="281"/>
    </row>
    <row r="64" spans="1:11">
      <c r="G64" s="281"/>
      <c r="H64" s="281"/>
      <c r="I64" s="281"/>
      <c r="J64" s="281"/>
      <c r="K64" s="281"/>
    </row>
  </sheetData>
  <mergeCells count="7">
    <mergeCell ref="A16:E16"/>
    <mergeCell ref="I3:M3"/>
    <mergeCell ref="A1:E1"/>
    <mergeCell ref="A2:E2"/>
    <mergeCell ref="A3:E3"/>
    <mergeCell ref="B4:C4"/>
    <mergeCell ref="D4:E4"/>
  </mergeCells>
  <phoneticPr fontId="0" type="noConversion"/>
  <pageMargins left="0.75" right="0.75" top="1" bottom="1" header="0.5" footer="0.5"/>
  <pageSetup scale="74" orientation="portrait" horizontalDpi="4294967293" vertic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showGridLines="0" topLeftCell="A37" zoomScale="85" workbookViewId="0">
      <selection activeCell="H37" sqref="H37"/>
    </sheetView>
  </sheetViews>
  <sheetFormatPr defaultRowHeight="12.75"/>
  <cols>
    <col min="1" max="1" width="29.46484375" style="336" customWidth="1"/>
    <col min="2" max="2" width="12.73046875" bestFit="1" customWidth="1"/>
    <col min="3" max="3" width="9.46484375" customWidth="1"/>
    <col min="4" max="4" width="9.796875" customWidth="1"/>
    <col min="5" max="5" width="11.19921875" customWidth="1"/>
    <col min="6" max="6" width="12.73046875" bestFit="1" customWidth="1"/>
    <col min="7" max="7" width="13" customWidth="1"/>
    <col min="8" max="8" width="10.19921875" customWidth="1"/>
    <col min="9" max="9" width="10.46484375" customWidth="1"/>
    <col min="10" max="10" width="10.796875" customWidth="1"/>
    <col min="11" max="11" width="11.19921875" customWidth="1"/>
    <col min="12" max="12" width="11.265625" customWidth="1"/>
    <col min="13" max="13" width="8.46484375" customWidth="1"/>
    <col min="14" max="14" width="17.53125" customWidth="1"/>
    <col min="15" max="15" width="11.73046875" customWidth="1"/>
    <col min="16" max="16" width="22.73046875" style="293" customWidth="1"/>
    <col min="19" max="19" width="15" customWidth="1"/>
  </cols>
  <sheetData>
    <row r="1" spans="1:22" ht="13.15">
      <c r="A1" s="608" t="str">
        <f>+'Revenue Input'!A1</f>
        <v>Oshawa PUC Networks Inc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206"/>
    </row>
    <row r="2" spans="1:22">
      <c r="A2" s="506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22" ht="18" customHeight="1">
      <c r="A3" s="621" t="s">
        <v>140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207"/>
    </row>
    <row r="4" spans="1:22" ht="18" customHeight="1">
      <c r="A4" s="5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387" t="s">
        <v>317</v>
      </c>
      <c r="P4" s="387" t="s">
        <v>262</v>
      </c>
      <c r="Q4" s="281"/>
      <c r="R4" s="281"/>
      <c r="S4" s="281"/>
      <c r="T4" s="281"/>
      <c r="U4" s="281"/>
    </row>
    <row r="5" spans="1:22" s="2" customFormat="1" ht="38.65">
      <c r="A5" s="505" t="s">
        <v>23</v>
      </c>
      <c r="B5" s="505" t="s">
        <v>6</v>
      </c>
      <c r="C5" s="505" t="s">
        <v>7</v>
      </c>
      <c r="D5" s="505" t="s">
        <v>9</v>
      </c>
      <c r="E5" s="505" t="s">
        <v>26</v>
      </c>
      <c r="F5" s="505" t="s">
        <v>137</v>
      </c>
      <c r="G5" s="505" t="s">
        <v>138</v>
      </c>
      <c r="H5" s="505" t="s">
        <v>10</v>
      </c>
      <c r="I5" s="505" t="s">
        <v>11</v>
      </c>
      <c r="J5" s="505" t="s">
        <v>91</v>
      </c>
      <c r="K5" s="505" t="s">
        <v>5</v>
      </c>
      <c r="L5" s="505" t="s">
        <v>92</v>
      </c>
      <c r="M5" s="505" t="s">
        <v>347</v>
      </c>
      <c r="O5" s="281"/>
      <c r="P5" s="293"/>
      <c r="Q5" s="281"/>
      <c r="R5" s="281"/>
      <c r="S5" s="281"/>
      <c r="T5" s="281"/>
      <c r="U5" s="281"/>
    </row>
    <row r="6" spans="1:22" ht="18" customHeight="1">
      <c r="A6" s="269" t="str">
        <f>'Cost Allocation Study'!A5</f>
        <v>Residential</v>
      </c>
      <c r="B6" s="47">
        <f>+'Forecast Data For 2015 to 2019'!$C$6</f>
        <v>488310441.84458584</v>
      </c>
      <c r="C6" s="47"/>
      <c r="D6" s="47">
        <f>+'Forecast Data For 2015 to 2019'!$C$5*12</f>
        <v>611727.92890598229</v>
      </c>
      <c r="E6" s="47"/>
      <c r="F6" s="172">
        <f>'2014 Existing Rates'!C6</f>
        <v>8.4700000000000006</v>
      </c>
      <c r="G6" s="173">
        <f>'2014 Existing Rates'!E6</f>
        <v>1.2E-2</v>
      </c>
      <c r="H6" s="47">
        <f>D6*F6</f>
        <v>5181335.5578336706</v>
      </c>
      <c r="I6" s="47">
        <f>B6*G6</f>
        <v>5859725.3021350298</v>
      </c>
      <c r="J6" s="47">
        <f t="shared" ref="J6:J13" si="0">+H6+I6</f>
        <v>11041060.8599687</v>
      </c>
      <c r="K6" s="47"/>
      <c r="L6" s="47">
        <f>J6-K6</f>
        <v>11041060.8599687</v>
      </c>
      <c r="M6" s="48">
        <f>+L6/$L$15</f>
        <v>0.59512133013222102</v>
      </c>
      <c r="O6" s="281"/>
      <c r="Q6" s="281"/>
      <c r="R6" s="281"/>
      <c r="S6" s="281"/>
      <c r="T6" s="281"/>
      <c r="U6" s="281"/>
      <c r="V6" s="30"/>
    </row>
    <row r="7" spans="1:22" ht="18" customHeight="1">
      <c r="A7" s="269" t="str">
        <f>'Cost Allocation Study'!A6</f>
        <v>GS Less Than 50 KW</v>
      </c>
      <c r="B7" s="47">
        <f>+'Forecast Data For 2015 to 2019'!$C$8</f>
        <v>134064266.11914393</v>
      </c>
      <c r="C7" s="47"/>
      <c r="D7" s="47">
        <f>+'Forecast Data For 2015 to 2019'!$C$7*12</f>
        <v>48029.619595071897</v>
      </c>
      <c r="E7" s="47"/>
      <c r="F7" s="172">
        <f>'2014 Existing Rates'!C7</f>
        <v>8.3800000000000008</v>
      </c>
      <c r="G7" s="173">
        <f>'2014 Existing Rates'!E7</f>
        <v>1.7000000000000001E-2</v>
      </c>
      <c r="H7" s="47">
        <f t="shared" ref="H7:H10" si="1">D7*F7</f>
        <v>402488.21220670256</v>
      </c>
      <c r="I7" s="47">
        <f>B7*G7</f>
        <v>2279092.5240254472</v>
      </c>
      <c r="J7" s="47">
        <f t="shared" si="0"/>
        <v>2681580.7362321499</v>
      </c>
      <c r="K7" s="47"/>
      <c r="L7" s="47">
        <f t="shared" ref="L7:L13" si="2">J7-K7</f>
        <v>2681580.7362321499</v>
      </c>
      <c r="M7" s="48">
        <f>+L7/$L$15</f>
        <v>0.14453918104821872</v>
      </c>
      <c r="O7" s="281"/>
      <c r="Q7" s="281"/>
      <c r="R7" s="281"/>
      <c r="S7" s="281"/>
      <c r="T7" s="281"/>
      <c r="U7" s="281"/>
      <c r="V7" s="30"/>
    </row>
    <row r="8" spans="1:22" ht="18" customHeight="1">
      <c r="A8" s="269" t="str">
        <f>'Cost Allocation Study'!A7</f>
        <v>GS 50 To 999 KW</v>
      </c>
      <c r="B8" s="47">
        <f>+'Forecast Data For 2015 to 2019'!$C$11</f>
        <v>337307808.8671304</v>
      </c>
      <c r="C8" s="47">
        <f>+'Forecast Data For 2015 to 2019'!$C$10</f>
        <v>851954.05092458322</v>
      </c>
      <c r="D8" s="47">
        <f>+'Forecast Data For 2015 to 2019'!$C$9*12</f>
        <v>6084</v>
      </c>
      <c r="E8" s="47"/>
      <c r="F8" s="172">
        <f>'2014 Existing Rates'!C8</f>
        <v>43.13</v>
      </c>
      <c r="G8" s="173">
        <f>'2014 Existing Rates'!D8</f>
        <v>3.7097000000000002</v>
      </c>
      <c r="H8" s="47">
        <f t="shared" si="1"/>
        <v>262402.92000000004</v>
      </c>
      <c r="I8" s="47">
        <f>C8*G8</f>
        <v>3160493.9427149268</v>
      </c>
      <c r="J8" s="47">
        <f t="shared" si="0"/>
        <v>3422896.8627149267</v>
      </c>
      <c r="K8" s="47">
        <f>-'Transformer Allowance'!C22</f>
        <v>66477.515050139424</v>
      </c>
      <c r="L8" s="47">
        <f t="shared" si="2"/>
        <v>3356419.3476647874</v>
      </c>
      <c r="M8" s="48">
        <f t="shared" ref="M8:M13" si="3">+L8/$L$15</f>
        <v>0.18091348032560817</v>
      </c>
      <c r="O8" s="281"/>
      <c r="Q8" s="281"/>
      <c r="R8" s="281"/>
      <c r="S8" s="281"/>
      <c r="T8" s="281"/>
      <c r="U8" s="281"/>
      <c r="V8" s="30"/>
    </row>
    <row r="9" spans="1:22" ht="18" customHeight="1">
      <c r="A9" s="269" t="str">
        <f>'Cost Allocation Study'!A8</f>
        <v>GS Intermediate 1,000 To 4,999 KW</v>
      </c>
      <c r="B9" s="47">
        <f>+'Forecast Data For 2015 to 2019'!$C$14</f>
        <v>88420452.222880453</v>
      </c>
      <c r="C9" s="47">
        <f>+'Forecast Data For 2015 to 2019'!$C$13</f>
        <v>195333.21024632914</v>
      </c>
      <c r="D9" s="47">
        <f>+'Forecast Data For 2015 to 2019'!C12*12</f>
        <v>144</v>
      </c>
      <c r="E9" s="47"/>
      <c r="F9" s="172">
        <f>'2014 Existing Rates'!C9</f>
        <v>1221.57</v>
      </c>
      <c r="G9" s="173">
        <f>'2014 Existing Rates'!D9</f>
        <v>2.5922999999999998</v>
      </c>
      <c r="H9" s="47">
        <f t="shared" si="1"/>
        <v>175906.08</v>
      </c>
      <c r="I9" s="47">
        <f t="shared" ref="I9:I12" si="4">C9*G9</f>
        <v>506362.28092155897</v>
      </c>
      <c r="J9" s="47">
        <f t="shared" si="0"/>
        <v>682268.36092155892</v>
      </c>
      <c r="K9" s="47">
        <f>-'Transformer Allowance'!C23</f>
        <v>109679.6171671044</v>
      </c>
      <c r="L9" s="47">
        <f t="shared" si="2"/>
        <v>572588.74375445454</v>
      </c>
      <c r="M9" s="48">
        <f t="shared" si="3"/>
        <v>3.0862955935454781E-2</v>
      </c>
      <c r="O9" s="281"/>
      <c r="Q9" s="281"/>
      <c r="R9" s="281"/>
      <c r="S9" s="281"/>
      <c r="T9" s="281"/>
      <c r="U9" s="281"/>
      <c r="V9" s="30"/>
    </row>
    <row r="10" spans="1:22" ht="18" customHeight="1">
      <c r="A10" s="269" t="str">
        <f>'Cost Allocation Study'!A9</f>
        <v>Large Use</v>
      </c>
      <c r="B10" s="47">
        <f>'Forecast Data For 2015 to 2019'!C17</f>
        <v>42639586.096446052</v>
      </c>
      <c r="C10" s="47">
        <f>'Forecast Data For 2015 to 2019'!C16</f>
        <v>96450.280123117438</v>
      </c>
      <c r="D10" s="47">
        <f>'Forecast Data For 2015 to 2019'!C15*12</f>
        <v>12</v>
      </c>
      <c r="E10" s="47"/>
      <c r="F10" s="172">
        <f>'2014 Existing Rates'!C10</f>
        <v>8270.6299999999992</v>
      </c>
      <c r="G10" s="173">
        <f>'2014 Existing Rates'!D10</f>
        <v>2.0531000000000001</v>
      </c>
      <c r="H10" s="47">
        <f t="shared" si="1"/>
        <v>99247.56</v>
      </c>
      <c r="I10" s="47">
        <f t="shared" si="4"/>
        <v>198022.07012077243</v>
      </c>
      <c r="J10" s="47">
        <f t="shared" si="0"/>
        <v>297269.6301207724</v>
      </c>
      <c r="K10" s="47">
        <f>-'Transformer Allowance'!C24</f>
        <v>57870.53202541967</v>
      </c>
      <c r="L10" s="47">
        <f t="shared" si="2"/>
        <v>239399.09809535273</v>
      </c>
      <c r="M10" s="48">
        <f t="shared" si="3"/>
        <v>1.290378809589899E-2</v>
      </c>
      <c r="O10" s="281"/>
      <c r="Q10" s="281"/>
      <c r="R10" s="281"/>
      <c r="S10" s="281"/>
      <c r="T10" s="281"/>
      <c r="U10" s="281"/>
      <c r="V10" s="30"/>
    </row>
    <row r="11" spans="1:22" ht="18" customHeight="1">
      <c r="A11" s="269" t="str">
        <f>'Cost Allocation Study'!A10</f>
        <v>Street Lighting</v>
      </c>
      <c r="B11" s="47">
        <f>'Forecast Data For 2015 to 2019'!C20</f>
        <v>8578851.707184026</v>
      </c>
      <c r="C11" s="47">
        <f>'Forecast Data For 2015 to 2019'!C19</f>
        <v>23911.673714127413</v>
      </c>
      <c r="E11" s="47">
        <f>'Forecast Data For 2015 to 2019'!C18*12</f>
        <v>152518.16357196443</v>
      </c>
      <c r="F11" s="172">
        <f>'2014 Existing Rates'!B11</f>
        <v>1.17</v>
      </c>
      <c r="G11" s="173">
        <f>'2014 Existing Rates'!D11</f>
        <v>18.104199999999999</v>
      </c>
      <c r="H11" s="47">
        <f>E11*F11</f>
        <v>178446.25137919837</v>
      </c>
      <c r="I11" s="47">
        <f t="shared" si="4"/>
        <v>432901.72325530549</v>
      </c>
      <c r="J11" s="47">
        <f t="shared" si="0"/>
        <v>611347.97463450383</v>
      </c>
      <c r="K11" s="47"/>
      <c r="L11" s="47">
        <f t="shared" si="2"/>
        <v>611347.97463450383</v>
      </c>
      <c r="M11" s="48">
        <f t="shared" si="3"/>
        <v>3.2952107089386756E-2</v>
      </c>
      <c r="O11" s="281"/>
      <c r="Q11" s="281"/>
      <c r="R11" s="281"/>
      <c r="S11" s="281"/>
      <c r="T11" s="281"/>
      <c r="U11" s="281"/>
      <c r="V11" s="30"/>
    </row>
    <row r="12" spans="1:22" ht="18" customHeight="1">
      <c r="A12" s="269" t="str">
        <f>'Cost Allocation Study'!A11</f>
        <v>Sentinel Lighting</v>
      </c>
      <c r="B12" s="47">
        <f>+'Forecast Data For 2015 to 2019'!$C$23</f>
        <v>34297.182591568067</v>
      </c>
      <c r="C12" s="47">
        <f>+'Forecast Data For 2015 to 2019'!$C$22</f>
        <v>100.15889621450508</v>
      </c>
      <c r="D12" s="47"/>
      <c r="E12" s="47">
        <f>+'Forecast Data For 2015 to 2019'!$C$21*12</f>
        <v>278.6534991980983</v>
      </c>
      <c r="F12" s="172">
        <f>'2014 Existing Rates'!B12</f>
        <v>4.34</v>
      </c>
      <c r="G12" s="173">
        <f>'2014 Existing Rates'!D12</f>
        <v>6.2114000000000003</v>
      </c>
      <c r="H12" s="47">
        <f>E12*F12</f>
        <v>1209.3561865197466</v>
      </c>
      <c r="I12" s="47">
        <f t="shared" si="4"/>
        <v>622.12696794677686</v>
      </c>
      <c r="J12" s="47">
        <f t="shared" si="0"/>
        <v>1831.4831544665235</v>
      </c>
      <c r="K12" s="47"/>
      <c r="L12" s="47">
        <f t="shared" si="2"/>
        <v>1831.4831544665235</v>
      </c>
      <c r="M12" s="48">
        <f t="shared" si="3"/>
        <v>9.8718293905316208E-5</v>
      </c>
      <c r="O12" s="281"/>
      <c r="Q12" s="281"/>
      <c r="R12" s="281"/>
      <c r="S12" s="281"/>
      <c r="T12" s="281"/>
      <c r="U12" s="281"/>
      <c r="V12" s="30"/>
    </row>
    <row r="13" spans="1:22" ht="18" customHeight="1">
      <c r="A13" s="269" t="str">
        <f>'Cost Allocation Study'!A12</f>
        <v>Unmetered Scattered Load</v>
      </c>
      <c r="B13" s="47">
        <f>+'Forecast Data For 2015 to 2019'!$C$26</f>
        <v>2686537.3140891874</v>
      </c>
      <c r="C13" s="47"/>
      <c r="D13" s="47"/>
      <c r="E13" s="47">
        <f>+'Forecast Data For 2015 to 2019'!$C$24*12</f>
        <v>3549.8430548677898</v>
      </c>
      <c r="F13" s="172">
        <f>'2014 Existing Rates'!B13</f>
        <v>3.34</v>
      </c>
      <c r="G13" s="173">
        <f>'2014 Existing Rates'!E13</f>
        <v>1.3599999999999999E-2</v>
      </c>
      <c r="H13" s="47">
        <f t="shared" ref="H13" si="5">E13*F13</f>
        <v>11856.475803258418</v>
      </c>
      <c r="I13" s="47">
        <f>B13*G13</f>
        <v>36536.907471612947</v>
      </c>
      <c r="J13" s="47">
        <f t="shared" si="0"/>
        <v>48393.383274871361</v>
      </c>
      <c r="K13" s="47"/>
      <c r="L13" s="47">
        <f t="shared" si="2"/>
        <v>48393.383274871361</v>
      </c>
      <c r="M13" s="48">
        <f t="shared" si="3"/>
        <v>2.6084390793061408E-3</v>
      </c>
      <c r="O13" s="281"/>
      <c r="Q13" s="281"/>
      <c r="R13" s="281"/>
      <c r="S13" s="281"/>
      <c r="T13" s="281"/>
      <c r="U13" s="281"/>
      <c r="V13" s="30"/>
    </row>
    <row r="14" spans="1:22" ht="18" hidden="1" customHeight="1">
      <c r="A14" s="269"/>
      <c r="B14" s="47"/>
      <c r="C14" s="47"/>
      <c r="D14" s="47"/>
      <c r="E14" s="47"/>
      <c r="F14" s="172"/>
      <c r="G14" s="173"/>
      <c r="H14" s="47"/>
      <c r="I14" s="47"/>
      <c r="J14" s="47"/>
      <c r="K14" s="47"/>
      <c r="L14" s="47"/>
      <c r="M14" s="48"/>
      <c r="Q14" s="320"/>
    </row>
    <row r="15" spans="1:22" ht="18" customHeight="1" thickBot="1">
      <c r="A15" s="508"/>
      <c r="B15" s="79">
        <f t="shared" ref="B15:M15" si="6">SUM(B6:B14)</f>
        <v>1102042241.3540518</v>
      </c>
      <c r="C15" s="79">
        <f t="shared" si="6"/>
        <v>1167749.3739043716</v>
      </c>
      <c r="D15" s="79">
        <f t="shared" si="6"/>
        <v>665997.54850105417</v>
      </c>
      <c r="E15" s="79">
        <f t="shared" si="6"/>
        <v>156346.6601260303</v>
      </c>
      <c r="F15" s="79"/>
      <c r="G15" s="79"/>
      <c r="H15" s="79">
        <f t="shared" si="6"/>
        <v>6312892.4134093495</v>
      </c>
      <c r="I15" s="79">
        <f t="shared" si="6"/>
        <v>12473756.8776126</v>
      </c>
      <c r="J15" s="79">
        <f t="shared" si="6"/>
        <v>18786649.291021951</v>
      </c>
      <c r="K15" s="79">
        <f t="shared" si="6"/>
        <v>234027.66424266351</v>
      </c>
      <c r="L15" s="79">
        <f t="shared" si="6"/>
        <v>18552621.626779288</v>
      </c>
      <c r="M15" s="49">
        <f t="shared" si="6"/>
        <v>0.99999999999999989</v>
      </c>
      <c r="O15" s="307">
        <f>L15-'Revenue Input'!B7</f>
        <v>-2422564.4616289698</v>
      </c>
      <c r="P15" s="344">
        <v>0</v>
      </c>
      <c r="T15" s="110"/>
      <c r="U15" s="109"/>
      <c r="V15" s="110"/>
    </row>
    <row r="16" spans="1:22" ht="13.15" thickTop="1"/>
    <row r="17" spans="1:22">
      <c r="H17" s="17"/>
      <c r="I17" s="17"/>
      <c r="J17" s="17"/>
      <c r="K17" s="17"/>
      <c r="L17" s="17"/>
      <c r="M17" s="17"/>
      <c r="N17" s="17"/>
    </row>
    <row r="18" spans="1:22" ht="18" customHeight="1">
      <c r="A18" s="621" t="s">
        <v>180</v>
      </c>
      <c r="B18" s="621"/>
      <c r="C18" s="621"/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207"/>
    </row>
    <row r="19" spans="1:22" ht="18" customHeight="1">
      <c r="A19" s="507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</row>
    <row r="20" spans="1:22" s="2" customFormat="1" ht="38.65">
      <c r="A20" s="505" t="s">
        <v>23</v>
      </c>
      <c r="B20" s="505" t="s">
        <v>6</v>
      </c>
      <c r="C20" s="505" t="s">
        <v>7</v>
      </c>
      <c r="D20" s="505" t="s">
        <v>9</v>
      </c>
      <c r="E20" s="505" t="s">
        <v>26</v>
      </c>
      <c r="F20" s="505" t="s">
        <v>137</v>
      </c>
      <c r="G20" s="505" t="s">
        <v>138</v>
      </c>
      <c r="H20" s="505" t="s">
        <v>10</v>
      </c>
      <c r="I20" s="505" t="s">
        <v>11</v>
      </c>
      <c r="J20" s="505" t="s">
        <v>91</v>
      </c>
      <c r="K20" s="505" t="s">
        <v>5</v>
      </c>
      <c r="L20" s="505" t="s">
        <v>92</v>
      </c>
      <c r="M20" s="505" t="s">
        <v>347</v>
      </c>
      <c r="P20" s="112"/>
    </row>
    <row r="21" spans="1:22" ht="18" customHeight="1">
      <c r="A21" s="269" t="str">
        <f>'Cost Allocation Study'!A5</f>
        <v>Residential</v>
      </c>
      <c r="B21" s="47">
        <f>+'Forecast Data For 2015 to 2019'!$D$6</f>
        <v>491380160.90018409</v>
      </c>
      <c r="C21" s="47"/>
      <c r="D21" s="47">
        <f>+'Forecast Data For 2015 to 2019'!$D$5*12</f>
        <v>620903.98383510322</v>
      </c>
      <c r="E21" s="47"/>
      <c r="F21" s="172">
        <f>'Rates By Rate Class'!D6</f>
        <v>10.5</v>
      </c>
      <c r="G21" s="173">
        <f>'Rates By Rate Class'!E6</f>
        <v>1.32E-2</v>
      </c>
      <c r="H21" s="47">
        <f>D21*F21</f>
        <v>6519491.8302685842</v>
      </c>
      <c r="I21" s="47">
        <f>B21*G21</f>
        <v>6486218.1238824297</v>
      </c>
      <c r="J21" s="47">
        <f t="shared" ref="J21:J28" si="7">+H21+I21</f>
        <v>13005709.954151014</v>
      </c>
      <c r="K21" s="47"/>
      <c r="L21" s="47">
        <f t="shared" ref="L21:L28" si="8">J21-K21</f>
        <v>13005709.954151014</v>
      </c>
      <c r="M21" s="48">
        <f t="shared" ref="M21:M28" si="9">+L21/$L$30</f>
        <v>0.62055476842597723</v>
      </c>
      <c r="O21" s="319"/>
      <c r="P21" s="388"/>
      <c r="T21" s="30"/>
      <c r="V21" s="30"/>
    </row>
    <row r="22" spans="1:22" ht="18" customHeight="1">
      <c r="A22" s="269" t="str">
        <f>'Cost Allocation Study'!A6</f>
        <v>GS Less Than 50 KW</v>
      </c>
      <c r="B22" s="47">
        <f>+'Forecast Data For 2015 to 2019'!$D$8</f>
        <v>134854491.64774501</v>
      </c>
      <c r="C22" s="47"/>
      <c r="D22" s="47">
        <f>+'Forecast Data For 2015 to 2019'!$D$7*12</f>
        <v>48749.916783538749</v>
      </c>
      <c r="E22" s="47"/>
      <c r="F22" s="172">
        <f>'Rates By Rate Class'!D7</f>
        <v>15.21</v>
      </c>
      <c r="G22" s="173">
        <f>'Rates By Rate Class'!E7</f>
        <v>1.47E-2</v>
      </c>
      <c r="H22" s="47">
        <f>D22*F22</f>
        <v>741486.2342776244</v>
      </c>
      <c r="I22" s="47">
        <f>B22*G22</f>
        <v>1982361.0272218515</v>
      </c>
      <c r="J22" s="47">
        <f t="shared" si="7"/>
        <v>2723847.2614994757</v>
      </c>
      <c r="K22" s="47"/>
      <c r="L22" s="47">
        <f t="shared" si="8"/>
        <v>2723847.2614994757</v>
      </c>
      <c r="M22" s="48">
        <f t="shared" si="9"/>
        <v>0.12996571602368004</v>
      </c>
      <c r="O22" s="319"/>
      <c r="P22" s="388"/>
      <c r="T22" s="30"/>
      <c r="V22" s="30"/>
    </row>
    <row r="23" spans="1:22" ht="18" customHeight="1">
      <c r="A23" s="269" t="str">
        <f>'Cost Allocation Study'!A7</f>
        <v>GS 50 To 999 KW</v>
      </c>
      <c r="B23" s="47">
        <f>+'Forecast Data For 2015 to 2019'!$D$11</f>
        <v>340651147.74867117</v>
      </c>
      <c r="C23" s="47">
        <f>+'Forecast Data For 2015 to 2019'!$D$10</f>
        <v>860398.47773257422</v>
      </c>
      <c r="D23" s="47">
        <f>+'Forecast Data For 2015 to 2019'!$D$9*12</f>
        <v>6175.2000000000007</v>
      </c>
      <c r="E23" s="47"/>
      <c r="F23" s="172">
        <f>'Rates By Rate Class'!D8</f>
        <v>48.76</v>
      </c>
      <c r="G23" s="173">
        <f>'Rates By Rate Class'!E8</f>
        <v>4.1839000000000004</v>
      </c>
      <c r="H23" s="47">
        <f>D23*F23</f>
        <v>301102.75200000004</v>
      </c>
      <c r="I23" s="47">
        <f>C23*G23</f>
        <v>3599821.1909853178</v>
      </c>
      <c r="J23" s="47">
        <f t="shared" si="7"/>
        <v>3900923.9429853177</v>
      </c>
      <c r="K23" s="47">
        <f>-'Transformer Allowance'!C33</f>
        <v>67136.429119048174</v>
      </c>
      <c r="L23" s="47">
        <f t="shared" si="8"/>
        <v>3833787.5138662695</v>
      </c>
      <c r="M23" s="48">
        <f t="shared" si="9"/>
        <v>0.18292543284823601</v>
      </c>
      <c r="O23" s="319"/>
      <c r="P23" s="388"/>
      <c r="T23" s="30"/>
      <c r="V23" s="30"/>
    </row>
    <row r="24" spans="1:22" ht="18" customHeight="1">
      <c r="A24" s="269" t="str">
        <f>'Cost Allocation Study'!A8</f>
        <v>GS Intermediate 1,000 To 4,999 KW</v>
      </c>
      <c r="B24" s="47">
        <f>+'Forecast Data For 2015 to 2019'!$D$14</f>
        <v>88120101.619900286</v>
      </c>
      <c r="C24" s="47">
        <f>+'Forecast Data For 2015 to 2019'!$D$13</f>
        <v>194669.69353718983</v>
      </c>
      <c r="D24" s="47">
        <f>+'Forecast Data For 2015 to 2019'!D12*12</f>
        <v>144</v>
      </c>
      <c r="E24" s="47"/>
      <c r="F24" s="172">
        <f>'Rates By Rate Class'!D9</f>
        <v>1024.6300000000001</v>
      </c>
      <c r="G24" s="173">
        <f>'Rates By Rate Class'!E9</f>
        <v>2.2648999999999999</v>
      </c>
      <c r="H24" s="47">
        <f t="shared" ref="H24:H25" si="10">D24*F24</f>
        <v>147546.72000000003</v>
      </c>
      <c r="I24" s="47">
        <f t="shared" ref="I24:I27" si="11">C24*G24</f>
        <v>440907.38889238122</v>
      </c>
      <c r="J24" s="47">
        <f t="shared" si="7"/>
        <v>588454.10889238119</v>
      </c>
      <c r="K24" s="47">
        <f>-'Transformer Allowance'!C34</f>
        <v>109307.05246829765</v>
      </c>
      <c r="L24" s="47">
        <f t="shared" si="8"/>
        <v>479147.05642408354</v>
      </c>
      <c r="M24" s="48">
        <f t="shared" si="9"/>
        <v>2.2862034574770384E-2</v>
      </c>
      <c r="O24" s="319"/>
      <c r="P24" s="388"/>
      <c r="T24" s="30"/>
      <c r="V24" s="30"/>
    </row>
    <row r="25" spans="1:22" ht="18" customHeight="1">
      <c r="A25" s="269" t="str">
        <f>'Cost Allocation Study'!A9</f>
        <v>Large Use</v>
      </c>
      <c r="B25" s="47">
        <f>'Forecast Data For 2015 to 2019'!D17</f>
        <v>42660606.445226006</v>
      </c>
      <c r="C25" s="47">
        <f>'Forecast Data For 2015 to 2019'!D16</f>
        <v>96497.827923500081</v>
      </c>
      <c r="D25" s="47">
        <f>'Forecast Data For 2015 to 2019'!D15*12</f>
        <v>12</v>
      </c>
      <c r="E25" s="47"/>
      <c r="F25" s="172">
        <f>'Rates By Rate Class'!D10</f>
        <v>7812.41</v>
      </c>
      <c r="G25" s="173">
        <f>'Rates By Rate Class'!E10</f>
        <v>1.9725999999999999</v>
      </c>
      <c r="H25" s="47">
        <f t="shared" si="10"/>
        <v>93748.92</v>
      </c>
      <c r="I25" s="47">
        <f t="shared" si="11"/>
        <v>190351.61536189626</v>
      </c>
      <c r="J25" s="47">
        <f t="shared" si="7"/>
        <v>284100.53536189627</v>
      </c>
      <c r="K25" s="47">
        <f>-'Transformer Allowance'!C35</f>
        <v>57899.060885069113</v>
      </c>
      <c r="L25" s="47">
        <f t="shared" si="8"/>
        <v>226201.47447682716</v>
      </c>
      <c r="M25" s="48">
        <f t="shared" si="9"/>
        <v>1.0792982782672335E-2</v>
      </c>
      <c r="O25" s="319"/>
      <c r="P25" s="388"/>
      <c r="T25" s="30"/>
      <c r="V25" s="30"/>
    </row>
    <row r="26" spans="1:22" ht="18" customHeight="1">
      <c r="A26" s="269" t="str">
        <f>'Cost Allocation Study'!A10</f>
        <v>Street Lighting</v>
      </c>
      <c r="B26" s="47">
        <f>'Forecast Data For 2015 to 2019'!D20</f>
        <v>5237833.7421617098</v>
      </c>
      <c r="C26" s="47">
        <f>'Forecast Data For 2015 to 2019'!D19</f>
        <v>14599.316515348542</v>
      </c>
      <c r="E26" s="47">
        <f>'Forecast Data For 2015 to 2019'!D18*12</f>
        <v>155520.27905494603</v>
      </c>
      <c r="F26" s="172">
        <f>'Rates By Rate Class'!D11</f>
        <v>1.65</v>
      </c>
      <c r="G26" s="173">
        <f>'Rates By Rate Class'!E11</f>
        <v>25.491599999999998</v>
      </c>
      <c r="H26" s="47">
        <f>E26*F26</f>
        <v>256608.46044066094</v>
      </c>
      <c r="I26" s="47">
        <f t="shared" si="11"/>
        <v>372159.93688265886</v>
      </c>
      <c r="J26" s="47">
        <f t="shared" si="7"/>
        <v>628768.3973233198</v>
      </c>
      <c r="K26" s="47"/>
      <c r="L26" s="47">
        <f t="shared" si="8"/>
        <v>628768.3973233198</v>
      </c>
      <c r="M26" s="48">
        <f t="shared" si="9"/>
        <v>3.0001070958068747E-2</v>
      </c>
      <c r="O26" s="319"/>
      <c r="P26" s="388"/>
      <c r="T26" s="30"/>
      <c r="V26" s="30"/>
    </row>
    <row r="27" spans="1:22" ht="18" customHeight="1">
      <c r="A27" s="269" t="str">
        <f>'Cost Allocation Study'!A11</f>
        <v>Sentinel Lighting</v>
      </c>
      <c r="B27" s="47">
        <f>+'Forecast Data For 2015 to 2019'!$D$23</f>
        <v>32909.529916775595</v>
      </c>
      <c r="C27" s="47">
        <f>+'Forecast Data For 2015 to 2019'!$D$22</f>
        <v>96.106500369299738</v>
      </c>
      <c r="D27" s="47"/>
      <c r="E27" s="47">
        <f>+'Forecast Data For 2015 to 2019'!$D$21*12</f>
        <v>269.61032158105752</v>
      </c>
      <c r="F27" s="172">
        <f>'Rates By Rate Class'!D12</f>
        <v>4.91</v>
      </c>
      <c r="G27" s="173">
        <f>'Rates By Rate Class'!E12</f>
        <v>7.0133000000000001</v>
      </c>
      <c r="H27" s="47">
        <f>E27*F27</f>
        <v>1323.7866789629925</v>
      </c>
      <c r="I27" s="47">
        <f t="shared" si="11"/>
        <v>674.02371904000984</v>
      </c>
      <c r="J27" s="47">
        <f t="shared" si="7"/>
        <v>1997.8103980030023</v>
      </c>
      <c r="K27" s="47"/>
      <c r="L27" s="47">
        <f t="shared" si="8"/>
        <v>1997.8103980030023</v>
      </c>
      <c r="M27" s="48">
        <f t="shared" si="9"/>
        <v>9.5323575049901301E-5</v>
      </c>
      <c r="O27" s="319"/>
      <c r="P27" s="388"/>
      <c r="T27" s="30"/>
      <c r="V27" s="30"/>
    </row>
    <row r="28" spans="1:22" ht="18" customHeight="1">
      <c r="A28" s="269" t="str">
        <f>'Cost Allocation Study'!A12</f>
        <v>Unmetered Scattered Load</v>
      </c>
      <c r="B28" s="47">
        <f>+'Forecast Data For 2015 to 2019'!$D$26</f>
        <v>2667193.4637021297</v>
      </c>
      <c r="C28" s="47"/>
      <c r="D28" s="47"/>
      <c r="E28" s="47">
        <f>+'Forecast Data For 2015 to 2019'!$D$24*12</f>
        <v>3553.6902747301415</v>
      </c>
      <c r="F28" s="172">
        <f>'Rates By Rate Class'!D13</f>
        <v>4.07</v>
      </c>
      <c r="G28" s="173">
        <f>'Rates By Rate Class'!E13</f>
        <v>1.66E-2</v>
      </c>
      <c r="H28" s="47">
        <f>E28*F28</f>
        <v>14463.519418151676</v>
      </c>
      <c r="I28" s="47">
        <f>B28*G28</f>
        <v>44275.411497455352</v>
      </c>
      <c r="J28" s="47">
        <f t="shared" si="7"/>
        <v>58738.93091560703</v>
      </c>
      <c r="K28" s="47"/>
      <c r="L28" s="47">
        <f t="shared" si="8"/>
        <v>58738.93091560703</v>
      </c>
      <c r="M28" s="48">
        <f t="shared" si="9"/>
        <v>2.8026708115453606E-3</v>
      </c>
      <c r="O28" s="319"/>
      <c r="P28" s="388"/>
      <c r="T28" s="30"/>
      <c r="V28" s="30"/>
    </row>
    <row r="29" spans="1:22" ht="18" hidden="1" customHeight="1">
      <c r="A29" s="269"/>
      <c r="B29" s="47"/>
      <c r="C29" s="47"/>
      <c r="D29" s="47"/>
      <c r="E29" s="47"/>
      <c r="F29" s="172"/>
      <c r="G29" s="173"/>
      <c r="H29" s="47"/>
      <c r="I29" s="47"/>
      <c r="J29" s="47"/>
      <c r="K29" s="47"/>
      <c r="L29" s="47"/>
      <c r="M29" s="48"/>
      <c r="O29" s="319"/>
      <c r="P29" s="387" t="s">
        <v>262</v>
      </c>
    </row>
    <row r="30" spans="1:22" ht="18" customHeight="1" thickBot="1">
      <c r="A30" s="508"/>
      <c r="B30" s="79">
        <f>SUM(B21:B29)</f>
        <v>1105604445.0975072</v>
      </c>
      <c r="C30" s="79">
        <f>SUM(C21:C29)</f>
        <v>1166261.4222089818</v>
      </c>
      <c r="D30" s="79">
        <f>SUM(D21:D29)</f>
        <v>675985.10061864194</v>
      </c>
      <c r="E30" s="79">
        <f>SUM(E21:E29)</f>
        <v>159343.57965125723</v>
      </c>
      <c r="F30" s="79"/>
      <c r="G30" s="79"/>
      <c r="H30" s="79">
        <f t="shared" ref="H30:M30" si="12">SUM(H21:H29)</f>
        <v>8075772.223083985</v>
      </c>
      <c r="I30" s="79">
        <f t="shared" si="12"/>
        <v>13116768.71844303</v>
      </c>
      <c r="J30" s="79">
        <f t="shared" si="12"/>
        <v>21192540.941527013</v>
      </c>
      <c r="K30" s="79">
        <f t="shared" si="12"/>
        <v>234342.54247241493</v>
      </c>
      <c r="L30" s="79">
        <f t="shared" si="12"/>
        <v>20958198.399054598</v>
      </c>
      <c r="M30" s="49">
        <f t="shared" si="12"/>
        <v>1</v>
      </c>
      <c r="O30" s="307">
        <f>L30-'Revenue Input'!C7</f>
        <v>-1480586.7731636539</v>
      </c>
      <c r="P30" s="344">
        <v>-2.0954757928848267E-9</v>
      </c>
      <c r="R30" s="109"/>
      <c r="T30" s="110"/>
      <c r="U30" s="109"/>
      <c r="V30" s="110"/>
    </row>
    <row r="31" spans="1:22" ht="13.15" thickTop="1">
      <c r="O31" s="307"/>
    </row>
    <row r="32" spans="1:22">
      <c r="H32" s="17"/>
      <c r="I32" s="17"/>
      <c r="J32" s="17"/>
      <c r="K32" s="17"/>
      <c r="L32" s="17"/>
      <c r="M32" s="17"/>
      <c r="N32" s="17"/>
    </row>
    <row r="33" spans="1:22" ht="18" customHeight="1">
      <c r="A33" s="621" t="s">
        <v>181</v>
      </c>
      <c r="B33" s="621"/>
      <c r="C33" s="621"/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207"/>
    </row>
    <row r="34" spans="1:22" ht="18" customHeight="1">
      <c r="A34" s="507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</row>
    <row r="35" spans="1:22" s="2" customFormat="1" ht="38.65">
      <c r="A35" s="505" t="s">
        <v>23</v>
      </c>
      <c r="B35" s="505" t="s">
        <v>6</v>
      </c>
      <c r="C35" s="505" t="s">
        <v>7</v>
      </c>
      <c r="D35" s="505" t="s">
        <v>9</v>
      </c>
      <c r="E35" s="505" t="s">
        <v>26</v>
      </c>
      <c r="F35" s="505" t="s">
        <v>137</v>
      </c>
      <c r="G35" s="505" t="s">
        <v>138</v>
      </c>
      <c r="H35" s="505" t="s">
        <v>10</v>
      </c>
      <c r="I35" s="505" t="s">
        <v>11</v>
      </c>
      <c r="J35" s="505" t="s">
        <v>91</v>
      </c>
      <c r="K35" s="505" t="s">
        <v>5</v>
      </c>
      <c r="L35" s="505" t="s">
        <v>92</v>
      </c>
      <c r="M35" s="505" t="s">
        <v>347</v>
      </c>
      <c r="P35" s="112"/>
    </row>
    <row r="36" spans="1:22" ht="18" customHeight="1">
      <c r="A36" s="269" t="str">
        <f>'Cost Allocation Study'!A5</f>
        <v>Residential</v>
      </c>
      <c r="B36" s="47">
        <f>+'Forecast Data For 2015 to 2019'!$E$6</f>
        <v>492297000.53160763</v>
      </c>
      <c r="C36" s="47"/>
      <c r="D36" s="47">
        <f>+'Forecast Data For 2015 to 2019'!$E$5*12</f>
        <v>630217.64563768182</v>
      </c>
      <c r="E36" s="47"/>
      <c r="F36" s="172">
        <f>ROUND('Rates By Rate Class'!D37,2)</f>
        <v>11.21</v>
      </c>
      <c r="G36" s="173">
        <f>ROUND('Rates By Rate Class'!E37,4)</f>
        <v>1.4200000000000001E-2</v>
      </c>
      <c r="H36" s="47">
        <f>D36*F36</f>
        <v>7064739.8075984139</v>
      </c>
      <c r="I36" s="47">
        <f>B36*G36</f>
        <v>6990617.407548829</v>
      </c>
      <c r="J36" s="47">
        <f t="shared" ref="J36:J43" si="13">+H36+I36</f>
        <v>14055357.215147242</v>
      </c>
      <c r="K36" s="47"/>
      <c r="L36" s="47">
        <f t="shared" ref="L36:L43" si="14">J36-K36</f>
        <v>14055357.215147242</v>
      </c>
      <c r="M36" s="48">
        <f t="shared" ref="M36:M43" si="15">+L36/$L$45</f>
        <v>0.62218367033756161</v>
      </c>
      <c r="T36" s="30"/>
      <c r="V36" s="30"/>
    </row>
    <row r="37" spans="1:22" ht="18" customHeight="1">
      <c r="A37" s="269" t="str">
        <f>'Cost Allocation Study'!A6</f>
        <v>GS Less Than 50 KW</v>
      </c>
      <c r="B37" s="47">
        <f>+'Forecast Data For 2015 to 2019'!$E$8</f>
        <v>135063742.04659477</v>
      </c>
      <c r="C37" s="47"/>
      <c r="D37" s="47">
        <f>+'Forecast Data For 2015 to 2019'!$E$7*12</f>
        <v>49480.503378823727</v>
      </c>
      <c r="E37" s="47"/>
      <c r="F37" s="172">
        <f>ROUND('Rates By Rate Class'!D38,2)</f>
        <v>16.02</v>
      </c>
      <c r="G37" s="173">
        <f>ROUND('Rates By Rate Class'!E38,4)</f>
        <v>1.5699999999999999E-2</v>
      </c>
      <c r="H37" s="47">
        <f>D37*F37</f>
        <v>792677.66412875603</v>
      </c>
      <c r="I37" s="47">
        <f>B37*G37</f>
        <v>2120500.7501315377</v>
      </c>
      <c r="J37" s="47">
        <f t="shared" si="13"/>
        <v>2913178.4142602938</v>
      </c>
      <c r="K37" s="47"/>
      <c r="L37" s="47">
        <f t="shared" si="14"/>
        <v>2913178.4142602938</v>
      </c>
      <c r="M37" s="48">
        <f t="shared" si="15"/>
        <v>0.12895666829294736</v>
      </c>
      <c r="T37" s="30"/>
      <c r="V37" s="30"/>
    </row>
    <row r="38" spans="1:22" ht="18" customHeight="1">
      <c r="A38" s="269" t="str">
        <f>'Cost Allocation Study'!A7</f>
        <v>GS 50 To 999 KW</v>
      </c>
      <c r="B38" s="47">
        <f>+'Forecast Data For 2015 to 2019'!$E$11</f>
        <v>342688526.37423319</v>
      </c>
      <c r="C38" s="47">
        <f>+'Forecast Data For 2015 to 2019'!$E$10</f>
        <v>865544.379866131</v>
      </c>
      <c r="D38" s="47">
        <f>+'Forecast Data For 2015 to 2019'!$E$9*12</f>
        <v>6267.5999999999995</v>
      </c>
      <c r="E38" s="47"/>
      <c r="F38" s="172">
        <f>ROUND('Rates By Rate Class'!D39,2)</f>
        <v>52.2</v>
      </c>
      <c r="G38" s="173">
        <f>ROUND('Rates By Rate Class'!E39,4)</f>
        <v>4.4740000000000002</v>
      </c>
      <c r="H38" s="47">
        <f>D38*F38</f>
        <v>327168.71999999997</v>
      </c>
      <c r="I38" s="47">
        <f>C38*G38</f>
        <v>3872445.5555210705</v>
      </c>
      <c r="J38" s="47">
        <f t="shared" si="13"/>
        <v>4199614.2755210707</v>
      </c>
      <c r="K38" s="47">
        <f>-'Transformer Allowance'!C44</f>
        <v>67537.961086833093</v>
      </c>
      <c r="L38" s="47">
        <f t="shared" si="14"/>
        <v>4132076.3144342378</v>
      </c>
      <c r="M38" s="48">
        <f t="shared" si="15"/>
        <v>0.18291320299273275</v>
      </c>
      <c r="T38" s="30"/>
      <c r="V38" s="30"/>
    </row>
    <row r="39" spans="1:22" ht="18" customHeight="1">
      <c r="A39" s="269" t="str">
        <f>'Cost Allocation Study'!A8</f>
        <v>GS Intermediate 1,000 To 4,999 KW</v>
      </c>
      <c r="B39" s="47">
        <f>+'Forecast Data For 2015 to 2019'!$E$14</f>
        <v>87493646.788693547</v>
      </c>
      <c r="C39" s="47">
        <f>+'Forecast Data For 2015 to 2019'!$E$13</f>
        <v>193285.76673996553</v>
      </c>
      <c r="D39" s="47">
        <f>+'Forecast Data For 2015 to 2019'!E12*12</f>
        <v>144</v>
      </c>
      <c r="E39" s="47"/>
      <c r="F39" s="172">
        <f>ROUND('Rates By Rate Class'!D40,2)</f>
        <v>1097.01</v>
      </c>
      <c r="G39" s="173">
        <f>ROUND('Rates By Rate Class'!E40,4)</f>
        <v>2.3852000000000002</v>
      </c>
      <c r="H39" s="47">
        <f t="shared" ref="H39:H40" si="16">D39*F39</f>
        <v>157969.44</v>
      </c>
      <c r="I39" s="47">
        <f t="shared" ref="I39:I42" si="17">C39*G39</f>
        <v>461025.21082816581</v>
      </c>
      <c r="J39" s="47">
        <f t="shared" si="13"/>
        <v>618994.65082816582</v>
      </c>
      <c r="K39" s="47">
        <f>-'Transformer Allowance'!C45</f>
        <v>108529.9774326934</v>
      </c>
      <c r="L39" s="47">
        <f t="shared" si="14"/>
        <v>510464.6733954724</v>
      </c>
      <c r="M39" s="48">
        <f t="shared" si="15"/>
        <v>2.2596564371098589E-2</v>
      </c>
      <c r="T39" s="30"/>
      <c r="V39" s="30"/>
    </row>
    <row r="40" spans="1:22" ht="18" customHeight="1">
      <c r="A40" s="269" t="str">
        <f>'Cost Allocation Study'!A9</f>
        <v>Large Use</v>
      </c>
      <c r="B40" s="47">
        <f>'Forecast Data For 2015 to 2019'!E17</f>
        <v>42752494.396360196</v>
      </c>
      <c r="C40" s="47">
        <f>'Forecast Data For 2015 to 2019'!E16</f>
        <v>96705.677469853224</v>
      </c>
      <c r="D40" s="47">
        <f>'Forecast Data For 2015 to 2019'!E15*12</f>
        <v>12</v>
      </c>
      <c r="E40" s="47"/>
      <c r="F40" s="172">
        <f>ROUND('Rates By Rate Class'!D41,2)</f>
        <v>8347.42</v>
      </c>
      <c r="G40" s="173">
        <f>ROUND('Rates By Rate Class'!E41,4)</f>
        <v>2.0666000000000002</v>
      </c>
      <c r="H40" s="47">
        <f t="shared" si="16"/>
        <v>100169.04000000001</v>
      </c>
      <c r="I40" s="47">
        <f t="shared" si="17"/>
        <v>199851.95305919868</v>
      </c>
      <c r="J40" s="47">
        <f t="shared" si="13"/>
        <v>300020.99305919872</v>
      </c>
      <c r="K40" s="47">
        <f>-'Transformer Allowance'!C46</f>
        <v>58023.771397193537</v>
      </c>
      <c r="L40" s="47">
        <f t="shared" si="14"/>
        <v>241997.22166200518</v>
      </c>
      <c r="M40" s="48">
        <f t="shared" si="15"/>
        <v>1.0712407894044516E-2</v>
      </c>
      <c r="T40" s="30"/>
      <c r="V40" s="30"/>
    </row>
    <row r="41" spans="1:22" ht="18" customHeight="1">
      <c r="A41" s="269" t="str">
        <f>'Cost Allocation Study'!A10</f>
        <v>Street Lighting</v>
      </c>
      <c r="B41" s="47">
        <f>'Forecast Data For 2015 to 2019'!E20</f>
        <v>4853625.207928787</v>
      </c>
      <c r="C41" s="47">
        <f>'Forecast Data For 2015 to 2019'!E19</f>
        <v>13528.419217862043</v>
      </c>
      <c r="E41" s="47">
        <f>'Forecast Data For 2015 to 2019'!E18*12</f>
        <v>158581.48715458444</v>
      </c>
      <c r="F41" s="172">
        <f>ROUND('Rates By Rate Class'!D42,2)</f>
        <v>1.83</v>
      </c>
      <c r="G41" s="173">
        <f>ROUND('Rates By Rate Class'!E42,4)</f>
        <v>28.259</v>
      </c>
      <c r="H41" s="47">
        <f>E41*F41</f>
        <v>290204.12149288954</v>
      </c>
      <c r="I41" s="47">
        <f t="shared" si="17"/>
        <v>382299.59867756348</v>
      </c>
      <c r="J41" s="47">
        <f t="shared" si="13"/>
        <v>672503.72017045296</v>
      </c>
      <c r="K41" s="47"/>
      <c r="L41" s="47">
        <f t="shared" si="14"/>
        <v>672503.72017045296</v>
      </c>
      <c r="M41" s="48">
        <f t="shared" si="15"/>
        <v>2.9769491200151869E-2</v>
      </c>
      <c r="T41" s="30"/>
      <c r="V41" s="30"/>
    </row>
    <row r="42" spans="1:22" ht="18" customHeight="1">
      <c r="A42" s="269" t="str">
        <f>'Cost Allocation Study'!A11</f>
        <v>Sentinel Lighting</v>
      </c>
      <c r="B42" s="47">
        <f>+'Forecast Data For 2015 to 2019'!$E$23</f>
        <v>31630.444959402575</v>
      </c>
      <c r="C42" s="47">
        <f>+'Forecast Data For 2015 to 2019'!$E$22</f>
        <v>92.371157468960305</v>
      </c>
      <c r="D42" s="47"/>
      <c r="E42" s="47">
        <f>+'Forecast Data For 2015 to 2019'!$E$21*12</f>
        <v>260.8606233627994</v>
      </c>
      <c r="F42" s="172">
        <f>ROUND('Rates By Rate Class'!D43,2)</f>
        <v>5.26</v>
      </c>
      <c r="G42" s="173">
        <f>ROUND('Rates By Rate Class'!E43,4)</f>
        <v>7.5087999999999999</v>
      </c>
      <c r="H42" s="47">
        <f>E42*F42</f>
        <v>1372.1268788883249</v>
      </c>
      <c r="I42" s="47">
        <f t="shared" si="17"/>
        <v>693.59654720292917</v>
      </c>
      <c r="J42" s="47">
        <f t="shared" si="13"/>
        <v>2065.7234260912542</v>
      </c>
      <c r="K42" s="47"/>
      <c r="L42" s="47">
        <f t="shared" si="14"/>
        <v>2065.7234260912542</v>
      </c>
      <c r="M42" s="48">
        <f t="shared" si="15"/>
        <v>9.1442669401716454E-5</v>
      </c>
      <c r="T42" s="30"/>
      <c r="V42" s="30"/>
    </row>
    <row r="43" spans="1:22" ht="18" customHeight="1">
      <c r="A43" s="269" t="str">
        <f>'Cost Allocation Study'!A12</f>
        <v>Unmetered Scattered Load</v>
      </c>
      <c r="B43" s="47">
        <f>+'Forecast Data For 2015 to 2019'!$E$26</f>
        <v>2652384.9112346303</v>
      </c>
      <c r="C43" s="47"/>
      <c r="D43" s="47"/>
      <c r="E43" s="47">
        <f>+'Forecast Data For 2015 to 2019'!$E$24*12</f>
        <v>3557.5416641009588</v>
      </c>
      <c r="F43" s="172">
        <f>ROUND('Rates By Rate Class'!D44,2)</f>
        <v>4.3600000000000003</v>
      </c>
      <c r="G43" s="173">
        <f>ROUND('Rates By Rate Class'!E44,4)</f>
        <v>1.78E-2</v>
      </c>
      <c r="H43" s="47">
        <f>E43*F43</f>
        <v>15510.881655480182</v>
      </c>
      <c r="I43" s="47">
        <f>B43*G43</f>
        <v>47212.451419976416</v>
      </c>
      <c r="J43" s="47">
        <f t="shared" si="13"/>
        <v>62723.333075456598</v>
      </c>
      <c r="K43" s="47"/>
      <c r="L43" s="47">
        <f t="shared" si="14"/>
        <v>62723.333075456598</v>
      </c>
      <c r="M43" s="48">
        <f t="shared" si="15"/>
        <v>2.7765522420615434E-3</v>
      </c>
      <c r="T43" s="30"/>
      <c r="V43" s="30"/>
    </row>
    <row r="44" spans="1:22" ht="18" hidden="1" customHeight="1">
      <c r="A44" s="269"/>
      <c r="B44" s="47"/>
      <c r="C44" s="47"/>
      <c r="D44" s="47"/>
      <c r="E44" s="47"/>
      <c r="F44" s="172"/>
      <c r="G44" s="173"/>
      <c r="H44" s="47"/>
      <c r="I44" s="47"/>
      <c r="J44" s="47"/>
      <c r="K44" s="47"/>
      <c r="L44" s="47"/>
      <c r="M44" s="48"/>
      <c r="P44" s="387" t="s">
        <v>262</v>
      </c>
    </row>
    <row r="45" spans="1:22" ht="18" customHeight="1" thickBot="1">
      <c r="A45" s="508"/>
      <c r="B45" s="79">
        <f>SUM(B36:B44)</f>
        <v>1107833050.7016122</v>
      </c>
      <c r="C45" s="79">
        <f>SUM(C36:C44)</f>
        <v>1169156.6144512808</v>
      </c>
      <c r="D45" s="79">
        <f>SUM(D36:D44)</f>
        <v>686121.74901650555</v>
      </c>
      <c r="E45" s="79">
        <f>SUM(E36:E44)</f>
        <v>162399.88944204818</v>
      </c>
      <c r="F45" s="79"/>
      <c r="G45" s="79"/>
      <c r="H45" s="79">
        <f t="shared" ref="H45:M45" si="18">SUM(H36:H44)</f>
        <v>8749811.8017544262</v>
      </c>
      <c r="I45" s="79">
        <f t="shared" si="18"/>
        <v>14074646.523733543</v>
      </c>
      <c r="J45" s="79">
        <f t="shared" si="18"/>
        <v>22824458.325487971</v>
      </c>
      <c r="K45" s="79">
        <f t="shared" si="18"/>
        <v>234091.70991672005</v>
      </c>
      <c r="L45" s="79">
        <f t="shared" si="18"/>
        <v>22590366.615571253</v>
      </c>
      <c r="M45" s="49">
        <f t="shared" si="18"/>
        <v>0.99999999999999989</v>
      </c>
      <c r="O45" s="307">
        <f>L45-'Revenue Input'!D7</f>
        <v>-488632.61252915487</v>
      </c>
      <c r="P45" s="344">
        <v>1.57160684466362E-9</v>
      </c>
      <c r="R45" s="109"/>
      <c r="T45" s="110"/>
      <c r="U45" s="109"/>
      <c r="V45" s="110"/>
    </row>
    <row r="46" spans="1:22" ht="13.15" thickTop="1">
      <c r="D46">
        <f>SUM(D45:E45)/12</f>
        <v>70710.136538212813</v>
      </c>
      <c r="O46" s="307"/>
    </row>
    <row r="47" spans="1:22">
      <c r="H47" s="17"/>
      <c r="I47" s="17"/>
      <c r="J47" s="17"/>
      <c r="K47" s="17"/>
      <c r="L47" s="17"/>
      <c r="M47" s="17"/>
      <c r="N47" s="17"/>
    </row>
    <row r="48" spans="1:22" ht="18" customHeight="1">
      <c r="A48" s="621" t="s">
        <v>182</v>
      </c>
      <c r="B48" s="621"/>
      <c r="C48" s="621"/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207"/>
    </row>
    <row r="49" spans="1:22" ht="18" customHeight="1">
      <c r="A49" s="507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</row>
    <row r="50" spans="1:22" s="2" customFormat="1" ht="38.65">
      <c r="A50" s="505" t="s">
        <v>23</v>
      </c>
      <c r="B50" s="505" t="s">
        <v>6</v>
      </c>
      <c r="C50" s="505" t="s">
        <v>7</v>
      </c>
      <c r="D50" s="505" t="s">
        <v>9</v>
      </c>
      <c r="E50" s="505" t="s">
        <v>26</v>
      </c>
      <c r="F50" s="505" t="s">
        <v>137</v>
      </c>
      <c r="G50" s="505" t="s">
        <v>138</v>
      </c>
      <c r="H50" s="505" t="s">
        <v>10</v>
      </c>
      <c r="I50" s="505" t="s">
        <v>11</v>
      </c>
      <c r="J50" s="505" t="s">
        <v>91</v>
      </c>
      <c r="K50" s="505" t="s">
        <v>5</v>
      </c>
      <c r="L50" s="505" t="s">
        <v>92</v>
      </c>
      <c r="M50" s="505" t="s">
        <v>347</v>
      </c>
      <c r="P50" s="112"/>
    </row>
    <row r="51" spans="1:22" ht="18" customHeight="1">
      <c r="A51" s="269" t="str">
        <f>'Cost Allocation Study'!A5</f>
        <v>Residential</v>
      </c>
      <c r="B51" s="47">
        <f>+'Forecast Data For 2015 to 2019'!$F$6</f>
        <v>480011939.38473219</v>
      </c>
      <c r="C51" s="47"/>
      <c r="D51" s="47">
        <f>+'Forecast Data For 2015 to 2019'!$F$5*12</f>
        <v>645754.13985089678</v>
      </c>
      <c r="E51" s="47"/>
      <c r="F51" s="172">
        <f>ROUND('Rates By Rate Class'!D68,2)</f>
        <v>14.22</v>
      </c>
      <c r="G51" s="173">
        <f>ROUND('Rates By Rate Class'!E68,4)</f>
        <v>1.09E-2</v>
      </c>
      <c r="H51" s="47">
        <f>D51*F51</f>
        <v>9182623.8686797526</v>
      </c>
      <c r="I51" s="47">
        <f>B51*G51</f>
        <v>5232130.1392935812</v>
      </c>
      <c r="J51" s="47">
        <f t="shared" ref="J51:J58" si="19">+H51+I51</f>
        <v>14414754.007973334</v>
      </c>
      <c r="K51" s="47"/>
      <c r="L51" s="47">
        <f t="shared" ref="L51:L58" si="20">J51-K51</f>
        <v>14414754.007973334</v>
      </c>
      <c r="M51" s="48">
        <f t="shared" ref="M51:M58" si="21">+L51/$L$60</f>
        <v>0.62934213546118789</v>
      </c>
      <c r="T51" s="30"/>
      <c r="V51" s="30"/>
    </row>
    <row r="52" spans="1:22" ht="18" customHeight="1">
      <c r="A52" s="269" t="str">
        <f>'Cost Allocation Study'!A6</f>
        <v>GS Less Than 50 KW</v>
      </c>
      <c r="B52" s="47">
        <f>+'Forecast Data For 2015 to 2019'!$F$8</f>
        <v>129585178.21250525</v>
      </c>
      <c r="C52" s="47"/>
      <c r="D52" s="47">
        <f>+'Forecast Data For 2015 to 2019'!$F$7*12</f>
        <v>50653.795759968212</v>
      </c>
      <c r="E52" s="47"/>
      <c r="F52" s="172">
        <f>ROUND('Rates By Rate Class'!D69,2)</f>
        <v>16.239999999999998</v>
      </c>
      <c r="G52" s="173">
        <f>ROUND('Rates By Rate Class'!E69,4)</f>
        <v>1.61E-2</v>
      </c>
      <c r="H52" s="47">
        <f>D52*F52</f>
        <v>822617.64314188366</v>
      </c>
      <c r="I52" s="47">
        <f>B52*G52</f>
        <v>2086321.3692213346</v>
      </c>
      <c r="J52" s="47">
        <f t="shared" si="19"/>
        <v>2908939.0123632182</v>
      </c>
      <c r="K52" s="47"/>
      <c r="L52" s="47">
        <f t="shared" si="20"/>
        <v>2908939.0123632182</v>
      </c>
      <c r="M52" s="48">
        <f t="shared" si="21"/>
        <v>0.1270030615128353</v>
      </c>
      <c r="T52" s="30"/>
      <c r="V52" s="30"/>
    </row>
    <row r="53" spans="1:22" ht="18" customHeight="1">
      <c r="A53" s="269" t="str">
        <f>'Cost Allocation Study'!A7</f>
        <v>GS 50 To 999 KW</v>
      </c>
      <c r="B53" s="47">
        <f>+'Forecast Data For 2015 to 2019'!$F$11</f>
        <v>329595262.30701321</v>
      </c>
      <c r="C53" s="47">
        <f>+'Forecast Data For 2015 to 2019'!$F$10</f>
        <v>834069.22595941229</v>
      </c>
      <c r="D53" s="47">
        <f>+'Forecast Data For 2015 to 2019'!$F$9*12</f>
        <v>6309.5999999999995</v>
      </c>
      <c r="E53" s="47"/>
      <c r="F53" s="172">
        <f>ROUND('Rates By Rate Class'!D70,2)</f>
        <v>53.33</v>
      </c>
      <c r="G53" s="173">
        <f>ROUND('Rates By Rate Class'!E70,4)</f>
        <v>4.5690999999999997</v>
      </c>
      <c r="H53" s="47">
        <f>D53*F53</f>
        <v>336490.96799999994</v>
      </c>
      <c r="I53" s="47">
        <f>C53*G53</f>
        <v>3810945.7003311506</v>
      </c>
      <c r="J53" s="47">
        <f t="shared" si="19"/>
        <v>4147436.6683311504</v>
      </c>
      <c r="K53" s="47">
        <f>-'Transformer Allowance'!C55</f>
        <v>65081.971805171022</v>
      </c>
      <c r="L53" s="47">
        <f t="shared" si="20"/>
        <v>4082354.6965259793</v>
      </c>
      <c r="M53" s="48">
        <f>+L53/$L$60</f>
        <v>0.17823389986402483</v>
      </c>
      <c r="T53" s="30"/>
      <c r="V53" s="30"/>
    </row>
    <row r="54" spans="1:22" ht="18" customHeight="1">
      <c r="A54" s="269" t="str">
        <f>'Cost Allocation Study'!A8</f>
        <v>GS Intermediate 1,000 To 4,999 KW</v>
      </c>
      <c r="B54" s="47">
        <f>+'Forecast Data For 2015 to 2019'!$F$14</f>
        <v>75038332.350385889</v>
      </c>
      <c r="C54" s="47">
        <f>+'Forecast Data For 2015 to 2019'!$F$13</f>
        <v>167714.00346680533</v>
      </c>
      <c r="D54" s="47">
        <f>+'Forecast Data For 2015 to 2019'!F12*12</f>
        <v>158.39999999999998</v>
      </c>
      <c r="E54" s="47"/>
      <c r="F54" s="172">
        <f>ROUND('Rates By Rate Class'!D71,2)</f>
        <v>1120.74</v>
      </c>
      <c r="G54" s="173">
        <f>ROUND('Rates By Rate Class'!E71,4)</f>
        <v>2.4245999999999999</v>
      </c>
      <c r="H54" s="47">
        <f t="shared" ref="H54:H55" si="22">D54*F54</f>
        <v>177525.21599999999</v>
      </c>
      <c r="I54" s="47">
        <f t="shared" ref="I54:I57" si="23">C54*G54</f>
        <v>406639.37280561618</v>
      </c>
      <c r="J54" s="47">
        <f t="shared" si="19"/>
        <v>584164.58880561613</v>
      </c>
      <c r="K54" s="47">
        <f>-'Transformer Allowance'!C56</f>
        <v>94171.429787103072</v>
      </c>
      <c r="L54" s="47">
        <f t="shared" si="20"/>
        <v>489993.15901851305</v>
      </c>
      <c r="M54" s="48">
        <f t="shared" si="21"/>
        <v>2.1392896534169901E-2</v>
      </c>
      <c r="T54" s="30"/>
      <c r="V54" s="30"/>
    </row>
    <row r="55" spans="1:22" ht="18" customHeight="1">
      <c r="A55" s="269" t="str">
        <f>'Cost Allocation Study'!A9</f>
        <v>Large Use</v>
      </c>
      <c r="B55" s="47">
        <f>'Forecast Data For 2015 to 2019'!F17</f>
        <v>39807306.868036307</v>
      </c>
      <c r="C55" s="47">
        <f>'Forecast Data For 2015 to 2019'!F16</f>
        <v>90488.372107827323</v>
      </c>
      <c r="D55" s="47">
        <f>'Forecast Data For 2015 to 2019'!F15*12</f>
        <v>12</v>
      </c>
      <c r="E55" s="47"/>
      <c r="F55" s="172">
        <f>ROUND('Rates By Rate Class'!D72,2)</f>
        <v>8527.98</v>
      </c>
      <c r="G55" s="173">
        <f>ROUND('Rates By Rate Class'!E72,4)</f>
        <v>2.0983000000000001</v>
      </c>
      <c r="H55" s="47">
        <f t="shared" si="22"/>
        <v>102335.76</v>
      </c>
      <c r="I55" s="47">
        <f t="shared" si="23"/>
        <v>189871.75119385408</v>
      </c>
      <c r="J55" s="47">
        <f t="shared" si="19"/>
        <v>292207.51119385409</v>
      </c>
      <c r="K55" s="47">
        <f>-'Transformer Allowance'!C57</f>
        <v>54293.364719207166</v>
      </c>
      <c r="L55" s="47">
        <f t="shared" si="20"/>
        <v>237914.14647464693</v>
      </c>
      <c r="M55" s="48">
        <f t="shared" si="21"/>
        <v>1.0387232200838063E-2</v>
      </c>
      <c r="T55" s="30"/>
      <c r="V55" s="30"/>
    </row>
    <row r="56" spans="1:22" ht="18" customHeight="1">
      <c r="A56" s="269" t="str">
        <f>'Cost Allocation Study'!A10</f>
        <v>Street Lighting</v>
      </c>
      <c r="B56" s="47">
        <f>'Forecast Data For 2015 to 2019'!F20</f>
        <v>4912438.1569634676</v>
      </c>
      <c r="C56" s="47">
        <f>'Forecast Data For 2015 to 2019'!F19</f>
        <v>13345.422407816242</v>
      </c>
      <c r="E56" s="47">
        <f>'Forecast Data For 2015 to 2019'!F18*12</f>
        <v>161666.62527582207</v>
      </c>
      <c r="F56" s="172">
        <f>ROUND('Rates By Rate Class'!D73,2)</f>
        <v>1.92</v>
      </c>
      <c r="G56" s="173">
        <f>ROUND('Rates By Rate Class'!E73,4)</f>
        <v>29.666399999999999</v>
      </c>
      <c r="H56" s="47">
        <f>E56*F56</f>
        <v>310399.92052957835</v>
      </c>
      <c r="I56" s="47">
        <f t="shared" si="23"/>
        <v>395910.63931923977</v>
      </c>
      <c r="J56" s="47">
        <f t="shared" si="19"/>
        <v>706310.55984881811</v>
      </c>
      <c r="K56" s="47"/>
      <c r="L56" s="47">
        <f t="shared" si="20"/>
        <v>706310.55984881811</v>
      </c>
      <c r="M56" s="48">
        <f t="shared" si="21"/>
        <v>3.0837223846356787E-2</v>
      </c>
      <c r="T56" s="30"/>
      <c r="V56" s="30"/>
    </row>
    <row r="57" spans="1:22" ht="18" customHeight="1">
      <c r="A57" s="269" t="str">
        <f>'Cost Allocation Study'!A11</f>
        <v>Sentinel Lighting</v>
      </c>
      <c r="B57" s="47">
        <f>+'Forecast Data For 2015 to 2019'!$F$23</f>
        <v>33345.033034021741</v>
      </c>
      <c r="C57" s="47">
        <f>+'Forecast Data For 2015 to 2019'!$F$22</f>
        <v>96.768186330400098</v>
      </c>
      <c r="D57" s="47"/>
      <c r="E57" s="47">
        <f>+'Forecast Data For 2015 to 2019'!$F$21*12</f>
        <v>272.36112896379973</v>
      </c>
      <c r="F57" s="172">
        <f>ROUND('Rates By Rate Class'!D74,2)</f>
        <v>5.37</v>
      </c>
      <c r="G57" s="173">
        <f>ROUND('Rates By Rate Class'!E74,4)</f>
        <v>7.6711999999999998</v>
      </c>
      <c r="H57" s="47">
        <f>E57*F57</f>
        <v>1462.5792625356046</v>
      </c>
      <c r="I57" s="47">
        <f t="shared" si="23"/>
        <v>742.32811097776516</v>
      </c>
      <c r="J57" s="47">
        <f t="shared" si="19"/>
        <v>2204.9073735133697</v>
      </c>
      <c r="K57" s="47"/>
      <c r="L57" s="47">
        <f t="shared" si="20"/>
        <v>2204.9073735133697</v>
      </c>
      <c r="M57" s="48">
        <f t="shared" si="21"/>
        <v>9.6265334404837399E-5</v>
      </c>
      <c r="T57" s="30"/>
      <c r="V57" s="30"/>
    </row>
    <row r="58" spans="1:22" ht="18" customHeight="1">
      <c r="A58" s="269" t="str">
        <f>'Cost Allocation Study'!A12</f>
        <v>Unmetered Scattered Load</v>
      </c>
      <c r="B58" s="47">
        <f>+'Forecast Data For 2015 to 2019'!$F$26</f>
        <v>2612658.5895418967</v>
      </c>
      <c r="C58" s="47"/>
      <c r="D58" s="47"/>
      <c r="E58" s="47">
        <f>+'Forecast Data For 2015 to 2019'!$F$24*12</f>
        <v>3249.1175176904344</v>
      </c>
      <c r="F58" s="172">
        <f>ROUND('Rates By Rate Class'!D75,2)</f>
        <v>4.45</v>
      </c>
      <c r="G58" s="173">
        <f>ROUND('Rates By Rate Class'!E75,4)</f>
        <v>1.8200000000000001E-2</v>
      </c>
      <c r="H58" s="47">
        <f>E58*F58</f>
        <v>14458.572953722434</v>
      </c>
      <c r="I58" s="47">
        <f>B58*G58</f>
        <v>47550.38632966252</v>
      </c>
      <c r="J58" s="47">
        <f t="shared" si="19"/>
        <v>62008.959283384953</v>
      </c>
      <c r="K58" s="47"/>
      <c r="L58" s="47">
        <f t="shared" si="20"/>
        <v>62008.959283384953</v>
      </c>
      <c r="M58" s="48">
        <f t="shared" si="21"/>
        <v>2.7072852461821582E-3</v>
      </c>
      <c r="T58" s="30"/>
      <c r="V58" s="30"/>
    </row>
    <row r="59" spans="1:22" ht="18" hidden="1" customHeight="1">
      <c r="A59" s="269"/>
      <c r="B59" s="47"/>
      <c r="C59" s="47"/>
      <c r="D59" s="47"/>
      <c r="E59" s="47"/>
      <c r="F59" s="172"/>
      <c r="G59" s="173"/>
      <c r="H59" s="47"/>
      <c r="I59" s="47"/>
      <c r="J59" s="47"/>
      <c r="K59" s="47"/>
      <c r="L59" s="47"/>
      <c r="M59" s="48"/>
      <c r="P59" s="387" t="s">
        <v>262</v>
      </c>
    </row>
    <row r="60" spans="1:22" ht="18" customHeight="1" thickBot="1">
      <c r="A60" s="508"/>
      <c r="B60" s="79">
        <f>SUM(B51:B59)</f>
        <v>1061596460.9022121</v>
      </c>
      <c r="C60" s="79">
        <f>SUM(C51:C59)</f>
        <v>1105713.7921281913</v>
      </c>
      <c r="D60" s="79">
        <f>SUM(D51:D59)</f>
        <v>702887.93561086501</v>
      </c>
      <c r="E60" s="79">
        <f>SUM(E51:E59)</f>
        <v>165188.10392247629</v>
      </c>
      <c r="F60" s="79"/>
      <c r="G60" s="79"/>
      <c r="H60" s="79">
        <f t="shared" ref="H60:M60" si="24">SUM(H51:H59)</f>
        <v>10947914.528567472</v>
      </c>
      <c r="I60" s="79">
        <f t="shared" si="24"/>
        <v>12170111.686605416</v>
      </c>
      <c r="J60" s="79">
        <f t="shared" si="24"/>
        <v>23118026.215172891</v>
      </c>
      <c r="K60" s="79">
        <f t="shared" si="24"/>
        <v>213546.76631148125</v>
      </c>
      <c r="L60" s="79">
        <f t="shared" si="24"/>
        <v>22904479.448861413</v>
      </c>
      <c r="M60" s="49">
        <f t="shared" si="24"/>
        <v>0.99999999999999967</v>
      </c>
      <c r="O60" s="307">
        <f>L60-'Revenue Input'!E7</f>
        <v>-836050.99261673912</v>
      </c>
      <c r="P60" s="344">
        <v>1.0477378964424133E-9</v>
      </c>
      <c r="R60" s="109"/>
      <c r="T60" s="110"/>
      <c r="U60" s="109"/>
      <c r="V60" s="110"/>
    </row>
    <row r="61" spans="1:22" ht="13.15" thickTop="1"/>
    <row r="62" spans="1:22">
      <c r="H62" s="17"/>
      <c r="I62" s="17"/>
      <c r="J62" s="17"/>
      <c r="K62" s="17"/>
      <c r="L62" s="17"/>
      <c r="M62" s="17"/>
      <c r="N62" s="17"/>
    </row>
    <row r="63" spans="1:22" ht="18" customHeight="1">
      <c r="A63" s="621" t="s">
        <v>183</v>
      </c>
      <c r="B63" s="621"/>
      <c r="C63" s="621"/>
      <c r="D63" s="621"/>
      <c r="E63" s="621"/>
      <c r="F63" s="621"/>
      <c r="G63" s="621"/>
      <c r="H63" s="621"/>
      <c r="I63" s="621"/>
      <c r="J63" s="621"/>
      <c r="K63" s="621"/>
      <c r="L63" s="621"/>
      <c r="M63" s="621"/>
      <c r="N63" s="207"/>
    </row>
    <row r="64" spans="1:22" ht="18" customHeight="1">
      <c r="A64" s="507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</row>
    <row r="65" spans="1:22" s="2" customFormat="1" ht="38.65">
      <c r="A65" s="505" t="s">
        <v>23</v>
      </c>
      <c r="B65" s="505" t="s">
        <v>6</v>
      </c>
      <c r="C65" s="505" t="s">
        <v>7</v>
      </c>
      <c r="D65" s="505" t="s">
        <v>9</v>
      </c>
      <c r="E65" s="505" t="s">
        <v>26</v>
      </c>
      <c r="F65" s="505" t="s">
        <v>137</v>
      </c>
      <c r="G65" s="505" t="s">
        <v>138</v>
      </c>
      <c r="H65" s="505" t="s">
        <v>10</v>
      </c>
      <c r="I65" s="505" t="s">
        <v>11</v>
      </c>
      <c r="J65" s="505" t="s">
        <v>91</v>
      </c>
      <c r="K65" s="505" t="s">
        <v>5</v>
      </c>
      <c r="L65" s="505" t="s">
        <v>92</v>
      </c>
      <c r="M65" s="505" t="s">
        <v>347</v>
      </c>
      <c r="P65" s="112"/>
    </row>
    <row r="66" spans="1:22" ht="18" customHeight="1">
      <c r="A66" s="269" t="str">
        <f>'Cost Allocation Study'!A5</f>
        <v>Residential</v>
      </c>
      <c r="B66" s="47">
        <f>+'Forecast Data For 2015 to 2019'!$G$6</f>
        <v>478548339.49470502</v>
      </c>
      <c r="C66" s="47"/>
      <c r="D66" s="47">
        <f>+'Forecast Data For 2015 to 2019'!$G$5*12</f>
        <v>657378.03088320931</v>
      </c>
      <c r="E66" s="47"/>
      <c r="F66" s="172">
        <f>ROUND('Rates By Rate Class'!D99,2)</f>
        <v>17.350000000000001</v>
      </c>
      <c r="G66" s="173">
        <f>ROUND('Rates By Rate Class'!E99,4)</f>
        <v>7.7999999999999996E-3</v>
      </c>
      <c r="H66" s="47">
        <f>D66*F66</f>
        <v>11405508.835823683</v>
      </c>
      <c r="I66" s="47">
        <f>B66*G66</f>
        <v>3732677.0480586989</v>
      </c>
      <c r="J66" s="47">
        <f t="shared" ref="J66:J73" si="25">+H66+I66</f>
        <v>15138185.883882381</v>
      </c>
      <c r="K66" s="47"/>
      <c r="L66" s="47">
        <f t="shared" ref="L66:L73" si="26">J66-K66</f>
        <v>15138185.883882381</v>
      </c>
      <c r="M66" s="48">
        <f t="shared" ref="M66:M73" si="27">+L66/$L$75</f>
        <v>0.63097868474983498</v>
      </c>
      <c r="T66" s="30"/>
      <c r="V66" s="30"/>
    </row>
    <row r="67" spans="1:22" ht="18" customHeight="1">
      <c r="A67" s="269" t="str">
        <f>'Cost Allocation Study'!A6</f>
        <v>GS Less Than 50 KW</v>
      </c>
      <c r="B67" s="47">
        <f>+'Forecast Data For 2015 to 2019'!$G$8</f>
        <v>129015225.78797366</v>
      </c>
      <c r="C67" s="47"/>
      <c r="D67" s="47">
        <f>+'Forecast Data For 2015 to 2019'!$G$7*12</f>
        <v>51565.327010553097</v>
      </c>
      <c r="E67" s="47"/>
      <c r="F67" s="172">
        <f>ROUND('Rates By Rate Class'!D100,2)</f>
        <v>16.07</v>
      </c>
      <c r="G67" s="173">
        <f>ROUND('Rates By Rate Class'!E100,4)</f>
        <v>1.7000000000000001E-2</v>
      </c>
      <c r="H67" s="47">
        <f>D67*F67</f>
        <v>828654.80505958828</v>
      </c>
      <c r="I67" s="47">
        <f>B67*G67</f>
        <v>2193258.8383955522</v>
      </c>
      <c r="J67" s="47">
        <f t="shared" si="25"/>
        <v>3021913.6434551403</v>
      </c>
      <c r="K67" s="47"/>
      <c r="L67" s="47">
        <f t="shared" si="26"/>
        <v>3021913.6434551403</v>
      </c>
      <c r="M67" s="48">
        <f t="shared" si="27"/>
        <v>0.12595717286078748</v>
      </c>
      <c r="T67" s="30"/>
      <c r="V67" s="30"/>
    </row>
    <row r="68" spans="1:22" ht="18" customHeight="1">
      <c r="A68" s="269" t="str">
        <f>'Cost Allocation Study'!A7</f>
        <v>GS 50 To 999 KW</v>
      </c>
      <c r="B68" s="47">
        <f>+'Forecast Data For 2015 to 2019'!$G$11</f>
        <v>330009795.46084768</v>
      </c>
      <c r="C68" s="47">
        <f>+'Forecast Data For 2015 to 2019'!$G$10</f>
        <v>835118.23784245062</v>
      </c>
      <c r="D68" s="47">
        <f>+'Forecast Data For 2015 to 2019'!$G$9*12</f>
        <v>6423.5999999999995</v>
      </c>
      <c r="E68" s="47"/>
      <c r="F68" s="172">
        <f>ROUND('Rates By Rate Class'!D101,2)</f>
        <v>55.28</v>
      </c>
      <c r="G68" s="173">
        <f>ROUND('Rates By Rate Class'!E101,4)</f>
        <v>4.7329999999999997</v>
      </c>
      <c r="H68" s="47">
        <f>D68*F68</f>
        <v>355096.60799999995</v>
      </c>
      <c r="I68" s="47">
        <f>C68*G68</f>
        <v>3952614.6197083183</v>
      </c>
      <c r="J68" s="47">
        <f t="shared" si="25"/>
        <v>4307711.2277083183</v>
      </c>
      <c r="K68" s="47">
        <f>-'Transformer Allowance'!C66</f>
        <v>65163.825636568123</v>
      </c>
      <c r="L68" s="47">
        <f t="shared" si="26"/>
        <v>4242547.4020717498</v>
      </c>
      <c r="M68" s="48">
        <f t="shared" si="27"/>
        <v>0.17683472777264655</v>
      </c>
      <c r="T68" s="30"/>
      <c r="V68" s="30"/>
    </row>
    <row r="69" spans="1:22" ht="18" customHeight="1">
      <c r="A69" s="269" t="str">
        <f>'Cost Allocation Study'!A8</f>
        <v>GS Intermediate 1,000 To 4,999 KW</v>
      </c>
      <c r="B69" s="47">
        <f>+'Forecast Data For 2015 to 2019'!$G$14</f>
        <v>75644065.398059711</v>
      </c>
      <c r="C69" s="47">
        <f>+'Forecast Data For 2015 to 2019'!$G$13</f>
        <v>169067.84371452243</v>
      </c>
      <c r="D69" s="47">
        <f>+'Forecast Data For 2015 to 2019'!G12*12</f>
        <v>170.39999999999998</v>
      </c>
      <c r="E69" s="47"/>
      <c r="F69" s="172">
        <f>ROUND('Rates By Rate Class'!D102,2)</f>
        <v>1161.6500000000001</v>
      </c>
      <c r="G69" s="173">
        <f>ROUND('Rates By Rate Class'!E102,4)</f>
        <v>2.4925999999999999</v>
      </c>
      <c r="H69" s="47">
        <f t="shared" ref="H69:H70" si="28">D69*F69</f>
        <v>197945.16</v>
      </c>
      <c r="I69" s="47">
        <f t="shared" ref="I69:I72" si="29">C69*G69</f>
        <v>421418.5072428186</v>
      </c>
      <c r="J69" s="47">
        <f t="shared" si="25"/>
        <v>619363.66724281863</v>
      </c>
      <c r="K69" s="47">
        <f>-'Transformer Allowance'!C67</f>
        <v>94931.611222137988</v>
      </c>
      <c r="L69" s="47">
        <f t="shared" si="26"/>
        <v>524432.05602068058</v>
      </c>
      <c r="M69" s="48">
        <f t="shared" si="27"/>
        <v>2.1858989675962143E-2</v>
      </c>
      <c r="T69" s="30"/>
      <c r="V69" s="30"/>
    </row>
    <row r="70" spans="1:22" ht="18" customHeight="1">
      <c r="A70" s="269" t="str">
        <f>'Cost Allocation Study'!A9</f>
        <v>Large Use</v>
      </c>
      <c r="B70" s="47">
        <f>'Forecast Data For 2015 to 2019'!G17</f>
        <v>38875445.657878414</v>
      </c>
      <c r="C70" s="47">
        <f>'Forecast Data For 2015 to 2019'!G16</f>
        <v>88370.102609788868</v>
      </c>
      <c r="D70" s="47">
        <f>'Forecast Data For 2015 to 2019'!G15*12</f>
        <v>12</v>
      </c>
      <c r="E70" s="47"/>
      <c r="F70" s="172">
        <f>ROUND('Rates By Rate Class'!D103,2)</f>
        <v>8839.27</v>
      </c>
      <c r="G70" s="173">
        <f>ROUND('Rates By Rate Class'!E103,4)</f>
        <v>2.153</v>
      </c>
      <c r="H70" s="47">
        <f t="shared" si="28"/>
        <v>106071.24</v>
      </c>
      <c r="I70" s="47">
        <f t="shared" si="29"/>
        <v>190260.83091887544</v>
      </c>
      <c r="J70" s="47">
        <f t="shared" si="25"/>
        <v>296332.07091887546</v>
      </c>
      <c r="K70" s="47">
        <f>-'Transformer Allowance'!C68</f>
        <v>53022.395027172832</v>
      </c>
      <c r="L70" s="47">
        <f t="shared" si="26"/>
        <v>243309.67589170262</v>
      </c>
      <c r="M70" s="48">
        <f t="shared" si="27"/>
        <v>1.0141454230953211E-2</v>
      </c>
      <c r="T70" s="30"/>
      <c r="V70" s="30"/>
    </row>
    <row r="71" spans="1:22" ht="18" customHeight="1">
      <c r="A71" s="269" t="str">
        <f>'Cost Allocation Study'!A10</f>
        <v>Street Lighting</v>
      </c>
      <c r="B71" s="47">
        <f>'Forecast Data For 2015 to 2019'!G20</f>
        <v>5117254.1990519855</v>
      </c>
      <c r="C71" s="47">
        <f>'Forecast Data For 2015 to 2019'!G19</f>
        <v>13901.837880180767</v>
      </c>
      <c r="E71" s="47">
        <f>'Forecast Data For 2015 to 2019'!G18*12</f>
        <v>164846.34686765232</v>
      </c>
      <c r="F71" s="172">
        <f>ROUND('Rates By Rate Class'!D104,2)</f>
        <v>1.99</v>
      </c>
      <c r="G71" s="173">
        <f>ROUND('Rates By Rate Class'!E104,4)</f>
        <v>30.749300000000002</v>
      </c>
      <c r="H71" s="47">
        <f>E71*F71</f>
        <v>328044.23026662809</v>
      </c>
      <c r="I71" s="47">
        <f t="shared" si="29"/>
        <v>427471.7835290425</v>
      </c>
      <c r="J71" s="47">
        <f t="shared" si="25"/>
        <v>755516.01379567059</v>
      </c>
      <c r="K71" s="47"/>
      <c r="L71" s="47">
        <f t="shared" si="26"/>
        <v>755516.01379567059</v>
      </c>
      <c r="M71" s="48">
        <f t="shared" si="27"/>
        <v>3.1490860552834676E-2</v>
      </c>
      <c r="T71" s="30"/>
      <c r="V71" s="30"/>
    </row>
    <row r="72" spans="1:22" ht="18" customHeight="1">
      <c r="A72" s="269" t="str">
        <f>'Cost Allocation Study'!A11</f>
        <v>Sentinel Lighting</v>
      </c>
      <c r="B72" s="47">
        <f>+'Forecast Data For 2015 to 2019'!$G$23</f>
        <v>32059.16311080223</v>
      </c>
      <c r="C72" s="47">
        <f>+'Forecast Data For 2015 to 2019'!$G$22</f>
        <v>93.036557088953359</v>
      </c>
      <c r="D72" s="47"/>
      <c r="E72" s="47">
        <f>+'Forecast Data For 2015 to 2019'!$G$21*12</f>
        <v>264.86309199805925</v>
      </c>
      <c r="F72" s="172">
        <f>ROUND('Rates By Rate Class'!D105,2)</f>
        <v>5.57</v>
      </c>
      <c r="G72" s="173">
        <f>ROUND('Rates By Rate Class'!E105,4)</f>
        <v>7.9512</v>
      </c>
      <c r="H72" s="47">
        <f>E72*F72</f>
        <v>1475.28742242919</v>
      </c>
      <c r="I72" s="47">
        <f t="shared" si="29"/>
        <v>739.752272725686</v>
      </c>
      <c r="J72" s="47">
        <f t="shared" si="25"/>
        <v>2215.039695154876</v>
      </c>
      <c r="K72" s="47"/>
      <c r="L72" s="47">
        <f t="shared" si="26"/>
        <v>2215.039695154876</v>
      </c>
      <c r="M72" s="48">
        <f t="shared" si="27"/>
        <v>9.2325648808789471E-5</v>
      </c>
      <c r="T72" s="30"/>
      <c r="V72" s="30"/>
    </row>
    <row r="73" spans="1:22" ht="18" customHeight="1">
      <c r="A73" s="269" t="str">
        <f>'Cost Allocation Study'!A12</f>
        <v>Unmetered Scattered Load</v>
      </c>
      <c r="B73" s="47">
        <f>+'Forecast Data For 2015 to 2019'!$G$26</f>
        <v>2660941.3975806902</v>
      </c>
      <c r="C73" s="47"/>
      <c r="D73" s="47"/>
      <c r="E73" s="47">
        <f>+'Forecast Data For 2015 to 2019'!$G$24*12</f>
        <v>3232.8000276768216</v>
      </c>
      <c r="F73" s="172">
        <f>ROUND('Rates By Rate Class'!D106,2)</f>
        <v>4.49</v>
      </c>
      <c r="G73" s="173">
        <f>ROUND('Rates By Rate Class'!E106,4)</f>
        <v>1.84E-2</v>
      </c>
      <c r="H73" s="47">
        <f>E73*F73</f>
        <v>14515.272124268929</v>
      </c>
      <c r="I73" s="47">
        <f>B73*G73</f>
        <v>48961.321715484701</v>
      </c>
      <c r="J73" s="47">
        <f t="shared" si="25"/>
        <v>63476.59383975363</v>
      </c>
      <c r="K73" s="47"/>
      <c r="L73" s="47">
        <f t="shared" si="26"/>
        <v>63476.59383975363</v>
      </c>
      <c r="M73" s="48">
        <f t="shared" si="27"/>
        <v>2.6457845081722087E-3</v>
      </c>
      <c r="T73" s="30"/>
      <c r="V73" s="30"/>
    </row>
    <row r="74" spans="1:22" ht="18" hidden="1" customHeight="1">
      <c r="A74" s="269"/>
      <c r="B74" s="47"/>
      <c r="C74" s="47"/>
      <c r="D74" s="47"/>
      <c r="E74" s="47"/>
      <c r="F74" s="172"/>
      <c r="G74" s="173"/>
      <c r="H74" s="47"/>
      <c r="I74" s="47"/>
      <c r="J74" s="47"/>
      <c r="K74" s="47"/>
      <c r="L74" s="47"/>
      <c r="M74" s="48"/>
      <c r="P74" s="387" t="s">
        <v>262</v>
      </c>
    </row>
    <row r="75" spans="1:22" ht="18" customHeight="1" thickBot="1">
      <c r="A75" s="508"/>
      <c r="B75" s="79">
        <f>SUM(B66:B74)</f>
        <v>1059903126.5592082</v>
      </c>
      <c r="C75" s="79">
        <f>SUM(C66:C74)</f>
        <v>1106551.0586040313</v>
      </c>
      <c r="D75" s="79">
        <f>SUM(D66:D74)</f>
        <v>715549.35789376241</v>
      </c>
      <c r="E75" s="79">
        <f>SUM(E66:E74)</f>
        <v>168344.00998732721</v>
      </c>
      <c r="F75" s="79"/>
      <c r="G75" s="79"/>
      <c r="H75" s="79">
        <f t="shared" ref="H75:M75" si="30">SUM(H66:H74)</f>
        <v>13237311.438696597</v>
      </c>
      <c r="I75" s="79">
        <f t="shared" si="30"/>
        <v>10967402.701841516</v>
      </c>
      <c r="J75" s="79">
        <f t="shared" si="30"/>
        <v>24204714.140538111</v>
      </c>
      <c r="K75" s="79">
        <f t="shared" si="30"/>
        <v>213117.83188587896</v>
      </c>
      <c r="L75" s="79">
        <f t="shared" si="30"/>
        <v>23991596.308652233</v>
      </c>
      <c r="M75" s="49">
        <f t="shared" si="30"/>
        <v>1</v>
      </c>
      <c r="O75" s="307">
        <f>L75-'Revenue Input'!F7</f>
        <v>-982535.10382811725</v>
      </c>
      <c r="P75" s="344">
        <v>5.1222741603851318E-9</v>
      </c>
      <c r="R75" s="109"/>
      <c r="T75" s="110"/>
      <c r="U75" s="109"/>
      <c r="V75" s="110"/>
    </row>
    <row r="76" spans="1:22" ht="13.15" thickTop="1"/>
    <row r="77" spans="1:22">
      <c r="H77" s="17"/>
      <c r="I77" s="17"/>
      <c r="J77" s="17"/>
      <c r="K77" s="17"/>
      <c r="L77" s="17"/>
      <c r="M77" s="17"/>
      <c r="N77" s="17"/>
    </row>
  </sheetData>
  <mergeCells count="6">
    <mergeCell ref="A63:M63"/>
    <mergeCell ref="A1:M1"/>
    <mergeCell ref="A3:M3"/>
    <mergeCell ref="A18:M18"/>
    <mergeCell ref="A33:M33"/>
    <mergeCell ref="A48:M48"/>
  </mergeCells>
  <phoneticPr fontId="0" type="noConversion"/>
  <pageMargins left="0.75" right="0.75" top="1" bottom="1" header="0.5" footer="0.5"/>
  <pageSetup paperSize="5" scale="83" orientation="landscape" horizontalDpi="355" verticalDpi="355" r:id="rId1"/>
  <headerFooter alignWithMargins="0">
    <oddFooter>&amp;L&amp;Z&amp;F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37"/>
  <sheetViews>
    <sheetView tabSelected="1" topLeftCell="A55" zoomScale="80" zoomScaleNormal="80" workbookViewId="0">
      <selection activeCell="G90" sqref="G90"/>
    </sheetView>
  </sheetViews>
  <sheetFormatPr defaultRowHeight="12.75"/>
  <cols>
    <col min="1" max="1" width="31.265625" customWidth="1"/>
    <col min="2" max="2" width="18.73046875" style="97" customWidth="1"/>
    <col min="3" max="5" width="18.73046875" customWidth="1"/>
    <col min="6" max="6" width="16.19921875" customWidth="1"/>
    <col min="7" max="8" width="15.73046875" customWidth="1"/>
    <col min="9" max="9" width="16.73046875" bestFit="1" customWidth="1"/>
    <col min="10" max="10" width="14.46484375" customWidth="1"/>
    <col min="11" max="11" width="13.796875" customWidth="1"/>
    <col min="12" max="13" width="7.73046875" customWidth="1"/>
    <col min="14" max="14" width="2.73046875" style="390" customWidth="1"/>
    <col min="15" max="15" width="9.19921875" style="400"/>
    <col min="16" max="16" width="9.19921875" style="281"/>
    <col min="17" max="17" width="12.265625" style="283" customWidth="1"/>
    <col min="18" max="18" width="1.46484375" customWidth="1"/>
    <col min="19" max="19" width="10.796875" customWidth="1"/>
    <col min="21" max="21" width="1.265625" customWidth="1"/>
    <col min="22" max="22" width="3.19921875" customWidth="1"/>
    <col min="23" max="24" width="7.73046875" style="281" customWidth="1"/>
    <col min="25" max="25" width="1.796875" customWidth="1"/>
    <col min="26" max="26" width="12" style="307" customWidth="1"/>
    <col min="28" max="28" width="1.46484375" customWidth="1"/>
    <col min="29" max="29" width="35.265625" bestFit="1" customWidth="1"/>
    <col min="30" max="30" width="23.796875" customWidth="1"/>
    <col min="31" max="31" width="18.796875" customWidth="1"/>
  </cols>
  <sheetData>
    <row r="1" spans="1:27" ht="12.75" customHeight="1">
      <c r="A1" s="608" t="str">
        <f>+'Revenue Input'!A1</f>
        <v>Oshawa PUC Networks Inc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177"/>
      <c r="O1" s="397" t="s">
        <v>264</v>
      </c>
      <c r="R1" s="281"/>
      <c r="S1" s="281"/>
      <c r="W1"/>
      <c r="X1"/>
    </row>
    <row r="2" spans="1:27" s="7" customFormat="1" ht="10.5" customHeight="1">
      <c r="A2" s="617"/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390"/>
      <c r="O2" s="398"/>
      <c r="P2" s="282"/>
      <c r="Q2" s="283"/>
      <c r="R2" s="282"/>
      <c r="S2" s="282"/>
      <c r="Z2" s="414"/>
    </row>
    <row r="3" spans="1:27" ht="36" customHeight="1">
      <c r="A3" s="622" t="s">
        <v>201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O3" s="399" t="s">
        <v>265</v>
      </c>
      <c r="P3" s="289"/>
      <c r="R3" s="281"/>
      <c r="S3" s="281"/>
      <c r="W3" s="393" t="s">
        <v>263</v>
      </c>
      <c r="X3" s="394"/>
    </row>
    <row r="4" spans="1:27" ht="78.75">
      <c r="A4" s="142" t="s">
        <v>23</v>
      </c>
      <c r="B4" s="143" t="s">
        <v>117</v>
      </c>
      <c r="C4" s="138" t="s">
        <v>118</v>
      </c>
      <c r="D4" s="138" t="s">
        <v>119</v>
      </c>
      <c r="E4" s="138" t="s">
        <v>111</v>
      </c>
      <c r="F4" s="138" t="s">
        <v>112</v>
      </c>
      <c r="G4" s="138" t="s">
        <v>120</v>
      </c>
      <c r="H4" s="138" t="s">
        <v>93</v>
      </c>
      <c r="I4" s="138" t="s">
        <v>94</v>
      </c>
      <c r="J4" s="138" t="s">
        <v>95</v>
      </c>
      <c r="K4" s="144" t="s">
        <v>96</v>
      </c>
      <c r="L4" s="145" t="s">
        <v>102</v>
      </c>
      <c r="M4" s="146" t="s">
        <v>103</v>
      </c>
      <c r="N4" s="395"/>
      <c r="P4" s="309" t="s">
        <v>228</v>
      </c>
      <c r="Q4" s="411"/>
      <c r="S4" s="385" t="s">
        <v>259</v>
      </c>
      <c r="T4" s="385" t="s">
        <v>219</v>
      </c>
      <c r="W4" s="145" t="s">
        <v>102</v>
      </c>
      <c r="X4" s="146" t="s">
        <v>103</v>
      </c>
      <c r="Z4" s="424" t="s">
        <v>385</v>
      </c>
      <c r="AA4" s="336" t="s">
        <v>387</v>
      </c>
    </row>
    <row r="5" spans="1:27" ht="18" customHeight="1">
      <c r="A5" s="269" t="str">
        <f>'2014 Existing Rates'!A6</f>
        <v>Residential</v>
      </c>
      <c r="B5" s="147">
        <v>14750409.731392182</v>
      </c>
      <c r="C5" s="78">
        <f>'Revenue at Prior Year Rates'!M6*'Cost Allocation Study'!$C$14</f>
        <v>12482780.644704381</v>
      </c>
      <c r="D5" s="147">
        <v>974649.92324378795</v>
      </c>
      <c r="E5" s="98">
        <f>C5+D5</f>
        <v>13457430.567948168</v>
      </c>
      <c r="F5" s="99">
        <f>E5/B5</f>
        <v>0.91234283067457678</v>
      </c>
      <c r="G5" s="279">
        <v>0.91234282860812654</v>
      </c>
      <c r="H5" s="279">
        <v>0.9369402457758309</v>
      </c>
      <c r="I5" s="69">
        <f t="shared" ref="I5:I12" si="0">B5*H5</f>
        <v>13820252.519024799</v>
      </c>
      <c r="J5" s="69">
        <f t="shared" ref="J5:J12" si="1">D5</f>
        <v>974649.92324378795</v>
      </c>
      <c r="K5" s="98">
        <f>I5-J5</f>
        <v>12845602.595781012</v>
      </c>
      <c r="L5" s="105">
        <v>0.85</v>
      </c>
      <c r="M5" s="106">
        <v>1.1499999999999999</v>
      </c>
      <c r="N5" s="396"/>
      <c r="O5" s="400">
        <f>F5-G5</f>
        <v>2.066450233151329E-9</v>
      </c>
      <c r="P5" s="293" t="str">
        <f>IF(H5=M5,"Yes"," ")</f>
        <v xml:space="preserve"> </v>
      </c>
      <c r="Q5" s="502">
        <v>12937072.906584583</v>
      </c>
      <c r="S5" s="384">
        <v>0.94242944414456209</v>
      </c>
      <c r="T5" s="384">
        <f>H5-S5</f>
        <v>-5.4891983687311852E-3</v>
      </c>
      <c r="W5" s="105">
        <v>0.85</v>
      </c>
      <c r="X5" s="106">
        <v>1.1499999999999999</v>
      </c>
      <c r="Z5" s="384">
        <f>B5/B$14</f>
        <v>0.66162249350978775</v>
      </c>
      <c r="AA5" s="384">
        <f>Z5-Z23</f>
        <v>9.088985512354375E-4</v>
      </c>
    </row>
    <row r="6" spans="1:27" ht="18" customHeight="1">
      <c r="A6" s="269" t="str">
        <f>'2014 Existing Rates'!A7</f>
        <v>GS Less Than 50 KW</v>
      </c>
      <c r="B6" s="147">
        <v>2362246.454768097</v>
      </c>
      <c r="C6" s="78">
        <f>'Revenue at Prior Year Rates'!M7*'Cost Allocation Study'!$C$14</f>
        <v>3031736.2195525197</v>
      </c>
      <c r="D6" s="147">
        <v>128520.61306128523</v>
      </c>
      <c r="E6" s="98">
        <f t="shared" ref="E6:E12" si="2">C6+D6</f>
        <v>3160256.8326138048</v>
      </c>
      <c r="F6" s="99">
        <f t="shared" ref="F6:F12" si="3">E6/B6</f>
        <v>1.3378184254377679</v>
      </c>
      <c r="G6" s="279">
        <v>1.3378184223038769</v>
      </c>
      <c r="H6" s="279">
        <v>1.2</v>
      </c>
      <c r="I6" s="69">
        <f t="shared" si="0"/>
        <v>2834695.7457217164</v>
      </c>
      <c r="J6" s="69">
        <f t="shared" si="1"/>
        <v>128520.61306128523</v>
      </c>
      <c r="K6" s="98">
        <f t="shared" ref="K6:K12" si="4">I6-J6</f>
        <v>2706175.1326604313</v>
      </c>
      <c r="L6" s="105">
        <v>0.8</v>
      </c>
      <c r="M6" s="106">
        <v>1.2</v>
      </c>
      <c r="N6" s="396"/>
      <c r="O6" s="400">
        <f t="shared" ref="O6:O12" si="5">F6-G6</f>
        <v>3.1338909245448576E-9</v>
      </c>
      <c r="P6" s="293" t="str">
        <f>IF(H6=M6,"Yes"," ")</f>
        <v>Yes</v>
      </c>
      <c r="Q6" s="503">
        <v>2877832.1582923406</v>
      </c>
      <c r="S6" s="384">
        <v>1.2</v>
      </c>
      <c r="T6" s="384">
        <f t="shared" ref="T6:T12" si="6">H6-S6</f>
        <v>0</v>
      </c>
      <c r="W6" s="105">
        <v>0.8</v>
      </c>
      <c r="X6" s="106">
        <v>1.2</v>
      </c>
      <c r="Z6" s="384">
        <f t="shared" ref="Z6:Z12" si="7">B6/B$14</f>
        <v>0.10595742207500106</v>
      </c>
      <c r="AA6" s="384">
        <f t="shared" ref="AA6:AA12" si="8">Z6-Z24</f>
        <v>1.0592730028569086E-4</v>
      </c>
    </row>
    <row r="7" spans="1:27" ht="18" customHeight="1">
      <c r="A7" s="269" t="str">
        <f>'2014 Existing Rates'!A8</f>
        <v>GS 50 To 999 KW</v>
      </c>
      <c r="B7" s="147">
        <v>3510996.5548073938</v>
      </c>
      <c r="C7" s="78">
        <f>'Revenue at Prior Year Rates'!M8*'Cost Allocation Study'!$C$14</f>
        <v>3794693.9157312172</v>
      </c>
      <c r="D7" s="147">
        <v>127455.02572398059</v>
      </c>
      <c r="E7" s="98">
        <f t="shared" si="2"/>
        <v>3922148.941455198</v>
      </c>
      <c r="F7" s="99">
        <f t="shared" si="3"/>
        <v>1.1171041840200151</v>
      </c>
      <c r="G7" s="279">
        <v>1.1171041813808655</v>
      </c>
      <c r="H7" s="279">
        <f>G7</f>
        <v>1.1171041813808655</v>
      </c>
      <c r="I7" s="69">
        <f t="shared" si="0"/>
        <v>3922148.932189153</v>
      </c>
      <c r="J7" s="69">
        <f t="shared" si="1"/>
        <v>127455.02572398059</v>
      </c>
      <c r="K7" s="98">
        <f t="shared" si="4"/>
        <v>3794693.9064651723</v>
      </c>
      <c r="L7" s="105">
        <v>0.8</v>
      </c>
      <c r="M7" s="106">
        <v>1.2</v>
      </c>
      <c r="N7" s="396"/>
      <c r="O7" s="400">
        <f t="shared" si="5"/>
        <v>2.6391495655531116E-9</v>
      </c>
      <c r="P7" s="293" t="str">
        <f t="shared" ref="P7:P12" si="9">IF(H7=M7,"Yes"," ")</f>
        <v xml:space="preserve"> </v>
      </c>
      <c r="Q7" s="503">
        <v>4165793.804002183</v>
      </c>
      <c r="S7" s="384">
        <v>1.0821235975651298</v>
      </c>
      <c r="T7" s="384">
        <f t="shared" si="6"/>
        <v>3.4980583815735766E-2</v>
      </c>
      <c r="W7" s="105">
        <v>0.8</v>
      </c>
      <c r="X7" s="106">
        <v>1.2</v>
      </c>
      <c r="Z7" s="384">
        <f t="shared" si="7"/>
        <v>0.15748405214481426</v>
      </c>
      <c r="AA7" s="384">
        <f t="shared" si="8"/>
        <v>-2.7175108128327241E-4</v>
      </c>
    </row>
    <row r="8" spans="1:27" ht="18" customHeight="1">
      <c r="A8" s="269" t="str">
        <f>+'2014 Existing Rates'!A9</f>
        <v>GS Intermediate 1,000 To 4,999 KW</v>
      </c>
      <c r="B8" s="147">
        <v>414044.9053326064</v>
      </c>
      <c r="C8" s="78">
        <f>'Revenue at Prior Year Rates'!M9*'Cost Allocation Study'!$C$14</f>
        <v>647356.24398450821</v>
      </c>
      <c r="D8" s="147">
        <v>16576.142911081155</v>
      </c>
      <c r="E8" s="98">
        <f t="shared" si="2"/>
        <v>663932.38689558941</v>
      </c>
      <c r="F8" s="99">
        <f t="shared" si="3"/>
        <v>1.6035274878270653</v>
      </c>
      <c r="G8" s="279">
        <v>1.6035274840092615</v>
      </c>
      <c r="H8" s="279">
        <v>1.2</v>
      </c>
      <c r="I8" s="69">
        <f t="shared" si="0"/>
        <v>496853.88639912766</v>
      </c>
      <c r="J8" s="69">
        <f t="shared" si="1"/>
        <v>16576.142911081155</v>
      </c>
      <c r="K8" s="98">
        <f t="shared" si="4"/>
        <v>480277.74348804652</v>
      </c>
      <c r="L8" s="105">
        <v>0.8</v>
      </c>
      <c r="M8" s="106">
        <v>1.2</v>
      </c>
      <c r="N8" s="396"/>
      <c r="O8" s="400">
        <f t="shared" si="5"/>
        <v>3.8178038508362988E-9</v>
      </c>
      <c r="P8" s="293" t="str">
        <f t="shared" si="9"/>
        <v>Yes</v>
      </c>
      <c r="Q8" s="503">
        <v>438178.49120415444</v>
      </c>
      <c r="S8" s="384">
        <v>1.2</v>
      </c>
      <c r="T8" s="384">
        <f t="shared" si="6"/>
        <v>0</v>
      </c>
      <c r="W8" s="105">
        <v>0.8</v>
      </c>
      <c r="X8" s="106">
        <v>1.2</v>
      </c>
      <c r="Z8" s="384">
        <f t="shared" si="7"/>
        <v>1.8571783949036632E-2</v>
      </c>
      <c r="AA8" s="384">
        <f t="shared" si="8"/>
        <v>-3.8070515592859497E-4</v>
      </c>
    </row>
    <row r="9" spans="1:27" ht="18" customHeight="1">
      <c r="A9" s="269" t="str">
        <f>'2014 Existing Rates'!A10</f>
        <v>Large Use</v>
      </c>
      <c r="B9" s="147">
        <v>200438.31784805836</v>
      </c>
      <c r="C9" s="78">
        <f>'Revenue at Prior Year Rates'!M10*'Cost Allocation Study'!$C$14</f>
        <v>270659.35655686859</v>
      </c>
      <c r="D9" s="147">
        <v>4368.5256420971218</v>
      </c>
      <c r="E9" s="98">
        <f t="shared" si="2"/>
        <v>275027.8821989657</v>
      </c>
      <c r="F9" s="99">
        <f t="shared" si="3"/>
        <v>1.3721322606960298</v>
      </c>
      <c r="G9" s="279">
        <v>1.3721322573987182</v>
      </c>
      <c r="H9" s="279">
        <v>1.1499999999999999</v>
      </c>
      <c r="I9" s="69">
        <f t="shared" si="0"/>
        <v>230504.0655252671</v>
      </c>
      <c r="J9" s="69">
        <f t="shared" si="1"/>
        <v>4368.5256420971218</v>
      </c>
      <c r="K9" s="98">
        <f t="shared" si="4"/>
        <v>226135.53988316999</v>
      </c>
      <c r="L9" s="105">
        <v>0.85</v>
      </c>
      <c r="M9" s="106">
        <v>1.1499999999999999</v>
      </c>
      <c r="N9" s="396"/>
      <c r="O9" s="400">
        <f t="shared" si="5"/>
        <v>3.2973115349221871E-9</v>
      </c>
      <c r="P9" s="293" t="str">
        <f t="shared" si="9"/>
        <v>Yes</v>
      </c>
      <c r="Q9" s="503">
        <v>272879.74829016376</v>
      </c>
      <c r="S9" s="384">
        <v>1.1499999999999999</v>
      </c>
      <c r="T9" s="384">
        <f t="shared" si="6"/>
        <v>0</v>
      </c>
      <c r="W9" s="105">
        <v>0.85</v>
      </c>
      <c r="X9" s="106">
        <v>1.1499999999999999</v>
      </c>
      <c r="Z9" s="384">
        <f t="shared" si="7"/>
        <v>8.9905637920895416E-3</v>
      </c>
      <c r="AA9" s="384">
        <f t="shared" si="8"/>
        <v>7.0269045569226751E-6</v>
      </c>
    </row>
    <row r="10" spans="1:27" ht="18" customHeight="1">
      <c r="A10" s="269" t="str">
        <f>'2014 Existing Rates'!A11</f>
        <v>Street Lighting</v>
      </c>
      <c r="B10" s="147">
        <v>986798.36897422792</v>
      </c>
      <c r="C10" s="78">
        <f>'Revenue at Prior Year Rates'!M11*'Cost Allocation Study'!$C$14</f>
        <v>691176.57820504426</v>
      </c>
      <c r="D10" s="147">
        <v>63368.757757724081</v>
      </c>
      <c r="E10" s="98">
        <f t="shared" si="2"/>
        <v>754545.33596276829</v>
      </c>
      <c r="F10" s="99">
        <f t="shared" si="3"/>
        <v>0.7646398288508669</v>
      </c>
      <c r="G10" s="279">
        <v>0.76463982714054324</v>
      </c>
      <c r="H10" s="279">
        <f>H5</f>
        <v>0.9369402457758309</v>
      </c>
      <c r="I10" s="69">
        <f t="shared" si="0"/>
        <v>924571.10635790217</v>
      </c>
      <c r="J10" s="69">
        <f t="shared" si="1"/>
        <v>63368.757757724081</v>
      </c>
      <c r="K10" s="98">
        <f t="shared" si="4"/>
        <v>861202.34860017814</v>
      </c>
      <c r="L10" s="391">
        <v>0.7</v>
      </c>
      <c r="M10" s="392">
        <v>1.2</v>
      </c>
      <c r="N10" s="396"/>
      <c r="O10" s="400">
        <f t="shared" si="5"/>
        <v>1.7103236604754102E-9</v>
      </c>
      <c r="P10" s="293" t="str">
        <f t="shared" si="9"/>
        <v xml:space="preserve"> </v>
      </c>
      <c r="Q10" s="503">
        <v>719442.66324228153</v>
      </c>
      <c r="S10" s="384">
        <v>0.87323029288795617</v>
      </c>
      <c r="T10" s="384">
        <f t="shared" si="6"/>
        <v>6.3709952887874732E-2</v>
      </c>
      <c r="W10" s="391">
        <v>0.85</v>
      </c>
      <c r="X10" s="392">
        <v>1.1499999999999999</v>
      </c>
      <c r="Z10" s="384">
        <f t="shared" si="7"/>
        <v>4.4262363511342204E-2</v>
      </c>
      <c r="AA10" s="384">
        <f t="shared" si="8"/>
        <v>-4.2870543511624309E-4</v>
      </c>
    </row>
    <row r="11" spans="1:27" ht="18" customHeight="1">
      <c r="A11" s="269" t="str">
        <f>'2014 Existing Rates'!A12</f>
        <v>Sentinel Lighting</v>
      </c>
      <c r="B11" s="147">
        <v>2051.5902052104948</v>
      </c>
      <c r="C11" s="78">
        <f>'Revenue at Prior Year Rates'!M12*'Cost Allocation Study'!$C$14</f>
        <v>2070.6345849941863</v>
      </c>
      <c r="D11" s="275">
        <v>133.83424631964681</v>
      </c>
      <c r="E11" s="98">
        <f t="shared" si="2"/>
        <v>2204.4688313138331</v>
      </c>
      <c r="F11" s="99">
        <f t="shared" si="3"/>
        <v>1.0745171358856496</v>
      </c>
      <c r="G11" s="279">
        <v>1.0745171334211399</v>
      </c>
      <c r="H11" s="279">
        <f>G11</f>
        <v>1.0745171334211399</v>
      </c>
      <c r="I11" s="69">
        <f t="shared" si="0"/>
        <v>2204.4688262576688</v>
      </c>
      <c r="J11" s="69">
        <f t="shared" si="1"/>
        <v>133.83424631964681</v>
      </c>
      <c r="K11" s="98">
        <f t="shared" si="4"/>
        <v>2070.6345799380219</v>
      </c>
      <c r="L11" s="105">
        <v>0.8</v>
      </c>
      <c r="M11" s="106">
        <v>1.2</v>
      </c>
      <c r="N11" s="396"/>
      <c r="O11" s="400">
        <f t="shared" si="5"/>
        <v>2.4645097074227351E-9</v>
      </c>
      <c r="P11" s="293" t="str">
        <f t="shared" si="9"/>
        <v xml:space="preserve"> </v>
      </c>
      <c r="Q11" s="503">
        <v>59997.65431423152</v>
      </c>
      <c r="S11" s="384">
        <v>0.90196391132415032</v>
      </c>
      <c r="T11" s="384">
        <f t="shared" si="6"/>
        <v>0.17255322209698953</v>
      </c>
      <c r="W11" s="105">
        <v>0.8</v>
      </c>
      <c r="X11" s="106">
        <v>1.2</v>
      </c>
      <c r="Z11" s="384">
        <f t="shared" si="7"/>
        <v>9.2023086270127079E-5</v>
      </c>
      <c r="AA11" s="384">
        <f t="shared" si="8"/>
        <v>3.9675426048599262E-6</v>
      </c>
    </row>
    <row r="12" spans="1:27" ht="18" customHeight="1">
      <c r="A12" s="269" t="str">
        <f>'2014 Existing Rates'!A13</f>
        <v>Unmetered Scattered Load</v>
      </c>
      <c r="B12" s="147">
        <v>67313.131022572081</v>
      </c>
      <c r="C12" s="78">
        <f>'Revenue at Prior Year Rates'!M13*'Cost Allocation Study'!$C$14</f>
        <v>54712.495088722608</v>
      </c>
      <c r="D12" s="147">
        <v>4040.1945739230514</v>
      </c>
      <c r="E12" s="98">
        <f t="shared" si="2"/>
        <v>58752.689662645658</v>
      </c>
      <c r="F12" s="99">
        <f t="shared" si="3"/>
        <v>0.87282657588671886</v>
      </c>
      <c r="G12" s="279">
        <v>0.87282657390197527</v>
      </c>
      <c r="H12" s="279">
        <f>H5</f>
        <v>0.9369402457758309</v>
      </c>
      <c r="I12" s="69">
        <f t="shared" si="0"/>
        <v>63068.381524229393</v>
      </c>
      <c r="J12" s="69">
        <f t="shared" si="1"/>
        <v>4040.1945739230514</v>
      </c>
      <c r="K12" s="98">
        <f t="shared" si="4"/>
        <v>59028.186950306343</v>
      </c>
      <c r="L12" s="391">
        <v>0.8</v>
      </c>
      <c r="M12" s="106">
        <v>1.2</v>
      </c>
      <c r="N12" s="396"/>
      <c r="O12" s="400">
        <f t="shared" si="5"/>
        <v>1.9847435916986456E-9</v>
      </c>
      <c r="P12" s="293" t="str">
        <f t="shared" si="9"/>
        <v xml:space="preserve"> </v>
      </c>
      <c r="Q12" s="503">
        <v>1846.6358331116166</v>
      </c>
      <c r="S12" s="384">
        <v>1.2</v>
      </c>
      <c r="T12" s="384">
        <f t="shared" si="6"/>
        <v>-0.26305975422416905</v>
      </c>
      <c r="W12" s="391">
        <v>0.7</v>
      </c>
      <c r="X12" s="106">
        <v>1.2</v>
      </c>
      <c r="Z12" s="384">
        <f t="shared" si="7"/>
        <v>3.0192979316583215E-3</v>
      </c>
      <c r="AA12" s="384">
        <f t="shared" si="8"/>
        <v>5.5341373645091414E-5</v>
      </c>
    </row>
    <row r="13" spans="1:27" ht="18" customHeight="1">
      <c r="A13" s="269"/>
      <c r="B13" s="147"/>
      <c r="C13" s="78"/>
      <c r="D13" s="147"/>
      <c r="E13" s="98"/>
      <c r="F13" s="99"/>
      <c r="G13" s="161"/>
      <c r="H13" s="161"/>
      <c r="I13" s="69"/>
      <c r="J13" s="69"/>
      <c r="K13" s="98"/>
      <c r="L13" s="105"/>
      <c r="M13" s="106"/>
      <c r="N13" s="396"/>
      <c r="Q13" s="412"/>
      <c r="T13" s="281"/>
      <c r="W13" s="105"/>
      <c r="X13" s="106"/>
      <c r="Z13" s="281"/>
      <c r="AA13" s="281"/>
    </row>
    <row r="14" spans="1:27" ht="18" customHeight="1" thickBot="1">
      <c r="A14" s="42" t="s">
        <v>1</v>
      </c>
      <c r="B14" s="96">
        <f>SUM(B5:B13)</f>
        <v>22294299.05435035</v>
      </c>
      <c r="C14" s="43">
        <f>'Revenue Input'!B7</f>
        <v>20975186.088408258</v>
      </c>
      <c r="D14" s="43">
        <f>SUM(D5:D13)</f>
        <v>1319113.0171601989</v>
      </c>
      <c r="E14" s="43">
        <f>SUM(E5:E13)</f>
        <v>22294299.105568457</v>
      </c>
      <c r="F14" s="100"/>
      <c r="G14" s="100"/>
      <c r="H14" s="44"/>
      <c r="I14" s="43">
        <f>SUM(I5:I13)</f>
        <v>22294299.10556845</v>
      </c>
      <c r="J14" s="43">
        <f>SUM(J5:J13)</f>
        <v>1319113.0171601989</v>
      </c>
      <c r="K14" s="43">
        <f>SUM(K5:K13)</f>
        <v>20975186.088408258</v>
      </c>
      <c r="L14" s="98"/>
      <c r="M14" s="107"/>
      <c r="N14" s="283"/>
      <c r="Q14" s="306">
        <f>SUM(Q5:Q13)</f>
        <v>21473044.061763044</v>
      </c>
      <c r="W14" s="98"/>
      <c r="X14" s="107"/>
      <c r="Z14" s="575">
        <f>SUM(Z5:Z13)</f>
        <v>0.99999999999999978</v>
      </c>
      <c r="AA14" s="281"/>
    </row>
    <row r="15" spans="1:27" ht="13.5" customHeight="1"/>
    <row r="16" spans="1:27">
      <c r="B16" s="97">
        <f>'Revenue Input'!B5</f>
        <v>22294299.105568457</v>
      </c>
      <c r="D16" s="97">
        <f>'Revenue Input'!B6</f>
        <v>1319113.017160198</v>
      </c>
      <c r="K16" s="97">
        <f>'Revenue Input'!B7</f>
        <v>20975186.088408258</v>
      </c>
    </row>
    <row r="17" spans="1:31">
      <c r="D17" s="97"/>
    </row>
    <row r="18" spans="1:31">
      <c r="B18" s="148">
        <f>B14-B16</f>
        <v>-5.1218107342720032E-2</v>
      </c>
      <c r="D18" s="148">
        <f>D14-D16</f>
        <v>0</v>
      </c>
      <c r="K18" s="524">
        <f>K14-K16</f>
        <v>0</v>
      </c>
    </row>
    <row r="20" spans="1:31">
      <c r="A20" s="162"/>
      <c r="B20" s="389"/>
    </row>
    <row r="21" spans="1:31" ht="36" customHeight="1">
      <c r="A21" s="622" t="s">
        <v>202</v>
      </c>
      <c r="B21" s="622"/>
      <c r="C21" s="622"/>
      <c r="D21" s="622"/>
      <c r="E21" s="622"/>
      <c r="F21" s="622"/>
      <c r="G21" s="622"/>
      <c r="H21" s="622"/>
      <c r="I21" s="622"/>
      <c r="J21" s="622"/>
      <c r="K21" s="622"/>
      <c r="O21" s="401"/>
      <c r="P21" s="289"/>
    </row>
    <row r="22" spans="1:31" ht="57.75" customHeight="1">
      <c r="A22" s="170" t="s">
        <v>23</v>
      </c>
      <c r="B22" s="149" t="s">
        <v>141</v>
      </c>
      <c r="C22" s="166" t="s">
        <v>142</v>
      </c>
      <c r="D22" s="166" t="s">
        <v>150</v>
      </c>
      <c r="E22" s="166" t="s">
        <v>111</v>
      </c>
      <c r="F22" s="166" t="s">
        <v>112</v>
      </c>
      <c r="G22" s="166" t="s">
        <v>148</v>
      </c>
      <c r="H22" s="166" t="s">
        <v>93</v>
      </c>
      <c r="I22" s="166" t="s">
        <v>94</v>
      </c>
      <c r="J22" s="166" t="s">
        <v>95</v>
      </c>
      <c r="K22" s="144" t="s">
        <v>96</v>
      </c>
      <c r="L22" s="145" t="s">
        <v>102</v>
      </c>
      <c r="M22" s="146" t="s">
        <v>103</v>
      </c>
      <c r="N22" s="395"/>
      <c r="P22" s="309" t="s">
        <v>228</v>
      </c>
      <c r="Q22" s="411"/>
      <c r="S22" s="385" t="s">
        <v>259</v>
      </c>
      <c r="T22" s="385" t="s">
        <v>219</v>
      </c>
      <c r="W22" s="145" t="s">
        <v>102</v>
      </c>
      <c r="X22" s="146" t="s">
        <v>103</v>
      </c>
      <c r="Z22" s="424" t="s">
        <v>386</v>
      </c>
      <c r="AC22" s="514" t="s">
        <v>23</v>
      </c>
      <c r="AD22" s="515" t="s">
        <v>171</v>
      </c>
      <c r="AE22" s="515" t="s">
        <v>93</v>
      </c>
    </row>
    <row r="23" spans="1:31" ht="18" customHeight="1">
      <c r="A23" s="41" t="str">
        <f>'2014 Existing Rates'!A6</f>
        <v>Residential</v>
      </c>
      <c r="B23" s="147">
        <v>15798406.906965882</v>
      </c>
      <c r="C23" s="78">
        <f>'Revenue at Prior Year Rates'!M21*'Cost Allocation Study'!$C$32</f>
        <v>13924495.13630615</v>
      </c>
      <c r="D23" s="147">
        <v>1083627.38549433</v>
      </c>
      <c r="E23" s="98">
        <f>C23+D23</f>
        <v>15008122.521800481</v>
      </c>
      <c r="F23" s="99">
        <f>E23/B23</f>
        <v>0.94997695718186959</v>
      </c>
      <c r="G23" s="279">
        <v>0.94997695522011905</v>
      </c>
      <c r="H23" s="279">
        <f>G23</f>
        <v>0.94997695522011905</v>
      </c>
      <c r="I23" s="69">
        <f t="shared" ref="I23:I30" si="10">B23*H23</f>
        <v>15008122.490807947</v>
      </c>
      <c r="J23" s="69">
        <f t="shared" ref="J23:J30" si="11">D23</f>
        <v>1083627.38549433</v>
      </c>
      <c r="K23" s="98">
        <f t="shared" ref="K23:K30" si="12">I23-J23</f>
        <v>13924495.105313618</v>
      </c>
      <c r="L23" s="105">
        <f t="shared" ref="L23:M30" si="13">L5</f>
        <v>0.85</v>
      </c>
      <c r="M23" s="106">
        <f t="shared" si="13"/>
        <v>1.1499999999999999</v>
      </c>
      <c r="N23" s="396"/>
      <c r="O23" s="400">
        <f>F23-G23</f>
        <v>1.9617505397917512E-9</v>
      </c>
      <c r="P23" s="293" t="str">
        <f t="shared" ref="P23:P30" si="14">IF(H23=M23,"Yes"," ")</f>
        <v xml:space="preserve"> </v>
      </c>
      <c r="Q23" s="413"/>
      <c r="S23" s="384">
        <v>0.94242944414456209</v>
      </c>
      <c r="T23" s="384">
        <f>H23-S23</f>
        <v>7.5475110755569563E-3</v>
      </c>
      <c r="W23" s="105">
        <v>0.85</v>
      </c>
      <c r="X23" s="106">
        <v>1.1499999999999999</v>
      </c>
      <c r="Z23" s="384">
        <f>B23/B$32</f>
        <v>0.66071359495855231</v>
      </c>
      <c r="AC23" s="41" t="s">
        <v>97</v>
      </c>
      <c r="AD23" s="279">
        <v>0.96704841576576561</v>
      </c>
      <c r="AE23" s="279">
        <v>0.96704841576576561</v>
      </c>
    </row>
    <row r="24" spans="1:31" ht="18" customHeight="1">
      <c r="A24" s="41" t="str">
        <f>'2014 Existing Rates'!A7</f>
        <v>GS Less Than 50 KW</v>
      </c>
      <c r="B24" s="147">
        <v>2531028.571110954</v>
      </c>
      <c r="C24" s="78">
        <f>'Revenue at Prior Year Rates'!M22*'Cost Allocation Study'!$C$32</f>
        <v>2916272.7816088796</v>
      </c>
      <c r="D24" s="147">
        <v>144313.09386513586</v>
      </c>
      <c r="E24" s="98">
        <f t="shared" ref="E24:E30" si="15">C24+D24</f>
        <v>3060585.8754740153</v>
      </c>
      <c r="F24" s="99">
        <f t="shared" ref="F24:F30" si="16">E24/B24</f>
        <v>1.2092261266456668</v>
      </c>
      <c r="G24" s="279">
        <v>1.2092261240811313</v>
      </c>
      <c r="H24" s="279">
        <v>1.2</v>
      </c>
      <c r="I24" s="69">
        <f t="shared" si="10"/>
        <v>3037234.2853331449</v>
      </c>
      <c r="J24" s="69">
        <f t="shared" si="11"/>
        <v>144313.09386513586</v>
      </c>
      <c r="K24" s="98">
        <f t="shared" si="12"/>
        <v>2892921.1914680093</v>
      </c>
      <c r="L24" s="105">
        <f t="shared" si="13"/>
        <v>0.8</v>
      </c>
      <c r="M24" s="106">
        <f t="shared" si="13"/>
        <v>1.2</v>
      </c>
      <c r="N24" s="396"/>
      <c r="O24" s="400">
        <f t="shared" ref="O24:O30" si="17">F24-G24</f>
        <v>2.5645354728709435E-9</v>
      </c>
      <c r="P24" s="293" t="str">
        <f t="shared" si="14"/>
        <v>Yes</v>
      </c>
      <c r="Q24" s="412"/>
      <c r="S24" s="384">
        <v>1.2</v>
      </c>
      <c r="T24" s="384">
        <f t="shared" ref="T24:T30" si="18">H24-S24</f>
        <v>0</v>
      </c>
      <c r="W24" s="105">
        <v>0.8</v>
      </c>
      <c r="X24" s="106">
        <v>1.2</v>
      </c>
      <c r="Z24" s="384">
        <f t="shared" ref="Z24:Z30" si="19">B24/B$32</f>
        <v>0.10585149477471537</v>
      </c>
      <c r="AC24" s="41" t="s">
        <v>212</v>
      </c>
      <c r="AD24" s="279">
        <v>1.2052902566539958</v>
      </c>
      <c r="AE24" s="279">
        <v>1.2</v>
      </c>
    </row>
    <row r="25" spans="1:31" ht="18" customHeight="1">
      <c r="A25" s="41" t="str">
        <f>'2014 Existing Rates'!A8</f>
        <v>GS 50 To 999 KW</v>
      </c>
      <c r="B25" s="147">
        <v>3772119.1001942009</v>
      </c>
      <c r="C25" s="78">
        <f>'Revenue at Prior Year Rates'!M23*'Cost Allocation Study'!$C$32</f>
        <v>4104624.4902166035</v>
      </c>
      <c r="D25" s="147">
        <v>146807.15196602352</v>
      </c>
      <c r="E25" s="98">
        <f t="shared" si="15"/>
        <v>4251431.6421826268</v>
      </c>
      <c r="F25" s="99">
        <f t="shared" si="16"/>
        <v>1.127067181405738</v>
      </c>
      <c r="G25" s="279">
        <v>1.1270671789837854</v>
      </c>
      <c r="H25" s="279">
        <f>G25</f>
        <v>1.1270671789837854</v>
      </c>
      <c r="I25" s="69">
        <f t="shared" si="10"/>
        <v>4251431.6330467332</v>
      </c>
      <c r="J25" s="69">
        <f t="shared" si="11"/>
        <v>146807.15196602352</v>
      </c>
      <c r="K25" s="98">
        <f t="shared" si="12"/>
        <v>4104624.4810807095</v>
      </c>
      <c r="L25" s="105">
        <f t="shared" si="13"/>
        <v>0.8</v>
      </c>
      <c r="M25" s="106">
        <f t="shared" si="13"/>
        <v>1.2</v>
      </c>
      <c r="N25" s="396"/>
      <c r="O25" s="400">
        <f t="shared" si="17"/>
        <v>2.4219526384428036E-9</v>
      </c>
      <c r="P25" s="293" t="str">
        <f t="shared" si="14"/>
        <v xml:space="preserve"> </v>
      </c>
      <c r="Q25" s="412"/>
      <c r="S25" s="384">
        <v>1.0821235975651298</v>
      </c>
      <c r="T25" s="384">
        <f t="shared" si="18"/>
        <v>4.494358141865562E-2</v>
      </c>
      <c r="W25" s="105">
        <v>0.8</v>
      </c>
      <c r="X25" s="106">
        <v>1.2</v>
      </c>
      <c r="Z25" s="384">
        <f t="shared" si="19"/>
        <v>0.15775580322609753</v>
      </c>
      <c r="AC25" s="41" t="s">
        <v>213</v>
      </c>
      <c r="AD25" s="279">
        <v>1.0122417274378135</v>
      </c>
      <c r="AE25" s="279">
        <v>1.0122417274378135</v>
      </c>
    </row>
    <row r="26" spans="1:31" ht="18" customHeight="1">
      <c r="A26" s="41" t="str">
        <f>+'2014 Existing Rates'!A9</f>
        <v>GS Intermediate 1,000 To 4,999 KW</v>
      </c>
      <c r="B26" s="147">
        <v>453175.38047459332</v>
      </c>
      <c r="C26" s="78">
        <f>'Revenue at Prior Year Rates'!M24*'Cost Allocation Study'!$C$32</f>
        <v>512996.28242309869</v>
      </c>
      <c r="D26" s="147">
        <v>18998.248433523084</v>
      </c>
      <c r="E26" s="98">
        <f t="shared" si="15"/>
        <v>531994.5308566218</v>
      </c>
      <c r="F26" s="99">
        <f t="shared" si="16"/>
        <v>1.1739263732718317</v>
      </c>
      <c r="G26" s="279">
        <v>1.1739263707522669</v>
      </c>
      <c r="H26" s="279">
        <f>G26</f>
        <v>1.1739263707522669</v>
      </c>
      <c r="I26" s="69">
        <f t="shared" si="10"/>
        <v>531994.52971481706</v>
      </c>
      <c r="J26" s="69">
        <f t="shared" si="11"/>
        <v>18998.248433523084</v>
      </c>
      <c r="K26" s="98">
        <f t="shared" si="12"/>
        <v>512996.28128129395</v>
      </c>
      <c r="L26" s="105">
        <f t="shared" si="13"/>
        <v>0.8</v>
      </c>
      <c r="M26" s="106">
        <f t="shared" si="13"/>
        <v>1.2</v>
      </c>
      <c r="N26" s="396"/>
      <c r="O26" s="400">
        <f t="shared" si="17"/>
        <v>2.5195647790354769E-9</v>
      </c>
      <c r="P26" s="293" t="str">
        <f>IF(H26=M26,"Yes"," ")</f>
        <v xml:space="preserve"> </v>
      </c>
      <c r="Q26" s="412"/>
      <c r="S26" s="384">
        <v>1.2</v>
      </c>
      <c r="T26" s="384">
        <f t="shared" si="18"/>
        <v>-2.6073629247733043E-2</v>
      </c>
      <c r="W26" s="105">
        <v>0.8</v>
      </c>
      <c r="X26" s="106">
        <v>1.2</v>
      </c>
      <c r="Z26" s="384">
        <f t="shared" si="19"/>
        <v>1.8952489104965227E-2</v>
      </c>
      <c r="AC26" s="41" t="s">
        <v>214</v>
      </c>
      <c r="AD26" s="279">
        <v>1.2108457499724381</v>
      </c>
      <c r="AE26" s="279">
        <v>1.2</v>
      </c>
    </row>
    <row r="27" spans="1:31" ht="18" customHeight="1">
      <c r="A27" s="41" t="str">
        <f>'2014 Existing Rates'!A10</f>
        <v>Large Use</v>
      </c>
      <c r="B27" s="147">
        <v>214806.4945173125</v>
      </c>
      <c r="C27" s="78">
        <f>'Revenue at Prior Year Rates'!M25*'Cost Allocation Study'!$C$32</f>
        <v>242181.42202783487</v>
      </c>
      <c r="D27" s="147">
        <v>5335.1127188269093</v>
      </c>
      <c r="E27" s="98">
        <f t="shared" si="15"/>
        <v>247516.53474666178</v>
      </c>
      <c r="F27" s="99">
        <f t="shared" si="16"/>
        <v>1.1522767749776439</v>
      </c>
      <c r="G27" s="279">
        <v>1.1522767724682372</v>
      </c>
      <c r="H27" s="279">
        <v>1.1499999999999999</v>
      </c>
      <c r="I27" s="69">
        <f t="shared" si="10"/>
        <v>247027.46869490936</v>
      </c>
      <c r="J27" s="69">
        <f t="shared" si="11"/>
        <v>5335.1127188269093</v>
      </c>
      <c r="K27" s="98">
        <f t="shared" si="12"/>
        <v>241692.35597608244</v>
      </c>
      <c r="L27" s="105">
        <f t="shared" si="13"/>
        <v>0.85</v>
      </c>
      <c r="M27" s="106">
        <f t="shared" si="13"/>
        <v>1.1499999999999999</v>
      </c>
      <c r="N27" s="396"/>
      <c r="O27" s="400">
        <f t="shared" si="17"/>
        <v>2.5094066824493666E-9</v>
      </c>
      <c r="P27" s="293" t="str">
        <f t="shared" si="14"/>
        <v>Yes</v>
      </c>
      <c r="Q27" s="412"/>
      <c r="S27" s="384">
        <v>1.1499999999999999</v>
      </c>
      <c r="T27" s="384">
        <f t="shared" si="18"/>
        <v>0</v>
      </c>
      <c r="W27" s="105">
        <v>0.85</v>
      </c>
      <c r="X27" s="106">
        <v>1.1499999999999999</v>
      </c>
      <c r="Z27" s="384">
        <f t="shared" si="19"/>
        <v>8.9835368875326189E-3</v>
      </c>
      <c r="AC27" s="41" t="s">
        <v>98</v>
      </c>
      <c r="AD27" s="279">
        <v>1.0961447083461182</v>
      </c>
      <c r="AE27" s="279">
        <v>1.0961447083461182</v>
      </c>
    </row>
    <row r="28" spans="1:31" ht="18" customHeight="1">
      <c r="A28" s="41" t="str">
        <f>'2014 Existing Rates'!A11</f>
        <v>Street Lighting</v>
      </c>
      <c r="B28" s="147">
        <v>1068613.8407182451</v>
      </c>
      <c r="C28" s="78">
        <f>'Revenue at Prior Year Rates'!M26*'Cost Allocation Study'!$C$32</f>
        <v>673187.58616458066</v>
      </c>
      <c r="D28" s="147">
        <v>69227.296108608018</v>
      </c>
      <c r="E28" s="98">
        <f t="shared" si="15"/>
        <v>742414.88227318868</v>
      </c>
      <c r="F28" s="99">
        <f t="shared" si="16"/>
        <v>0.69474571073699642</v>
      </c>
      <c r="G28" s="279">
        <v>0.69474570933485136</v>
      </c>
      <c r="H28" s="279">
        <v>0.71705563851368048</v>
      </c>
      <c r="I28" s="69">
        <f t="shared" si="10"/>
        <v>766255.57988077775</v>
      </c>
      <c r="J28" s="69">
        <f t="shared" si="11"/>
        <v>69227.296108608018</v>
      </c>
      <c r="K28" s="98">
        <f t="shared" si="12"/>
        <v>697028.28377216973</v>
      </c>
      <c r="L28" s="105">
        <f t="shared" si="13"/>
        <v>0.7</v>
      </c>
      <c r="M28" s="106">
        <f t="shared" si="13"/>
        <v>1.2</v>
      </c>
      <c r="N28" s="396"/>
      <c r="O28" s="400">
        <f t="shared" si="17"/>
        <v>1.4021450667200952E-9</v>
      </c>
      <c r="P28" s="293" t="str">
        <f t="shared" si="14"/>
        <v xml:space="preserve"> </v>
      </c>
      <c r="Q28" s="412"/>
      <c r="S28" s="384">
        <v>0.87323029288795617</v>
      </c>
      <c r="T28" s="384">
        <f t="shared" si="18"/>
        <v>-0.15617465437427569</v>
      </c>
      <c r="W28" s="105">
        <v>0.85</v>
      </c>
      <c r="X28" s="106">
        <v>1.1499999999999999</v>
      </c>
      <c r="Z28" s="384">
        <f t="shared" si="19"/>
        <v>4.4691068946458447E-2</v>
      </c>
      <c r="AC28" s="41" t="s">
        <v>99</v>
      </c>
      <c r="AD28" s="279">
        <v>0.76219865142722043</v>
      </c>
      <c r="AE28" s="279">
        <v>0.78341031924469751</v>
      </c>
    </row>
    <row r="29" spans="1:31" ht="18" customHeight="1">
      <c r="A29" s="41" t="str">
        <f>'2014 Existing Rates'!A12</f>
        <v>Sentinel Lighting</v>
      </c>
      <c r="B29" s="147">
        <v>2105.5073179253422</v>
      </c>
      <c r="C29" s="78">
        <f>'Revenue at Prior Year Rates'!M27*'Cost Allocation Study'!$C$32</f>
        <v>2138.9452223925591</v>
      </c>
      <c r="D29" s="275">
        <v>140.87794774357582</v>
      </c>
      <c r="E29" s="98">
        <f t="shared" si="15"/>
        <v>2279.8231701361351</v>
      </c>
      <c r="F29" s="99">
        <f t="shared" si="16"/>
        <v>1.0827904280962342</v>
      </c>
      <c r="G29" s="279">
        <v>1.0827904258351302</v>
      </c>
      <c r="H29" s="279">
        <f>G29</f>
        <v>1.0827904258351302</v>
      </c>
      <c r="I29" s="69">
        <f t="shared" si="10"/>
        <v>2279.8231653753642</v>
      </c>
      <c r="J29" s="69">
        <f t="shared" si="11"/>
        <v>140.87794774357582</v>
      </c>
      <c r="K29" s="98">
        <f t="shared" si="12"/>
        <v>2138.9452176317882</v>
      </c>
      <c r="L29" s="105">
        <f t="shared" si="13"/>
        <v>0.8</v>
      </c>
      <c r="M29" s="106">
        <f t="shared" si="13"/>
        <v>1.2</v>
      </c>
      <c r="N29" s="396"/>
      <c r="O29" s="400">
        <f t="shared" si="17"/>
        <v>2.2611039707243208E-9</v>
      </c>
      <c r="P29" s="293" t="str">
        <f t="shared" si="14"/>
        <v xml:space="preserve"> </v>
      </c>
      <c r="Q29" s="412"/>
      <c r="S29" s="384">
        <v>0.90196391132415032</v>
      </c>
      <c r="T29" s="384">
        <f t="shared" si="18"/>
        <v>0.18082651451097986</v>
      </c>
      <c r="W29" s="105">
        <v>0.8</v>
      </c>
      <c r="X29" s="106">
        <v>1.2</v>
      </c>
      <c r="Z29" s="384">
        <f t="shared" si="19"/>
        <v>8.8055543665267153E-5</v>
      </c>
      <c r="AC29" s="41" t="s">
        <v>208</v>
      </c>
      <c r="AD29" s="279">
        <v>1.2222197929015342</v>
      </c>
      <c r="AE29" s="279">
        <v>1.2</v>
      </c>
    </row>
    <row r="30" spans="1:31" ht="18" customHeight="1">
      <c r="A30" s="41" t="str">
        <f>'2014 Existing Rates'!A13</f>
        <v>Unmetered Scattered Load</v>
      </c>
      <c r="B30" s="147">
        <v>70871.542700737831</v>
      </c>
      <c r="C30" s="78">
        <f>'Revenue at Prior Year Rates'!M28*'Cost Allocation Study'!$C$32</f>
        <v>62888.52824871293</v>
      </c>
      <c r="D30" s="147">
        <v>3893.0551906767096</v>
      </c>
      <c r="E30" s="98">
        <f t="shared" si="15"/>
        <v>66781.583439389637</v>
      </c>
      <c r="F30" s="99">
        <f t="shared" si="16"/>
        <v>0.94229052867356855</v>
      </c>
      <c r="G30" s="279">
        <v>0.94229052669852276</v>
      </c>
      <c r="H30" s="279">
        <f>G30</f>
        <v>0.94229052669852276</v>
      </c>
      <c r="I30" s="69">
        <f t="shared" si="10"/>
        <v>66781.583299415099</v>
      </c>
      <c r="J30" s="69">
        <f t="shared" si="11"/>
        <v>3893.0551906767096</v>
      </c>
      <c r="K30" s="98">
        <f t="shared" si="12"/>
        <v>62888.528108738392</v>
      </c>
      <c r="L30" s="105">
        <f t="shared" si="13"/>
        <v>0.8</v>
      </c>
      <c r="M30" s="106">
        <f t="shared" si="13"/>
        <v>1.2</v>
      </c>
      <c r="N30" s="396"/>
      <c r="O30" s="400">
        <f t="shared" si="17"/>
        <v>1.9750457935785448E-9</v>
      </c>
      <c r="P30" s="293" t="str">
        <f t="shared" si="14"/>
        <v xml:space="preserve"> </v>
      </c>
      <c r="Q30" s="412"/>
      <c r="S30" s="384">
        <v>1.2</v>
      </c>
      <c r="T30" s="384">
        <f t="shared" si="18"/>
        <v>-0.2577094733014772</v>
      </c>
      <c r="W30" s="105">
        <v>0.7</v>
      </c>
      <c r="X30" s="106">
        <v>1.2</v>
      </c>
      <c r="Z30" s="384">
        <f t="shared" si="19"/>
        <v>2.96395655801323E-3</v>
      </c>
      <c r="AC30" s="41" t="s">
        <v>207</v>
      </c>
      <c r="AD30" s="279">
        <v>0.95366402807961403</v>
      </c>
      <c r="AE30" s="279">
        <v>0.95366402807961403</v>
      </c>
    </row>
    <row r="31" spans="1:31" ht="18" customHeight="1">
      <c r="A31" s="41"/>
      <c r="B31" s="147"/>
      <c r="C31" s="78"/>
      <c r="D31" s="147"/>
      <c r="E31" s="98"/>
      <c r="F31" s="99"/>
      <c r="G31" s="161"/>
      <c r="H31" s="161"/>
      <c r="I31" s="69"/>
      <c r="J31" s="69"/>
      <c r="K31" s="98"/>
      <c r="L31" s="105"/>
      <c r="M31" s="106"/>
      <c r="N31" s="396"/>
      <c r="Q31" s="412"/>
      <c r="W31" s="105"/>
      <c r="X31" s="106"/>
      <c r="Z31" s="281"/>
    </row>
    <row r="32" spans="1:31" ht="18" customHeight="1" thickBot="1">
      <c r="A32" s="42" t="s">
        <v>1</v>
      </c>
      <c r="B32" s="96">
        <f>SUM(B23:B31)</f>
        <v>23911127.343999851</v>
      </c>
      <c r="C32" s="43">
        <f>'Revenue Input'!C7</f>
        <v>22438785.172218252</v>
      </c>
      <c r="D32" s="43">
        <f>SUM(D23:D31)</f>
        <v>1472342.2217248678</v>
      </c>
      <c r="E32" s="43">
        <f>SUM(E23:E31)</f>
        <v>23911127.39394312</v>
      </c>
      <c r="F32" s="100"/>
      <c r="G32" s="100"/>
      <c r="H32" s="44"/>
      <c r="I32" s="43">
        <f>SUM(I23:I31)</f>
        <v>23911127.393943116</v>
      </c>
      <c r="J32" s="43">
        <f>SUM(J23:J31)</f>
        <v>1472342.2217248678</v>
      </c>
      <c r="K32" s="43">
        <f>SUM(K23:K31)</f>
        <v>22438785.172218252</v>
      </c>
      <c r="L32" s="98"/>
      <c r="M32" s="107"/>
      <c r="N32" s="283"/>
      <c r="W32" s="98"/>
      <c r="X32" s="107"/>
      <c r="Z32" s="575">
        <f>SUM(Z23:Z31)</f>
        <v>1</v>
      </c>
    </row>
    <row r="33" spans="1:31" ht="13.5" customHeight="1"/>
    <row r="34" spans="1:31">
      <c r="B34" s="97">
        <f>'Revenue Input'!C5</f>
        <v>23911127.39394312</v>
      </c>
      <c r="D34" s="97">
        <f>'Revenue Input'!C6</f>
        <v>1472342.2217248676</v>
      </c>
      <c r="K34" s="97">
        <f>'Revenue Input'!C7</f>
        <v>22438785.172218252</v>
      </c>
    </row>
    <row r="35" spans="1:31">
      <c r="D35" s="97"/>
    </row>
    <row r="36" spans="1:31">
      <c r="B36" s="148">
        <f>B32-B34</f>
        <v>-4.9943268299102783E-2</v>
      </c>
      <c r="D36" s="148">
        <f>D32-D34</f>
        <v>0</v>
      </c>
      <c r="K36" s="148">
        <f>K32-K34</f>
        <v>0</v>
      </c>
    </row>
    <row r="38" spans="1:31">
      <c r="B38" s="389"/>
    </row>
    <row r="40" spans="1:31" ht="36" customHeight="1">
      <c r="A40" s="622" t="s">
        <v>203</v>
      </c>
      <c r="B40" s="622"/>
      <c r="C40" s="622"/>
      <c r="D40" s="622"/>
      <c r="E40" s="622"/>
      <c r="F40" s="622"/>
      <c r="G40" s="622"/>
      <c r="H40" s="622"/>
      <c r="I40" s="622"/>
      <c r="J40" s="622"/>
      <c r="K40" s="622"/>
      <c r="O40" s="401"/>
      <c r="P40" s="289"/>
    </row>
    <row r="41" spans="1:31" ht="51" customHeight="1">
      <c r="A41" s="170" t="s">
        <v>23</v>
      </c>
      <c r="B41" s="149" t="s">
        <v>168</v>
      </c>
      <c r="C41" s="166" t="s">
        <v>169</v>
      </c>
      <c r="D41" s="166" t="s">
        <v>170</v>
      </c>
      <c r="E41" s="166" t="s">
        <v>111</v>
      </c>
      <c r="F41" s="166" t="s">
        <v>112</v>
      </c>
      <c r="G41" s="166" t="s">
        <v>171</v>
      </c>
      <c r="H41" s="166" t="s">
        <v>93</v>
      </c>
      <c r="I41" s="166" t="s">
        <v>94</v>
      </c>
      <c r="J41" s="166" t="s">
        <v>95</v>
      </c>
      <c r="K41" s="144" t="s">
        <v>96</v>
      </c>
      <c r="L41" s="145" t="s">
        <v>102</v>
      </c>
      <c r="M41" s="146" t="s">
        <v>103</v>
      </c>
      <c r="N41" s="395"/>
      <c r="P41" s="309" t="s">
        <v>228</v>
      </c>
      <c r="Q41" s="411"/>
      <c r="S41" s="385" t="s">
        <v>259</v>
      </c>
      <c r="T41" s="385" t="s">
        <v>219</v>
      </c>
      <c r="W41" s="145" t="s">
        <v>102</v>
      </c>
      <c r="X41" s="146" t="s">
        <v>103</v>
      </c>
      <c r="AC41" s="514" t="s">
        <v>23</v>
      </c>
      <c r="AD41" s="515" t="s">
        <v>171</v>
      </c>
      <c r="AE41" s="515" t="s">
        <v>93</v>
      </c>
    </row>
    <row r="42" spans="1:31" ht="18" customHeight="1">
      <c r="A42" s="41" t="str">
        <f>'2014 Existing Rates'!A6</f>
        <v>Residential</v>
      </c>
      <c r="B42" s="147">
        <v>16236480.801162452</v>
      </c>
      <c r="C42" s="78">
        <f>'Revenue at Prior Year Rates'!M36*'Cost Allocation Study'!$C$51</f>
        <v>14359376.447457263</v>
      </c>
      <c r="D42" s="147">
        <v>1157085.1252840622</v>
      </c>
      <c r="E42" s="98">
        <f t="shared" ref="E42:E49" si="20">C42+D42</f>
        <v>15516461.572741326</v>
      </c>
      <c r="F42" s="99">
        <f t="shared" ref="F42:F49" si="21">E42/B42</f>
        <v>0.95565423091132062</v>
      </c>
      <c r="G42" s="279">
        <v>0.95565422897917529</v>
      </c>
      <c r="H42" s="279">
        <v>0.95448883418595143</v>
      </c>
      <c r="I42" s="69">
        <f t="shared" ref="I42:I49" si="22">B42*H42</f>
        <v>15497539.631184131</v>
      </c>
      <c r="J42" s="69">
        <f t="shared" ref="J42:J49" si="23">D42</f>
        <v>1157085.1252840622</v>
      </c>
      <c r="K42" s="98">
        <f t="shared" ref="K42:K49" si="24">I42-J42</f>
        <v>14340454.505900068</v>
      </c>
      <c r="L42" s="105">
        <f t="shared" ref="L42:M49" si="25">L5</f>
        <v>0.85</v>
      </c>
      <c r="M42" s="106">
        <f t="shared" si="25"/>
        <v>1.1499999999999999</v>
      </c>
      <c r="N42" s="396"/>
      <c r="O42" s="400">
        <f>F42-G42</f>
        <v>1.9321453326170968E-9</v>
      </c>
      <c r="P42" s="293" t="str">
        <f>IF(H42=M42,"Yes"," ")</f>
        <v xml:space="preserve"> </v>
      </c>
      <c r="Q42" s="413"/>
      <c r="S42" s="384">
        <v>0.94242944414456209</v>
      </c>
      <c r="T42" s="384">
        <f>H42-S42</f>
        <v>1.205939004138934E-2</v>
      </c>
      <c r="W42" s="105">
        <v>0.85</v>
      </c>
      <c r="X42" s="106">
        <v>1.1499999999999999</v>
      </c>
      <c r="AC42" s="41" t="s">
        <v>97</v>
      </c>
      <c r="AD42" s="279">
        <v>0.96536142502577349</v>
      </c>
      <c r="AE42" s="279">
        <v>0.9653655855631168</v>
      </c>
    </row>
    <row r="43" spans="1:31" ht="18" customHeight="1">
      <c r="A43" s="41" t="str">
        <f>'2014 Existing Rates'!A7</f>
        <v>GS Less Than 50 KW</v>
      </c>
      <c r="B43" s="147">
        <v>2608411.7339149704</v>
      </c>
      <c r="C43" s="78">
        <f>'Revenue at Prior Year Rates'!M37*'Cost Allocation Study'!$C$51</f>
        <v>2976190.8479913324</v>
      </c>
      <c r="D43" s="147">
        <v>154528.11718574807</v>
      </c>
      <c r="E43" s="98">
        <f t="shared" si="20"/>
        <v>3130718.9651770806</v>
      </c>
      <c r="F43" s="99">
        <f t="shared" si="21"/>
        <v>1.2002395651234776</v>
      </c>
      <c r="G43" s="279">
        <v>1.2002395626307159</v>
      </c>
      <c r="H43" s="279">
        <f t="shared" ref="H43:H46" si="26">G43</f>
        <v>1.2002395626307159</v>
      </c>
      <c r="I43" s="69">
        <f t="shared" si="22"/>
        <v>3130718.9586749314</v>
      </c>
      <c r="J43" s="69">
        <f t="shared" si="23"/>
        <v>154528.11718574807</v>
      </c>
      <c r="K43" s="98">
        <f t="shared" si="24"/>
        <v>2976190.8414891833</v>
      </c>
      <c r="L43" s="105">
        <f t="shared" si="25"/>
        <v>0.8</v>
      </c>
      <c r="M43" s="106">
        <f t="shared" si="25"/>
        <v>1.2</v>
      </c>
      <c r="N43" s="396"/>
      <c r="O43" s="400">
        <f t="shared" ref="O43:O49" si="27">F43-G43</f>
        <v>2.4927617747749764E-9</v>
      </c>
      <c r="P43" s="293" t="str">
        <f>IF(H43=M43,"Yes"," ")</f>
        <v xml:space="preserve"> </v>
      </c>
      <c r="Q43" s="412"/>
      <c r="S43" s="384">
        <v>1.2</v>
      </c>
      <c r="T43" s="384">
        <f t="shared" ref="T43:T49" si="28">H43-S43</f>
        <v>2.395626307158949E-4</v>
      </c>
      <c r="W43" s="105">
        <v>0.8</v>
      </c>
      <c r="X43" s="106">
        <v>1.2</v>
      </c>
      <c r="AC43" s="41" t="s">
        <v>212</v>
      </c>
      <c r="AD43" s="279">
        <v>1.192787864695863</v>
      </c>
      <c r="AE43" s="279">
        <v>1.192787864695863</v>
      </c>
    </row>
    <row r="44" spans="1:31" ht="18" customHeight="1">
      <c r="A44" s="41" t="str">
        <f>'2014 Existing Rates'!A8</f>
        <v>GS 50 To 999 KW</v>
      </c>
      <c r="B44" s="147">
        <v>3925391.7750625461</v>
      </c>
      <c r="C44" s="78">
        <f>'Revenue at Prior Year Rates'!M38*'Cost Allocation Study'!$C$51</f>
        <v>4221453.6706786528</v>
      </c>
      <c r="D44" s="147">
        <v>160371.6207137015</v>
      </c>
      <c r="E44" s="98">
        <f t="shared" si="20"/>
        <v>4381825.2913923543</v>
      </c>
      <c r="F44" s="99">
        <f t="shared" si="21"/>
        <v>1.1162771877267041</v>
      </c>
      <c r="G44" s="279">
        <v>1.1162771853772055</v>
      </c>
      <c r="H44" s="279">
        <f>G44</f>
        <v>1.1162771853772055</v>
      </c>
      <c r="I44" s="69">
        <f t="shared" si="22"/>
        <v>4381825.2821696522</v>
      </c>
      <c r="J44" s="69">
        <f t="shared" si="23"/>
        <v>160371.6207137015</v>
      </c>
      <c r="K44" s="98">
        <f t="shared" si="24"/>
        <v>4221453.6614559507</v>
      </c>
      <c r="L44" s="105">
        <f t="shared" si="25"/>
        <v>0.8</v>
      </c>
      <c r="M44" s="106">
        <f t="shared" si="25"/>
        <v>1.2</v>
      </c>
      <c r="N44" s="396"/>
      <c r="O44" s="400">
        <f t="shared" si="27"/>
        <v>2.3494985956773462E-9</v>
      </c>
      <c r="P44" s="293" t="str">
        <f t="shared" ref="P44:P49" si="29">IF(H44=M44,"Yes"," ")</f>
        <v xml:space="preserve"> </v>
      </c>
      <c r="Q44" s="412"/>
      <c r="S44" s="384">
        <v>1.0821235975651298</v>
      </c>
      <c r="T44" s="384">
        <f t="shared" si="28"/>
        <v>3.4153587812075781E-2</v>
      </c>
      <c r="W44" s="105">
        <v>0.8</v>
      </c>
      <c r="X44" s="106">
        <v>1.2</v>
      </c>
      <c r="AC44" s="41" t="s">
        <v>213</v>
      </c>
      <c r="AD44" s="279">
        <v>0.99062077429204454</v>
      </c>
      <c r="AE44" s="279">
        <v>0.99062077429204454</v>
      </c>
    </row>
    <row r="45" spans="1:31" ht="18" customHeight="1">
      <c r="A45" s="41" t="str">
        <f>+'2014 Existing Rates'!A9</f>
        <v>GS Intermediate 1,000 To 4,999 KW</v>
      </c>
      <c r="B45" s="147">
        <v>474410.61180394015</v>
      </c>
      <c r="C45" s="78">
        <f>'Revenue at Prior Year Rates'!M39*'Cost Allocation Study'!$C$51</f>
        <v>521506.09167830553</v>
      </c>
      <c r="D45" s="147">
        <v>20635.013944498005</v>
      </c>
      <c r="E45" s="98">
        <f t="shared" si="20"/>
        <v>542141.10562280356</v>
      </c>
      <c r="F45" s="99">
        <f t="shared" si="21"/>
        <v>1.1427676618811689</v>
      </c>
      <c r="G45" s="279">
        <v>1.1427676594795664</v>
      </c>
      <c r="H45" s="279">
        <f>G45</f>
        <v>1.1427676594795664</v>
      </c>
      <c r="I45" s="69">
        <f t="shared" si="22"/>
        <v>542141.10448345786</v>
      </c>
      <c r="J45" s="69">
        <f t="shared" si="23"/>
        <v>20635.013944498005</v>
      </c>
      <c r="K45" s="98">
        <f t="shared" si="24"/>
        <v>521506.09053895983</v>
      </c>
      <c r="L45" s="105">
        <f t="shared" si="25"/>
        <v>0.8</v>
      </c>
      <c r="M45" s="106">
        <f t="shared" si="25"/>
        <v>1.2</v>
      </c>
      <c r="N45" s="396"/>
      <c r="O45" s="400">
        <f t="shared" si="27"/>
        <v>2.4016024724460294E-9</v>
      </c>
      <c r="P45" s="293" t="str">
        <f t="shared" si="29"/>
        <v xml:space="preserve"> </v>
      </c>
      <c r="Q45" s="412"/>
      <c r="S45" s="384">
        <v>1.2</v>
      </c>
      <c r="T45" s="384">
        <f t="shared" si="28"/>
        <v>-5.7232340520433578E-2</v>
      </c>
      <c r="W45" s="105">
        <v>0.8</v>
      </c>
      <c r="X45" s="106">
        <v>1.2</v>
      </c>
      <c r="AC45" s="41" t="s">
        <v>214</v>
      </c>
      <c r="AD45" s="279">
        <v>1.1970428637449348</v>
      </c>
      <c r="AE45" s="279">
        <v>1.1970428637449348</v>
      </c>
    </row>
    <row r="46" spans="1:31" ht="18" customHeight="1">
      <c r="A46" s="41" t="str">
        <f>'2014 Existing Rates'!A10</f>
        <v>Large Use</v>
      </c>
      <c r="B46" s="147">
        <v>222867.87699295676</v>
      </c>
      <c r="C46" s="78">
        <f>'Revenue at Prior Year Rates'!M40*'Cost Allocation Study'!$C$51</f>
        <v>247231.65351775009</v>
      </c>
      <c r="D46" s="147">
        <v>6002.7979835381739</v>
      </c>
      <c r="E46" s="98">
        <f t="shared" si="20"/>
        <v>253234.45150128828</v>
      </c>
      <c r="F46" s="99">
        <f t="shared" si="21"/>
        <v>1.136253707434433</v>
      </c>
      <c r="G46" s="279">
        <v>1.1362537050108787</v>
      </c>
      <c r="H46" s="279">
        <f t="shared" si="26"/>
        <v>1.1362537050108787</v>
      </c>
      <c r="I46" s="69">
        <f t="shared" si="22"/>
        <v>253234.4509611559</v>
      </c>
      <c r="J46" s="69">
        <f t="shared" si="23"/>
        <v>6002.7979835381739</v>
      </c>
      <c r="K46" s="98">
        <f t="shared" si="24"/>
        <v>247231.65297761772</v>
      </c>
      <c r="L46" s="105">
        <f t="shared" si="25"/>
        <v>0.85</v>
      </c>
      <c r="M46" s="106">
        <f t="shared" si="25"/>
        <v>1.1499999999999999</v>
      </c>
      <c r="N46" s="396"/>
      <c r="O46" s="400">
        <f t="shared" si="27"/>
        <v>2.4235542461781279E-9</v>
      </c>
      <c r="P46" s="293" t="str">
        <f t="shared" si="29"/>
        <v xml:space="preserve"> </v>
      </c>
      <c r="Q46" s="412"/>
      <c r="S46" s="384">
        <v>1.1499999999999999</v>
      </c>
      <c r="T46" s="384">
        <f t="shared" si="28"/>
        <v>-1.3746294989121166E-2</v>
      </c>
      <c r="W46" s="105">
        <v>0.85</v>
      </c>
      <c r="X46" s="106">
        <v>1.1499999999999999</v>
      </c>
      <c r="AC46" s="41" t="s">
        <v>98</v>
      </c>
      <c r="AD46" s="279">
        <v>1.0260022350731466</v>
      </c>
      <c r="AE46" s="279">
        <v>1.0260022350731466</v>
      </c>
    </row>
    <row r="47" spans="1:31" ht="18" customHeight="1">
      <c r="A47" s="41" t="str">
        <f>'2014 Existing Rates'!A11</f>
        <v>Street Lighting</v>
      </c>
      <c r="B47" s="147">
        <v>1115976.2073310982</v>
      </c>
      <c r="C47" s="78">
        <f>'Revenue at Prior Year Rates'!M41*'Cost Allocation Study'!$C$51</f>
        <v>687050.06442924682</v>
      </c>
      <c r="D47" s="147">
        <v>75187.458908112138</v>
      </c>
      <c r="E47" s="98">
        <f t="shared" si="20"/>
        <v>762237.52333735896</v>
      </c>
      <c r="F47" s="99">
        <f t="shared" si="21"/>
        <v>0.68302309523272053</v>
      </c>
      <c r="G47" s="279">
        <v>0.683023093887698</v>
      </c>
      <c r="H47" s="279">
        <v>0.7</v>
      </c>
      <c r="I47" s="69">
        <f t="shared" si="22"/>
        <v>781183.34513176861</v>
      </c>
      <c r="J47" s="69">
        <f t="shared" si="23"/>
        <v>75187.458908112138</v>
      </c>
      <c r="K47" s="98">
        <f t="shared" si="24"/>
        <v>705995.88622365647</v>
      </c>
      <c r="L47" s="105">
        <f t="shared" si="25"/>
        <v>0.7</v>
      </c>
      <c r="M47" s="106">
        <f t="shared" si="25"/>
        <v>1.2</v>
      </c>
      <c r="N47" s="396"/>
      <c r="O47" s="400">
        <f t="shared" si="27"/>
        <v>1.3450225377908964E-9</v>
      </c>
      <c r="P47" s="293" t="str">
        <f t="shared" si="29"/>
        <v xml:space="preserve"> </v>
      </c>
      <c r="Q47" s="412"/>
      <c r="S47" s="384">
        <v>0.87323029288795617</v>
      </c>
      <c r="T47" s="384">
        <f t="shared" si="28"/>
        <v>-0.17323029288795622</v>
      </c>
      <c r="W47" s="105">
        <v>0.85</v>
      </c>
      <c r="X47" s="106">
        <v>1.1499999999999999</v>
      </c>
      <c r="AC47" s="41" t="s">
        <v>99</v>
      </c>
      <c r="AD47" s="279">
        <v>0.97200164164299141</v>
      </c>
      <c r="AE47" s="279">
        <v>0.97200164164299141</v>
      </c>
    </row>
    <row r="48" spans="1:31" ht="18" customHeight="1">
      <c r="A48" s="41" t="str">
        <f>'2014 Existing Rates'!A12</f>
        <v>Sentinel Lighting</v>
      </c>
      <c r="B48" s="147">
        <v>2079.8660961361493</v>
      </c>
      <c r="C48" s="78">
        <f>'Revenue at Prior Year Rates'!M42*'Cost Allocation Study'!$C$51</f>
        <v>2110.405296537655</v>
      </c>
      <c r="D48" s="275">
        <v>143.89065539294501</v>
      </c>
      <c r="E48" s="98">
        <f t="shared" si="20"/>
        <v>2254.2959519306</v>
      </c>
      <c r="F48" s="99">
        <f t="shared" si="21"/>
        <v>1.0838659066170155</v>
      </c>
      <c r="G48" s="279">
        <v>1.0838659044002146</v>
      </c>
      <c r="H48" s="279">
        <f>G48</f>
        <v>1.0838659044002146</v>
      </c>
      <c r="I48" s="69">
        <f t="shared" si="22"/>
        <v>2254.2959473199512</v>
      </c>
      <c r="J48" s="69">
        <f t="shared" si="23"/>
        <v>143.89065539294501</v>
      </c>
      <c r="K48" s="98">
        <f t="shared" si="24"/>
        <v>2110.4052919270061</v>
      </c>
      <c r="L48" s="105">
        <f t="shared" si="25"/>
        <v>0.8</v>
      </c>
      <c r="M48" s="106">
        <f t="shared" si="25"/>
        <v>1.2</v>
      </c>
      <c r="N48" s="396"/>
      <c r="O48" s="400">
        <f t="shared" si="27"/>
        <v>2.2168009650158638E-9</v>
      </c>
      <c r="P48" s="293" t="str">
        <f>IF(H48=M48,"Yes"," ")</f>
        <v xml:space="preserve"> </v>
      </c>
      <c r="Q48" s="412"/>
      <c r="S48" s="384">
        <v>0.90196391132415032</v>
      </c>
      <c r="T48" s="384">
        <f t="shared" si="28"/>
        <v>0.18190199307606425</v>
      </c>
      <c r="W48" s="105">
        <v>0.8</v>
      </c>
      <c r="X48" s="106">
        <v>1.2</v>
      </c>
      <c r="AC48" s="41" t="s">
        <v>208</v>
      </c>
      <c r="AD48" s="279">
        <v>1.2224815829656595</v>
      </c>
      <c r="AE48" s="279">
        <v>1.2</v>
      </c>
    </row>
    <row r="49" spans="1:31" ht="18" customHeight="1">
      <c r="A49" s="41" t="str">
        <f>'2014 Existing Rates'!A13</f>
        <v>Unmetered Scattered Load</v>
      </c>
      <c r="B49" s="147">
        <v>72029.483501295326</v>
      </c>
      <c r="C49" s="78">
        <f>'Revenue at Prior Year Rates'!M43*'Cost Allocation Study'!$C$51</f>
        <v>64080.047051318819</v>
      </c>
      <c r="D49" s="147">
        <v>4695.1535111256608</v>
      </c>
      <c r="E49" s="98">
        <f t="shared" si="20"/>
        <v>68775.200562444486</v>
      </c>
      <c r="F49" s="99">
        <f t="shared" si="21"/>
        <v>0.95482012669447625</v>
      </c>
      <c r="G49" s="279">
        <v>0.95482012475086819</v>
      </c>
      <c r="H49" s="279">
        <f>H42</f>
        <v>0.95448883418595143</v>
      </c>
      <c r="I49" s="69">
        <f t="shared" si="22"/>
        <v>68751.337734167595</v>
      </c>
      <c r="J49" s="69">
        <f t="shared" si="23"/>
        <v>4695.1535111256608</v>
      </c>
      <c r="K49" s="98">
        <f t="shared" si="24"/>
        <v>64056.184223041935</v>
      </c>
      <c r="L49" s="105">
        <f t="shared" si="25"/>
        <v>0.8</v>
      </c>
      <c r="M49" s="106">
        <f t="shared" si="25"/>
        <v>1.2</v>
      </c>
      <c r="N49" s="396"/>
      <c r="O49" s="400">
        <f t="shared" si="27"/>
        <v>1.9436080522794441E-9</v>
      </c>
      <c r="P49" s="293" t="str">
        <f t="shared" si="29"/>
        <v xml:space="preserve"> </v>
      </c>
      <c r="Q49" s="412"/>
      <c r="S49" s="384">
        <v>1.2</v>
      </c>
      <c r="T49" s="384">
        <f t="shared" si="28"/>
        <v>-0.24551116581404853</v>
      </c>
      <c r="W49" s="105">
        <v>0.7</v>
      </c>
      <c r="X49" s="106">
        <v>1.2</v>
      </c>
      <c r="AC49" s="41" t="s">
        <v>207</v>
      </c>
      <c r="AD49" s="279">
        <v>0.96579776044014831</v>
      </c>
      <c r="AE49" s="279">
        <v>0.9653655855631168</v>
      </c>
    </row>
    <row r="50" spans="1:31" ht="18" customHeight="1">
      <c r="A50" s="41"/>
      <c r="B50" s="147"/>
      <c r="C50" s="78"/>
      <c r="D50" s="147"/>
      <c r="E50" s="98"/>
      <c r="F50" s="99"/>
      <c r="G50" s="161"/>
      <c r="H50" s="161"/>
      <c r="I50" s="69"/>
      <c r="J50" s="69"/>
      <c r="K50" s="98"/>
      <c r="L50" s="105"/>
      <c r="M50" s="106"/>
      <c r="N50" s="396"/>
      <c r="Q50" s="412"/>
      <c r="W50" s="105"/>
      <c r="X50" s="106"/>
      <c r="AC50" s="41"/>
      <c r="AD50" s="161"/>
      <c r="AE50" s="161"/>
    </row>
    <row r="51" spans="1:31" ht="18" customHeight="1" thickBot="1">
      <c r="A51" s="42" t="s">
        <v>1</v>
      </c>
      <c r="B51" s="96">
        <f>SUM(B42:B50)</f>
        <v>24657648.355865397</v>
      </c>
      <c r="C51" s="43">
        <f>'Revenue Input'!D7</f>
        <v>23078999.228100408</v>
      </c>
      <c r="D51" s="43">
        <f>SUM(D42:D50)</f>
        <v>1578649.1781861789</v>
      </c>
      <c r="E51" s="43">
        <f>SUM(E42:E50)</f>
        <v>24657648.406286582</v>
      </c>
      <c r="F51" s="100"/>
      <c r="G51" s="100"/>
      <c r="H51" s="44"/>
      <c r="I51" s="43">
        <f>SUM(I42:I50)</f>
        <v>24657648.406286586</v>
      </c>
      <c r="J51" s="43">
        <f>SUM(J42:J50)</f>
        <v>1578649.1781861789</v>
      </c>
      <c r="K51" s="43">
        <f>SUM(K42:K50)</f>
        <v>23078999.228100404</v>
      </c>
      <c r="L51" s="98"/>
      <c r="M51" s="107"/>
      <c r="N51" s="283"/>
      <c r="W51" s="98"/>
      <c r="X51" s="107"/>
    </row>
    <row r="52" spans="1:31" ht="13.5" customHeight="1"/>
    <row r="53" spans="1:31">
      <c r="B53" s="97">
        <f>'Revenue Input'!D5</f>
        <v>24657648.406286586</v>
      </c>
      <c r="D53" s="97">
        <f>'Revenue Input'!D6</f>
        <v>1578649.1781861789</v>
      </c>
      <c r="K53" s="97">
        <f>'Revenue Input'!D7</f>
        <v>23078999.228100408</v>
      </c>
    </row>
    <row r="54" spans="1:31">
      <c r="D54" s="97"/>
    </row>
    <row r="55" spans="1:31">
      <c r="B55" s="148">
        <f>B51-B53</f>
        <v>-5.0421189516782761E-2</v>
      </c>
      <c r="D55" s="148">
        <f>D51-D53</f>
        <v>0</v>
      </c>
      <c r="K55" s="524">
        <f>K51-K53</f>
        <v>0</v>
      </c>
    </row>
    <row r="57" spans="1:31">
      <c r="A57" s="162"/>
      <c r="B57" s="389"/>
    </row>
    <row r="58" spans="1:31" ht="36" customHeight="1">
      <c r="A58" s="622" t="s">
        <v>204</v>
      </c>
      <c r="B58" s="622"/>
      <c r="C58" s="622"/>
      <c r="D58" s="622"/>
      <c r="E58" s="622"/>
      <c r="F58" s="622"/>
      <c r="G58" s="622"/>
      <c r="H58" s="622"/>
      <c r="I58" s="622"/>
      <c r="J58" s="622"/>
      <c r="K58" s="622"/>
      <c r="O58" s="401"/>
      <c r="P58" s="289"/>
    </row>
    <row r="59" spans="1:31" ht="78.75">
      <c r="A59" s="174" t="s">
        <v>23</v>
      </c>
      <c r="B59" s="149" t="s">
        <v>172</v>
      </c>
      <c r="C59" s="178" t="s">
        <v>173</v>
      </c>
      <c r="D59" s="178" t="s">
        <v>174</v>
      </c>
      <c r="E59" s="178" t="s">
        <v>111</v>
      </c>
      <c r="F59" s="178" t="s">
        <v>112</v>
      </c>
      <c r="G59" s="178" t="s">
        <v>175</v>
      </c>
      <c r="H59" s="178" t="s">
        <v>93</v>
      </c>
      <c r="I59" s="178" t="s">
        <v>94</v>
      </c>
      <c r="J59" s="178" t="s">
        <v>95</v>
      </c>
      <c r="K59" s="144" t="s">
        <v>96</v>
      </c>
      <c r="L59" s="145" t="s">
        <v>102</v>
      </c>
      <c r="M59" s="146" t="s">
        <v>103</v>
      </c>
      <c r="N59" s="395"/>
      <c r="P59" s="309" t="s">
        <v>228</v>
      </c>
      <c r="Q59" s="411"/>
      <c r="S59" s="385" t="s">
        <v>259</v>
      </c>
      <c r="T59" s="385" t="s">
        <v>219</v>
      </c>
      <c r="W59" s="145" t="s">
        <v>102</v>
      </c>
      <c r="X59" s="146" t="s">
        <v>103</v>
      </c>
    </row>
    <row r="60" spans="1:31" ht="18" customHeight="1">
      <c r="A60" s="41" t="str">
        <f>'2014 Existing Rates'!A6</f>
        <v>Residential</v>
      </c>
      <c r="B60" s="147">
        <v>16530265.529897381</v>
      </c>
      <c r="C60" s="78">
        <f>'Revenue at Prior Year Rates'!M51*'Cost Allocation Study'!$C$69</f>
        <v>14940916.125021197</v>
      </c>
      <c r="D60" s="147">
        <v>1024474.2372557109</v>
      </c>
      <c r="E60" s="98">
        <f t="shared" ref="E60:E67" si="30">C60+D60</f>
        <v>15965390.362276908</v>
      </c>
      <c r="F60" s="99">
        <f>E60/B60</f>
        <v>0.96582782251145249</v>
      </c>
      <c r="G60" s="279">
        <v>0.96582782070188289</v>
      </c>
      <c r="H60" s="279">
        <v>0.96593212267144757</v>
      </c>
      <c r="I60" s="69">
        <f t="shared" ref="I60:I67" si="31">B60*H60</f>
        <v>15967114.471616438</v>
      </c>
      <c r="J60" s="69">
        <f t="shared" ref="J60:J67" si="32">D60</f>
        <v>1024474.2372557109</v>
      </c>
      <c r="K60" s="98">
        <f t="shared" ref="K60:K67" si="33">I60-J60</f>
        <v>14942640.234360727</v>
      </c>
      <c r="L60" s="105">
        <f t="shared" ref="L60:M67" si="34">L5</f>
        <v>0.85</v>
      </c>
      <c r="M60" s="106">
        <f t="shared" si="34"/>
        <v>1.1499999999999999</v>
      </c>
      <c r="N60" s="396"/>
      <c r="O60" s="400">
        <f>F60-G60</f>
        <v>1.8095696052711219E-9</v>
      </c>
      <c r="P60" s="293" t="str">
        <f>IF(H60=M60,"Yes"," ")</f>
        <v xml:space="preserve"> </v>
      </c>
      <c r="Q60" s="413"/>
      <c r="S60" s="384">
        <v>0.94242944414456209</v>
      </c>
      <c r="T60" s="384">
        <f>H60-S60</f>
        <v>2.3502678526885479E-2</v>
      </c>
      <c r="W60" s="105">
        <v>0.85</v>
      </c>
      <c r="X60" s="106">
        <v>1.1499999999999999</v>
      </c>
    </row>
    <row r="61" spans="1:31" ht="18" customHeight="1">
      <c r="A61" s="41" t="str">
        <f>'2014 Existing Rates'!A7</f>
        <v>GS Less Than 50 KW</v>
      </c>
      <c r="B61" s="147">
        <v>2655064.5472986232</v>
      </c>
      <c r="C61" s="78">
        <f>'Revenue at Prior Year Rates'!M52*'Cost Allocation Study'!$C$69</f>
        <v>3015120.0480063888</v>
      </c>
      <c r="D61" s="147">
        <v>135944.04312213635</v>
      </c>
      <c r="E61" s="98">
        <f t="shared" si="30"/>
        <v>3151064.0911285253</v>
      </c>
      <c r="F61" s="99">
        <f t="shared" ref="F61:F67" si="35">E61/B61</f>
        <v>1.1868126122713489</v>
      </c>
      <c r="G61" s="279">
        <v>1.1868126099977836</v>
      </c>
      <c r="H61" s="279">
        <f t="shared" ref="H61:H65" si="36">G61</f>
        <v>1.1868126099977836</v>
      </c>
      <c r="I61" s="69">
        <f t="shared" si="31"/>
        <v>3151064.0850920626</v>
      </c>
      <c r="J61" s="69">
        <f t="shared" si="32"/>
        <v>135944.04312213635</v>
      </c>
      <c r="K61" s="98">
        <f t="shared" si="33"/>
        <v>3015120.0419699261</v>
      </c>
      <c r="L61" s="105">
        <f t="shared" si="34"/>
        <v>0.8</v>
      </c>
      <c r="M61" s="106">
        <f t="shared" si="34"/>
        <v>1.2</v>
      </c>
      <c r="N61" s="396"/>
      <c r="O61" s="400">
        <f t="shared" ref="O61:O67" si="37">F61-G61</f>
        <v>2.2735653359973185E-9</v>
      </c>
      <c r="P61" s="293" t="str">
        <f>IF(H61=M61,"Yes"," ")</f>
        <v xml:space="preserve"> </v>
      </c>
      <c r="Q61" s="412"/>
      <c r="S61" s="384">
        <v>1.2</v>
      </c>
      <c r="T61" s="384">
        <f t="shared" ref="T61:T67" si="38">H61-S61</f>
        <v>-1.3187390002216359E-2</v>
      </c>
      <c r="W61" s="105">
        <v>0.8</v>
      </c>
      <c r="X61" s="106">
        <v>1.2</v>
      </c>
    </row>
    <row r="62" spans="1:31" ht="18" customHeight="1">
      <c r="A62" s="41" t="str">
        <f>'2014 Existing Rates'!A8</f>
        <v>GS 50 To 999 KW</v>
      </c>
      <c r="B62" s="147">
        <v>4021238.9820693843</v>
      </c>
      <c r="C62" s="78">
        <f>'Revenue at Prior Year Rates'!M53*'Cost Allocation Study'!$C$69</f>
        <v>4231367.3254252495</v>
      </c>
      <c r="D62" s="147">
        <v>134705.36189627682</v>
      </c>
      <c r="E62" s="98">
        <f t="shared" si="30"/>
        <v>4366072.687321526</v>
      </c>
      <c r="F62" s="99">
        <f t="shared" si="35"/>
        <v>1.0857530991790709</v>
      </c>
      <c r="G62" s="279">
        <v>1.0857530970723899</v>
      </c>
      <c r="H62" s="279">
        <f t="shared" si="36"/>
        <v>1.0857530970723899</v>
      </c>
      <c r="I62" s="69">
        <f t="shared" si="31"/>
        <v>4366072.6788500585</v>
      </c>
      <c r="J62" s="69">
        <f t="shared" si="32"/>
        <v>134705.36189627682</v>
      </c>
      <c r="K62" s="98">
        <f t="shared" si="33"/>
        <v>4231367.316953782</v>
      </c>
      <c r="L62" s="105">
        <f t="shared" si="34"/>
        <v>0.8</v>
      </c>
      <c r="M62" s="106">
        <f t="shared" si="34"/>
        <v>1.2</v>
      </c>
      <c r="N62" s="396"/>
      <c r="O62" s="400">
        <f t="shared" si="37"/>
        <v>2.1066810518277634E-9</v>
      </c>
      <c r="P62" s="293" t="str">
        <f t="shared" ref="P62:P67" si="39">IF(H62=M62,"Yes"," ")</f>
        <v xml:space="preserve"> </v>
      </c>
      <c r="Q62" s="412"/>
      <c r="S62" s="384">
        <v>1.0821235975651298</v>
      </c>
      <c r="T62" s="384">
        <f t="shared" si="38"/>
        <v>3.6294995072601033E-3</v>
      </c>
      <c r="W62" s="105">
        <v>0.8</v>
      </c>
      <c r="X62" s="106">
        <v>1.2</v>
      </c>
    </row>
    <row r="63" spans="1:31" ht="18" customHeight="1">
      <c r="A63" s="41" t="str">
        <f>+'2014 Existing Rates'!A9</f>
        <v>GS Intermediate 1,000 To 4,999 KW</v>
      </c>
      <c r="B63" s="147">
        <v>498280.2615306169</v>
      </c>
      <c r="C63" s="78">
        <f>'Revenue at Prior Year Rates'!M54*'Cost Allocation Study'!$C$69</f>
        <v>507878.711400853</v>
      </c>
      <c r="D63" s="147">
        <v>17838.246466845412</v>
      </c>
      <c r="E63" s="98">
        <f t="shared" si="30"/>
        <v>525716.95786769839</v>
      </c>
      <c r="F63" s="99">
        <f t="shared" si="35"/>
        <v>1.0550627798355918</v>
      </c>
      <c r="G63" s="279">
        <v>1.0550627777949622</v>
      </c>
      <c r="H63" s="279">
        <f>G63</f>
        <v>1.0550627777949622</v>
      </c>
      <c r="I63" s="69">
        <f t="shared" si="31"/>
        <v>525716.95685089286</v>
      </c>
      <c r="J63" s="69">
        <f t="shared" si="32"/>
        <v>17838.246466845412</v>
      </c>
      <c r="K63" s="98">
        <f t="shared" si="33"/>
        <v>507878.71038404747</v>
      </c>
      <c r="L63" s="105">
        <f t="shared" si="34"/>
        <v>0.8</v>
      </c>
      <c r="M63" s="106">
        <f t="shared" si="34"/>
        <v>1.2</v>
      </c>
      <c r="N63" s="396"/>
      <c r="O63" s="400">
        <f t="shared" si="37"/>
        <v>2.0406296652453193E-9</v>
      </c>
      <c r="P63" s="293" t="str">
        <f t="shared" si="39"/>
        <v xml:space="preserve"> </v>
      </c>
      <c r="Q63" s="412"/>
      <c r="S63" s="384">
        <v>1.2</v>
      </c>
      <c r="T63" s="384">
        <f t="shared" si="38"/>
        <v>-0.1449372222050378</v>
      </c>
      <c r="W63" s="105">
        <v>0.8</v>
      </c>
      <c r="X63" s="106">
        <v>1.2</v>
      </c>
    </row>
    <row r="64" spans="1:31" ht="18" customHeight="1">
      <c r="A64" s="41" t="str">
        <f>'2014 Existing Rates'!A10</f>
        <v>Large Use</v>
      </c>
      <c r="B64" s="147">
        <v>229909.03126203688</v>
      </c>
      <c r="C64" s="78">
        <f>'Revenue at Prior Year Rates'!M55*'Cost Allocation Study'!$C$69</f>
        <v>246598.40226669813</v>
      </c>
      <c r="D64" s="147">
        <v>4478.6898221342408</v>
      </c>
      <c r="E64" s="98">
        <f t="shared" si="30"/>
        <v>251077.09208883237</v>
      </c>
      <c r="F64" s="99">
        <f t="shared" si="35"/>
        <v>1.0920714628329209</v>
      </c>
      <c r="G64" s="279">
        <v>1.0920714606855251</v>
      </c>
      <c r="H64" s="279">
        <f t="shared" si="36"/>
        <v>1.0920714606855251</v>
      </c>
      <c r="I64" s="69">
        <f t="shared" si="31"/>
        <v>251077.09159512667</v>
      </c>
      <c r="J64" s="69">
        <f t="shared" si="32"/>
        <v>4478.6898221342408</v>
      </c>
      <c r="K64" s="98">
        <f t="shared" si="33"/>
        <v>246598.40177299242</v>
      </c>
      <c r="L64" s="105">
        <f t="shared" si="34"/>
        <v>0.85</v>
      </c>
      <c r="M64" s="106">
        <f t="shared" si="34"/>
        <v>1.1499999999999999</v>
      </c>
      <c r="N64" s="396"/>
      <c r="O64" s="400">
        <f t="shared" si="37"/>
        <v>2.147395816720632E-9</v>
      </c>
      <c r="P64" s="293" t="str">
        <f t="shared" si="39"/>
        <v xml:space="preserve"> </v>
      </c>
      <c r="Q64" s="412"/>
      <c r="S64" s="384">
        <v>1.1499999999999999</v>
      </c>
      <c r="T64" s="384">
        <f t="shared" si="38"/>
        <v>-5.7928539314474836E-2</v>
      </c>
      <c r="W64" s="105">
        <v>0.85</v>
      </c>
      <c r="X64" s="106">
        <v>1.1499999999999999</v>
      </c>
    </row>
    <row r="65" spans="1:24" ht="18" customHeight="1">
      <c r="A65" s="41" t="str">
        <f>'2014 Existing Rates'!A11</f>
        <v>Street Lighting</v>
      </c>
      <c r="B65" s="147">
        <v>1124559.463262276</v>
      </c>
      <c r="C65" s="78">
        <f>'Revenue at Prior Year Rates'!M56*'Cost Allocation Study'!$C$69</f>
        <v>732092.05145510926</v>
      </c>
      <c r="D65" s="147">
        <v>68255.742276164223</v>
      </c>
      <c r="E65" s="98">
        <f t="shared" si="30"/>
        <v>800347.7937312735</v>
      </c>
      <c r="F65" s="99">
        <f t="shared" si="35"/>
        <v>0.71169895401485939</v>
      </c>
      <c r="G65" s="279">
        <v>0.71169895271150896</v>
      </c>
      <c r="H65" s="279">
        <f t="shared" si="36"/>
        <v>0.71169895271150896</v>
      </c>
      <c r="I65" s="69">
        <f t="shared" si="31"/>
        <v>800347.79226557852</v>
      </c>
      <c r="J65" s="69">
        <f t="shared" si="32"/>
        <v>68255.742276164223</v>
      </c>
      <c r="K65" s="98">
        <f t="shared" si="33"/>
        <v>732092.04998941428</v>
      </c>
      <c r="L65" s="105">
        <f t="shared" si="34"/>
        <v>0.7</v>
      </c>
      <c r="M65" s="106">
        <f t="shared" si="34"/>
        <v>1.2</v>
      </c>
      <c r="N65" s="396"/>
      <c r="O65" s="400">
        <f t="shared" si="37"/>
        <v>1.3033504275838936E-9</v>
      </c>
      <c r="P65" s="293" t="str">
        <f t="shared" si="39"/>
        <v xml:space="preserve"> </v>
      </c>
      <c r="Q65" s="412"/>
      <c r="S65" s="384">
        <v>0.87323029288795617</v>
      </c>
      <c r="T65" s="384">
        <f t="shared" si="38"/>
        <v>-0.16153134017644721</v>
      </c>
      <c r="W65" s="105">
        <v>0.85</v>
      </c>
      <c r="X65" s="106">
        <v>1.1499999999999999</v>
      </c>
    </row>
    <row r="66" spans="1:24" ht="18" customHeight="1">
      <c r="A66" s="41" t="str">
        <f>'2014 Existing Rates'!A12</f>
        <v>Sentinel Lighting</v>
      </c>
      <c r="B66" s="147">
        <v>2151.6588869748152</v>
      </c>
      <c r="C66" s="78">
        <f>'Revenue at Prior Year Rates'!M57*'Cost Allocation Study'!$C$69</f>
        <v>2285.3901018971164</v>
      </c>
      <c r="D66" s="275">
        <v>131.8866843539823</v>
      </c>
      <c r="E66" s="98">
        <f t="shared" si="30"/>
        <v>2417.2767862510987</v>
      </c>
      <c r="F66" s="99">
        <f t="shared" si="35"/>
        <v>1.1234479595646949</v>
      </c>
      <c r="G66" s="279">
        <v>1.1234479574381975</v>
      </c>
      <c r="H66" s="279">
        <f>G66</f>
        <v>1.1234479574381975</v>
      </c>
      <c r="I66" s="69">
        <f t="shared" si="31"/>
        <v>2417.2767816756018</v>
      </c>
      <c r="J66" s="69">
        <f t="shared" si="32"/>
        <v>131.8866843539823</v>
      </c>
      <c r="K66" s="98">
        <f t="shared" si="33"/>
        <v>2285.3900973216196</v>
      </c>
      <c r="L66" s="105">
        <f t="shared" si="34"/>
        <v>0.8</v>
      </c>
      <c r="M66" s="106">
        <f t="shared" si="34"/>
        <v>1.2</v>
      </c>
      <c r="N66" s="396"/>
      <c r="O66" s="400">
        <f t="shared" si="37"/>
        <v>2.1264974225942979E-9</v>
      </c>
      <c r="P66" s="293" t="str">
        <f t="shared" si="39"/>
        <v xml:space="preserve"> </v>
      </c>
      <c r="Q66" s="412"/>
      <c r="S66" s="384">
        <v>0.90196391132415032</v>
      </c>
      <c r="T66" s="384">
        <f t="shared" si="38"/>
        <v>0.22148404611404715</v>
      </c>
      <c r="W66" s="105">
        <v>0.8</v>
      </c>
      <c r="X66" s="106">
        <v>1.2</v>
      </c>
    </row>
    <row r="67" spans="1:24" ht="18" customHeight="1">
      <c r="A67" s="41" t="str">
        <f>'2014 Existing Rates'!A13</f>
        <v>Unmetered Scattered Load</v>
      </c>
      <c r="B67" s="147">
        <v>68710.806132939339</v>
      </c>
      <c r="C67" s="78">
        <f>'Revenue at Prior Year Rates'!M58*'Cost Allocation Study'!$C$69</f>
        <v>64272.3878007522</v>
      </c>
      <c r="D67" s="147">
        <v>3821.6788685128377</v>
      </c>
      <c r="E67" s="98">
        <f t="shared" si="30"/>
        <v>68094.066669265041</v>
      </c>
      <c r="F67" s="99">
        <f t="shared" si="35"/>
        <v>0.99102412708590482</v>
      </c>
      <c r="G67" s="279">
        <v>0.99102412521316563</v>
      </c>
      <c r="H67" s="279">
        <f>H60</f>
        <v>0.96593212267144757</v>
      </c>
      <c r="I67" s="69">
        <f t="shared" si="31"/>
        <v>66369.974818456409</v>
      </c>
      <c r="J67" s="69">
        <f t="shared" si="32"/>
        <v>3821.6788685128377</v>
      </c>
      <c r="K67" s="98">
        <f t="shared" si="33"/>
        <v>62548.295949943567</v>
      </c>
      <c r="L67" s="105">
        <f t="shared" si="34"/>
        <v>0.8</v>
      </c>
      <c r="M67" s="106">
        <f t="shared" si="34"/>
        <v>1.2</v>
      </c>
      <c r="N67" s="396"/>
      <c r="O67" s="400">
        <f t="shared" si="37"/>
        <v>1.8727391859485465E-9</v>
      </c>
      <c r="P67" s="293" t="str">
        <f t="shared" si="39"/>
        <v xml:space="preserve"> </v>
      </c>
      <c r="Q67" s="412"/>
      <c r="S67" s="384">
        <v>1.2</v>
      </c>
      <c r="T67" s="384">
        <f t="shared" si="38"/>
        <v>-0.23406787732855239</v>
      </c>
      <c r="W67" s="105">
        <v>0.7</v>
      </c>
      <c r="X67" s="106">
        <v>1.2</v>
      </c>
    </row>
    <row r="68" spans="1:24" ht="18" customHeight="1">
      <c r="A68" s="41"/>
      <c r="B68" s="147"/>
      <c r="C68" s="78"/>
      <c r="D68" s="147"/>
      <c r="E68" s="98"/>
      <c r="F68" s="99"/>
      <c r="G68" s="161"/>
      <c r="H68" s="161"/>
      <c r="I68" s="69"/>
      <c r="J68" s="69"/>
      <c r="K68" s="98"/>
      <c r="L68" s="105"/>
      <c r="M68" s="106"/>
      <c r="N68" s="396"/>
      <c r="Q68" s="412"/>
      <c r="W68" s="105"/>
      <c r="X68" s="106"/>
    </row>
    <row r="69" spans="1:24" ht="18" customHeight="1" thickBot="1">
      <c r="A69" s="42" t="s">
        <v>1</v>
      </c>
      <c r="B69" s="96">
        <f>SUM(B60:B68)</f>
        <v>25130180.280340228</v>
      </c>
      <c r="C69" s="43">
        <f>'Revenue Input'!E7</f>
        <v>23740530.441478152</v>
      </c>
      <c r="D69" s="43">
        <f>SUM(D60:D68)</f>
        <v>1389649.8863921349</v>
      </c>
      <c r="E69" s="43">
        <f>SUM(E60:E68)</f>
        <v>25130180.32787028</v>
      </c>
      <c r="F69" s="100"/>
      <c r="G69" s="100"/>
      <c r="H69" s="44"/>
      <c r="I69" s="43">
        <f>SUM(I60:I68)</f>
        <v>25130180.327870291</v>
      </c>
      <c r="J69" s="43">
        <f>SUM(J60:J68)</f>
        <v>1389649.8863921349</v>
      </c>
      <c r="K69" s="43">
        <f>SUM(K60:K68)</f>
        <v>23740530.441478152</v>
      </c>
      <c r="L69" s="98"/>
      <c r="M69" s="107"/>
      <c r="N69" s="283"/>
      <c r="W69" s="98"/>
      <c r="X69" s="107"/>
    </row>
    <row r="70" spans="1:24" ht="13.5" customHeight="1"/>
    <row r="71" spans="1:24">
      <c r="B71" s="97">
        <f>'Revenue Input'!E5</f>
        <v>25130180.327870287</v>
      </c>
      <c r="D71" s="97">
        <f>'Revenue Input'!E6</f>
        <v>1389649.886392134</v>
      </c>
      <c r="K71" s="97">
        <f>'Revenue Input'!E7</f>
        <v>23740530.441478152</v>
      </c>
    </row>
    <row r="72" spans="1:24">
      <c r="D72" s="97"/>
    </row>
    <row r="73" spans="1:24">
      <c r="B73" s="148">
        <f>B69-B71</f>
        <v>-4.7530058771371841E-2</v>
      </c>
      <c r="D73" s="148">
        <f>D69-D71</f>
        <v>0</v>
      </c>
      <c r="K73" s="148">
        <f>K69-K71</f>
        <v>0</v>
      </c>
    </row>
    <row r="76" spans="1:24" ht="36" customHeight="1">
      <c r="A76" s="622" t="s">
        <v>205</v>
      </c>
      <c r="B76" s="622"/>
      <c r="C76" s="622"/>
      <c r="D76" s="622"/>
      <c r="E76" s="622"/>
      <c r="F76" s="622"/>
      <c r="G76" s="622"/>
      <c r="H76" s="622"/>
      <c r="I76" s="622"/>
      <c r="J76" s="622"/>
      <c r="K76" s="622"/>
      <c r="O76" s="401"/>
      <c r="P76" s="289"/>
    </row>
    <row r="77" spans="1:24" ht="78.75">
      <c r="A77" s="174" t="s">
        <v>23</v>
      </c>
      <c r="B77" s="149" t="s">
        <v>176</v>
      </c>
      <c r="C77" s="178" t="s">
        <v>177</v>
      </c>
      <c r="D77" s="178" t="s">
        <v>178</v>
      </c>
      <c r="E77" s="178" t="s">
        <v>111</v>
      </c>
      <c r="F77" s="178" t="s">
        <v>112</v>
      </c>
      <c r="G77" s="178" t="s">
        <v>179</v>
      </c>
      <c r="H77" s="178" t="s">
        <v>93</v>
      </c>
      <c r="I77" s="178" t="s">
        <v>94</v>
      </c>
      <c r="J77" s="178" t="s">
        <v>95</v>
      </c>
      <c r="K77" s="144" t="s">
        <v>96</v>
      </c>
      <c r="L77" s="145" t="s">
        <v>102</v>
      </c>
      <c r="M77" s="146" t="s">
        <v>103</v>
      </c>
      <c r="N77" s="395"/>
      <c r="P77" s="309" t="s">
        <v>228</v>
      </c>
      <c r="Q77" s="411"/>
      <c r="S77" s="385" t="s">
        <v>259</v>
      </c>
      <c r="T77" s="385" t="s">
        <v>219</v>
      </c>
      <c r="W77" s="145" t="s">
        <v>102</v>
      </c>
      <c r="X77" s="146" t="s">
        <v>103</v>
      </c>
    </row>
    <row r="78" spans="1:24" ht="18" customHeight="1">
      <c r="A78" s="41" t="str">
        <f>'2014 Existing Rates'!A6</f>
        <v>Residential</v>
      </c>
      <c r="B78" s="147">
        <v>17279628.541757531</v>
      </c>
      <c r="C78" s="78">
        <f>'Revenue at Prior Year Rates'!M66*'Cost Allocation Study'!$C$87</f>
        <v>15758144.591416391</v>
      </c>
      <c r="D78" s="147">
        <v>1064281.1348710461</v>
      </c>
      <c r="E78" s="98">
        <f t="shared" ref="E78:E85" si="40">C78+D78</f>
        <v>16822425.726287436</v>
      </c>
      <c r="F78" s="402">
        <f t="shared" ref="F78:F85" si="41">E78/B78</f>
        <v>0.97354093495903393</v>
      </c>
      <c r="G78" s="279">
        <v>0.97354093322683721</v>
      </c>
      <c r="H78" s="279">
        <v>0.97354093597209157</v>
      </c>
      <c r="I78" s="69">
        <f t="shared" ref="I78:I85" si="42">B78*H78</f>
        <v>16822425.743792694</v>
      </c>
      <c r="J78" s="69">
        <f t="shared" ref="J78:J85" si="43">D78</f>
        <v>1064281.1348710461</v>
      </c>
      <c r="K78" s="98">
        <f t="shared" ref="K78:K85" si="44">I78-J78</f>
        <v>15758144.608921647</v>
      </c>
      <c r="L78" s="105">
        <f t="shared" ref="L78:M85" si="45">L5</f>
        <v>0.85</v>
      </c>
      <c r="M78" s="106">
        <f t="shared" si="45"/>
        <v>1.1499999999999999</v>
      </c>
      <c r="N78" s="396"/>
      <c r="O78" s="400">
        <f>F78-G78</f>
        <v>1.7321967193950627E-9</v>
      </c>
      <c r="P78" s="293" t="str">
        <f>IF(H78=M78,"Yes"," ")</f>
        <v xml:space="preserve"> </v>
      </c>
      <c r="Q78" s="413"/>
      <c r="S78" s="384">
        <v>0.94242944414456209</v>
      </c>
      <c r="T78" s="384">
        <f>H78-S78</f>
        <v>3.1111491827529481E-2</v>
      </c>
      <c r="W78" s="105">
        <v>0.85</v>
      </c>
      <c r="X78" s="106">
        <v>1.1499999999999999</v>
      </c>
    </row>
    <row r="79" spans="1:24" ht="18" customHeight="1">
      <c r="A79" s="41" t="str">
        <f>'2014 Existing Rates'!A7</f>
        <v>GS Less Than 50 KW</v>
      </c>
      <c r="B79" s="147">
        <v>2787687.7855009036</v>
      </c>
      <c r="C79" s="78">
        <f>'Revenue at Prior Year Rates'!M67*'Cost Allocation Study'!$C$87</f>
        <v>3145670.9873698098</v>
      </c>
      <c r="D79" s="147">
        <v>140516.8515116226</v>
      </c>
      <c r="E79" s="98">
        <f t="shared" si="40"/>
        <v>3286187.8388814325</v>
      </c>
      <c r="F79" s="99">
        <f t="shared" si="41"/>
        <v>1.1788220531629428</v>
      </c>
      <c r="G79" s="279">
        <v>1.1788220510195799</v>
      </c>
      <c r="H79" s="279">
        <f t="shared" ref="H79:H82" si="46">G79</f>
        <v>1.1788220510195799</v>
      </c>
      <c r="I79" s="69">
        <f t="shared" si="42"/>
        <v>3286187.8329064059</v>
      </c>
      <c r="J79" s="69">
        <f t="shared" si="43"/>
        <v>140516.8515116226</v>
      </c>
      <c r="K79" s="98">
        <f t="shared" si="44"/>
        <v>3145670.9813947831</v>
      </c>
      <c r="L79" s="105">
        <f t="shared" si="45"/>
        <v>0.8</v>
      </c>
      <c r="M79" s="106">
        <f t="shared" si="45"/>
        <v>1.2</v>
      </c>
      <c r="N79" s="396"/>
      <c r="O79" s="400">
        <f t="shared" ref="O79:O85" si="47">F79-G79</f>
        <v>2.1433628205613786E-9</v>
      </c>
      <c r="P79" s="293" t="str">
        <f>IF(H79=M79,"Yes"," ")</f>
        <v xml:space="preserve"> </v>
      </c>
      <c r="Q79" s="412"/>
      <c r="S79" s="384">
        <v>1.2</v>
      </c>
      <c r="T79" s="384">
        <f t="shared" ref="T79:T85" si="48">H79-S79</f>
        <v>-2.1177948980420025E-2</v>
      </c>
      <c r="W79" s="105">
        <v>0.8</v>
      </c>
      <c r="X79" s="106">
        <v>1.2</v>
      </c>
    </row>
    <row r="80" spans="1:24" ht="18" customHeight="1">
      <c r="A80" s="41" t="str">
        <f>'2014 Existing Rates'!A8</f>
        <v>GS 50 To 999 KW</v>
      </c>
      <c r="B80" s="147">
        <v>4297414.1562896473</v>
      </c>
      <c r="C80" s="78">
        <f>'Revenue at Prior Year Rates'!M68*'Cost Allocation Study'!$C$87</f>
        <v>4416293.7296842635</v>
      </c>
      <c r="D80" s="147">
        <v>137317.16904033854</v>
      </c>
      <c r="E80" s="98">
        <f t="shared" si="40"/>
        <v>4553610.8987246016</v>
      </c>
      <c r="F80" s="99">
        <f t="shared" si="41"/>
        <v>1.0596164886877351</v>
      </c>
      <c r="G80" s="279">
        <v>1.0596164867357463</v>
      </c>
      <c r="H80" s="279">
        <f>G80</f>
        <v>1.0596164867357463</v>
      </c>
      <c r="I80" s="69">
        <f t="shared" si="42"/>
        <v>4553610.8903360972</v>
      </c>
      <c r="J80" s="69">
        <f t="shared" si="43"/>
        <v>137317.16904033854</v>
      </c>
      <c r="K80" s="98">
        <f t="shared" si="44"/>
        <v>4416293.7212957591</v>
      </c>
      <c r="L80" s="105">
        <f t="shared" si="45"/>
        <v>0.8</v>
      </c>
      <c r="M80" s="106">
        <f t="shared" si="45"/>
        <v>1.2</v>
      </c>
      <c r="N80" s="396"/>
      <c r="O80" s="400">
        <f t="shared" si="47"/>
        <v>1.951988792825432E-9</v>
      </c>
      <c r="P80" s="293" t="str">
        <f t="shared" ref="P80:P85" si="49">IF(H80=M80,"Yes"," ")</f>
        <v xml:space="preserve"> </v>
      </c>
      <c r="Q80" s="412"/>
      <c r="S80" s="384">
        <v>1.0821235975651298</v>
      </c>
      <c r="T80" s="384">
        <f t="shared" si="48"/>
        <v>-2.2507110829383503E-2</v>
      </c>
      <c r="W80" s="105">
        <v>0.8</v>
      </c>
      <c r="X80" s="106">
        <v>1.2</v>
      </c>
    </row>
    <row r="81" spans="1:24" ht="18" customHeight="1">
      <c r="A81" s="41" t="str">
        <f>+'2014 Existing Rates'!A9</f>
        <v>GS Intermediate 1,000 To 4,999 KW</v>
      </c>
      <c r="B81" s="147">
        <v>550370.89713503607</v>
      </c>
      <c r="C81" s="78">
        <f>'Revenue at Prior Year Rates'!M69*'Cost Allocation Study'!$C$87</f>
        <v>545909.28071152978</v>
      </c>
      <c r="D81" s="147">
        <v>18252.234625920395</v>
      </c>
      <c r="E81" s="98">
        <f t="shared" si="40"/>
        <v>564161.5153374502</v>
      </c>
      <c r="F81" s="99">
        <f t="shared" si="41"/>
        <v>1.0250569539090846</v>
      </c>
      <c r="G81" s="279">
        <v>1.0250569520250381</v>
      </c>
      <c r="H81" s="279">
        <f>G81</f>
        <v>1.0250569520250381</v>
      </c>
      <c r="I81" s="69">
        <f t="shared" si="42"/>
        <v>564161.51430052589</v>
      </c>
      <c r="J81" s="69">
        <f t="shared" si="43"/>
        <v>18252.234625920395</v>
      </c>
      <c r="K81" s="98">
        <f t="shared" si="44"/>
        <v>545909.27967460547</v>
      </c>
      <c r="L81" s="105">
        <f t="shared" si="45"/>
        <v>0.8</v>
      </c>
      <c r="M81" s="106">
        <f t="shared" si="45"/>
        <v>1.2</v>
      </c>
      <c r="N81" s="396"/>
      <c r="O81" s="400">
        <f t="shared" si="47"/>
        <v>1.8840464743874463E-9</v>
      </c>
      <c r="P81" s="293" t="str">
        <f t="shared" si="49"/>
        <v xml:space="preserve"> </v>
      </c>
      <c r="Q81" s="412"/>
      <c r="S81" s="384">
        <v>1.2</v>
      </c>
      <c r="T81" s="384">
        <f t="shared" si="48"/>
        <v>-0.17494304797496185</v>
      </c>
      <c r="W81" s="105">
        <v>0.8</v>
      </c>
      <c r="X81" s="106">
        <v>1.2</v>
      </c>
    </row>
    <row r="82" spans="1:24" ht="18" customHeight="1">
      <c r="A82" s="41" t="str">
        <f>'2014 Existing Rates'!A10</f>
        <v>Large Use</v>
      </c>
      <c r="B82" s="147">
        <v>250208.55344109409</v>
      </c>
      <c r="C82" s="78">
        <f>'Revenue at Prior Year Rates'!M70*'Cost Allocation Study'!$C$87</f>
        <v>253274.01067748034</v>
      </c>
      <c r="D82" s="147">
        <v>4484.6041466273055</v>
      </c>
      <c r="E82" s="98">
        <f t="shared" si="40"/>
        <v>257758.61482410764</v>
      </c>
      <c r="F82" s="99">
        <f t="shared" si="41"/>
        <v>1.0301750730707575</v>
      </c>
      <c r="G82" s="279">
        <v>1.0301750711480417</v>
      </c>
      <c r="H82" s="279">
        <f t="shared" si="46"/>
        <v>1.0301750711480417</v>
      </c>
      <c r="I82" s="69">
        <f t="shared" si="42"/>
        <v>257758.6143430277</v>
      </c>
      <c r="J82" s="69">
        <f t="shared" si="43"/>
        <v>4484.6041466273055</v>
      </c>
      <c r="K82" s="98">
        <f t="shared" si="44"/>
        <v>253274.0101964004</v>
      </c>
      <c r="L82" s="105">
        <f t="shared" si="45"/>
        <v>0.85</v>
      </c>
      <c r="M82" s="106">
        <f t="shared" si="45"/>
        <v>1.1499999999999999</v>
      </c>
      <c r="N82" s="396"/>
      <c r="O82" s="400">
        <f t="shared" si="47"/>
        <v>1.9227157643797455E-9</v>
      </c>
      <c r="P82" s="293" t="str">
        <f t="shared" si="49"/>
        <v xml:space="preserve"> </v>
      </c>
      <c r="Q82" s="412"/>
      <c r="S82" s="384">
        <v>1.1499999999999999</v>
      </c>
      <c r="T82" s="384">
        <f t="shared" si="48"/>
        <v>-0.11982492885195817</v>
      </c>
      <c r="W82" s="105">
        <v>0.85</v>
      </c>
      <c r="X82" s="106">
        <v>1.1499999999999999</v>
      </c>
    </row>
    <row r="83" spans="1:24" ht="18" customHeight="1">
      <c r="A83" s="41" t="str">
        <f>'2014 Existing Rates'!A11</f>
        <v>Street Lighting</v>
      </c>
      <c r="B83" s="147">
        <v>1174250.913295333</v>
      </c>
      <c r="C83" s="78">
        <f>'Revenue at Prior Year Rates'!M71*'Cost Allocation Study'!$C$87</f>
        <v>786456.88973858685</v>
      </c>
      <c r="D83" s="147">
        <v>69403.951330466196</v>
      </c>
      <c r="E83" s="98">
        <f t="shared" si="40"/>
        <v>855860.84106905304</v>
      </c>
      <c r="F83" s="99">
        <f t="shared" si="41"/>
        <v>0.72885686643174663</v>
      </c>
      <c r="G83" s="279">
        <v>0.72885686515958981</v>
      </c>
      <c r="H83" s="279">
        <f>G83</f>
        <v>0.72885686515958981</v>
      </c>
      <c r="I83" s="69">
        <f t="shared" si="42"/>
        <v>855860.83957522176</v>
      </c>
      <c r="J83" s="69">
        <f t="shared" si="43"/>
        <v>69403.951330466196</v>
      </c>
      <c r="K83" s="98">
        <f t="shared" si="44"/>
        <v>786456.88824475557</v>
      </c>
      <c r="L83" s="105">
        <f t="shared" si="45"/>
        <v>0.7</v>
      </c>
      <c r="M83" s="106">
        <f t="shared" si="45"/>
        <v>1.2</v>
      </c>
      <c r="N83" s="396"/>
      <c r="O83" s="400">
        <f t="shared" si="47"/>
        <v>1.272156824327908E-9</v>
      </c>
      <c r="P83" s="293" t="str">
        <f t="shared" si="49"/>
        <v xml:space="preserve"> </v>
      </c>
      <c r="Q83" s="412"/>
      <c r="S83" s="384">
        <v>0.87323029288795617</v>
      </c>
      <c r="T83" s="384">
        <f t="shared" si="48"/>
        <v>-0.14437342772836637</v>
      </c>
      <c r="W83" s="105">
        <v>0.85</v>
      </c>
      <c r="X83" s="106">
        <v>1.1499999999999999</v>
      </c>
    </row>
    <row r="84" spans="1:24" ht="18" customHeight="1">
      <c r="A84" s="41" t="str">
        <f>'2014 Existing Rates'!A12</f>
        <v>Sentinel Lighting</v>
      </c>
      <c r="B84" s="147">
        <v>2143.9740663239563</v>
      </c>
      <c r="C84" s="78">
        <f>'Revenue at Prior Year Rates'!M72*'Cost Allocation Study'!$C$87</f>
        <v>2305.752886093218</v>
      </c>
      <c r="D84" s="275">
        <v>128.98920607781551</v>
      </c>
      <c r="E84" s="98">
        <f t="shared" si="40"/>
        <v>2434.7420921710336</v>
      </c>
      <c r="F84" s="99">
        <f t="shared" si="41"/>
        <v>1.1356210555035426</v>
      </c>
      <c r="G84" s="279">
        <v>1.1356210534607714</v>
      </c>
      <c r="H84" s="279">
        <f>G84</f>
        <v>1.1356210534607714</v>
      </c>
      <c r="I84" s="69">
        <f t="shared" si="42"/>
        <v>2434.7420877913851</v>
      </c>
      <c r="J84" s="69">
        <f t="shared" si="43"/>
        <v>128.98920607781551</v>
      </c>
      <c r="K84" s="98">
        <f t="shared" si="44"/>
        <v>2305.7528817135694</v>
      </c>
      <c r="L84" s="105">
        <f t="shared" si="45"/>
        <v>0.8</v>
      </c>
      <c r="M84" s="106">
        <f t="shared" si="45"/>
        <v>1.2</v>
      </c>
      <c r="N84" s="396"/>
      <c r="O84" s="400">
        <f t="shared" si="47"/>
        <v>2.0427712854598212E-9</v>
      </c>
      <c r="P84" s="293" t="str">
        <f t="shared" si="49"/>
        <v xml:space="preserve"> </v>
      </c>
      <c r="Q84" s="412"/>
      <c r="S84" s="384">
        <v>0.90196391132415032</v>
      </c>
      <c r="T84" s="384">
        <f t="shared" si="48"/>
        <v>0.23365714213662103</v>
      </c>
      <c r="W84" s="105">
        <v>0.8</v>
      </c>
      <c r="X84" s="106">
        <v>1.2</v>
      </c>
    </row>
    <row r="85" spans="1:24" ht="18" customHeight="1">
      <c r="A85" s="41" t="str">
        <f>'2014 Existing Rates'!A13</f>
        <v>Unmetered Scattered Load</v>
      </c>
      <c r="B85" s="147">
        <v>70678.956971848806</v>
      </c>
      <c r="C85" s="78">
        <f>'Revenue at Prior Year Rates'!M73*'Cost Allocation Study'!$C$87</f>
        <v>66076.169996197437</v>
      </c>
      <c r="D85" s="147">
        <v>3867.478682240604</v>
      </c>
      <c r="E85" s="98">
        <f t="shared" si="40"/>
        <v>69943.648678438039</v>
      </c>
      <c r="F85" s="99">
        <f t="shared" si="41"/>
        <v>0.98959650333120175</v>
      </c>
      <c r="G85" s="279">
        <v>0.98959650155545376</v>
      </c>
      <c r="H85" s="279">
        <f>G85</f>
        <v>0.98959650155545376</v>
      </c>
      <c r="I85" s="69">
        <f t="shared" si="42"/>
        <v>69943.648552930026</v>
      </c>
      <c r="J85" s="69">
        <f t="shared" si="43"/>
        <v>3867.478682240604</v>
      </c>
      <c r="K85" s="98">
        <f t="shared" si="44"/>
        <v>66076.169870689424</v>
      </c>
      <c r="L85" s="105">
        <f t="shared" si="45"/>
        <v>0.8</v>
      </c>
      <c r="M85" s="106">
        <f t="shared" si="45"/>
        <v>1.2</v>
      </c>
      <c r="N85" s="396"/>
      <c r="O85" s="400">
        <f t="shared" si="47"/>
        <v>1.775747993093546E-9</v>
      </c>
      <c r="P85" s="293" t="str">
        <f t="shared" si="49"/>
        <v xml:space="preserve"> </v>
      </c>
      <c r="Q85" s="412"/>
      <c r="S85" s="384">
        <v>1.2</v>
      </c>
      <c r="T85" s="384">
        <f t="shared" si="48"/>
        <v>-0.2104034984445462</v>
      </c>
      <c r="W85" s="105">
        <v>0.7</v>
      </c>
      <c r="X85" s="106">
        <v>1.2</v>
      </c>
    </row>
    <row r="86" spans="1:24" ht="18" customHeight="1">
      <c r="A86" s="41"/>
      <c r="B86" s="147"/>
      <c r="C86" s="78"/>
      <c r="D86" s="147"/>
      <c r="E86" s="98"/>
      <c r="F86" s="99"/>
      <c r="G86" s="161"/>
      <c r="H86" s="161"/>
      <c r="I86" s="69"/>
      <c r="J86" s="69"/>
      <c r="K86" s="98"/>
      <c r="L86" s="105"/>
      <c r="M86" s="106"/>
      <c r="N86" s="396"/>
      <c r="Q86" s="412"/>
      <c r="W86" s="105"/>
      <c r="X86" s="106"/>
    </row>
    <row r="87" spans="1:24" ht="18" customHeight="1" thickBot="1">
      <c r="A87" s="42" t="s">
        <v>1</v>
      </c>
      <c r="B87" s="96">
        <f>SUM(B78:B86)</f>
        <v>26412383.778457716</v>
      </c>
      <c r="C87" s="43">
        <f>'Revenue Input'!F7</f>
        <v>24974131.412480351</v>
      </c>
      <c r="D87" s="43">
        <f>SUM(D78:D86)</f>
        <v>1438252.4134143395</v>
      </c>
      <c r="E87" s="43">
        <f>SUM(E78:E86)</f>
        <v>26412383.825894687</v>
      </c>
      <c r="F87" s="100"/>
      <c r="G87" s="100"/>
      <c r="H87" s="44"/>
      <c r="I87" s="43">
        <f>SUM(I78:I86)</f>
        <v>26412383.825894695</v>
      </c>
      <c r="J87" s="43">
        <f>SUM(J78:J86)</f>
        <v>1438252.4134143395</v>
      </c>
      <c r="K87" s="43">
        <f>SUM(K78:K86)</f>
        <v>24974131.412480351</v>
      </c>
      <c r="L87" s="98"/>
      <c r="M87" s="107"/>
      <c r="N87" s="283"/>
      <c r="W87" s="98"/>
      <c r="X87" s="107"/>
    </row>
    <row r="88" spans="1:24" ht="13.5" customHeight="1"/>
    <row r="89" spans="1:24">
      <c r="B89" s="97">
        <f>'Revenue Input'!F5</f>
        <v>26412383.825894691</v>
      </c>
      <c r="D89" s="97">
        <f>'Revenue Input'!F6</f>
        <v>1438252.4134143393</v>
      </c>
      <c r="K89" s="97">
        <f>'Revenue Input'!F7</f>
        <v>24974131.412480351</v>
      </c>
    </row>
    <row r="90" spans="1:24">
      <c r="D90" s="97"/>
    </row>
    <row r="91" spans="1:24">
      <c r="B91" s="148">
        <f>B87-B89</f>
        <v>-4.7436974942684174E-2</v>
      </c>
      <c r="D91" s="148">
        <f>D87-D89</f>
        <v>0</v>
      </c>
      <c r="K91" s="524">
        <f>K87-K89</f>
        <v>0</v>
      </c>
    </row>
    <row r="93" spans="1:24">
      <c r="A93" s="162"/>
    </row>
    <row r="99" spans="1:14" ht="13.15">
      <c r="A99" s="404" t="s">
        <v>271</v>
      </c>
      <c r="B99" s="405"/>
      <c r="C99" s="406"/>
      <c r="D99" s="406"/>
    </row>
    <row r="100" spans="1:14" ht="13.15">
      <c r="B100" s="407" t="s">
        <v>273</v>
      </c>
      <c r="C100" s="403" t="s">
        <v>266</v>
      </c>
      <c r="D100" s="403" t="s">
        <v>267</v>
      </c>
      <c r="E100" s="403" t="s">
        <v>268</v>
      </c>
      <c r="F100" s="403" t="s">
        <v>269</v>
      </c>
      <c r="G100" s="403" t="s">
        <v>270</v>
      </c>
      <c r="N100"/>
    </row>
    <row r="101" spans="1:14" ht="13.15">
      <c r="A101" s="41" t="s">
        <v>97</v>
      </c>
      <c r="B101" s="408">
        <v>0.94242944414456209</v>
      </c>
      <c r="C101" s="161">
        <f t="shared" ref="C101:C108" si="50">G5</f>
        <v>0.91234282860812654</v>
      </c>
      <c r="D101" s="161">
        <f t="shared" ref="D101:D108" si="51">G23</f>
        <v>0.94997695522011905</v>
      </c>
      <c r="E101" s="161">
        <f t="shared" ref="E101:E108" si="52">G42</f>
        <v>0.95565422897917529</v>
      </c>
      <c r="F101" s="161">
        <f t="shared" ref="F101:F108" si="53">G60</f>
        <v>0.96582782070188289</v>
      </c>
      <c r="G101" s="161">
        <f t="shared" ref="G101:G108" si="54">G78</f>
        <v>0.97354093322683721</v>
      </c>
      <c r="N101"/>
    </row>
    <row r="102" spans="1:14" ht="13.15">
      <c r="A102" s="41" t="s">
        <v>212</v>
      </c>
      <c r="B102" s="409">
        <v>1.2039973049022392</v>
      </c>
      <c r="C102" s="279">
        <f t="shared" si="50"/>
        <v>1.3378184223038769</v>
      </c>
      <c r="D102" s="279">
        <f t="shared" si="51"/>
        <v>1.2092261240811313</v>
      </c>
      <c r="E102" s="279">
        <f t="shared" si="52"/>
        <v>1.2002395626307159</v>
      </c>
      <c r="F102" s="279">
        <f t="shared" si="53"/>
        <v>1.1868126099977836</v>
      </c>
      <c r="G102" s="279">
        <f t="shared" si="54"/>
        <v>1.1788220510195799</v>
      </c>
      <c r="N102"/>
    </row>
    <row r="103" spans="1:14" ht="13.15">
      <c r="A103" s="41" t="s">
        <v>213</v>
      </c>
      <c r="B103" s="409">
        <v>1.0821235975651298</v>
      </c>
      <c r="C103" s="279">
        <f t="shared" si="50"/>
        <v>1.1171041813808655</v>
      </c>
      <c r="D103" s="279">
        <f t="shared" si="51"/>
        <v>1.1270671789837854</v>
      </c>
      <c r="E103" s="279">
        <f t="shared" si="52"/>
        <v>1.1162771853772055</v>
      </c>
      <c r="F103" s="279">
        <f t="shared" si="53"/>
        <v>1.0857530970723899</v>
      </c>
      <c r="G103" s="279">
        <f t="shared" si="54"/>
        <v>1.0596164867357463</v>
      </c>
      <c r="N103"/>
    </row>
    <row r="104" spans="1:14" ht="13.15">
      <c r="A104" s="41" t="s">
        <v>272</v>
      </c>
      <c r="B104" s="409">
        <v>1.202938597718876</v>
      </c>
      <c r="C104" s="279">
        <f t="shared" si="50"/>
        <v>1.6035274840092615</v>
      </c>
      <c r="D104" s="279">
        <f t="shared" si="51"/>
        <v>1.1739263707522669</v>
      </c>
      <c r="E104" s="279">
        <f t="shared" si="52"/>
        <v>1.1427676594795664</v>
      </c>
      <c r="F104" s="279">
        <f t="shared" si="53"/>
        <v>1.0550627777949622</v>
      </c>
      <c r="G104" s="279">
        <f t="shared" si="54"/>
        <v>1.0250569520250381</v>
      </c>
      <c r="N104"/>
    </row>
    <row r="105" spans="1:14" ht="13.15">
      <c r="A105" s="41" t="s">
        <v>98</v>
      </c>
      <c r="B105" s="409">
        <v>1.1894886016237629</v>
      </c>
      <c r="C105" s="279">
        <f t="shared" si="50"/>
        <v>1.3721322573987182</v>
      </c>
      <c r="D105" s="279">
        <f t="shared" si="51"/>
        <v>1.1522767724682372</v>
      </c>
      <c r="E105" s="279">
        <f t="shared" si="52"/>
        <v>1.1362537050108787</v>
      </c>
      <c r="F105" s="279">
        <f t="shared" si="53"/>
        <v>1.0920714606855251</v>
      </c>
      <c r="G105" s="279">
        <f t="shared" si="54"/>
        <v>1.0301750711480417</v>
      </c>
      <c r="N105"/>
    </row>
    <row r="106" spans="1:14" ht="13.15">
      <c r="A106" s="41" t="s">
        <v>99</v>
      </c>
      <c r="B106" s="409">
        <v>0.85305229288795614</v>
      </c>
      <c r="C106" s="279">
        <f t="shared" si="50"/>
        <v>0.76463982714054324</v>
      </c>
      <c r="D106" s="279">
        <f t="shared" si="51"/>
        <v>0.69474570933485136</v>
      </c>
      <c r="E106" s="279">
        <f t="shared" si="52"/>
        <v>0.683023093887698</v>
      </c>
      <c r="F106" s="279">
        <f t="shared" si="53"/>
        <v>0.71169895271150896</v>
      </c>
      <c r="G106" s="279">
        <f t="shared" si="54"/>
        <v>0.72885686515958981</v>
      </c>
      <c r="N106"/>
    </row>
    <row r="107" spans="1:14" ht="13.15">
      <c r="A107" s="41" t="s">
        <v>208</v>
      </c>
      <c r="B107" s="409">
        <v>0.90196391132415032</v>
      </c>
      <c r="C107" s="279">
        <f t="shared" si="50"/>
        <v>1.0745171334211399</v>
      </c>
      <c r="D107" s="279">
        <f t="shared" si="51"/>
        <v>1.0827904258351302</v>
      </c>
      <c r="E107" s="279">
        <f t="shared" si="52"/>
        <v>1.0838659044002146</v>
      </c>
      <c r="F107" s="279">
        <f t="shared" si="53"/>
        <v>1.1234479574381975</v>
      </c>
      <c r="G107" s="279">
        <f t="shared" si="54"/>
        <v>1.1356210534607714</v>
      </c>
      <c r="N107"/>
    </row>
    <row r="108" spans="1:14" ht="13.15">
      <c r="A108" s="41" t="s">
        <v>207</v>
      </c>
      <c r="B108" s="409">
        <v>1.3808168637734366</v>
      </c>
      <c r="C108" s="279">
        <f t="shared" si="50"/>
        <v>0.87282657390197527</v>
      </c>
      <c r="D108" s="279">
        <f t="shared" si="51"/>
        <v>0.94229052669852276</v>
      </c>
      <c r="E108" s="279">
        <f t="shared" si="52"/>
        <v>0.95482012475086819</v>
      </c>
      <c r="F108" s="279">
        <f t="shared" si="53"/>
        <v>0.99102412521316563</v>
      </c>
      <c r="G108" s="279">
        <f t="shared" si="54"/>
        <v>0.98959650155545376</v>
      </c>
      <c r="N108"/>
    </row>
    <row r="109" spans="1:14">
      <c r="B109" s="281"/>
      <c r="C109" s="281"/>
      <c r="D109" s="281"/>
      <c r="E109" s="281"/>
      <c r="N109"/>
    </row>
    <row r="110" spans="1:14">
      <c r="B110" s="281"/>
      <c r="C110" s="97"/>
      <c r="N110"/>
    </row>
    <row r="112" spans="1:14" ht="13.15">
      <c r="A112" s="314" t="s">
        <v>276</v>
      </c>
      <c r="B112" s="416" t="s">
        <v>275</v>
      </c>
      <c r="C112" s="419" t="s">
        <v>266</v>
      </c>
      <c r="D112" s="419" t="s">
        <v>267</v>
      </c>
      <c r="E112" s="419" t="s">
        <v>268</v>
      </c>
      <c r="F112" s="419" t="s">
        <v>269</v>
      </c>
      <c r="G112" s="419" t="s">
        <v>270</v>
      </c>
    </row>
    <row r="113" spans="1:7">
      <c r="A113" s="269" t="s">
        <v>97</v>
      </c>
      <c r="B113" s="307">
        <v>10753667.621969854</v>
      </c>
      <c r="C113" s="307">
        <f t="shared" ref="C113:C120" si="55">K5</f>
        <v>12845602.595781012</v>
      </c>
      <c r="D113" s="307">
        <f t="shared" ref="D113:D120" si="56">K23</f>
        <v>13924495.105313618</v>
      </c>
      <c r="E113" s="307">
        <f t="shared" ref="E113:E120" si="57">K42</f>
        <v>14340454.505900068</v>
      </c>
      <c r="F113" s="307">
        <f t="shared" ref="F113:F120" si="58">K60</f>
        <v>14942640.234360727</v>
      </c>
      <c r="G113" s="307">
        <f t="shared" ref="G113:G120" si="59">K78</f>
        <v>15758144.608921647</v>
      </c>
    </row>
    <row r="114" spans="1:7">
      <c r="A114" s="269" t="s">
        <v>212</v>
      </c>
      <c r="B114" s="307">
        <v>2575166.1724577588</v>
      </c>
      <c r="C114" s="307">
        <f t="shared" si="55"/>
        <v>2706175.1326604313</v>
      </c>
      <c r="D114" s="307">
        <f t="shared" si="56"/>
        <v>2892921.1914680093</v>
      </c>
      <c r="E114" s="307">
        <f t="shared" si="57"/>
        <v>2976190.8414891833</v>
      </c>
      <c r="F114" s="307">
        <f t="shared" si="58"/>
        <v>3015120.0419699261</v>
      </c>
      <c r="G114" s="307">
        <f t="shared" si="59"/>
        <v>3145670.9813947831</v>
      </c>
    </row>
    <row r="115" spans="1:7">
      <c r="A115" s="269" t="s">
        <v>213</v>
      </c>
      <c r="B115" s="307">
        <v>3505793.3589264285</v>
      </c>
      <c r="C115" s="307">
        <f t="shared" si="55"/>
        <v>3794693.9064651723</v>
      </c>
      <c r="D115" s="307">
        <f t="shared" si="56"/>
        <v>4104624.4810807095</v>
      </c>
      <c r="E115" s="307">
        <f t="shared" si="57"/>
        <v>4221453.6614559507</v>
      </c>
      <c r="F115" s="307">
        <f t="shared" si="58"/>
        <v>4231367.316953782</v>
      </c>
      <c r="G115" s="307">
        <f t="shared" si="59"/>
        <v>4416293.7212957591</v>
      </c>
    </row>
    <row r="116" spans="1:7">
      <c r="A116" s="269" t="s">
        <v>214</v>
      </c>
      <c r="B116" s="307">
        <v>465942.74442779453</v>
      </c>
      <c r="C116" s="307">
        <f t="shared" si="55"/>
        <v>480277.74348804652</v>
      </c>
      <c r="D116" s="307">
        <f t="shared" si="56"/>
        <v>512996.28128129395</v>
      </c>
      <c r="E116" s="307">
        <f t="shared" si="57"/>
        <v>521506.09053895983</v>
      </c>
      <c r="F116" s="307">
        <f t="shared" si="58"/>
        <v>507878.71038404747</v>
      </c>
      <c r="G116" s="307">
        <f t="shared" si="59"/>
        <v>545909.27967460547</v>
      </c>
    </row>
    <row r="117" spans="1:7">
      <c r="A117" s="269" t="s">
        <v>98</v>
      </c>
      <c r="B117" s="307">
        <v>197547.26524426189</v>
      </c>
      <c r="C117" s="307">
        <f t="shared" si="55"/>
        <v>226135.53988316999</v>
      </c>
      <c r="D117" s="307">
        <f t="shared" si="56"/>
        <v>241692.35597608244</v>
      </c>
      <c r="E117" s="307">
        <f t="shared" si="57"/>
        <v>247231.65297761772</v>
      </c>
      <c r="F117" s="307">
        <f t="shared" si="58"/>
        <v>246598.40177299242</v>
      </c>
      <c r="G117" s="307">
        <f t="shared" si="59"/>
        <v>253274.0101964004</v>
      </c>
    </row>
    <row r="118" spans="1:7">
      <c r="A118" s="269" t="s">
        <v>99</v>
      </c>
      <c r="B118" s="307">
        <v>696348.83311384264</v>
      </c>
      <c r="C118" s="307">
        <f t="shared" si="55"/>
        <v>861202.34860017814</v>
      </c>
      <c r="D118" s="307">
        <f t="shared" si="56"/>
        <v>697028.28377216973</v>
      </c>
      <c r="E118" s="307">
        <f t="shared" si="57"/>
        <v>705995.88622365647</v>
      </c>
      <c r="F118" s="307">
        <f t="shared" si="58"/>
        <v>732092.04998941428</v>
      </c>
      <c r="G118" s="307">
        <f t="shared" si="59"/>
        <v>786456.88824475557</v>
      </c>
    </row>
    <row r="119" spans="1:7">
      <c r="A119" s="269" t="s">
        <v>208</v>
      </c>
      <c r="B119" s="307">
        <v>1826.1271783128507</v>
      </c>
      <c r="C119" s="307">
        <f t="shared" si="55"/>
        <v>2070.6345799380219</v>
      </c>
      <c r="D119" s="307">
        <f t="shared" si="56"/>
        <v>2138.9452176317882</v>
      </c>
      <c r="E119" s="307">
        <f t="shared" si="57"/>
        <v>2110.4052919270061</v>
      </c>
      <c r="F119" s="307">
        <f t="shared" si="58"/>
        <v>2285.3900973216196</v>
      </c>
      <c r="G119" s="307">
        <f t="shared" si="59"/>
        <v>2305.7528817135694</v>
      </c>
    </row>
    <row r="120" spans="1:7">
      <c r="A120" s="269" t="s">
        <v>207</v>
      </c>
      <c r="B120" s="307">
        <v>54793.161726788647</v>
      </c>
      <c r="C120" s="307">
        <f t="shared" si="55"/>
        <v>59028.186950306343</v>
      </c>
      <c r="D120" s="307">
        <f t="shared" si="56"/>
        <v>62888.528108738392</v>
      </c>
      <c r="E120" s="307">
        <f t="shared" si="57"/>
        <v>64056.184223041935</v>
      </c>
      <c r="F120" s="307">
        <f t="shared" si="58"/>
        <v>62548.295949943567</v>
      </c>
      <c r="G120" s="307">
        <f t="shared" si="59"/>
        <v>66076.169870689424</v>
      </c>
    </row>
    <row r="121" spans="1:7">
      <c r="A121" s="269"/>
      <c r="B121" s="307"/>
      <c r="C121" s="307"/>
      <c r="D121" s="307"/>
      <c r="E121" s="307"/>
      <c r="F121" s="307"/>
      <c r="G121" s="307"/>
    </row>
    <row r="122" spans="1:7" ht="13.5" thickBot="1">
      <c r="A122" s="418" t="s">
        <v>1</v>
      </c>
      <c r="B122" s="333">
        <f>SUM(B113:B121)</f>
        <v>18251085.285045035</v>
      </c>
      <c r="C122" s="333">
        <f t="shared" ref="C122:G122" si="60">SUM(C113:C121)</f>
        <v>20975186.088408258</v>
      </c>
      <c r="D122" s="333">
        <f t="shared" si="60"/>
        <v>22438785.172218252</v>
      </c>
      <c r="E122" s="333">
        <f t="shared" si="60"/>
        <v>23078999.228100404</v>
      </c>
      <c r="F122" s="333">
        <f t="shared" si="60"/>
        <v>23740530.441478152</v>
      </c>
      <c r="G122" s="333">
        <f t="shared" si="60"/>
        <v>24974131.412480351</v>
      </c>
    </row>
    <row r="123" spans="1:7" ht="13.15" thickTop="1">
      <c r="A123" s="281"/>
      <c r="B123" s="307"/>
      <c r="C123" s="307"/>
      <c r="D123" s="307"/>
      <c r="E123" s="307"/>
      <c r="F123" s="307"/>
      <c r="G123" s="307"/>
    </row>
    <row r="124" spans="1:7">
      <c r="A124" s="281"/>
      <c r="B124" s="307"/>
      <c r="C124" s="307"/>
      <c r="D124" s="307"/>
      <c r="E124" s="307"/>
      <c r="F124" s="307"/>
      <c r="G124" s="307"/>
    </row>
    <row r="125" spans="1:7" ht="13.15">
      <c r="A125" s="314" t="s">
        <v>23</v>
      </c>
      <c r="B125" s="417" t="s">
        <v>274</v>
      </c>
      <c r="C125" s="419" t="s">
        <v>266</v>
      </c>
      <c r="D125" s="419" t="s">
        <v>267</v>
      </c>
      <c r="E125" s="419" t="s">
        <v>268</v>
      </c>
      <c r="F125" s="419" t="s">
        <v>269</v>
      </c>
      <c r="G125" s="419" t="s">
        <v>270</v>
      </c>
    </row>
    <row r="126" spans="1:7">
      <c r="A126" s="269" t="s">
        <v>97</v>
      </c>
      <c r="B126" s="347">
        <f t="shared" ref="B126:B133" si="61">B113/$B$122</f>
        <v>0.58920702270683178</v>
      </c>
      <c r="C126" s="347">
        <f>C113/C$122</f>
        <v>0.61241900508715941</v>
      </c>
      <c r="D126" s="347">
        <f t="shared" ref="D126:G126" si="62">D113/D$122</f>
        <v>0.62055476704477364</v>
      </c>
      <c r="E126" s="347">
        <f t="shared" si="62"/>
        <v>0.62136379329825941</v>
      </c>
      <c r="F126" s="347">
        <f t="shared" si="62"/>
        <v>0.6294147584947708</v>
      </c>
      <c r="G126" s="347">
        <f t="shared" si="62"/>
        <v>0.63097868545077052</v>
      </c>
    </row>
    <row r="127" spans="1:7">
      <c r="A127" s="269" t="s">
        <v>212</v>
      </c>
      <c r="B127" s="347">
        <f t="shared" si="61"/>
        <v>0.14109660506423985</v>
      </c>
      <c r="C127" s="347">
        <f t="shared" ref="C127:G133" si="63">C114/C$122</f>
        <v>0.12901793201043274</v>
      </c>
      <c r="D127" s="347">
        <f t="shared" si="63"/>
        <v>0.128925036238137</v>
      </c>
      <c r="E127" s="347">
        <f t="shared" si="63"/>
        <v>0.12895666801121292</v>
      </c>
      <c r="F127" s="347">
        <f t="shared" si="63"/>
        <v>0.12700306125856708</v>
      </c>
      <c r="G127" s="347">
        <f t="shared" si="63"/>
        <v>0.12595717262153883</v>
      </c>
    </row>
    <row r="128" spans="1:7">
      <c r="A128" s="269" t="s">
        <v>213</v>
      </c>
      <c r="B128" s="347">
        <f t="shared" si="61"/>
        <v>0.19208684328482539</v>
      </c>
      <c r="C128" s="347">
        <f t="shared" si="63"/>
        <v>0.18091347988384593</v>
      </c>
      <c r="D128" s="347">
        <f t="shared" si="63"/>
        <v>0.18292543244108855</v>
      </c>
      <c r="E128" s="347">
        <f t="shared" si="63"/>
        <v>0.18291320259311833</v>
      </c>
      <c r="F128" s="347">
        <f t="shared" si="63"/>
        <v>0.17823389950718915</v>
      </c>
      <c r="G128" s="347">
        <f t="shared" si="63"/>
        <v>0.17683472743675882</v>
      </c>
    </row>
    <row r="129" spans="1:7">
      <c r="A129" s="269" t="s">
        <v>214</v>
      </c>
      <c r="B129" s="30">
        <f t="shared" si="61"/>
        <v>2.5529591098321626E-2</v>
      </c>
      <c r="C129" s="30">
        <f t="shared" si="63"/>
        <v>2.2897424674266302E-2</v>
      </c>
      <c r="D129" s="30">
        <f t="shared" si="63"/>
        <v>2.2862034523885064E-2</v>
      </c>
      <c r="E129" s="30">
        <f t="shared" si="63"/>
        <v>2.2596564321731388E-2</v>
      </c>
      <c r="F129" s="30">
        <f t="shared" si="63"/>
        <v>2.139289649133996E-2</v>
      </c>
      <c r="G129" s="30">
        <f t="shared" si="63"/>
        <v>2.1858989634442206E-2</v>
      </c>
    </row>
    <row r="130" spans="1:7">
      <c r="A130" s="269" t="s">
        <v>98</v>
      </c>
      <c r="B130" s="30">
        <f t="shared" si="61"/>
        <v>1.0823864014603691E-2</v>
      </c>
      <c r="C130" s="30">
        <f t="shared" si="63"/>
        <v>1.0781098147593631E-2</v>
      </c>
      <c r="D130" s="30">
        <f t="shared" si="63"/>
        <v>1.0771187215399025E-2</v>
      </c>
      <c r="E130" s="30">
        <f t="shared" si="63"/>
        <v>1.0712407870640886E-2</v>
      </c>
      <c r="F130" s="30">
        <f t="shared" si="63"/>
        <v>1.0387232180042163E-2</v>
      </c>
      <c r="G130" s="30">
        <f t="shared" si="63"/>
        <v>1.0141454211690082E-2</v>
      </c>
    </row>
    <row r="131" spans="1:7">
      <c r="A131" s="269" t="s">
        <v>99</v>
      </c>
      <c r="B131" s="30">
        <f t="shared" si="61"/>
        <v>3.8153831524990564E-2</v>
      </c>
      <c r="C131" s="30">
        <f t="shared" si="63"/>
        <v>4.1058150567546747E-2</v>
      </c>
      <c r="D131" s="30">
        <f t="shared" si="63"/>
        <v>3.1063548156571748E-2</v>
      </c>
      <c r="E131" s="30">
        <f t="shared" si="63"/>
        <v>3.0590402956643534E-2</v>
      </c>
      <c r="F131" s="30">
        <f t="shared" si="63"/>
        <v>3.0837223784618697E-2</v>
      </c>
      <c r="G131" s="30">
        <f t="shared" si="63"/>
        <v>3.149086049301953E-2</v>
      </c>
    </row>
    <row r="132" spans="1:7">
      <c r="A132" s="269" t="s">
        <v>208</v>
      </c>
      <c r="B132" s="30">
        <f t="shared" si="61"/>
        <v>1.0005581310877889E-4</v>
      </c>
      <c r="C132" s="30">
        <f t="shared" si="63"/>
        <v>9.8718293664261649E-5</v>
      </c>
      <c r="D132" s="30">
        <f t="shared" si="63"/>
        <v>9.5323574837734252E-5</v>
      </c>
      <c r="E132" s="30">
        <f t="shared" si="63"/>
        <v>9.1442669201939668E-5</v>
      </c>
      <c r="F132" s="30">
        <f t="shared" si="63"/>
        <v>9.6265334212108062E-5</v>
      </c>
      <c r="G132" s="30">
        <f t="shared" si="63"/>
        <v>9.232564863342206E-5</v>
      </c>
    </row>
    <row r="133" spans="1:7">
      <c r="A133" s="269" t="s">
        <v>207</v>
      </c>
      <c r="B133" s="30">
        <f t="shared" si="61"/>
        <v>3.0021864930786465E-3</v>
      </c>
      <c r="C133" s="30">
        <f t="shared" si="63"/>
        <v>2.8141913354908315E-3</v>
      </c>
      <c r="D133" s="30">
        <f t="shared" si="63"/>
        <v>2.8026708053072984E-3</v>
      </c>
      <c r="E133" s="30">
        <f t="shared" si="63"/>
        <v>2.7755182791916189E-3</v>
      </c>
      <c r="F133" s="30">
        <f t="shared" si="63"/>
        <v>2.6346629492600814E-3</v>
      </c>
      <c r="G133" s="30">
        <f t="shared" si="63"/>
        <v>2.6457845031466884E-3</v>
      </c>
    </row>
    <row r="134" spans="1:7">
      <c r="A134" s="269"/>
      <c r="B134" s="347"/>
      <c r="C134" s="347"/>
      <c r="D134" s="347"/>
      <c r="E134" s="347"/>
      <c r="F134" s="347"/>
      <c r="G134" s="347"/>
    </row>
    <row r="135" spans="1:7" ht="13.5" thickBot="1">
      <c r="A135" s="418" t="s">
        <v>1</v>
      </c>
      <c r="B135" s="415">
        <f>B122/$B$122</f>
        <v>1</v>
      </c>
      <c r="C135" s="415">
        <f>SUM(C126:C133)</f>
        <v>0.99999999999999978</v>
      </c>
      <c r="D135" s="415">
        <f t="shared" ref="D135:G135" si="64">SUM(D126:D133)</f>
        <v>1</v>
      </c>
      <c r="E135" s="415">
        <f t="shared" si="64"/>
        <v>1</v>
      </c>
      <c r="F135" s="415">
        <f t="shared" si="64"/>
        <v>1</v>
      </c>
      <c r="G135" s="415">
        <f t="shared" si="64"/>
        <v>1</v>
      </c>
    </row>
    <row r="136" spans="1:7" ht="13.15" thickTop="1">
      <c r="C136" s="97"/>
      <c r="D136" s="97"/>
      <c r="E136" s="97"/>
      <c r="F136" s="97"/>
      <c r="G136" s="97"/>
    </row>
    <row r="137" spans="1:7">
      <c r="D137" s="281"/>
      <c r="E137" s="281"/>
      <c r="F137" s="281"/>
      <c r="G137" s="281"/>
    </row>
  </sheetData>
  <mergeCells count="7">
    <mergeCell ref="A40:K40"/>
    <mergeCell ref="A58:K58"/>
    <mergeCell ref="A76:K76"/>
    <mergeCell ref="A3:K3"/>
    <mergeCell ref="A1:M1"/>
    <mergeCell ref="A2:M2"/>
    <mergeCell ref="A21:K21"/>
  </mergeCells>
  <phoneticPr fontId="0" type="noConversion"/>
  <pageMargins left="0.74803149606299213" right="0.74803149606299213" top="0.98425196850393704" bottom="0.98425196850393704" header="0.51181102362204722" footer="0.51181102362204722"/>
  <pageSetup scale="57" orientation="landscape" verticalDpi="355" r:id="rId1"/>
  <headerFooter alignWithMargins="0">
    <oddFooter>&amp;L&amp;Z&amp;F&amp;A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77"/>
  <sheetViews>
    <sheetView topLeftCell="A91" zoomScale="90" zoomScaleNormal="90" workbookViewId="0">
      <selection activeCell="K129" sqref="K129"/>
    </sheetView>
  </sheetViews>
  <sheetFormatPr defaultRowHeight="12.75"/>
  <cols>
    <col min="1" max="1" width="31.53125" customWidth="1"/>
    <col min="2" max="2" width="15.73046875" style="101" customWidth="1"/>
    <col min="3" max="3" width="13.53125" customWidth="1"/>
    <col min="4" max="4" width="13.73046875" customWidth="1"/>
    <col min="5" max="5" width="14.796875" customWidth="1"/>
    <col min="6" max="7" width="15.73046875" customWidth="1"/>
    <col min="8" max="8" width="13.46484375" bestFit="1" customWidth="1"/>
    <col min="9" max="9" width="15.73046875" customWidth="1"/>
    <col min="10" max="10" width="16.19921875" customWidth="1"/>
    <col min="11" max="11" width="18.19921875" style="307" customWidth="1"/>
    <col min="12" max="12" width="11.796875" style="293" customWidth="1"/>
    <col min="16" max="17" width="14.73046875" customWidth="1"/>
    <col min="18" max="18" width="15" style="293" customWidth="1"/>
    <col min="19" max="19" width="10.53125" customWidth="1"/>
  </cols>
  <sheetData>
    <row r="1" spans="1:21">
      <c r="A1" s="625" t="str">
        <f>+'Revenue Input'!A1</f>
        <v>Oshawa PUC Networks Inc</v>
      </c>
      <c r="B1" s="625"/>
      <c r="C1" s="625"/>
      <c r="D1" s="625"/>
      <c r="E1" s="625"/>
      <c r="F1" s="625"/>
      <c r="G1" s="625"/>
      <c r="H1" s="625"/>
      <c r="I1" s="625"/>
    </row>
    <row r="2" spans="1:21">
      <c r="A2" s="290"/>
      <c r="B2" s="290"/>
      <c r="C2" s="290"/>
      <c r="D2" s="290"/>
      <c r="E2" s="290"/>
      <c r="F2" s="290"/>
      <c r="G2" s="290"/>
      <c r="H2" s="290"/>
      <c r="I2" s="290"/>
    </row>
    <row r="3" spans="1:21" ht="17.649999999999999">
      <c r="A3" s="626" t="s">
        <v>121</v>
      </c>
      <c r="B3" s="626"/>
      <c r="C3" s="626"/>
      <c r="D3" s="626"/>
      <c r="E3" s="626"/>
      <c r="F3" s="626"/>
      <c r="G3" s="626"/>
      <c r="H3" s="626"/>
      <c r="I3" s="626"/>
    </row>
    <row r="4" spans="1:21" ht="13.15">
      <c r="A4" s="310"/>
      <c r="B4" s="310"/>
      <c r="C4" s="310"/>
      <c r="D4" s="310"/>
      <c r="E4" s="310"/>
      <c r="F4" s="310"/>
      <c r="G4" s="310"/>
      <c r="H4" s="310"/>
      <c r="I4" s="310"/>
      <c r="L4" s="531"/>
      <c r="M4" s="532"/>
      <c r="N4" s="533" t="s">
        <v>299</v>
      </c>
      <c r="O4" s="532"/>
      <c r="P4" s="532"/>
      <c r="Q4" s="532"/>
      <c r="R4" s="531"/>
      <c r="S4" s="532"/>
      <c r="T4" s="532"/>
      <c r="U4" s="532"/>
    </row>
    <row r="5" spans="1:21" ht="39.4">
      <c r="A5" s="138" t="s">
        <v>0</v>
      </c>
      <c r="B5" s="149" t="s">
        <v>63</v>
      </c>
      <c r="C5" s="138" t="s">
        <v>51</v>
      </c>
      <c r="D5" s="138" t="s">
        <v>2</v>
      </c>
      <c r="E5" s="138" t="s">
        <v>109</v>
      </c>
      <c r="F5" s="138" t="s">
        <v>3</v>
      </c>
      <c r="G5" s="138" t="s">
        <v>4</v>
      </c>
      <c r="H5" s="138" t="s">
        <v>5</v>
      </c>
      <c r="I5" s="138" t="s">
        <v>64</v>
      </c>
      <c r="L5" s="531"/>
      <c r="M5" s="532"/>
      <c r="N5" s="532"/>
      <c r="O5" s="532"/>
      <c r="P5" s="534" t="s">
        <v>97</v>
      </c>
      <c r="Q5" s="534" t="s">
        <v>301</v>
      </c>
      <c r="R5" s="531"/>
      <c r="S5" s="532"/>
      <c r="T5" s="532"/>
      <c r="U5" s="532"/>
    </row>
    <row r="6" spans="1:21" ht="13.15">
      <c r="A6" s="274" t="str">
        <f>'Cost Allocation Study'!A5</f>
        <v>Residential</v>
      </c>
      <c r="B6" s="69">
        <f>'Cost Allocation Study'!K5</f>
        <v>12845602.595781012</v>
      </c>
      <c r="C6" s="45">
        <f>+B6/$B$15</f>
        <v>0.61241900508715941</v>
      </c>
      <c r="D6" s="46">
        <f t="shared" ref="D6:D13" si="0">J21</f>
        <v>10.5</v>
      </c>
      <c r="E6" s="58">
        <f>ROUND(+G6/'Forecast Data For 2015 to 2019'!$C$6,4)</f>
        <v>1.32E-2</v>
      </c>
      <c r="F6" s="59">
        <f>+D6*'Forecast Data For 2015 to 2019'!$C$5*12</f>
        <v>6423143.2535128137</v>
      </c>
      <c r="G6" s="59">
        <f t="shared" ref="G6:G13" si="1">+B6-F6</f>
        <v>6422459.3422681978</v>
      </c>
      <c r="H6" s="60"/>
      <c r="I6" s="83">
        <f>+F6+G6+H6</f>
        <v>12845602.595781012</v>
      </c>
      <c r="L6" s="531"/>
      <c r="M6" s="532"/>
      <c r="N6" s="535" t="s">
        <v>300</v>
      </c>
      <c r="O6" s="536" t="s">
        <v>315</v>
      </c>
      <c r="P6" s="537">
        <f>I21</f>
        <v>0.5</v>
      </c>
      <c r="Q6" s="537">
        <f>I22</f>
        <v>0.27</v>
      </c>
      <c r="R6" s="538"/>
      <c r="S6" s="539"/>
      <c r="T6" s="539"/>
      <c r="U6" s="532"/>
    </row>
    <row r="7" spans="1:21" ht="13.15">
      <c r="A7" s="274" t="str">
        <f>'Cost Allocation Study'!A6</f>
        <v>GS Less Than 50 KW</v>
      </c>
      <c r="B7" s="69">
        <f>'Cost Allocation Study'!K6</f>
        <v>2706175.1326604313</v>
      </c>
      <c r="C7" s="45">
        <f t="shared" ref="C7:C13" si="2">+B7/$B$15</f>
        <v>0.12901793201043274</v>
      </c>
      <c r="D7" s="46">
        <f t="shared" si="0"/>
        <v>15.21</v>
      </c>
      <c r="E7" s="58">
        <f>ROUND(+G7/'Forecast Data For 2015 to 2019'!$C$8,4)</f>
        <v>1.47E-2</v>
      </c>
      <c r="F7" s="59">
        <f>+D7*'Forecast Data For 2015 to 2019'!$C$7*12</f>
        <v>730530.51404104359</v>
      </c>
      <c r="G7" s="59">
        <f t="shared" si="1"/>
        <v>1975644.6186193877</v>
      </c>
      <c r="H7" s="60"/>
      <c r="I7" s="83">
        <f t="shared" ref="I7:I13" si="3">+F7+G7+H7</f>
        <v>2706175.1326604313</v>
      </c>
      <c r="L7" s="531"/>
      <c r="M7" s="532"/>
      <c r="N7" s="535"/>
      <c r="O7" s="539"/>
      <c r="P7" s="537"/>
      <c r="Q7" s="537"/>
      <c r="R7" s="538"/>
      <c r="S7" s="539"/>
      <c r="T7" s="539"/>
      <c r="U7" s="532"/>
    </row>
    <row r="8" spans="1:21" ht="13.15">
      <c r="A8" s="274" t="str">
        <f>'Cost Allocation Study'!A7</f>
        <v>GS 50 To 999 KW</v>
      </c>
      <c r="B8" s="69">
        <f>'Cost Allocation Study'!K7</f>
        <v>3794693.9064651723</v>
      </c>
      <c r="C8" s="45">
        <f t="shared" si="2"/>
        <v>0.18091347988384593</v>
      </c>
      <c r="D8" s="46">
        <f t="shared" si="0"/>
        <v>48.76</v>
      </c>
      <c r="E8" s="58">
        <f>ROUND((+G8+H8)/'Forecast Data For 2015 to 2019'!$C$10,4)</f>
        <v>4.1839000000000004</v>
      </c>
      <c r="F8" s="59">
        <f>+D8*'Forecast Data For 2015 to 2019'!$C$9*12</f>
        <v>296655.83999999997</v>
      </c>
      <c r="G8" s="59">
        <f t="shared" si="1"/>
        <v>3498038.0664651725</v>
      </c>
      <c r="H8" s="59">
        <f>-'Transformer Allowance'!C22</f>
        <v>66477.515050139424</v>
      </c>
      <c r="I8" s="83">
        <f t="shared" si="3"/>
        <v>3861171.4215153116</v>
      </c>
      <c r="L8" s="531"/>
      <c r="M8" s="532"/>
      <c r="N8" s="535" t="s">
        <v>302</v>
      </c>
      <c r="O8" s="539"/>
      <c r="P8" s="537">
        <v>0.62239999999999995</v>
      </c>
      <c r="Q8" s="537">
        <v>0.59160000000000001</v>
      </c>
      <c r="R8" s="540" t="s">
        <v>305</v>
      </c>
      <c r="S8" s="539"/>
      <c r="T8" s="539"/>
      <c r="U8" s="532"/>
    </row>
    <row r="9" spans="1:21" ht="13.15">
      <c r="A9" s="274" t="str">
        <f>'Cost Allocation Study'!A8</f>
        <v>GS Intermediate 1,000 To 4,999 KW</v>
      </c>
      <c r="B9" s="69">
        <f>'Cost Allocation Study'!K8</f>
        <v>480277.74348804652</v>
      </c>
      <c r="C9" s="45">
        <f t="shared" si="2"/>
        <v>2.2897424674266302E-2</v>
      </c>
      <c r="D9" s="46">
        <f t="shared" si="0"/>
        <v>1024.6300000000001</v>
      </c>
      <c r="E9" s="58">
        <f>ROUND((+G9+H9)/'Forecast Data For 2015 to 2019'!$C$13,4)</f>
        <v>2.2648999999999999</v>
      </c>
      <c r="F9" s="59">
        <f>+D9*'Forecast Data For 2015 to 2019'!$C$12*12</f>
        <v>147546.72000000003</v>
      </c>
      <c r="G9" s="59">
        <f t="shared" si="1"/>
        <v>332731.02348804648</v>
      </c>
      <c r="H9" s="59">
        <f>-'Transformer Allowance'!C23</f>
        <v>109679.6171671044</v>
      </c>
      <c r="I9" s="83">
        <f t="shared" si="3"/>
        <v>589957.36065515096</v>
      </c>
      <c r="L9" s="531"/>
      <c r="M9" s="532"/>
      <c r="N9" s="535" t="s">
        <v>303</v>
      </c>
      <c r="O9" s="539"/>
      <c r="P9" s="537">
        <v>0.51300000000000001</v>
      </c>
      <c r="Q9" s="537">
        <v>0.25900000000000001</v>
      </c>
      <c r="R9" s="540" t="s">
        <v>305</v>
      </c>
      <c r="S9" s="539"/>
      <c r="T9" s="539"/>
      <c r="U9" s="532"/>
    </row>
    <row r="10" spans="1:21" ht="13.15">
      <c r="A10" s="274" t="str">
        <f>'Cost Allocation Study'!A9</f>
        <v>Large Use</v>
      </c>
      <c r="B10" s="69">
        <f>'Cost Allocation Study'!K9</f>
        <v>226135.53988316999</v>
      </c>
      <c r="C10" s="45">
        <f t="shared" si="2"/>
        <v>1.0781098147593631E-2</v>
      </c>
      <c r="D10" s="46">
        <f t="shared" si="0"/>
        <v>7812.41</v>
      </c>
      <c r="E10" s="58">
        <f>ROUND((+G10+H10)/'Forecast Data For 2015 to 2019'!$C$16,4)</f>
        <v>1.9725999999999999</v>
      </c>
      <c r="F10" s="59">
        <f>+D10*'Forecast Data For 2015 to 2019'!$C$15*12</f>
        <v>93748.92</v>
      </c>
      <c r="G10" s="59">
        <f t="shared" si="1"/>
        <v>132386.61988317</v>
      </c>
      <c r="H10" s="59">
        <f>-'Transformer Allowance'!C24</f>
        <v>57870.53202541967</v>
      </c>
      <c r="I10" s="83">
        <f t="shared" si="3"/>
        <v>284006.07190858969</v>
      </c>
      <c r="L10" s="531"/>
      <c r="M10" s="532"/>
      <c r="N10" s="535" t="s">
        <v>304</v>
      </c>
      <c r="O10" s="539"/>
      <c r="P10" s="537">
        <v>0.65129999999999999</v>
      </c>
      <c r="Q10" s="537">
        <v>0.31659999999999999</v>
      </c>
      <c r="R10" s="538"/>
      <c r="S10" s="539"/>
      <c r="T10" s="539"/>
      <c r="U10" s="532"/>
    </row>
    <row r="11" spans="1:21" ht="13.15">
      <c r="A11" s="274" t="str">
        <f>'Cost Allocation Study'!A10</f>
        <v>Street Lighting</v>
      </c>
      <c r="B11" s="69">
        <f>'Cost Allocation Study'!K10</f>
        <v>861202.34860017814</v>
      </c>
      <c r="C11" s="45">
        <f t="shared" si="2"/>
        <v>4.1058150567546747E-2</v>
      </c>
      <c r="D11" s="46">
        <f t="shared" si="0"/>
        <v>1.65</v>
      </c>
      <c r="E11" s="58">
        <f>ROUND((+G11+H11)/'Forecast Data For 2015 to 2019'!$C$19,4)</f>
        <v>25.491599999999998</v>
      </c>
      <c r="F11" s="59">
        <f>+D11*'Forecast Data For 2015 to 2019'!$C$18*12</f>
        <v>251654.96989374128</v>
      </c>
      <c r="G11" s="59">
        <f t="shared" si="1"/>
        <v>609547.37870643684</v>
      </c>
      <c r="H11" s="59">
        <f>-'Transformer Allowance'!C25</f>
        <v>0</v>
      </c>
      <c r="I11" s="83">
        <f t="shared" si="3"/>
        <v>861202.34860017814</v>
      </c>
      <c r="L11" s="531"/>
      <c r="M11" s="532"/>
      <c r="N11" s="535" t="s">
        <v>307</v>
      </c>
      <c r="O11" s="539"/>
      <c r="P11" s="537">
        <v>0.48</v>
      </c>
      <c r="Q11" s="537">
        <v>0.31</v>
      </c>
      <c r="R11" s="540" t="s">
        <v>316</v>
      </c>
      <c r="S11" s="539"/>
      <c r="T11" s="539"/>
      <c r="U11" s="532"/>
    </row>
    <row r="12" spans="1:21" ht="13.15">
      <c r="A12" s="274" t="str">
        <f>'Cost Allocation Study'!A11</f>
        <v>Sentinel Lighting</v>
      </c>
      <c r="B12" s="69">
        <f>'Cost Allocation Study'!K11</f>
        <v>2070.6345799380219</v>
      </c>
      <c r="C12" s="45">
        <f t="shared" si="2"/>
        <v>9.8718293664261649E-5</v>
      </c>
      <c r="D12" s="46">
        <f t="shared" si="0"/>
        <v>4.91</v>
      </c>
      <c r="E12" s="58">
        <f>ROUND((+G12+H12)/'Forecast Data For 2015 to 2019'!$C$22,4)</f>
        <v>7.0133000000000001</v>
      </c>
      <c r="F12" s="59">
        <f>+D12*'Forecast Data For 2015 to 2019'!$C$21*12</f>
        <v>1368.1886810626627</v>
      </c>
      <c r="G12" s="59">
        <f t="shared" si="1"/>
        <v>702.44589887535926</v>
      </c>
      <c r="H12" s="60"/>
      <c r="I12" s="83">
        <f t="shared" si="3"/>
        <v>2070.6345799380219</v>
      </c>
      <c r="L12" s="531"/>
      <c r="M12" s="532"/>
      <c r="N12" s="535" t="s">
        <v>308</v>
      </c>
      <c r="O12" s="539"/>
      <c r="P12" s="537">
        <v>0.56279999999999997</v>
      </c>
      <c r="Q12" s="537">
        <v>0.47149999999999997</v>
      </c>
      <c r="R12" s="538"/>
      <c r="S12" s="539"/>
      <c r="T12" s="539"/>
      <c r="U12" s="532"/>
    </row>
    <row r="13" spans="1:21" ht="13.15">
      <c r="A13" s="274" t="str">
        <f>'Cost Allocation Study'!A12</f>
        <v>Unmetered Scattered Load</v>
      </c>
      <c r="B13" s="69">
        <f>'Cost Allocation Study'!K12</f>
        <v>59028.186950306343</v>
      </c>
      <c r="C13" s="45">
        <f t="shared" si="2"/>
        <v>2.8141913354908315E-3</v>
      </c>
      <c r="D13" s="46">
        <f t="shared" si="0"/>
        <v>4.07</v>
      </c>
      <c r="E13" s="58">
        <f>ROUND(+G13/'Forecast Data For 2015 to 2019'!$C$26,4)</f>
        <v>1.66E-2</v>
      </c>
      <c r="F13" s="59">
        <f>+D13*'Forecast Data For 2015 to 2019'!$C$24*12</f>
        <v>14447.861233311905</v>
      </c>
      <c r="G13" s="59">
        <f t="shared" si="1"/>
        <v>44580.325716994441</v>
      </c>
      <c r="H13" s="60"/>
      <c r="I13" s="83">
        <f t="shared" si="3"/>
        <v>59028.18695030635</v>
      </c>
      <c r="L13" s="531"/>
      <c r="M13" s="532"/>
      <c r="N13" s="535" t="s">
        <v>310</v>
      </c>
      <c r="O13" s="539"/>
      <c r="P13" s="537">
        <v>0.55000000000000004</v>
      </c>
      <c r="Q13" s="537">
        <v>0.35</v>
      </c>
      <c r="R13" s="540" t="s">
        <v>311</v>
      </c>
      <c r="S13" s="539"/>
      <c r="T13" s="539"/>
      <c r="U13" s="532"/>
    </row>
    <row r="14" spans="1:21">
      <c r="A14" s="274"/>
      <c r="B14" s="69"/>
      <c r="C14" s="45"/>
      <c r="D14" s="46"/>
      <c r="E14" s="58"/>
      <c r="F14" s="59"/>
      <c r="G14" s="59"/>
      <c r="H14" s="60"/>
      <c r="I14" s="83"/>
      <c r="L14" s="531"/>
      <c r="M14" s="532"/>
      <c r="N14" s="541"/>
      <c r="O14" s="539"/>
      <c r="P14" s="539"/>
      <c r="Q14" s="539"/>
      <c r="R14" s="538"/>
      <c r="S14" s="539"/>
      <c r="T14" s="539"/>
      <c r="U14" s="532"/>
    </row>
    <row r="15" spans="1:21" ht="18" customHeight="1" thickBot="1">
      <c r="A15" s="50" t="s">
        <v>1</v>
      </c>
      <c r="B15" s="102">
        <f>SUM(B6:B14)</f>
        <v>20975186.088408258</v>
      </c>
      <c r="C15" s="54">
        <f>SUM(C6:C14)</f>
        <v>0.99999999999999978</v>
      </c>
      <c r="D15" s="55"/>
      <c r="E15" s="56"/>
      <c r="F15" s="53">
        <f t="shared" ref="F15:I15" si="4">SUM(F6:F14)</f>
        <v>7959096.2673619725</v>
      </c>
      <c r="G15" s="53">
        <f t="shared" si="4"/>
        <v>13016089.821046282</v>
      </c>
      <c r="H15" s="53">
        <f t="shared" si="4"/>
        <v>234027.66424266351</v>
      </c>
      <c r="I15" s="53">
        <f t="shared" si="4"/>
        <v>21209213.75265092</v>
      </c>
      <c r="K15" s="307">
        <f>'Revenue Input'!$B$11</f>
        <v>21209213.75265092</v>
      </c>
      <c r="L15" s="344">
        <f>K15-I15</f>
        <v>0</v>
      </c>
      <c r="N15" s="451"/>
      <c r="O15" s="224"/>
      <c r="P15" s="224"/>
      <c r="Q15" s="224"/>
      <c r="R15" s="33"/>
      <c r="S15" s="224"/>
      <c r="T15" s="224"/>
    </row>
    <row r="16" spans="1:21" ht="18" customHeight="1" thickTop="1" thickBot="1">
      <c r="D16" s="624" t="s">
        <v>55</v>
      </c>
      <c r="E16" s="624"/>
      <c r="F16" s="52">
        <f>+F15/I15</f>
        <v>0.37526597450446142</v>
      </c>
      <c r="G16" s="52">
        <f>+G15/I15</f>
        <v>0.61369978033341344</v>
      </c>
      <c r="H16" s="52">
        <f>+H15/I15</f>
        <v>1.1034245162125004E-2</v>
      </c>
      <c r="I16" s="52">
        <f>F16+G16+H16</f>
        <v>0.99999999999999989</v>
      </c>
      <c r="N16" s="451"/>
      <c r="O16" s="224"/>
      <c r="P16" s="224"/>
      <c r="Q16" s="224"/>
      <c r="R16" s="33"/>
      <c r="S16" s="224"/>
      <c r="T16" s="224"/>
    </row>
    <row r="17" spans="1:21" ht="18" customHeight="1">
      <c r="D17" s="14"/>
      <c r="E17" s="14"/>
      <c r="F17" s="93"/>
      <c r="G17" s="93"/>
      <c r="H17" s="93"/>
      <c r="I17" s="93"/>
      <c r="N17" s="283"/>
      <c r="R17" s="33"/>
    </row>
    <row r="18" spans="1:21">
      <c r="N18" s="283"/>
      <c r="R18" s="33"/>
    </row>
    <row r="19" spans="1:21" ht="17.649999999999999">
      <c r="A19" s="623" t="s">
        <v>289</v>
      </c>
      <c r="B19" s="623"/>
      <c r="C19" s="623"/>
      <c r="D19" s="623"/>
      <c r="E19" s="623"/>
      <c r="F19" s="623"/>
      <c r="G19" s="623"/>
      <c r="N19" s="283"/>
    </row>
    <row r="20" spans="1:21" ht="91.9">
      <c r="A20" s="138" t="s">
        <v>0</v>
      </c>
      <c r="B20" s="149" t="s">
        <v>88</v>
      </c>
      <c r="C20" s="138" t="s">
        <v>89</v>
      </c>
      <c r="D20" s="138" t="s">
        <v>37</v>
      </c>
      <c r="E20" s="138" t="s">
        <v>90</v>
      </c>
      <c r="F20" s="138" t="s">
        <v>278</v>
      </c>
      <c r="G20" s="420" t="s">
        <v>279</v>
      </c>
      <c r="H20" s="211" t="s">
        <v>217</v>
      </c>
      <c r="I20" s="420" t="s">
        <v>277</v>
      </c>
      <c r="J20" s="420" t="s">
        <v>2</v>
      </c>
      <c r="K20"/>
      <c r="L20" s="424" t="s">
        <v>294</v>
      </c>
      <c r="N20" s="421" t="s">
        <v>280</v>
      </c>
      <c r="O20" s="283"/>
      <c r="P20" s="455" t="s">
        <v>312</v>
      </c>
      <c r="Q20" s="455" t="s">
        <v>313</v>
      </c>
      <c r="R20" s="387" t="s">
        <v>314</v>
      </c>
      <c r="S20" s="336" t="s">
        <v>315</v>
      </c>
    </row>
    <row r="21" spans="1:21">
      <c r="A21" s="274" t="str">
        <f t="shared" ref="A21:A28" si="5">A6</f>
        <v>Residential</v>
      </c>
      <c r="B21" s="48">
        <f>('Revenue at Prior Year Rates'!I6-'Revenue at Prior Year Rates'!K6)/'Revenue at Prior Year Rates'!L6</f>
        <v>0.53072122112653963</v>
      </c>
      <c r="C21" s="48">
        <f t="shared" ref="C21:C28" si="6">1-B21</f>
        <v>0.46927877887346037</v>
      </c>
      <c r="D21" s="48">
        <f>SUM(B21:C21)</f>
        <v>1</v>
      </c>
      <c r="E21" s="61">
        <f>ROUND(+B6*C21/'Forecast Data For 2015 to 2019'!$C$5/12,2)</f>
        <v>9.85</v>
      </c>
      <c r="F21" s="61">
        <f>+'2014 Existing Rates'!C6</f>
        <v>8.4700000000000006</v>
      </c>
      <c r="G21" s="58">
        <v>1.2E-2</v>
      </c>
      <c r="H21" s="150">
        <v>15.339036524479562</v>
      </c>
      <c r="I21" s="530">
        <v>0.5</v>
      </c>
      <c r="J21" s="61">
        <f>ROUND(+B6*I21/'Forecast Data For 2015 to 2019'!$C$5/12,2)</f>
        <v>10.5</v>
      </c>
      <c r="L21" s="422">
        <f>(J21-E21)/E21</f>
        <v>6.5989847715736086E-2</v>
      </c>
      <c r="O21" s="382"/>
      <c r="P21" s="150">
        <f>H21</f>
        <v>15.339036524479562</v>
      </c>
      <c r="Q21" s="150">
        <v>8.0846873351113882</v>
      </c>
      <c r="R21" s="460">
        <f>SUM(P21:Q21)/2</f>
        <v>11.711861929795475</v>
      </c>
      <c r="S21" s="459">
        <f>J21</f>
        <v>10.5</v>
      </c>
    </row>
    <row r="22" spans="1:21">
      <c r="A22" s="274" t="str">
        <f t="shared" si="5"/>
        <v>GS Less Than 50 KW</v>
      </c>
      <c r="B22" s="48">
        <f>('Revenue at Prior Year Rates'!I7-'Revenue at Prior Year Rates'!K7)/'Revenue at Prior Year Rates'!L7</f>
        <v>0.84990636054007718</v>
      </c>
      <c r="C22" s="48">
        <f t="shared" si="6"/>
        <v>0.15009363945992282</v>
      </c>
      <c r="D22" s="48">
        <f t="shared" ref="D22:D28" si="7">SUM(B22:C22)</f>
        <v>1</v>
      </c>
      <c r="E22" s="61">
        <f>ROUND(+B7*C22/'Forecast Data For 2015 to 2019'!$C$7/12,2)</f>
        <v>8.4600000000000009</v>
      </c>
      <c r="F22" s="61">
        <f>+'2014 Existing Rates'!C7</f>
        <v>8.3800000000000008</v>
      </c>
      <c r="G22" s="58">
        <v>1.7000000000000001E-2</v>
      </c>
      <c r="H22" s="150">
        <v>21.340073169437062</v>
      </c>
      <c r="I22" s="530">
        <v>0.27</v>
      </c>
      <c r="J22" s="61">
        <f>ROUND(+B7*I22/'Forecast Data For 2015 to 2019'!$C$7/12,2)</f>
        <v>15.21</v>
      </c>
      <c r="L22" s="422">
        <f t="shared" ref="L22:L28" si="8">(J22-E22)/E22</f>
        <v>0.79787234042553179</v>
      </c>
      <c r="O22" s="382"/>
      <c r="P22" s="150">
        <f t="shared" ref="P22:P28" si="9">H22</f>
        <v>21.340073169437062</v>
      </c>
      <c r="Q22" s="150">
        <v>13.414343443945064</v>
      </c>
      <c r="R22" s="460">
        <f t="shared" ref="R22:R28" si="10">SUM(P22:Q22)/2</f>
        <v>17.377208306691063</v>
      </c>
      <c r="S22" s="459">
        <f t="shared" ref="S22:S28" si="11">J22</f>
        <v>15.21</v>
      </c>
    </row>
    <row r="23" spans="1:21">
      <c r="A23" s="274" t="str">
        <f t="shared" si="5"/>
        <v>GS 50 To 999 KW</v>
      </c>
      <c r="B23" s="48">
        <f>('Revenue at Prior Year Rates'!I8-'Revenue at Prior Year Rates'!K8)/'Revenue at Prior Year Rates'!L8</f>
        <v>0.92182057936754369</v>
      </c>
      <c r="C23" s="48">
        <f t="shared" si="6"/>
        <v>7.8179420632456309E-2</v>
      </c>
      <c r="D23" s="48">
        <f t="shared" si="7"/>
        <v>1</v>
      </c>
      <c r="E23" s="61">
        <f>ROUND(+B8*C23/'Forecast Data For 2015 to 2019'!$C$9/12,2)</f>
        <v>48.76</v>
      </c>
      <c r="F23" s="61">
        <f>+'2014 Existing Rates'!C8</f>
        <v>43.13</v>
      </c>
      <c r="G23" s="58">
        <v>3.7097000000000002</v>
      </c>
      <c r="H23" s="150">
        <v>54.866051947678017</v>
      </c>
      <c r="I23" s="48">
        <f>C23</f>
        <v>7.8179420632456309E-2</v>
      </c>
      <c r="J23" s="61">
        <f>ROUND(+B8*I23/'Forecast Data For 2015 to 2019'!$C$9/12,2)</f>
        <v>48.76</v>
      </c>
      <c r="L23" s="422">
        <f t="shared" si="8"/>
        <v>0</v>
      </c>
      <c r="O23" s="382"/>
      <c r="P23" s="150">
        <f t="shared" si="9"/>
        <v>54.866051947678017</v>
      </c>
      <c r="Q23" s="150">
        <v>41.811813431902927</v>
      </c>
      <c r="R23" s="460">
        <f t="shared" si="10"/>
        <v>48.338932689790468</v>
      </c>
      <c r="S23" s="459">
        <f t="shared" si="11"/>
        <v>48.76</v>
      </c>
    </row>
    <row r="24" spans="1:21">
      <c r="A24" s="274" t="str">
        <f t="shared" si="5"/>
        <v>GS Intermediate 1,000 To 4,999 KW</v>
      </c>
      <c r="B24" s="48">
        <f>('Revenue at Prior Year Rates'!I9-'Revenue at Prior Year Rates'!K9)/'Revenue at Prior Year Rates'!L9</f>
        <v>0.69278809281756604</v>
      </c>
      <c r="C24" s="48">
        <f t="shared" si="6"/>
        <v>0.30721190718243396</v>
      </c>
      <c r="D24" s="48">
        <f t="shared" si="7"/>
        <v>1</v>
      </c>
      <c r="E24" s="61">
        <f>ROUND(+B9*C24/'Forecast Data For 2015 to 2019'!$C$12/12,2)</f>
        <v>1024.6300000000001</v>
      </c>
      <c r="F24" s="61">
        <f>+'2014 Existing Rates'!C9</f>
        <v>1221.57</v>
      </c>
      <c r="G24" s="58">
        <v>2.5922999999999998</v>
      </c>
      <c r="H24" s="150">
        <v>3.4219486262414325</v>
      </c>
      <c r="I24" s="48">
        <f t="shared" ref="I24:I28" si="12">C24</f>
        <v>0.30721190718243396</v>
      </c>
      <c r="J24" s="61">
        <f>ROUND(+B9*I24/'Forecast Data For 2015 to 2019'!$C$12/12,2)</f>
        <v>1024.6300000000001</v>
      </c>
      <c r="L24" s="422">
        <f t="shared" si="8"/>
        <v>0</v>
      </c>
      <c r="O24" s="382"/>
      <c r="P24" s="150">
        <f t="shared" si="9"/>
        <v>3.4219486262414325</v>
      </c>
      <c r="Q24" s="150">
        <v>-1.7435233317581771</v>
      </c>
      <c r="R24" s="460">
        <f t="shared" si="10"/>
        <v>0.8392126472416277</v>
      </c>
      <c r="S24" s="459">
        <f t="shared" si="11"/>
        <v>1024.6300000000001</v>
      </c>
    </row>
    <row r="25" spans="1:21">
      <c r="A25" s="274" t="str">
        <f t="shared" si="5"/>
        <v>Large Use</v>
      </c>
      <c r="B25" s="48">
        <f>('Revenue at Prior Year Rates'!I10-'Revenue at Prior Year Rates'!K10)/'Revenue at Prior Year Rates'!L10</f>
        <v>0.58543051837033389</v>
      </c>
      <c r="C25" s="48">
        <f t="shared" si="6"/>
        <v>0.41456948162966611</v>
      </c>
      <c r="D25" s="48">
        <f t="shared" si="7"/>
        <v>1</v>
      </c>
      <c r="E25" s="61">
        <f>ROUND(+B10*C25/'Forecast Data For 2015 to 2019'!$C$15/12,2)</f>
        <v>7812.41</v>
      </c>
      <c r="F25" s="61">
        <f>+'2014 Existing Rates'!C10</f>
        <v>8270.6299999999992</v>
      </c>
      <c r="G25" s="58">
        <v>2.0531000000000001</v>
      </c>
      <c r="H25" s="150">
        <v>91.082175070475216</v>
      </c>
      <c r="I25" s="48">
        <f t="shared" si="12"/>
        <v>0.41456948162966611</v>
      </c>
      <c r="J25" s="61">
        <f>ROUND(+B10*I25/'Forecast Data For 2015 to 2019'!$C$15/12,2)</f>
        <v>7812.41</v>
      </c>
      <c r="L25" s="422">
        <f t="shared" si="8"/>
        <v>0</v>
      </c>
      <c r="O25" s="382"/>
      <c r="P25" s="150">
        <f t="shared" si="9"/>
        <v>91.082175070475216</v>
      </c>
      <c r="Q25" s="150">
        <v>82.214811390800378</v>
      </c>
      <c r="R25" s="460">
        <f t="shared" si="10"/>
        <v>86.648493230637797</v>
      </c>
      <c r="S25" s="459">
        <f t="shared" si="11"/>
        <v>7812.41</v>
      </c>
    </row>
    <row r="26" spans="1:21">
      <c r="A26" s="274" t="str">
        <f t="shared" si="5"/>
        <v>Street Lighting</v>
      </c>
      <c r="B26" s="48">
        <f>('Revenue at Prior Year Rates'!I11-'Revenue at Prior Year Rates'!K11)/'Revenue at Prior Year Rates'!L11</f>
        <v>0.70811017819126176</v>
      </c>
      <c r="C26" s="48">
        <f t="shared" si="6"/>
        <v>0.29188982180873824</v>
      </c>
      <c r="D26" s="48">
        <f t="shared" si="7"/>
        <v>1</v>
      </c>
      <c r="E26" s="61">
        <f>ROUND(+B11*C26/'Forecast Data For 2015 to 2019'!$C$18/12,2)</f>
        <v>1.65</v>
      </c>
      <c r="F26" s="61">
        <f>'2014 Existing Rates'!B11</f>
        <v>1.17</v>
      </c>
      <c r="G26" s="58">
        <v>18.104199999999999</v>
      </c>
      <c r="H26" s="150">
        <v>6.5951330301830575</v>
      </c>
      <c r="I26" s="48">
        <f t="shared" si="12"/>
        <v>0.29188982180873824</v>
      </c>
      <c r="J26" s="61">
        <f>ROUND(+B11*I26/'Forecast Data For 2015 to 2019'!$C$18/12,2)</f>
        <v>1.65</v>
      </c>
      <c r="L26" s="422">
        <f t="shared" si="8"/>
        <v>0</v>
      </c>
      <c r="O26" s="382"/>
      <c r="P26" s="150">
        <f t="shared" si="9"/>
        <v>6.5951330301830575</v>
      </c>
      <c r="Q26" s="150">
        <v>-3.8895924508800129E-3</v>
      </c>
      <c r="R26" s="460">
        <f t="shared" si="10"/>
        <v>3.2956217188660886</v>
      </c>
      <c r="S26" s="459">
        <f t="shared" si="11"/>
        <v>1.65</v>
      </c>
    </row>
    <row r="27" spans="1:21">
      <c r="A27" s="274" t="str">
        <f t="shared" si="5"/>
        <v>Sentinel Lighting</v>
      </c>
      <c r="B27" s="48">
        <f>('Revenue at Prior Year Rates'!I12-'Revenue at Prior Year Rates'!K12)/'Revenue at Prior Year Rates'!L12</f>
        <v>0.33968478848935452</v>
      </c>
      <c r="C27" s="48">
        <f t="shared" si="6"/>
        <v>0.66031521151064543</v>
      </c>
      <c r="D27" s="48">
        <f t="shared" si="7"/>
        <v>1</v>
      </c>
      <c r="E27" s="61">
        <f>ROUND(+B12*C27/'Forecast Data For 2015 to 2019'!$C$21/12,2)</f>
        <v>4.91</v>
      </c>
      <c r="F27" s="61">
        <f>+'2014 Existing Rates'!B12</f>
        <v>4.34</v>
      </c>
      <c r="G27" s="58">
        <v>6.2114000000000003</v>
      </c>
      <c r="H27" s="150">
        <v>7.5290959392591823</v>
      </c>
      <c r="I27" s="48">
        <f t="shared" si="12"/>
        <v>0.66031521151064543</v>
      </c>
      <c r="J27" s="61">
        <f>ROUND(+B12*I27/'Forecast Data For 2015 to 2019'!$C$21/12,2)</f>
        <v>4.91</v>
      </c>
      <c r="L27" s="422">
        <f t="shared" si="8"/>
        <v>0</v>
      </c>
      <c r="O27" s="382"/>
      <c r="P27" s="150">
        <f t="shared" si="9"/>
        <v>7.5290959392591823</v>
      </c>
      <c r="Q27" s="150">
        <v>0.89211117629903847</v>
      </c>
      <c r="R27" s="460">
        <f t="shared" si="10"/>
        <v>4.2106035577791108</v>
      </c>
      <c r="S27" s="459">
        <f t="shared" si="11"/>
        <v>4.91</v>
      </c>
    </row>
    <row r="28" spans="1:21">
      <c r="A28" s="274" t="str">
        <f t="shared" si="5"/>
        <v>Unmetered Scattered Load</v>
      </c>
      <c r="B28" s="48">
        <f>('Revenue at Prior Year Rates'!I13-'Revenue at Prior Year Rates'!K13)/'Revenue at Prior Year Rates'!L13</f>
        <v>0.75499799764123987</v>
      </c>
      <c r="C28" s="48">
        <f t="shared" si="6"/>
        <v>0.24500200235876013</v>
      </c>
      <c r="D28" s="48">
        <f t="shared" si="7"/>
        <v>1</v>
      </c>
      <c r="E28" s="61">
        <f>ROUND(+B13*C28/'Forecast Data For 2015 to 2019'!$C$24/12,2)</f>
        <v>4.07</v>
      </c>
      <c r="F28" s="61">
        <f>+'2014 Existing Rates'!B13</f>
        <v>3.34</v>
      </c>
      <c r="G28" s="58">
        <v>1.3599999999999999E-2</v>
      </c>
      <c r="H28" s="150">
        <v>10.171045923426192</v>
      </c>
      <c r="I28" s="48">
        <f t="shared" si="12"/>
        <v>0.24500200235876013</v>
      </c>
      <c r="J28" s="61">
        <f>ROUND(+B13*I28/'Forecast Data For 2015 to 2019'!$C$24/12,2)</f>
        <v>4.07</v>
      </c>
      <c r="L28" s="422">
        <f t="shared" si="8"/>
        <v>0</v>
      </c>
      <c r="O28" s="382"/>
      <c r="P28" s="150">
        <f t="shared" si="9"/>
        <v>10.171045923426192</v>
      </c>
      <c r="Q28" s="150">
        <v>4.4567722748565108</v>
      </c>
      <c r="R28" s="460">
        <f t="shared" si="10"/>
        <v>7.3139090991413518</v>
      </c>
      <c r="S28" s="459">
        <f t="shared" si="11"/>
        <v>4.07</v>
      </c>
    </row>
    <row r="29" spans="1:21">
      <c r="A29" s="274"/>
      <c r="B29" s="48"/>
      <c r="C29" s="48"/>
      <c r="D29" s="48"/>
      <c r="E29" s="61"/>
      <c r="F29" s="61"/>
      <c r="G29" s="61"/>
      <c r="H29" s="150"/>
      <c r="I29" s="61"/>
      <c r="J29" s="61"/>
      <c r="L29" s="344"/>
      <c r="O29" s="281"/>
      <c r="P29" s="281"/>
      <c r="Q29" s="281"/>
      <c r="S29" s="281"/>
      <c r="T29" s="281"/>
    </row>
    <row r="30" spans="1:21">
      <c r="A30" s="274"/>
      <c r="B30" s="103"/>
      <c r="C30" s="48"/>
      <c r="D30" s="48"/>
      <c r="E30" s="61"/>
      <c r="F30" s="61"/>
      <c r="G30" s="61"/>
      <c r="H30" s="46"/>
      <c r="I30" s="61"/>
      <c r="J30" s="61"/>
      <c r="L30" s="344"/>
      <c r="O30" s="281"/>
      <c r="P30" s="281"/>
      <c r="Q30" s="281"/>
      <c r="S30" s="281"/>
      <c r="T30" s="281"/>
      <c r="U30" s="281"/>
    </row>
    <row r="31" spans="1:21" ht="18" customHeight="1" thickBot="1">
      <c r="A31" s="63" t="s">
        <v>1</v>
      </c>
      <c r="B31" s="104"/>
      <c r="C31" s="64"/>
      <c r="D31" s="64"/>
      <c r="E31" s="64"/>
      <c r="F31" s="64"/>
      <c r="G31" s="64"/>
      <c r="H31" s="64"/>
      <c r="I31" s="64"/>
      <c r="J31" s="64"/>
      <c r="K31"/>
      <c r="L31" s="344"/>
      <c r="O31" s="281"/>
      <c r="P31" s="281"/>
      <c r="Q31" s="281"/>
      <c r="S31" s="281"/>
      <c r="T31" s="281"/>
      <c r="U31" s="281"/>
    </row>
    <row r="32" spans="1:21" ht="13.15" thickTop="1">
      <c r="F32" s="1"/>
      <c r="O32" s="281"/>
      <c r="P32" s="281"/>
      <c r="Q32" s="281"/>
      <c r="S32" s="281"/>
      <c r="T32" s="281"/>
      <c r="U32" s="281"/>
    </row>
    <row r="33" spans="1:19" s="270" customFormat="1">
      <c r="B33" s="271"/>
      <c r="C33" s="272"/>
      <c r="F33" s="273"/>
      <c r="K33" s="318"/>
      <c r="L33" s="423"/>
      <c r="R33" s="423"/>
    </row>
    <row r="34" spans="1:19" ht="17.649999999999999">
      <c r="A34" s="626" t="s">
        <v>149</v>
      </c>
      <c r="B34" s="626"/>
      <c r="C34" s="626"/>
      <c r="D34" s="626"/>
      <c r="E34" s="626"/>
      <c r="F34" s="626"/>
      <c r="G34" s="626"/>
      <c r="H34" s="626"/>
      <c r="I34" s="626"/>
    </row>
    <row r="35" spans="1:19" ht="13.15">
      <c r="A35" s="310"/>
      <c r="B35" s="310"/>
      <c r="C35" s="310"/>
      <c r="D35" s="310"/>
      <c r="E35" s="310"/>
      <c r="F35" s="310"/>
      <c r="G35" s="310"/>
      <c r="H35" s="310"/>
      <c r="I35" s="310"/>
      <c r="P35" s="2" t="s">
        <v>373</v>
      </c>
    </row>
    <row r="36" spans="1:19" ht="39.4">
      <c r="A36" s="166" t="s">
        <v>0</v>
      </c>
      <c r="B36" s="149" t="s">
        <v>63</v>
      </c>
      <c r="C36" s="166" t="s">
        <v>51</v>
      </c>
      <c r="D36" s="166" t="s">
        <v>2</v>
      </c>
      <c r="E36" s="166" t="s">
        <v>109</v>
      </c>
      <c r="F36" s="166" t="s">
        <v>3</v>
      </c>
      <c r="G36" s="166" t="s">
        <v>4</v>
      </c>
      <c r="H36" s="166" t="s">
        <v>5</v>
      </c>
      <c r="I36" s="166" t="s">
        <v>64</v>
      </c>
      <c r="O36" s="552" t="s">
        <v>374</v>
      </c>
      <c r="P36" s="552" t="s">
        <v>0</v>
      </c>
      <c r="Q36" s="555" t="s">
        <v>277</v>
      </c>
      <c r="R36" s="556" t="s">
        <v>372</v>
      </c>
    </row>
    <row r="37" spans="1:19">
      <c r="A37" s="274" t="str">
        <f>'Cost Allocation Study'!A5</f>
        <v>Residential</v>
      </c>
      <c r="B37" s="69">
        <f>'Cost Allocation Study'!K23</f>
        <v>13924495.105313618</v>
      </c>
      <c r="C37" s="45">
        <f t="shared" ref="C37:C44" si="13">+B37/$B$46</f>
        <v>0.62055476704477364</v>
      </c>
      <c r="D37" s="46">
        <f t="shared" ref="D37:D44" si="14">J52</f>
        <v>11.213082431285882</v>
      </c>
      <c r="E37" s="58">
        <f>+G37/'Forecast Data For 2015 to 2019'!$D$6</f>
        <v>1.4168759967643618E-2</v>
      </c>
      <c r="F37" s="59">
        <f>+D37*'Forecast Data For 2015 to 2019'!$D$5*12</f>
        <v>6962247.5526568098</v>
      </c>
      <c r="G37" s="59">
        <f t="shared" ref="G37:G44" si="15">+B37-F37</f>
        <v>6962247.5526568079</v>
      </c>
      <c r="H37" s="60"/>
      <c r="I37" s="83">
        <f t="shared" ref="I37:I44" si="16">+F37+G37+H37</f>
        <v>13924495.105313618</v>
      </c>
      <c r="N37" s="339" t="s">
        <v>375</v>
      </c>
      <c r="O37" s="107">
        <v>2016</v>
      </c>
      <c r="P37" s="274" t="s">
        <v>97</v>
      </c>
      <c r="Q37" s="557">
        <v>0.5</v>
      </c>
      <c r="R37" s="106">
        <f>1-Q37</f>
        <v>0.5</v>
      </c>
    </row>
    <row r="38" spans="1:19">
      <c r="A38" s="274" t="str">
        <f>'Cost Allocation Study'!A6</f>
        <v>GS Less Than 50 KW</v>
      </c>
      <c r="B38" s="69">
        <f>'Cost Allocation Study'!K24</f>
        <v>2892921.1914680093</v>
      </c>
      <c r="C38" s="45">
        <f t="shared" si="13"/>
        <v>0.128925036238137</v>
      </c>
      <c r="D38" s="46">
        <f t="shared" si="14"/>
        <v>16.022360102984027</v>
      </c>
      <c r="E38" s="58">
        <f>+G38/'Forecast Data For 2015 to 2019'!$D$8</f>
        <v>1.5660082537613865E-2</v>
      </c>
      <c r="F38" s="59">
        <f>+D38*'Forecast Data For 2015 to 2019'!$D$7*12</f>
        <v>781088.72169636271</v>
      </c>
      <c r="G38" s="59">
        <f t="shared" si="15"/>
        <v>2111832.4697716464</v>
      </c>
      <c r="H38" s="60"/>
      <c r="I38" s="83">
        <f t="shared" si="16"/>
        <v>2892921.1914680093</v>
      </c>
      <c r="O38" s="107">
        <v>2017</v>
      </c>
      <c r="P38" s="274" t="s">
        <v>97</v>
      </c>
      <c r="Q38" s="557">
        <f>Q37+12.5%</f>
        <v>0.625</v>
      </c>
      <c r="R38" s="106">
        <f t="shared" ref="R38:R41" si="17">1-Q38</f>
        <v>0.375</v>
      </c>
      <c r="S38" s="558"/>
    </row>
    <row r="39" spans="1:19">
      <c r="A39" s="274" t="str">
        <f>'Cost Allocation Study'!A7</f>
        <v>GS 50 To 999 KW</v>
      </c>
      <c r="B39" s="69">
        <f>'Cost Allocation Study'!K25</f>
        <v>4104624.4810807095</v>
      </c>
      <c r="C39" s="45">
        <f t="shared" si="13"/>
        <v>0.18292543244108855</v>
      </c>
      <c r="D39" s="46">
        <f t="shared" si="14"/>
        <v>52.204638095776467</v>
      </c>
      <c r="E39" s="58">
        <f>(+G39+H39)/'Forecast Data For 2015 to 2019'!$D$10</f>
        <v>4.4739582050111091</v>
      </c>
      <c r="F39" s="59">
        <f>+D39*'Forecast Data For 2015 to 2019'!$D$9*12</f>
        <v>322374.08116903884</v>
      </c>
      <c r="G39" s="59">
        <f t="shared" si="15"/>
        <v>3782250.3999116705</v>
      </c>
      <c r="H39" s="59">
        <f>-'Transformer Allowance'!C33</f>
        <v>67136.429119048174</v>
      </c>
      <c r="I39" s="83">
        <f t="shared" si="16"/>
        <v>4171760.9101997577</v>
      </c>
      <c r="O39" s="107">
        <v>2018</v>
      </c>
      <c r="P39" s="274" t="s">
        <v>97</v>
      </c>
      <c r="Q39" s="557">
        <f t="shared" ref="Q39:Q40" si="18">Q38+12.5%</f>
        <v>0.75</v>
      </c>
      <c r="R39" s="106">
        <f t="shared" si="17"/>
        <v>0.25</v>
      </c>
      <c r="S39" s="558"/>
    </row>
    <row r="40" spans="1:19">
      <c r="A40" s="274" t="str">
        <f>'Cost Allocation Study'!A8</f>
        <v>GS Intermediate 1,000 To 4,999 KW</v>
      </c>
      <c r="B40" s="69">
        <f>'Cost Allocation Study'!K26</f>
        <v>512996.28128129395</v>
      </c>
      <c r="C40" s="45">
        <f t="shared" si="13"/>
        <v>2.2862034523885064E-2</v>
      </c>
      <c r="D40" s="46">
        <f t="shared" si="14"/>
        <v>1097.0147319949854</v>
      </c>
      <c r="E40" s="58">
        <f>(+G40+H40)/'Forecast Data For 2015 to 2019'!$D$13</f>
        <v>2.3852362630529709</v>
      </c>
      <c r="F40" s="59">
        <f>+D40*'Forecast Data For 2015 to 2019'!$D$12*12</f>
        <v>157970.12140727788</v>
      </c>
      <c r="G40" s="59">
        <f t="shared" si="15"/>
        <v>355026.15987401607</v>
      </c>
      <c r="H40" s="59">
        <f>-'Transformer Allowance'!C34</f>
        <v>109307.05246829765</v>
      </c>
      <c r="I40" s="83">
        <f t="shared" si="16"/>
        <v>622303.33374959161</v>
      </c>
      <c r="O40" s="107">
        <v>2019</v>
      </c>
      <c r="P40" s="274" t="s">
        <v>97</v>
      </c>
      <c r="Q40" s="557">
        <f t="shared" si="18"/>
        <v>0.875</v>
      </c>
      <c r="R40" s="106">
        <f t="shared" si="17"/>
        <v>0.125</v>
      </c>
      <c r="S40" s="558"/>
    </row>
    <row r="41" spans="1:19">
      <c r="A41" s="274" t="str">
        <f>'Cost Allocation Study'!A9</f>
        <v>Large Use</v>
      </c>
      <c r="B41" s="69">
        <f>'Cost Allocation Study'!K27</f>
        <v>241692.35597608244</v>
      </c>
      <c r="C41" s="45">
        <f t="shared" si="13"/>
        <v>1.0771187215399025E-2</v>
      </c>
      <c r="D41" s="46">
        <f t="shared" si="14"/>
        <v>8347.4247155914982</v>
      </c>
      <c r="E41" s="58">
        <f>(+G41+H41)/'Forecast Data For 2015 to 2019'!$D$16</f>
        <v>2.0665990578787765</v>
      </c>
      <c r="F41" s="59">
        <f>+D41*'Forecast Data For 2015 to 2019'!$D$15*12</f>
        <v>100169.09658709797</v>
      </c>
      <c r="G41" s="59">
        <f t="shared" si="15"/>
        <v>141523.25938898447</v>
      </c>
      <c r="H41" s="59">
        <f>-'Transformer Allowance'!C35</f>
        <v>57899.060885069113</v>
      </c>
      <c r="I41" s="83">
        <f t="shared" si="16"/>
        <v>299591.41686115158</v>
      </c>
      <c r="O41" s="107">
        <v>2020</v>
      </c>
      <c r="P41" s="274" t="s">
        <v>97</v>
      </c>
      <c r="Q41" s="557">
        <v>1</v>
      </c>
      <c r="R41" s="106">
        <f t="shared" si="17"/>
        <v>0</v>
      </c>
      <c r="S41" s="558"/>
    </row>
    <row r="42" spans="1:19">
      <c r="A42" s="274" t="str">
        <f>'Cost Allocation Study'!A10</f>
        <v>Street Lighting</v>
      </c>
      <c r="B42" s="69">
        <f>'Cost Allocation Study'!K28</f>
        <v>697028.28377216973</v>
      </c>
      <c r="C42" s="45">
        <f t="shared" si="13"/>
        <v>3.1063548156571748E-2</v>
      </c>
      <c r="D42" s="46">
        <f t="shared" si="14"/>
        <v>1.8291260710940083</v>
      </c>
      <c r="E42" s="58">
        <f>(+G42+H42)/'Forecast Data For 2015 to 2019'!$D$19</f>
        <v>28.259000093272729</v>
      </c>
      <c r="F42" s="59">
        <f>+D42*'Forecast Data For 2015 to 2019'!$D$18*12</f>
        <v>284466.19700321718</v>
      </c>
      <c r="G42" s="59">
        <f t="shared" si="15"/>
        <v>412562.08676895255</v>
      </c>
      <c r="H42" s="59">
        <f>-'Transformer Allowance'!C36</f>
        <v>0</v>
      </c>
      <c r="I42" s="83">
        <f t="shared" si="16"/>
        <v>697028.28377216973</v>
      </c>
      <c r="P42" s="554"/>
    </row>
    <row r="43" spans="1:19">
      <c r="A43" s="274" t="str">
        <f>'Cost Allocation Study'!A11</f>
        <v>Sentinel Lighting</v>
      </c>
      <c r="B43" s="69">
        <f>'Cost Allocation Study'!K29</f>
        <v>2138.9452176317882</v>
      </c>
      <c r="C43" s="45">
        <f t="shared" si="13"/>
        <v>9.5323574837734252E-5</v>
      </c>
      <c r="D43" s="46">
        <f t="shared" si="14"/>
        <v>5.2568657311374638</v>
      </c>
      <c r="E43" s="58">
        <f>(+G43+H43)/'Forecast Data For 2015 to 2019'!$D$22</f>
        <v>7.5087528375124988</v>
      </c>
      <c r="F43" s="59">
        <f>+D43*'Forecast Data For 2015 to 2019'!$D$21*12</f>
        <v>1417.3052602804128</v>
      </c>
      <c r="G43" s="59">
        <f t="shared" si="15"/>
        <v>721.63995735137541</v>
      </c>
      <c r="H43" s="60"/>
      <c r="I43" s="83">
        <f t="shared" si="16"/>
        <v>2138.9452176317882</v>
      </c>
      <c r="P43" s="554"/>
    </row>
    <row r="44" spans="1:19">
      <c r="A44" s="274" t="str">
        <f>'Cost Allocation Study'!A12</f>
        <v>Unmetered Scattered Load</v>
      </c>
      <c r="B44" s="69">
        <f>'Cost Allocation Study'!K30</f>
        <v>62888.528108738392</v>
      </c>
      <c r="C44" s="45">
        <f t="shared" si="13"/>
        <v>2.8026708053072984E-3</v>
      </c>
      <c r="D44" s="46">
        <f t="shared" si="14"/>
        <v>4.3575241396597724</v>
      </c>
      <c r="E44" s="58">
        <f>+G44/'Forecast Data For 2015 to 2019'!$D$26</f>
        <v>1.7772702879202015E-2</v>
      </c>
      <c r="F44" s="59">
        <f>+D44*'Forecast Data For 2015 to 2019'!$D$24*12</f>
        <v>15485.291157010761</v>
      </c>
      <c r="G44" s="59">
        <f t="shared" si="15"/>
        <v>47403.236951727631</v>
      </c>
      <c r="H44" s="60"/>
      <c r="I44" s="83">
        <f t="shared" si="16"/>
        <v>62888.528108738392</v>
      </c>
      <c r="P44" s="554"/>
    </row>
    <row r="45" spans="1:19">
      <c r="A45" s="274"/>
      <c r="B45" s="69"/>
      <c r="C45" s="45"/>
      <c r="D45" s="46"/>
      <c r="E45" s="58"/>
      <c r="F45" s="59"/>
      <c r="G45" s="59"/>
      <c r="H45" s="60"/>
      <c r="I45" s="83"/>
    </row>
    <row r="46" spans="1:19" ht="13.5" thickBot="1">
      <c r="A46" s="50" t="s">
        <v>1</v>
      </c>
      <c r="B46" s="102">
        <f>SUM(B37:B45)</f>
        <v>22438785.172218252</v>
      </c>
      <c r="C46" s="54">
        <f>SUM(C37:C45)</f>
        <v>1</v>
      </c>
      <c r="D46" s="55"/>
      <c r="E46" s="56"/>
      <c r="F46" s="53">
        <f t="shared" ref="F46:I46" si="19">SUM(F37:F45)</f>
        <v>8625218.3669370953</v>
      </c>
      <c r="G46" s="53">
        <f t="shared" si="19"/>
        <v>13813566.805281159</v>
      </c>
      <c r="H46" s="53">
        <f t="shared" si="19"/>
        <v>234342.54247241493</v>
      </c>
      <c r="I46" s="53">
        <f t="shared" si="19"/>
        <v>22673127.714690667</v>
      </c>
      <c r="K46" s="307">
        <f>'Revenue Input'!$C$11</f>
        <v>22673127.714690667</v>
      </c>
      <c r="L46" s="344">
        <f>K46-I46</f>
        <v>0</v>
      </c>
    </row>
    <row r="47" spans="1:19" ht="13.9" thickTop="1" thickBot="1">
      <c r="D47" s="624" t="s">
        <v>55</v>
      </c>
      <c r="E47" s="624"/>
      <c r="F47" s="52">
        <f>+F46/I46</f>
        <v>0.38041590359624411</v>
      </c>
      <c r="G47" s="52">
        <f>+G46/I46</f>
        <v>0.60924840097517263</v>
      </c>
      <c r="H47" s="52">
        <f>+H46/I46</f>
        <v>1.0335695428583357E-2</v>
      </c>
      <c r="I47" s="52">
        <f>F47+G47+H47</f>
        <v>1</v>
      </c>
    </row>
    <row r="48" spans="1:19" ht="13.15">
      <c r="D48" s="14"/>
      <c r="E48" s="14"/>
      <c r="F48" s="93"/>
      <c r="G48" s="93"/>
      <c r="H48" s="93"/>
      <c r="I48" s="93"/>
    </row>
    <row r="50" spans="1:19" ht="17.649999999999999">
      <c r="A50" s="623" t="s">
        <v>290</v>
      </c>
      <c r="B50" s="623"/>
      <c r="C50" s="623"/>
      <c r="D50" s="623"/>
      <c r="E50" s="623"/>
      <c r="F50" s="623"/>
      <c r="G50" s="623"/>
    </row>
    <row r="51" spans="1:19" ht="91.9">
      <c r="A51" s="166" t="s">
        <v>0</v>
      </c>
      <c r="B51" s="149" t="s">
        <v>88</v>
      </c>
      <c r="C51" s="166" t="s">
        <v>89</v>
      </c>
      <c r="D51" s="166" t="s">
        <v>37</v>
      </c>
      <c r="E51" s="166" t="s">
        <v>90</v>
      </c>
      <c r="F51" s="166" t="s">
        <v>281</v>
      </c>
      <c r="G51" s="420" t="s">
        <v>282</v>
      </c>
      <c r="H51" s="211" t="s">
        <v>217</v>
      </c>
      <c r="I51" s="420" t="s">
        <v>277</v>
      </c>
      <c r="J51" s="420" t="s">
        <v>2</v>
      </c>
      <c r="K51" s="281"/>
      <c r="L51" s="424" t="s">
        <v>294</v>
      </c>
      <c r="M51" s="281"/>
      <c r="N51" s="421" t="s">
        <v>280</v>
      </c>
      <c r="P51" s="455" t="s">
        <v>312</v>
      </c>
      <c r="Q51" s="455" t="s">
        <v>313</v>
      </c>
      <c r="R51" s="387" t="s">
        <v>314</v>
      </c>
      <c r="S51" s="336" t="s">
        <v>315</v>
      </c>
    </row>
    <row r="52" spans="1:19">
      <c r="A52" s="274" t="str">
        <f t="shared" ref="A52:A59" si="20">A37</f>
        <v>Residential</v>
      </c>
      <c r="B52" s="48">
        <f>('Revenue at Prior Year Rates'!I21-'Revenue at Prior Year Rates'!K21)/'Revenue at Prior Year Rates'!L21</f>
        <v>0.49872080391983775</v>
      </c>
      <c r="C52" s="48">
        <f t="shared" ref="C52:C59" si="21">1-B52</f>
        <v>0.50127919608016225</v>
      </c>
      <c r="D52" s="48">
        <f t="shared" ref="D52:D59" si="22">SUM(B52:C52)</f>
        <v>1</v>
      </c>
      <c r="E52" s="61">
        <f>+B37*C52/'Forecast Data For 2015 to 2019'!$D$5/12</f>
        <v>11.241769893471156</v>
      </c>
      <c r="F52" s="61">
        <f>'Rates By Rate Class'!D6</f>
        <v>10.5</v>
      </c>
      <c r="G52" s="58">
        <f>'Rates By Rate Class'!E6</f>
        <v>1.32E-2</v>
      </c>
      <c r="H52" s="150">
        <v>15.617707151365019</v>
      </c>
      <c r="I52" s="530">
        <v>0.5</v>
      </c>
      <c r="J52" s="61">
        <f>+B37*I52/'Forecast Data For 2015 to 2019'!$D$5/12</f>
        <v>11.213082431285882</v>
      </c>
      <c r="L52" s="422">
        <f>(J52-E52)/E52</f>
        <v>-2.5518634927704171E-3</v>
      </c>
      <c r="M52" s="281"/>
      <c r="N52" s="281"/>
      <c r="P52" s="150">
        <f>H52</f>
        <v>15.617707151365019</v>
      </c>
      <c r="Q52" s="150">
        <v>8.1736239854427613</v>
      </c>
      <c r="R52" s="460">
        <f>SUM(P52:Q52)/2</f>
        <v>11.89566556840389</v>
      </c>
      <c r="S52" s="459">
        <f>J52</f>
        <v>11.213082431285882</v>
      </c>
    </row>
    <row r="53" spans="1:19">
      <c r="A53" s="274" t="str">
        <f t="shared" si="20"/>
        <v>GS Less Than 50 KW</v>
      </c>
      <c r="B53" s="48">
        <f>('Revenue at Prior Year Rates'!I22-'Revenue at Prior Year Rates'!K22)/'Revenue at Prior Year Rates'!L22</f>
        <v>0.72777980441185364</v>
      </c>
      <c r="C53" s="48">
        <f t="shared" si="21"/>
        <v>0.27222019558814636</v>
      </c>
      <c r="D53" s="48">
        <f t="shared" si="22"/>
        <v>1</v>
      </c>
      <c r="E53" s="61">
        <f>+B38*C53/'Forecast Data For 2015 to 2019'!$D$7/12</f>
        <v>16.154111114881569</v>
      </c>
      <c r="F53" s="61">
        <f>'Rates By Rate Class'!D7</f>
        <v>15.21</v>
      </c>
      <c r="G53" s="58">
        <f>'Rates By Rate Class'!E7</f>
        <v>1.47E-2</v>
      </c>
      <c r="H53" s="150">
        <v>21.827580727985566</v>
      </c>
      <c r="I53" s="530">
        <v>0.27</v>
      </c>
      <c r="J53" s="61">
        <f>+B38*I53/'Forecast Data For 2015 to 2019'!$D$7/12</f>
        <v>16.022360102984027</v>
      </c>
      <c r="L53" s="422">
        <f t="shared" ref="L53:L59" si="23">(J53-E53)/E53</f>
        <v>-8.155881246611563E-3</v>
      </c>
      <c r="M53" s="281"/>
      <c r="N53" s="281"/>
      <c r="P53" s="150">
        <f t="shared" ref="P53:P59" si="24">H53</f>
        <v>21.827580727985566</v>
      </c>
      <c r="Q53" s="150">
        <v>13.721031843051028</v>
      </c>
      <c r="R53" s="460">
        <f t="shared" ref="R53:R59" si="25">SUM(P53:Q53)/2</f>
        <v>17.774306285518296</v>
      </c>
      <c r="S53" s="459">
        <f t="shared" ref="S53:S59" si="26">J53</f>
        <v>16.022360102984027</v>
      </c>
    </row>
    <row r="54" spans="1:19">
      <c r="A54" s="274" t="str">
        <f t="shared" si="20"/>
        <v>GS 50 To 999 KW</v>
      </c>
      <c r="B54" s="48">
        <f>('Revenue at Prior Year Rates'!I23-'Revenue at Prior Year Rates'!K23)/'Revenue at Prior Year Rates'!L23</f>
        <v>0.92146076147648937</v>
      </c>
      <c r="C54" s="48">
        <f t="shared" si="21"/>
        <v>7.8539238523510635E-2</v>
      </c>
      <c r="D54" s="48">
        <f t="shared" si="22"/>
        <v>1</v>
      </c>
      <c r="E54" s="61">
        <f>+B39*C54/'Forecast Data For 2015 to 2019'!$D$9/12</f>
        <v>52.204638095776467</v>
      </c>
      <c r="F54" s="61">
        <f>'Rates By Rate Class'!D8</f>
        <v>48.76</v>
      </c>
      <c r="G54" s="58">
        <f>'Rates By Rate Class'!E8</f>
        <v>4.1839000000000004</v>
      </c>
      <c r="H54" s="150">
        <v>55.308741078861608</v>
      </c>
      <c r="I54" s="48">
        <f t="shared" ref="I54:I59" si="27">C54</f>
        <v>7.8539238523510635E-2</v>
      </c>
      <c r="J54" s="61">
        <f>+B39*I54/'Forecast Data For 2015 to 2019'!$D$9/12</f>
        <v>52.204638095776467</v>
      </c>
      <c r="L54" s="422">
        <f t="shared" si="23"/>
        <v>0</v>
      </c>
      <c r="M54" s="281"/>
      <c r="N54" s="281"/>
      <c r="P54" s="150">
        <f t="shared" si="24"/>
        <v>55.308741078861608</v>
      </c>
      <c r="Q54" s="150">
        <v>42.122452533548667</v>
      </c>
      <c r="R54" s="460">
        <f t="shared" si="25"/>
        <v>48.715596806205141</v>
      </c>
      <c r="S54" s="459">
        <f t="shared" si="26"/>
        <v>52.204638095776467</v>
      </c>
    </row>
    <row r="55" spans="1:19">
      <c r="A55" s="274" t="str">
        <f t="shared" si="20"/>
        <v>GS Intermediate 1,000 To 4,999 KW</v>
      </c>
      <c r="B55" s="48">
        <f>('Revenue at Prior Year Rates'!I24-'Revenue at Prior Year Rates'!K24)/'Revenue at Prior Year Rates'!L24</f>
        <v>0.69206380792328337</v>
      </c>
      <c r="C55" s="48">
        <f t="shared" si="21"/>
        <v>0.30793619207671663</v>
      </c>
      <c r="D55" s="48">
        <f t="shared" si="22"/>
        <v>1</v>
      </c>
      <c r="E55" s="61">
        <f>+B40*C55/'Forecast Data For 2015 to 2019'!$D$12/12</f>
        <v>1097.0147319949854</v>
      </c>
      <c r="F55" s="61">
        <f>'Rates By Rate Class'!D9</f>
        <v>1024.6300000000001</v>
      </c>
      <c r="G55" s="58">
        <f>'Rates By Rate Class'!E9</f>
        <v>2.2648999999999999</v>
      </c>
      <c r="H55" s="150">
        <v>2.7935219393938691</v>
      </c>
      <c r="I55" s="48">
        <f t="shared" si="27"/>
        <v>0.30793619207671663</v>
      </c>
      <c r="J55" s="61">
        <f>+B40*I55/'Forecast Data For 2015 to 2019'!$D$12/12</f>
        <v>1097.0147319949854</v>
      </c>
      <c r="L55" s="422">
        <f t="shared" si="23"/>
        <v>0</v>
      </c>
      <c r="M55" s="281"/>
      <c r="N55" s="281"/>
      <c r="P55" s="150">
        <f t="shared" si="24"/>
        <v>2.7935219393938691</v>
      </c>
      <c r="Q55" s="150">
        <v>-2.4574929896766853</v>
      </c>
      <c r="R55" s="460">
        <f t="shared" si="25"/>
        <v>0.16801447485859189</v>
      </c>
      <c r="S55" s="459">
        <f t="shared" si="26"/>
        <v>1097.0147319949854</v>
      </c>
    </row>
    <row r="56" spans="1:19">
      <c r="A56" s="274" t="str">
        <f t="shared" si="20"/>
        <v>Large Use</v>
      </c>
      <c r="B56" s="48">
        <f>('Revenue at Prior Year Rates'!I25-'Revenue at Prior Year Rates'!K25)/'Revenue at Prior Year Rates'!L25</f>
        <v>0.58555124268385805</v>
      </c>
      <c r="C56" s="48">
        <f t="shared" si="21"/>
        <v>0.41444875731614195</v>
      </c>
      <c r="D56" s="48">
        <f t="shared" si="22"/>
        <v>1</v>
      </c>
      <c r="E56" s="61">
        <f>+B41*C56/'Forecast Data For 2015 to 2019'!$D$15/12</f>
        <v>8347.4247155914982</v>
      </c>
      <c r="F56" s="61">
        <f>'Rates By Rate Class'!D10</f>
        <v>7812.41</v>
      </c>
      <c r="G56" s="58">
        <f>'Rates By Rate Class'!E10</f>
        <v>1.9725999999999999</v>
      </c>
      <c r="H56" s="150">
        <v>91.41876505755441</v>
      </c>
      <c r="I56" s="48">
        <f t="shared" si="27"/>
        <v>0.41444875731614195</v>
      </c>
      <c r="J56" s="61">
        <f>+B41*I56/'Forecast Data For 2015 to 2019'!$D$15/12</f>
        <v>8347.4247155914982</v>
      </c>
      <c r="L56" s="422">
        <f t="shared" si="23"/>
        <v>0</v>
      </c>
      <c r="M56" s="281"/>
      <c r="N56" s="281"/>
      <c r="P56" s="150">
        <f t="shared" si="24"/>
        <v>91.41876505755441</v>
      </c>
      <c r="Q56" s="150">
        <v>82.473819776587007</v>
      </c>
      <c r="R56" s="460">
        <f t="shared" si="25"/>
        <v>86.946292417070708</v>
      </c>
      <c r="S56" s="459">
        <f t="shared" si="26"/>
        <v>8347.4247155914982</v>
      </c>
    </row>
    <row r="57" spans="1:19">
      <c r="A57" s="274" t="str">
        <f t="shared" si="20"/>
        <v>Street Lighting</v>
      </c>
      <c r="B57" s="48">
        <f>('Revenue at Prior Year Rates'!I26-'Revenue at Prior Year Rates'!K26)/'Revenue at Prior Year Rates'!L26</f>
        <v>0.59188715346851317</v>
      </c>
      <c r="C57" s="48">
        <f t="shared" si="21"/>
        <v>0.40811284653148683</v>
      </c>
      <c r="D57" s="48">
        <f t="shared" si="22"/>
        <v>1</v>
      </c>
      <c r="E57" s="61">
        <f>+B42*C57/'Forecast Data For 2015 to 2019'!$D$18/12</f>
        <v>1.8291260710940083</v>
      </c>
      <c r="F57" s="61">
        <f>'Rates By Rate Class'!D11</f>
        <v>1.65</v>
      </c>
      <c r="G57" s="58">
        <f>'Rates By Rate Class'!E11</f>
        <v>25.491599999999998</v>
      </c>
      <c r="H57" s="150">
        <v>6.8669899233903315</v>
      </c>
      <c r="I57" s="48">
        <f t="shared" si="27"/>
        <v>0.40811284653148683</v>
      </c>
      <c r="J57" s="61">
        <f>+B42*I57/'Forecast Data For 2015 to 2019'!$D$18/12</f>
        <v>1.8291260710940083</v>
      </c>
      <c r="L57" s="422">
        <f t="shared" si="23"/>
        <v>0</v>
      </c>
      <c r="M57" s="281"/>
      <c r="N57" s="281"/>
      <c r="P57" s="150">
        <f t="shared" si="24"/>
        <v>6.8669899233903315</v>
      </c>
      <c r="Q57" s="150">
        <v>9.6209496978280845E-4</v>
      </c>
      <c r="R57" s="460">
        <f t="shared" si="25"/>
        <v>3.4339760091800571</v>
      </c>
      <c r="S57" s="459">
        <f t="shared" si="26"/>
        <v>1.8291260710940083</v>
      </c>
    </row>
    <row r="58" spans="1:19">
      <c r="A58" s="274" t="str">
        <f t="shared" si="20"/>
        <v>Sentinel Lighting</v>
      </c>
      <c r="B58" s="48">
        <f>('Revenue at Prior Year Rates'!I27-'Revenue at Prior Year Rates'!K27)/'Revenue at Prior Year Rates'!L27</f>
        <v>0.3373812248218146</v>
      </c>
      <c r="C58" s="48">
        <f t="shared" si="21"/>
        <v>0.66261877517818535</v>
      </c>
      <c r="D58" s="48">
        <f t="shared" si="22"/>
        <v>1</v>
      </c>
      <c r="E58" s="61">
        <f>+B43*C58/'Forecast Data For 2015 to 2019'!$D$21/12</f>
        <v>5.2568657311374638</v>
      </c>
      <c r="F58" s="61">
        <f>'Rates By Rate Class'!D12</f>
        <v>4.91</v>
      </c>
      <c r="G58" s="58">
        <f>'Rates By Rate Class'!E12</f>
        <v>7.0133000000000001</v>
      </c>
      <c r="H58" s="150">
        <v>7.7931478505640612</v>
      </c>
      <c r="I58" s="48">
        <f t="shared" si="27"/>
        <v>0.66261877517818535</v>
      </c>
      <c r="J58" s="61">
        <f>+B43*I58/'Forecast Data For 2015 to 2019'!$D$21/12</f>
        <v>5.2568657311374638</v>
      </c>
      <c r="L58" s="422">
        <f t="shared" si="23"/>
        <v>0</v>
      </c>
      <c r="M58" s="281"/>
      <c r="N58" s="281"/>
      <c r="P58" s="150">
        <f t="shared" si="24"/>
        <v>7.7931478505640612</v>
      </c>
      <c r="Q58" s="150">
        <v>0.88910530160584489</v>
      </c>
      <c r="R58" s="460">
        <f t="shared" si="25"/>
        <v>4.3411265760849531</v>
      </c>
      <c r="S58" s="459">
        <f t="shared" si="26"/>
        <v>5.2568657311374638</v>
      </c>
    </row>
    <row r="59" spans="1:19">
      <c r="A59" s="274" t="str">
        <f t="shared" si="20"/>
        <v>Unmetered Scattered Load</v>
      </c>
      <c r="B59" s="48">
        <f>('Revenue at Prior Year Rates'!I28-'Revenue at Prior Year Rates'!K28)/'Revenue at Prior Year Rates'!L28</f>
        <v>0.75376604250880741</v>
      </c>
      <c r="C59" s="48">
        <f t="shared" si="21"/>
        <v>0.24623395749119259</v>
      </c>
      <c r="D59" s="48">
        <f t="shared" si="22"/>
        <v>1</v>
      </c>
      <c r="E59" s="61">
        <f>+B44*C59/'Forecast Data For 2015 to 2019'!$D$24/12</f>
        <v>4.3575241396597724</v>
      </c>
      <c r="F59" s="61">
        <f>'Rates By Rate Class'!D13</f>
        <v>4.07</v>
      </c>
      <c r="G59" s="58">
        <f>'Rates By Rate Class'!E13</f>
        <v>1.66E-2</v>
      </c>
      <c r="H59" s="150">
        <v>10.510585295286573</v>
      </c>
      <c r="I59" s="48">
        <f t="shared" si="27"/>
        <v>0.24623395749119259</v>
      </c>
      <c r="J59" s="61">
        <f>+B44*I59/'Forecast Data For 2015 to 2019'!$D$24/12</f>
        <v>4.3575241396597724</v>
      </c>
      <c r="L59" s="422">
        <f t="shared" si="23"/>
        <v>0</v>
      </c>
      <c r="M59" s="281"/>
      <c r="N59" s="281"/>
      <c r="P59" s="150">
        <f t="shared" si="24"/>
        <v>10.510585295286573</v>
      </c>
      <c r="Q59" s="150">
        <v>4.5914029982137139</v>
      </c>
      <c r="R59" s="460">
        <f t="shared" si="25"/>
        <v>7.5509941467501438</v>
      </c>
      <c r="S59" s="459">
        <f t="shared" si="26"/>
        <v>4.3575241396597724</v>
      </c>
    </row>
    <row r="60" spans="1:19">
      <c r="A60" s="274"/>
      <c r="B60" s="48"/>
      <c r="C60" s="48"/>
      <c r="D60" s="48"/>
      <c r="E60" s="61"/>
      <c r="F60" s="61"/>
      <c r="G60" s="61"/>
      <c r="H60" s="150"/>
      <c r="I60" s="61"/>
      <c r="J60" s="61"/>
      <c r="L60" s="344"/>
      <c r="M60" s="281"/>
      <c r="N60" s="281"/>
    </row>
    <row r="61" spans="1:19">
      <c r="A61" s="274"/>
      <c r="B61" s="103"/>
      <c r="C61" s="48"/>
      <c r="D61" s="48"/>
      <c r="E61" s="61"/>
      <c r="F61" s="61"/>
      <c r="G61" s="61"/>
      <c r="H61" s="46"/>
      <c r="I61" s="61"/>
      <c r="J61" s="61"/>
      <c r="L61" s="344"/>
      <c r="M61" s="281"/>
      <c r="N61" s="281"/>
    </row>
    <row r="62" spans="1:19" ht="13.5" thickBot="1">
      <c r="A62" s="63" t="s">
        <v>1</v>
      </c>
      <c r="B62" s="104"/>
      <c r="C62" s="64"/>
      <c r="D62" s="64"/>
      <c r="E62" s="64"/>
      <c r="F62" s="64"/>
      <c r="G62" s="64"/>
      <c r="H62" s="64"/>
      <c r="I62" s="64"/>
      <c r="J62" s="64"/>
      <c r="K62" s="281"/>
      <c r="L62" s="344"/>
      <c r="M62" s="281"/>
      <c r="N62" s="281"/>
    </row>
    <row r="63" spans="1:19" ht="13.15" thickTop="1">
      <c r="F63" s="1"/>
    </row>
    <row r="64" spans="1:19" s="270" customFormat="1">
      <c r="B64" s="271"/>
      <c r="K64" s="318"/>
      <c r="L64" s="423"/>
      <c r="R64" s="423"/>
    </row>
    <row r="65" spans="1:12" ht="17.649999999999999">
      <c r="A65" s="626" t="s">
        <v>185</v>
      </c>
      <c r="B65" s="626"/>
      <c r="C65" s="626"/>
      <c r="D65" s="626"/>
      <c r="E65" s="626"/>
      <c r="F65" s="626"/>
      <c r="G65" s="626"/>
      <c r="H65" s="626"/>
      <c r="I65" s="626"/>
    </row>
    <row r="66" spans="1:12" ht="13.15">
      <c r="A66" s="310"/>
      <c r="B66" s="310"/>
      <c r="C66" s="310"/>
      <c r="D66" s="310"/>
      <c r="E66" s="310"/>
      <c r="F66" s="310"/>
      <c r="G66" s="310"/>
      <c r="H66" s="310"/>
      <c r="I66" s="310"/>
    </row>
    <row r="67" spans="1:12" ht="39.4">
      <c r="A67" s="166" t="s">
        <v>0</v>
      </c>
      <c r="B67" s="149" t="s">
        <v>63</v>
      </c>
      <c r="C67" s="166" t="s">
        <v>51</v>
      </c>
      <c r="D67" s="166" t="s">
        <v>2</v>
      </c>
      <c r="E67" s="166" t="s">
        <v>109</v>
      </c>
      <c r="F67" s="166" t="s">
        <v>3</v>
      </c>
      <c r="G67" s="166" t="s">
        <v>4</v>
      </c>
      <c r="H67" s="166" t="s">
        <v>5</v>
      </c>
      <c r="I67" s="166" t="s">
        <v>64</v>
      </c>
    </row>
    <row r="68" spans="1:12">
      <c r="A68" s="274" t="str">
        <f>'Cost Allocation Study'!A5</f>
        <v>Residential</v>
      </c>
      <c r="B68" s="69">
        <f>'Cost Allocation Study'!K42</f>
        <v>14340454.505900068</v>
      </c>
      <c r="C68" s="45">
        <f t="shared" ref="C68:C75" si="28">+B68/$B$77</f>
        <v>0.62136379329825941</v>
      </c>
      <c r="D68" s="46">
        <f t="shared" ref="D68:D75" si="29">J83</f>
        <v>14.221728204894363</v>
      </c>
      <c r="E68" s="58">
        <f>+G68/'Forecast Data For 2015 to 2019'!$E$6</f>
        <v>1.0923630316466364E-2</v>
      </c>
      <c r="F68" s="59">
        <f>+D68*'Forecast Data For 2015 to 2019'!$E$5*12</f>
        <v>8962784.0661875419</v>
      </c>
      <c r="G68" s="59">
        <f t="shared" ref="G68:G75" si="30">+B68-F68</f>
        <v>5377670.4397125263</v>
      </c>
      <c r="H68" s="60"/>
      <c r="I68" s="83">
        <f t="shared" ref="I68:I75" si="31">+F68+G68+H68</f>
        <v>14340454.505900068</v>
      </c>
    </row>
    <row r="69" spans="1:12">
      <c r="A69" s="274" t="str">
        <f>'Cost Allocation Study'!A6</f>
        <v>GS Less Than 50 KW</v>
      </c>
      <c r="B69" s="69">
        <f>'Cost Allocation Study'!K43</f>
        <v>2976190.8414891833</v>
      </c>
      <c r="C69" s="45">
        <f t="shared" si="28"/>
        <v>0.12895666801121292</v>
      </c>
      <c r="D69" s="46">
        <f t="shared" si="29"/>
        <v>16.240164758428584</v>
      </c>
      <c r="E69" s="58">
        <f>+G69/'Forecast Data For 2015 to 2019'!$E$8</f>
        <v>1.6085881239226926E-2</v>
      </c>
      <c r="F69" s="59">
        <f>+D69*'Forecast Data For 2015 to 2019'!$E$7*12</f>
        <v>803571.52720207954</v>
      </c>
      <c r="G69" s="59">
        <f t="shared" si="30"/>
        <v>2172619.3142871037</v>
      </c>
      <c r="H69" s="60"/>
      <c r="I69" s="83">
        <f t="shared" si="31"/>
        <v>2976190.8414891833</v>
      </c>
    </row>
    <row r="70" spans="1:12">
      <c r="A70" s="274" t="str">
        <f>'Cost Allocation Study'!A7</f>
        <v>GS 50 To 999 KW</v>
      </c>
      <c r="B70" s="69">
        <f>'Cost Allocation Study'!K44</f>
        <v>4221453.6614559507</v>
      </c>
      <c r="C70" s="45">
        <f t="shared" si="28"/>
        <v>0.18291320259311833</v>
      </c>
      <c r="D70" s="46">
        <f t="shared" si="29"/>
        <v>53.33</v>
      </c>
      <c r="E70" s="58">
        <f>(+G70+H70)/'Forecast Data For 2015 to 2019'!$E$10</f>
        <v>4.5690788439460972</v>
      </c>
      <c r="F70" s="59">
        <f>+D70*'Forecast Data For 2015 to 2019'!$E$9*12</f>
        <v>334251.10800000001</v>
      </c>
      <c r="G70" s="59">
        <f t="shared" si="30"/>
        <v>3887202.5534559507</v>
      </c>
      <c r="H70" s="59">
        <f>-'Transformer Allowance'!C44</f>
        <v>67537.961086833093</v>
      </c>
      <c r="I70" s="83">
        <f t="shared" si="31"/>
        <v>4288991.6225427836</v>
      </c>
    </row>
    <row r="71" spans="1:12">
      <c r="A71" s="274" t="str">
        <f>'Cost Allocation Study'!A8</f>
        <v>GS Intermediate 1,000 To 4,999 KW</v>
      </c>
      <c r="B71" s="69">
        <f>'Cost Allocation Study'!K45</f>
        <v>521506.09053895983</v>
      </c>
      <c r="C71" s="45">
        <f t="shared" si="28"/>
        <v>2.2596564321731388E-2</v>
      </c>
      <c r="D71" s="46">
        <f t="shared" si="29"/>
        <v>1120.7384686911003</v>
      </c>
      <c r="E71" s="58">
        <f>(+G71+H71)/'Forecast Data For 2015 to 2019'!$E$13</f>
        <v>2.4246468655430098</v>
      </c>
      <c r="F71" s="59">
        <f>+D71*'Forecast Data For 2015 to 2019'!$E$12*12</f>
        <v>161386.33949151845</v>
      </c>
      <c r="G71" s="59">
        <f t="shared" si="30"/>
        <v>360119.75104744139</v>
      </c>
      <c r="H71" s="59">
        <f>-'Transformer Allowance'!C45</f>
        <v>108529.9774326934</v>
      </c>
      <c r="I71" s="83">
        <f t="shared" si="31"/>
        <v>630036.06797165319</v>
      </c>
    </row>
    <row r="72" spans="1:12">
      <c r="A72" s="274" t="str">
        <f>'Cost Allocation Study'!A9</f>
        <v>Large Use</v>
      </c>
      <c r="B72" s="69">
        <f>'Cost Allocation Study'!K46</f>
        <v>247231.65297761772</v>
      </c>
      <c r="C72" s="45">
        <f t="shared" si="28"/>
        <v>1.0712407870640886E-2</v>
      </c>
      <c r="D72" s="46">
        <f t="shared" si="29"/>
        <v>8527.9757780890468</v>
      </c>
      <c r="E72" s="58">
        <f>(+G72+H72)/'Forecast Data For 2015 to 2019'!$E$16</f>
        <v>2.0983226667431221</v>
      </c>
      <c r="F72" s="59">
        <f>+D72*'Forecast Data For 2015 to 2019'!$E$15*12</f>
        <v>102335.70933706856</v>
      </c>
      <c r="G72" s="59">
        <f t="shared" si="30"/>
        <v>144895.94364054914</v>
      </c>
      <c r="H72" s="59">
        <f>-'Transformer Allowance'!C46</f>
        <v>58023.771397193537</v>
      </c>
      <c r="I72" s="83">
        <f t="shared" si="31"/>
        <v>305255.42437481123</v>
      </c>
    </row>
    <row r="73" spans="1:12">
      <c r="A73" s="274" t="str">
        <f>'Cost Allocation Study'!A10</f>
        <v>Street Lighting</v>
      </c>
      <c r="B73" s="69">
        <f>'Cost Allocation Study'!K47</f>
        <v>705995.88622365647</v>
      </c>
      <c r="C73" s="45">
        <f t="shared" si="28"/>
        <v>3.0590402956643534E-2</v>
      </c>
      <c r="D73" s="46">
        <f t="shared" si="29"/>
        <v>1.921138029484547</v>
      </c>
      <c r="E73" s="58">
        <f>(+G73+H73)/'Forecast Data For 2015 to 2019'!$E$19</f>
        <v>29.666360423608644</v>
      </c>
      <c r="F73" s="59">
        <f>+D73*'Forecast Data For 2015 to 2019'!$E$18*12</f>
        <v>304656.92574488732</v>
      </c>
      <c r="G73" s="59">
        <f t="shared" si="30"/>
        <v>401338.96047876915</v>
      </c>
      <c r="H73" s="59">
        <f>-'Transformer Allowance'!C47</f>
        <v>0</v>
      </c>
      <c r="I73" s="83">
        <f t="shared" si="31"/>
        <v>705995.88622365647</v>
      </c>
    </row>
    <row r="74" spans="1:12">
      <c r="A74" s="274" t="str">
        <f>'Cost Allocation Study'!A11</f>
        <v>Sentinel Lighting</v>
      </c>
      <c r="B74" s="69">
        <f>'Cost Allocation Study'!K48</f>
        <v>2110.4052919270061</v>
      </c>
      <c r="C74" s="45">
        <f t="shared" si="28"/>
        <v>9.1442669201939668E-5</v>
      </c>
      <c r="D74" s="46">
        <f t="shared" si="29"/>
        <v>5.3737744827441736</v>
      </c>
      <c r="E74" s="58">
        <f>(+G74+H74)/'Forecast Data For 2015 to 2019'!$E$22</f>
        <v>7.6712163186367803</v>
      </c>
      <c r="F74" s="59">
        <f>+D74*'Forecast Data For 2015 to 2019'!$E$21*12</f>
        <v>1401.8061613797502</v>
      </c>
      <c r="G74" s="59">
        <f t="shared" si="30"/>
        <v>708.59913054725598</v>
      </c>
      <c r="H74" s="60"/>
      <c r="I74" s="83">
        <f t="shared" si="31"/>
        <v>2110.4052919270061</v>
      </c>
    </row>
    <row r="75" spans="1:12">
      <c r="A75" s="274" t="str">
        <f>'Cost Allocation Study'!A12</f>
        <v>Unmetered Scattered Load</v>
      </c>
      <c r="B75" s="69">
        <f>'Cost Allocation Study'!K49</f>
        <v>64056.184223041935</v>
      </c>
      <c r="C75" s="45">
        <f t="shared" si="28"/>
        <v>2.7755182791916189E-3</v>
      </c>
      <c r="D75" s="46">
        <f t="shared" si="29"/>
        <v>4.4526486319928358</v>
      </c>
      <c r="E75" s="58">
        <f>+G75/'Forecast Data For 2015 to 2019'!$E$26</f>
        <v>1.8178244415016625E-2</v>
      </c>
      <c r="F75" s="59">
        <f>+D75*'Forecast Data For 2015 to 2019'!$E$24*12</f>
        <v>15840.483023916651</v>
      </c>
      <c r="G75" s="59">
        <f t="shared" si="30"/>
        <v>48215.70119912528</v>
      </c>
      <c r="H75" s="60"/>
      <c r="I75" s="83">
        <f t="shared" si="31"/>
        <v>64056.184223041928</v>
      </c>
    </row>
    <row r="76" spans="1:12">
      <c r="A76" s="274"/>
      <c r="B76" s="69"/>
      <c r="C76" s="45"/>
      <c r="D76" s="46"/>
      <c r="E76" s="58"/>
      <c r="F76" s="59"/>
      <c r="G76" s="59"/>
      <c r="H76" s="60"/>
      <c r="I76" s="83"/>
    </row>
    <row r="77" spans="1:12" ht="13.5" thickBot="1">
      <c r="A77" s="50" t="s">
        <v>1</v>
      </c>
      <c r="B77" s="102">
        <f>SUM(B68:B76)</f>
        <v>23078999.228100404</v>
      </c>
      <c r="C77" s="54">
        <f>SUM(C68:C76)</f>
        <v>1</v>
      </c>
      <c r="D77" s="55"/>
      <c r="E77" s="56"/>
      <c r="F77" s="53">
        <f t="shared" ref="F77:I77" si="32">SUM(F68:F76)</f>
        <v>10686227.965148393</v>
      </c>
      <c r="G77" s="53">
        <f t="shared" si="32"/>
        <v>12392771.262952013</v>
      </c>
      <c r="H77" s="53">
        <f t="shared" si="32"/>
        <v>234091.70991672005</v>
      </c>
      <c r="I77" s="53">
        <f t="shared" si="32"/>
        <v>23313090.938017122</v>
      </c>
      <c r="K77" s="307">
        <f>'Revenue Input'!$D$11</f>
        <v>23313090.938017126</v>
      </c>
      <c r="L77" s="344">
        <f>K77-I77</f>
        <v>0</v>
      </c>
    </row>
    <row r="78" spans="1:12" ht="13.9" thickTop="1" thickBot="1">
      <c r="D78" s="624" t="s">
        <v>55</v>
      </c>
      <c r="E78" s="624"/>
      <c r="F78" s="52">
        <f>+F77/I77</f>
        <v>0.45837885647853532</v>
      </c>
      <c r="G78" s="52">
        <f>+G77/I77</f>
        <v>0.53157993060211817</v>
      </c>
      <c r="H78" s="52">
        <f>+H77/I77</f>
        <v>1.0041212919346617E-2</v>
      </c>
      <c r="I78" s="52">
        <f>F78+G78+H78</f>
        <v>1</v>
      </c>
    </row>
    <row r="79" spans="1:12" ht="13.15">
      <c r="D79" s="14"/>
      <c r="E79" s="14"/>
      <c r="F79" s="93"/>
      <c r="G79" s="93"/>
      <c r="H79" s="93"/>
      <c r="I79" s="93"/>
    </row>
    <row r="81" spans="1:19" ht="17.649999999999999">
      <c r="A81" s="623" t="s">
        <v>291</v>
      </c>
      <c r="B81" s="623"/>
      <c r="C81" s="623"/>
      <c r="D81" s="623"/>
      <c r="E81" s="623"/>
      <c r="F81" s="623"/>
      <c r="G81" s="623"/>
    </row>
    <row r="82" spans="1:19" ht="91.9">
      <c r="A82" s="166" t="s">
        <v>0</v>
      </c>
      <c r="B82" s="149" t="s">
        <v>88</v>
      </c>
      <c r="C82" s="166" t="s">
        <v>89</v>
      </c>
      <c r="D82" s="166" t="s">
        <v>37</v>
      </c>
      <c r="E82" s="166" t="s">
        <v>90</v>
      </c>
      <c r="F82" s="410" t="s">
        <v>283</v>
      </c>
      <c r="G82" s="420" t="s">
        <v>284</v>
      </c>
      <c r="H82" s="211" t="s">
        <v>217</v>
      </c>
      <c r="I82" s="420" t="s">
        <v>277</v>
      </c>
      <c r="J82" s="420" t="s">
        <v>2</v>
      </c>
      <c r="K82" s="281"/>
      <c r="L82" s="424" t="s">
        <v>294</v>
      </c>
      <c r="M82" s="281"/>
      <c r="N82" s="421" t="s">
        <v>280</v>
      </c>
      <c r="P82" s="455" t="s">
        <v>312</v>
      </c>
      <c r="Q82" s="455" t="s">
        <v>313</v>
      </c>
      <c r="R82" s="387" t="s">
        <v>314</v>
      </c>
      <c r="S82" s="336" t="s">
        <v>315</v>
      </c>
    </row>
    <row r="83" spans="1:19">
      <c r="A83" s="274" t="str">
        <f t="shared" ref="A83:A90" si="33">A68</f>
        <v>Residential</v>
      </c>
      <c r="B83" s="48">
        <f>('Revenue at Prior Year Rates'!I36-'Revenue at Prior Year Rates'!K36)/'Revenue at Prior Year Rates'!L36</f>
        <v>0.49736319757246356</v>
      </c>
      <c r="C83" s="48">
        <f t="shared" ref="C83:C90" si="34">1-B83</f>
        <v>0.5026368024275365</v>
      </c>
      <c r="D83" s="48">
        <f t="shared" ref="D83:D90" si="35">SUM(B83:C83)</f>
        <v>1</v>
      </c>
      <c r="E83" s="61">
        <f>+B68*C83/'Forecast Data For 2015 to 2019'!$E$5/12</f>
        <v>11.43738238384258</v>
      </c>
      <c r="F83" s="61">
        <f>'Rates By Rate Class'!D37</f>
        <v>11.213082431285882</v>
      </c>
      <c r="G83" s="58">
        <f>'Rates By Rate Class'!E37</f>
        <v>1.4168759967643618E-2</v>
      </c>
      <c r="H83" s="150">
        <v>15.709593761746648</v>
      </c>
      <c r="I83" s="530">
        <f>Q38</f>
        <v>0.625</v>
      </c>
      <c r="J83" s="61">
        <f>+B68*I83/'Forecast Data For 2015 to 2019'!$E$5/12</f>
        <v>14.221728204894363</v>
      </c>
      <c r="L83" s="422">
        <f>(J83-E83)/E83</f>
        <v>0.24344257519842888</v>
      </c>
      <c r="M83" s="281"/>
      <c r="N83" s="281"/>
      <c r="P83" s="150">
        <f>H83</f>
        <v>15.709593761746648</v>
      </c>
      <c r="Q83" s="150">
        <v>8.1519078025185401</v>
      </c>
      <c r="R83" s="460">
        <f>SUM(P83:Q83)/2</f>
        <v>11.930750782132595</v>
      </c>
      <c r="S83" s="459">
        <f>J83</f>
        <v>14.221728204894363</v>
      </c>
    </row>
    <row r="84" spans="1:19">
      <c r="A84" s="274" t="str">
        <f t="shared" si="33"/>
        <v>GS Less Than 50 KW</v>
      </c>
      <c r="B84" s="48">
        <f>('Revenue at Prior Year Rates'!I37-'Revenue at Prior Year Rates'!K37)/'Revenue at Prior Year Rates'!L37</f>
        <v>0.72789937607373401</v>
      </c>
      <c r="C84" s="48">
        <f t="shared" si="34"/>
        <v>0.27210062392626599</v>
      </c>
      <c r="D84" s="48">
        <f t="shared" si="35"/>
        <v>1</v>
      </c>
      <c r="E84" s="61">
        <f>+B69*C84/'Forecast Data For 2015 to 2019'!$E$7/12</f>
        <v>16.366514679384348</v>
      </c>
      <c r="F84" s="61">
        <f>'Rates By Rate Class'!D38</f>
        <v>16.022360102984027</v>
      </c>
      <c r="G84" s="58">
        <f>'Rates By Rate Class'!E38</f>
        <v>1.5660082537613865E-2</v>
      </c>
      <c r="H84" s="150">
        <v>21.931236657976513</v>
      </c>
      <c r="I84" s="530">
        <v>0.27</v>
      </c>
      <c r="J84" s="61">
        <f>+B69*I84/'Forecast Data For 2015 to 2019'!$E$7/12</f>
        <v>16.240164758428584</v>
      </c>
      <c r="L84" s="422">
        <f t="shared" ref="L84:L90" si="36">(J84-E84)/E84</f>
        <v>-7.7200261284045852E-3</v>
      </c>
      <c r="M84" s="281"/>
      <c r="N84" s="281"/>
      <c r="P84" s="150">
        <f t="shared" ref="P84:P90" si="37">H84</f>
        <v>21.931236657976513</v>
      </c>
      <c r="Q84" s="150">
        <v>13.714235889589027</v>
      </c>
      <c r="R84" s="460">
        <f t="shared" ref="R84:R90" si="38">SUM(P84:Q84)/2</f>
        <v>17.82273627378277</v>
      </c>
      <c r="S84" s="459">
        <f t="shared" ref="S84:S90" si="39">J84</f>
        <v>16.240164758428584</v>
      </c>
    </row>
    <row r="85" spans="1:19">
      <c r="A85" s="274" t="str">
        <f t="shared" si="33"/>
        <v>GS 50 To 999 KW</v>
      </c>
      <c r="B85" s="48">
        <f>('Revenue at Prior Year Rates'!I38-'Revenue at Prior Year Rates'!K38)/'Revenue at Prior Year Rates'!L38</f>
        <v>0.9208221980661081</v>
      </c>
      <c r="C85" s="48">
        <f t="shared" si="34"/>
        <v>7.91778019338919E-2</v>
      </c>
      <c r="D85" s="48">
        <f t="shared" si="35"/>
        <v>1</v>
      </c>
      <c r="E85" s="61">
        <f>+B70*C85/'Forecast Data For 2015 to 2019'!$E$9/12</f>
        <v>53.329092775522064</v>
      </c>
      <c r="F85" s="61">
        <f>'Rates By Rate Class'!D39</f>
        <v>52.204638095776467</v>
      </c>
      <c r="G85" s="58">
        <f>'Rates By Rate Class'!E39</f>
        <v>4.4739582050111091</v>
      </c>
      <c r="H85" s="150">
        <v>55.276378735855765</v>
      </c>
      <c r="I85" s="48">
        <f t="shared" ref="I85:I90" si="40">C85</f>
        <v>7.91778019338919E-2</v>
      </c>
      <c r="J85" s="61">
        <f>ROUND(+B70*I85/'Forecast Data For 2015 to 2019'!$E$9/12,2)</f>
        <v>53.33</v>
      </c>
      <c r="L85" s="422">
        <f t="shared" si="36"/>
        <v>1.7011811578221524E-5</v>
      </c>
      <c r="M85" s="281"/>
      <c r="N85" s="281"/>
      <c r="P85" s="150">
        <f t="shared" si="37"/>
        <v>55.276378735855765</v>
      </c>
      <c r="Q85" s="150">
        <v>42.018865120321713</v>
      </c>
      <c r="R85" s="460">
        <f t="shared" si="38"/>
        <v>48.647621928088739</v>
      </c>
      <c r="S85" s="459">
        <f t="shared" si="39"/>
        <v>53.33</v>
      </c>
    </row>
    <row r="86" spans="1:19">
      <c r="A86" s="274" t="str">
        <f t="shared" si="33"/>
        <v>GS Intermediate 1,000 To 4,999 KW</v>
      </c>
      <c r="B86" s="48">
        <f>('Revenue at Prior Year Rates'!I39-'Revenue at Prior Year Rates'!K39)/'Revenue at Prior Year Rates'!L39</f>
        <v>0.69053795838754095</v>
      </c>
      <c r="C86" s="48">
        <f t="shared" si="34"/>
        <v>0.30946204161245905</v>
      </c>
      <c r="D86" s="48">
        <f t="shared" si="35"/>
        <v>1</v>
      </c>
      <c r="E86" s="61">
        <f>+B71*C86/'Forecast Data For 2015 to 2019'!$E$12/12</f>
        <v>1120.7384686911003</v>
      </c>
      <c r="F86" s="61">
        <f>'Rates By Rate Class'!D40</f>
        <v>1097.0147319949854</v>
      </c>
      <c r="G86" s="58">
        <f>'Rates By Rate Class'!E40</f>
        <v>2.3852362630529709</v>
      </c>
      <c r="H86" s="150">
        <v>2.0771897227623564</v>
      </c>
      <c r="I86" s="48">
        <f t="shared" si="40"/>
        <v>0.30946204161245905</v>
      </c>
      <c r="J86" s="61">
        <f>+B71*I86/'Forecast Data For 2015 to 2019'!$E$12/12</f>
        <v>1120.7384686911003</v>
      </c>
      <c r="L86" s="422">
        <f t="shared" si="36"/>
        <v>0</v>
      </c>
      <c r="M86" s="281"/>
      <c r="N86" s="281"/>
      <c r="P86" s="150">
        <f t="shared" si="37"/>
        <v>2.0771897227623564</v>
      </c>
      <c r="Q86" s="150">
        <v>-3.2198577117984288</v>
      </c>
      <c r="R86" s="460">
        <f t="shared" si="38"/>
        <v>-0.57133399451803624</v>
      </c>
      <c r="S86" s="459">
        <f t="shared" si="39"/>
        <v>1120.7384686911003</v>
      </c>
    </row>
    <row r="87" spans="1:19">
      <c r="A87" s="274" t="str">
        <f t="shared" si="33"/>
        <v>Large Use</v>
      </c>
      <c r="B87" s="48">
        <f>('Revenue at Prior Year Rates'!I40-'Revenue at Prior Year Rates'!K40)/'Revenue at Prior Year Rates'!L40</f>
        <v>0.58607359492785827</v>
      </c>
      <c r="C87" s="48">
        <f t="shared" si="34"/>
        <v>0.41392640507214173</v>
      </c>
      <c r="D87" s="48">
        <f t="shared" si="35"/>
        <v>1</v>
      </c>
      <c r="E87" s="61">
        <f>+B72*C87/'Forecast Data For 2015 to 2019'!$E$15/12</f>
        <v>8527.9757780890468</v>
      </c>
      <c r="F87" s="61">
        <f>'Rates By Rate Class'!D41</f>
        <v>8347.4247155914982</v>
      </c>
      <c r="G87" s="58">
        <f>'Rates By Rate Class'!E41</f>
        <v>2.0665990578787765</v>
      </c>
      <c r="H87" s="150">
        <v>91.297640720605855</v>
      </c>
      <c r="I87" s="48">
        <f t="shared" si="40"/>
        <v>0.41392640507214173</v>
      </c>
      <c r="J87" s="61">
        <f>+B72*I87/'Forecast Data For 2015 to 2019'!$E$15/12</f>
        <v>8527.9757780890468</v>
      </c>
      <c r="L87" s="422">
        <f t="shared" si="36"/>
        <v>0</v>
      </c>
      <c r="M87" s="281"/>
      <c r="N87" s="281"/>
      <c r="P87" s="150">
        <f t="shared" si="37"/>
        <v>91.297640720605855</v>
      </c>
      <c r="Q87" s="150">
        <v>82.315250595647669</v>
      </c>
      <c r="R87" s="460">
        <f t="shared" si="38"/>
        <v>86.806445658126762</v>
      </c>
      <c r="S87" s="459">
        <f t="shared" si="39"/>
        <v>8527.9757780890468</v>
      </c>
    </row>
    <row r="88" spans="1:19">
      <c r="A88" s="274" t="str">
        <f t="shared" si="33"/>
        <v>Street Lighting</v>
      </c>
      <c r="B88" s="48">
        <f>('Revenue at Prior Year Rates'!I41-'Revenue at Prior Year Rates'!K41)/'Revenue at Prior Year Rates'!L41</f>
        <v>0.56847209496575835</v>
      </c>
      <c r="C88" s="48">
        <f t="shared" si="34"/>
        <v>0.43152790503424165</v>
      </c>
      <c r="D88" s="48">
        <f t="shared" si="35"/>
        <v>1</v>
      </c>
      <c r="E88" s="61">
        <f>+B73*C88/'Forecast Data For 2015 to 2019'!$E$18/12</f>
        <v>1.921138029484547</v>
      </c>
      <c r="F88" s="61">
        <f>'Rates By Rate Class'!D42</f>
        <v>1.8291260710940083</v>
      </c>
      <c r="G88" s="58">
        <f>'Rates By Rate Class'!E42</f>
        <v>28.259000093272729</v>
      </c>
      <c r="H88" s="150">
        <v>7.0283175581620645</v>
      </c>
      <c r="I88" s="48">
        <f t="shared" si="40"/>
        <v>0.43152790503424165</v>
      </c>
      <c r="J88" s="61">
        <f>+B73*I88/'Forecast Data For 2015 to 2019'!$E$18/12</f>
        <v>1.921138029484547</v>
      </c>
      <c r="L88" s="422">
        <f t="shared" si="36"/>
        <v>0</v>
      </c>
      <c r="M88" s="281"/>
      <c r="N88" s="281"/>
      <c r="P88" s="150">
        <f t="shared" si="37"/>
        <v>7.0283175581620645</v>
      </c>
      <c r="Q88" s="150">
        <v>-3.9359828687132023E-3</v>
      </c>
      <c r="R88" s="460">
        <f t="shared" si="38"/>
        <v>3.5121907876466758</v>
      </c>
      <c r="S88" s="459">
        <f t="shared" si="39"/>
        <v>1.921138029484547</v>
      </c>
    </row>
    <row r="89" spans="1:19">
      <c r="A89" s="274" t="str">
        <f t="shared" si="33"/>
        <v>Sentinel Lighting</v>
      </c>
      <c r="B89" s="48">
        <f>('Revenue at Prior Year Rates'!I42-'Revenue at Prior Year Rates'!K42)/'Revenue at Prior Year Rates'!L42</f>
        <v>0.33576447768486956</v>
      </c>
      <c r="C89" s="48">
        <f t="shared" si="34"/>
        <v>0.66423552231513039</v>
      </c>
      <c r="D89" s="48">
        <f t="shared" si="35"/>
        <v>1</v>
      </c>
      <c r="E89" s="61">
        <f>+B74*C89/'Forecast Data For 2015 to 2019'!$E$21/12</f>
        <v>5.3737744827441736</v>
      </c>
      <c r="F89" s="61">
        <f>'Rates By Rate Class'!D43</f>
        <v>5.2568657311374638</v>
      </c>
      <c r="G89" s="58">
        <f>'Rates By Rate Class'!E43</f>
        <v>7.5087528375124988</v>
      </c>
      <c r="H89" s="150">
        <v>7.9571719257637703</v>
      </c>
      <c r="I89" s="48">
        <f t="shared" si="40"/>
        <v>0.66423552231513039</v>
      </c>
      <c r="J89" s="61">
        <f>+B74*I89/'Forecast Data For 2015 to 2019'!$E$21/12</f>
        <v>5.3737744827441736</v>
      </c>
      <c r="L89" s="422">
        <f t="shared" si="36"/>
        <v>0</v>
      </c>
      <c r="M89" s="281"/>
      <c r="N89" s="281"/>
      <c r="P89" s="150">
        <f t="shared" si="37"/>
        <v>7.9571719257637703</v>
      </c>
      <c r="Q89" s="150">
        <v>0.88711821789357437</v>
      </c>
      <c r="R89" s="460">
        <f t="shared" si="38"/>
        <v>4.4221450718286723</v>
      </c>
      <c r="S89" s="459">
        <f t="shared" si="39"/>
        <v>5.3737744827441736</v>
      </c>
    </row>
    <row r="90" spans="1:19">
      <c r="A90" s="274" t="str">
        <f t="shared" si="33"/>
        <v>Unmetered Scattered Load</v>
      </c>
      <c r="B90" s="48">
        <f>('Revenue at Prior Year Rates'!I43-'Revenue at Prior Year Rates'!K43)/'Revenue at Prior Year Rates'!L43</f>
        <v>0.75270954372242171</v>
      </c>
      <c r="C90" s="48">
        <f t="shared" si="34"/>
        <v>0.24729045627757829</v>
      </c>
      <c r="D90" s="48">
        <f t="shared" si="35"/>
        <v>1</v>
      </c>
      <c r="E90" s="61">
        <f>+B75*C90/'Forecast Data For 2015 to 2019'!$E$24/12</f>
        <v>4.4526486319928358</v>
      </c>
      <c r="F90" s="61">
        <f>'Rates By Rate Class'!D44</f>
        <v>4.3575241396597724</v>
      </c>
      <c r="G90" s="58">
        <f>'Rates By Rate Class'!E44</f>
        <v>1.7772702879202015E-2</v>
      </c>
      <c r="H90" s="150">
        <v>10.47022084154114</v>
      </c>
      <c r="I90" s="48">
        <f t="shared" si="40"/>
        <v>0.24729045627757829</v>
      </c>
      <c r="J90" s="61">
        <f>+B75*I90/'Forecast Data For 2015 to 2019'!$E$24/12</f>
        <v>4.4526486319928358</v>
      </c>
      <c r="L90" s="422">
        <f t="shared" si="36"/>
        <v>0</v>
      </c>
      <c r="M90" s="281"/>
      <c r="N90" s="281"/>
      <c r="P90" s="150">
        <f t="shared" si="37"/>
        <v>10.47022084154114</v>
      </c>
      <c r="Q90" s="150">
        <v>4.4281691476176102</v>
      </c>
      <c r="R90" s="460">
        <f t="shared" si="38"/>
        <v>7.4491949945793756</v>
      </c>
      <c r="S90" s="459">
        <f t="shared" si="39"/>
        <v>4.4526486319928358</v>
      </c>
    </row>
    <row r="91" spans="1:19">
      <c r="A91" s="274"/>
      <c r="B91" s="48"/>
      <c r="C91" s="48"/>
      <c r="D91" s="48"/>
      <c r="E91" s="61"/>
      <c r="F91" s="61"/>
      <c r="G91" s="61"/>
      <c r="H91" s="150"/>
      <c r="I91" s="61"/>
      <c r="J91" s="61"/>
      <c r="L91" s="344"/>
      <c r="M91" s="281"/>
      <c r="N91" s="281"/>
    </row>
    <row r="92" spans="1:19">
      <c r="A92" s="274"/>
      <c r="B92" s="103"/>
      <c r="C92" s="48"/>
      <c r="D92" s="48"/>
      <c r="E92" s="61"/>
      <c r="F92" s="61"/>
      <c r="G92" s="61"/>
      <c r="H92" s="46"/>
      <c r="I92" s="61"/>
      <c r="J92" s="61"/>
      <c r="L92" s="344"/>
      <c r="M92" s="281"/>
      <c r="N92" s="281"/>
    </row>
    <row r="93" spans="1:19" ht="13.5" thickBot="1">
      <c r="A93" s="63" t="s">
        <v>1</v>
      </c>
      <c r="B93" s="104"/>
      <c r="C93" s="64"/>
      <c r="D93" s="64"/>
      <c r="E93" s="64"/>
      <c r="F93" s="64"/>
      <c r="G93" s="64"/>
      <c r="H93" s="64"/>
      <c r="I93" s="64"/>
      <c r="J93" s="64"/>
      <c r="K93" s="281"/>
      <c r="L93" s="344"/>
      <c r="M93" s="281"/>
      <c r="N93" s="281"/>
    </row>
    <row r="94" spans="1:19" ht="13.15" thickTop="1">
      <c r="F94" s="1"/>
    </row>
    <row r="95" spans="1:19" s="270" customFormat="1">
      <c r="B95" s="271"/>
      <c r="K95" s="318"/>
      <c r="L95" s="423"/>
      <c r="R95" s="423"/>
    </row>
    <row r="96" spans="1:19" ht="17.649999999999999">
      <c r="A96" s="626" t="s">
        <v>184</v>
      </c>
      <c r="B96" s="626"/>
      <c r="C96" s="626"/>
      <c r="D96" s="626"/>
      <c r="E96" s="626"/>
      <c r="F96" s="626"/>
      <c r="G96" s="626"/>
      <c r="H96" s="626"/>
      <c r="I96" s="626"/>
    </row>
    <row r="97" spans="1:12" ht="13.15">
      <c r="A97" s="310"/>
      <c r="B97" s="310"/>
      <c r="C97" s="310"/>
      <c r="D97" s="310"/>
      <c r="E97" s="310"/>
      <c r="F97" s="310"/>
      <c r="G97" s="310"/>
      <c r="H97" s="310"/>
      <c r="I97" s="310"/>
    </row>
    <row r="98" spans="1:12" ht="39.4">
      <c r="A98" s="178" t="s">
        <v>0</v>
      </c>
      <c r="B98" s="149" t="s">
        <v>63</v>
      </c>
      <c r="C98" s="178" t="s">
        <v>51</v>
      </c>
      <c r="D98" s="178" t="s">
        <v>2</v>
      </c>
      <c r="E98" s="178" t="s">
        <v>109</v>
      </c>
      <c r="F98" s="178" t="s">
        <v>3</v>
      </c>
      <c r="G98" s="178" t="s">
        <v>4</v>
      </c>
      <c r="H98" s="178" t="s">
        <v>5</v>
      </c>
      <c r="I98" s="178" t="s">
        <v>64</v>
      </c>
    </row>
    <row r="99" spans="1:12">
      <c r="A99" s="274" t="str">
        <f>'Cost Allocation Study'!A5</f>
        <v>Residential</v>
      </c>
      <c r="B99" s="69">
        <f>'Cost Allocation Study'!K60</f>
        <v>14942640.234360727</v>
      </c>
      <c r="C99" s="45">
        <f t="shared" ref="C99:C106" si="41">+B99/$B$108</f>
        <v>0.6294147584947708</v>
      </c>
      <c r="D99" s="46">
        <f t="shared" ref="D99:D106" si="42">J114</f>
        <v>17.354871589918435</v>
      </c>
      <c r="E99" s="58">
        <f>+G99/'Forecast Data For 2015 to 2019'!$F$6</f>
        <v>7.7824315440538014E-3</v>
      </c>
      <c r="F99" s="59">
        <f>+D99*'Forecast Data For 2015 to 2019'!$F$5*12</f>
        <v>11206980.175770545</v>
      </c>
      <c r="G99" s="59">
        <f t="shared" ref="G99:G106" si="43">+B99-F99</f>
        <v>3735660.0585901812</v>
      </c>
      <c r="H99" s="60"/>
      <c r="I99" s="83">
        <f t="shared" ref="I99:I106" si="44">+F99+G99+H99</f>
        <v>14942640.234360727</v>
      </c>
    </row>
    <row r="100" spans="1:12">
      <c r="A100" s="274" t="str">
        <f>'Cost Allocation Study'!A6</f>
        <v>GS Less Than 50 KW</v>
      </c>
      <c r="B100" s="69">
        <f>'Cost Allocation Study'!K61</f>
        <v>3015120.0419699261</v>
      </c>
      <c r="C100" s="45">
        <f t="shared" si="41"/>
        <v>0.12700306125856708</v>
      </c>
      <c r="D100" s="46">
        <f t="shared" si="42"/>
        <v>16.071498672864532</v>
      </c>
      <c r="E100" s="58">
        <f>+G100/'Forecast Data For 2015 to 2019'!$F$8</f>
        <v>1.6985257581145507E-2</v>
      </c>
      <c r="F100" s="59">
        <f>+D100*'Forecast Data For 2015 to 2019'!$F$7*12</f>
        <v>814082.41133188014</v>
      </c>
      <c r="G100" s="59">
        <f t="shared" si="43"/>
        <v>2201037.6306380462</v>
      </c>
      <c r="H100" s="60"/>
      <c r="I100" s="83">
        <f t="shared" si="44"/>
        <v>3015120.0419699261</v>
      </c>
    </row>
    <row r="101" spans="1:12">
      <c r="A101" s="274" t="str">
        <f>'Cost Allocation Study'!A7</f>
        <v>GS 50 To 999 KW</v>
      </c>
      <c r="B101" s="69">
        <f>'Cost Allocation Study'!K62</f>
        <v>4231367.316953782</v>
      </c>
      <c r="C101" s="45">
        <f t="shared" si="41"/>
        <v>0.17823389950718915</v>
      </c>
      <c r="D101" s="46">
        <f t="shared" si="42"/>
        <v>55.276632186119762</v>
      </c>
      <c r="E101" s="58">
        <f>(+G101+H101)/'Forecast Data For 2015 to 2019'!$F$10</f>
        <v>4.7330314168784771</v>
      </c>
      <c r="F101" s="59">
        <f>+D101*'Forecast Data For 2015 to 2019'!$F$9*12</f>
        <v>348773.43844154122</v>
      </c>
      <c r="G101" s="59">
        <f t="shared" si="43"/>
        <v>3882593.8785122409</v>
      </c>
      <c r="H101" s="59">
        <f>-'Transformer Allowance'!C55</f>
        <v>65081.971805171022</v>
      </c>
      <c r="I101" s="83">
        <f t="shared" si="44"/>
        <v>4296449.2887589531</v>
      </c>
    </row>
    <row r="102" spans="1:12">
      <c r="A102" s="274" t="str">
        <f>'Cost Allocation Study'!A8</f>
        <v>GS Intermediate 1,000 To 4,999 KW</v>
      </c>
      <c r="B102" s="69">
        <f>'Cost Allocation Study'!K63</f>
        <v>507878.71038404747</v>
      </c>
      <c r="C102" s="45">
        <f t="shared" si="41"/>
        <v>2.139289649133996E-2</v>
      </c>
      <c r="D102" s="46">
        <f t="shared" si="42"/>
        <v>1161.6488422327377</v>
      </c>
      <c r="E102" s="58">
        <f>(+G102+H102)/'Forecast Data For 2015 to 2019'!$F$13</f>
        <v>2.492606192208787</v>
      </c>
      <c r="F102" s="59">
        <f>+D102*'Forecast Data For 2015 to 2019'!$F$12*12</f>
        <v>184005.17660966565</v>
      </c>
      <c r="G102" s="59">
        <f t="shared" si="43"/>
        <v>323873.53377438185</v>
      </c>
      <c r="H102" s="59">
        <f>-'Transformer Allowance'!C56</f>
        <v>94171.429787103072</v>
      </c>
      <c r="I102" s="83">
        <f t="shared" si="44"/>
        <v>602050.14017115056</v>
      </c>
      <c r="K102" s="495">
        <f>(+G102+H102-H102)/'Forecast Data For 2015 to 2019'!$F$13</f>
        <v>1.9311060917968266</v>
      </c>
    </row>
    <row r="103" spans="1:12">
      <c r="A103" s="274" t="str">
        <f>'Cost Allocation Study'!A9</f>
        <v>Large Use</v>
      </c>
      <c r="B103" s="69">
        <f>'Cost Allocation Study'!K64</f>
        <v>246598.40177299242</v>
      </c>
      <c r="C103" s="45">
        <f t="shared" si="41"/>
        <v>1.0387232180042163E-2</v>
      </c>
      <c r="D103" s="46">
        <f t="shared" si="42"/>
        <v>8839.2652118992282</v>
      </c>
      <c r="E103" s="58">
        <f>(+G103+H103)/'Forecast Data For 2015 to 2019'!$F$16</f>
        <v>2.152990261746091</v>
      </c>
      <c r="F103" s="59">
        <f>+D103*'Forecast Data For 2015 to 2019'!$F$15*12</f>
        <v>106071.18254279075</v>
      </c>
      <c r="G103" s="59">
        <f t="shared" si="43"/>
        <v>140527.21923020168</v>
      </c>
      <c r="H103" s="59">
        <f>-'Transformer Allowance'!C57</f>
        <v>54293.364719207166</v>
      </c>
      <c r="I103" s="83">
        <f t="shared" si="44"/>
        <v>300891.76649219962</v>
      </c>
    </row>
    <row r="104" spans="1:12">
      <c r="A104" s="274" t="str">
        <f>'Cost Allocation Study'!A10</f>
        <v>Street Lighting</v>
      </c>
      <c r="B104" s="69">
        <f>'Cost Allocation Study'!K65</f>
        <v>732092.04998941428</v>
      </c>
      <c r="C104" s="45">
        <f t="shared" si="41"/>
        <v>3.0837223784618697E-2</v>
      </c>
      <c r="D104" s="46">
        <f t="shared" si="42"/>
        <v>1.9900831388964935</v>
      </c>
      <c r="E104" s="58">
        <f>(+G104+H104)/'Forecast Data For 2015 to 2019'!$F$19</f>
        <v>30.749272099874435</v>
      </c>
      <c r="F104" s="59">
        <f>+D104*'Forecast Data For 2015 to 2019'!$F$18*12</f>
        <v>321730.0250837112</v>
      </c>
      <c r="G104" s="59">
        <f t="shared" si="43"/>
        <v>410362.02490570309</v>
      </c>
      <c r="H104" s="59">
        <f>-'Transformer Allowance'!C58</f>
        <v>0</v>
      </c>
      <c r="I104" s="83">
        <f t="shared" si="44"/>
        <v>732092.04998941428</v>
      </c>
    </row>
    <row r="105" spans="1:12">
      <c r="A105" s="274" t="str">
        <f>'Cost Allocation Study'!A11</f>
        <v>Sentinel Lighting</v>
      </c>
      <c r="B105" s="69">
        <f>'Cost Allocation Study'!K66</f>
        <v>2285.3900973216196</v>
      </c>
      <c r="C105" s="45">
        <f t="shared" si="41"/>
        <v>9.6265334212108062E-5</v>
      </c>
      <c r="D105" s="46">
        <f t="shared" si="42"/>
        <v>5.5660137791011293</v>
      </c>
      <c r="E105" s="58">
        <f>(+G105+H105)/'Forecast Data For 2015 to 2019'!$F$22</f>
        <v>7.9512113411993655</v>
      </c>
      <c r="F105" s="59">
        <f>+D105*'Forecast Data For 2015 to 2019'!$F$21*12</f>
        <v>1515.9657967040489</v>
      </c>
      <c r="G105" s="59">
        <f t="shared" si="43"/>
        <v>769.42430061757068</v>
      </c>
      <c r="H105" s="60"/>
      <c r="I105" s="83">
        <f t="shared" si="44"/>
        <v>2285.3900973216196</v>
      </c>
    </row>
    <row r="106" spans="1:12">
      <c r="A106" s="274" t="str">
        <f>'Cost Allocation Study'!A12</f>
        <v>Unmetered Scattered Load</v>
      </c>
      <c r="B106" s="69">
        <f>'Cost Allocation Study'!K67</f>
        <v>62548.295949943567</v>
      </c>
      <c r="C106" s="45">
        <f t="shared" si="41"/>
        <v>2.6346629492600814E-3</v>
      </c>
      <c r="D106" s="46">
        <f t="shared" si="42"/>
        <v>4.4887048612639573</v>
      </c>
      <c r="E106" s="58">
        <f>+G106/'Forecast Data For 2015 to 2019'!$F$26</f>
        <v>1.8358298533708774E-2</v>
      </c>
      <c r="F106" s="59">
        <f>+D106*'Forecast Data For 2015 to 2019'!$F$24*12</f>
        <v>14584.329596474934</v>
      </c>
      <c r="G106" s="59">
        <f t="shared" si="43"/>
        <v>47963.966353468633</v>
      </c>
      <c r="H106" s="60"/>
      <c r="I106" s="83">
        <f t="shared" si="44"/>
        <v>62548.295949943567</v>
      </c>
    </row>
    <row r="107" spans="1:12">
      <c r="A107" s="274"/>
      <c r="B107" s="69"/>
      <c r="C107" s="45"/>
      <c r="D107" s="46"/>
      <c r="E107" s="58"/>
      <c r="F107" s="59"/>
      <c r="G107" s="59"/>
      <c r="H107" s="60"/>
      <c r="I107" s="83"/>
    </row>
    <row r="108" spans="1:12" ht="13.5" thickBot="1">
      <c r="A108" s="50" t="s">
        <v>1</v>
      </c>
      <c r="B108" s="102">
        <f>SUM(B99:B107)</f>
        <v>23740530.441478152</v>
      </c>
      <c r="C108" s="54">
        <f>SUM(C99:C107)</f>
        <v>1</v>
      </c>
      <c r="D108" s="55"/>
      <c r="E108" s="56"/>
      <c r="F108" s="53">
        <f t="shared" ref="F108:I108" si="45">SUM(F99:F107)</f>
        <v>12997742.705173314</v>
      </c>
      <c r="G108" s="53">
        <f t="shared" si="45"/>
        <v>10742787.736304842</v>
      </c>
      <c r="H108" s="53">
        <f t="shared" si="45"/>
        <v>213546.76631148125</v>
      </c>
      <c r="I108" s="53">
        <f t="shared" si="45"/>
        <v>23954077.207789633</v>
      </c>
      <c r="K108" s="307">
        <f>'Revenue Input'!$E$11</f>
        <v>23954077.207789633</v>
      </c>
      <c r="L108" s="344">
        <f>K108-I108</f>
        <v>0</v>
      </c>
    </row>
    <row r="109" spans="1:12" ht="13.9" thickTop="1" thickBot="1">
      <c r="D109" s="624" t="s">
        <v>55</v>
      </c>
      <c r="E109" s="624"/>
      <c r="F109" s="52">
        <f>+F108/I108</f>
        <v>0.54261087131115093</v>
      </c>
      <c r="G109" s="52">
        <f>+G108/I108</f>
        <v>0.44847428866144723</v>
      </c>
      <c r="H109" s="52">
        <f>+H108/I108</f>
        <v>8.9148400274020115E-3</v>
      </c>
      <c r="I109" s="52">
        <f>F109+G109+H109</f>
        <v>1.0000000000000002</v>
      </c>
    </row>
    <row r="110" spans="1:12" ht="13.15">
      <c r="D110" s="14"/>
      <c r="E110" s="14"/>
      <c r="F110" s="93"/>
      <c r="G110" s="93"/>
      <c r="H110" s="93"/>
      <c r="I110" s="93"/>
    </row>
    <row r="112" spans="1:12" ht="17.649999999999999">
      <c r="A112" s="623" t="s">
        <v>292</v>
      </c>
      <c r="B112" s="623"/>
      <c r="C112" s="623"/>
      <c r="D112" s="623"/>
      <c r="E112" s="623"/>
      <c r="F112" s="623"/>
      <c r="G112" s="623"/>
    </row>
    <row r="113" spans="1:19" ht="91.9">
      <c r="A113" s="178" t="s">
        <v>0</v>
      </c>
      <c r="B113" s="149" t="s">
        <v>88</v>
      </c>
      <c r="C113" s="178" t="s">
        <v>89</v>
      </c>
      <c r="D113" s="178" t="s">
        <v>37</v>
      </c>
      <c r="E113" s="178" t="s">
        <v>90</v>
      </c>
      <c r="F113" s="410" t="s">
        <v>285</v>
      </c>
      <c r="G113" s="420" t="s">
        <v>286</v>
      </c>
      <c r="H113" s="211" t="s">
        <v>217</v>
      </c>
      <c r="I113" s="420" t="s">
        <v>277</v>
      </c>
      <c r="J113" s="420" t="s">
        <v>2</v>
      </c>
      <c r="K113" s="281"/>
      <c r="L113" s="424" t="s">
        <v>294</v>
      </c>
      <c r="M113" s="281"/>
      <c r="N113" s="421" t="s">
        <v>280</v>
      </c>
      <c r="P113" s="455" t="s">
        <v>312</v>
      </c>
      <c r="Q113" s="455" t="s">
        <v>313</v>
      </c>
      <c r="R113" s="387" t="s">
        <v>314</v>
      </c>
      <c r="S113" s="336" t="s">
        <v>315</v>
      </c>
    </row>
    <row r="114" spans="1:19">
      <c r="A114" s="274" t="str">
        <f t="shared" ref="A114:A121" si="46">A99</f>
        <v>Residential</v>
      </c>
      <c r="B114" s="48">
        <f>('Revenue at Prior Year Rates'!I51-'Revenue at Prior Year Rates'!K51)/'Revenue at Prior Year Rates'!L51</f>
        <v>0.3629704770819881</v>
      </c>
      <c r="C114" s="48">
        <f t="shared" ref="C114:C121" si="47">1-B114</f>
        <v>0.63702952291801185</v>
      </c>
      <c r="D114" s="48">
        <f t="shared" ref="D114:D121" si="48">SUM(B114:C114)</f>
        <v>1</v>
      </c>
      <c r="E114" s="61">
        <f>+B99*C114/'Forecast Data For 2015 to 2019'!$F$5/12</f>
        <v>14.740754092305465</v>
      </c>
      <c r="F114" s="61">
        <f>'Rates By Rate Class'!D68</f>
        <v>14.221728204894363</v>
      </c>
      <c r="G114" s="58">
        <f>'Rates By Rate Class'!E68</f>
        <v>1.0923630316466364E-2</v>
      </c>
      <c r="H114" s="150">
        <v>15.582145475436407</v>
      </c>
      <c r="I114" s="530">
        <f>Q39</f>
        <v>0.75</v>
      </c>
      <c r="J114" s="61">
        <f>+B99*I114/'Forecast Data For 2015 to 2019'!$F$5/12</f>
        <v>17.354871589918435</v>
      </c>
      <c r="L114" s="422">
        <f>(J114-E114)/E114</f>
        <v>0.17733946860815719</v>
      </c>
      <c r="M114" s="281"/>
      <c r="N114" s="281"/>
      <c r="P114" s="150">
        <f>H114</f>
        <v>15.582145475436407</v>
      </c>
      <c r="Q114" s="150">
        <v>8.1096337303980022</v>
      </c>
      <c r="R114" s="460">
        <f>SUM(P114:Q114)/2</f>
        <v>11.845889602917204</v>
      </c>
      <c r="S114" s="459">
        <f>J114</f>
        <v>17.354871589918435</v>
      </c>
    </row>
    <row r="115" spans="1:19">
      <c r="A115" s="274" t="str">
        <f t="shared" si="46"/>
        <v>GS Less Than 50 KW</v>
      </c>
      <c r="B115" s="48">
        <f>('Revenue at Prior Year Rates'!I52-'Revenue at Prior Year Rates'!K52)/'Revenue at Prior Year Rates'!L52</f>
        <v>0.71721041945338337</v>
      </c>
      <c r="C115" s="48">
        <f t="shared" si="47"/>
        <v>0.28278958054661663</v>
      </c>
      <c r="D115" s="48">
        <f t="shared" si="48"/>
        <v>1</v>
      </c>
      <c r="E115" s="61">
        <f>+B100*C115/'Forecast Data For 2015 to 2019'!$F$7/12</f>
        <v>16.832786549832839</v>
      </c>
      <c r="F115" s="61">
        <f>'Rates By Rate Class'!D69</f>
        <v>16.240164758428584</v>
      </c>
      <c r="G115" s="58">
        <f>'Rates By Rate Class'!E69</f>
        <v>1.6085881239226926E-2</v>
      </c>
      <c r="H115" s="150">
        <v>21.74542742483732</v>
      </c>
      <c r="I115" s="530">
        <v>0.27</v>
      </c>
      <c r="J115" s="61">
        <f>+B100*I115/'Forecast Data For 2015 to 2019'!$F$7/12</f>
        <v>16.071498672864532</v>
      </c>
      <c r="L115" s="422">
        <f t="shared" ref="L115:L121" si="49">(J115-E115)/E115</f>
        <v>-4.5226491449561403E-2</v>
      </c>
      <c r="M115" s="281"/>
      <c r="N115" s="281"/>
      <c r="P115" s="150">
        <f t="shared" ref="P115:P121" si="50">H115</f>
        <v>21.74542742483732</v>
      </c>
      <c r="Q115" s="150">
        <v>13.60781850236844</v>
      </c>
      <c r="R115" s="460">
        <f t="shared" ref="R115:R121" si="51">SUM(P115:Q115)/2</f>
        <v>17.676622963602881</v>
      </c>
      <c r="S115" s="459">
        <f t="shared" ref="S115:S121" si="52">J115</f>
        <v>16.071498672864532</v>
      </c>
    </row>
    <row r="116" spans="1:19">
      <c r="A116" s="274" t="str">
        <f t="shared" si="46"/>
        <v>GS 50 To 999 KW</v>
      </c>
      <c r="B116" s="48">
        <f>('Revenue at Prior Year Rates'!I53-'Revenue at Prior Year Rates'!K53)/'Revenue at Prior Year Rates'!L53</f>
        <v>0.91757429400087442</v>
      </c>
      <c r="C116" s="48">
        <f t="shared" si="47"/>
        <v>8.2425705999125576E-2</v>
      </c>
      <c r="D116" s="48">
        <f t="shared" si="48"/>
        <v>1</v>
      </c>
      <c r="E116" s="61">
        <f>+B101*C116/'Forecast Data For 2015 to 2019'!$F$9/12</f>
        <v>55.276632186119762</v>
      </c>
      <c r="F116" s="61">
        <f>'Rates By Rate Class'!D70</f>
        <v>53.33</v>
      </c>
      <c r="G116" s="58">
        <f>'Rates By Rate Class'!E70</f>
        <v>4.5690788439460972</v>
      </c>
      <c r="H116" s="150">
        <v>55.196162337097086</v>
      </c>
      <c r="I116" s="48">
        <f t="shared" ref="I116:I121" si="53">C116</f>
        <v>8.2425705999125576E-2</v>
      </c>
      <c r="J116" s="61">
        <f>+B101*I116/'Forecast Data For 2015 to 2019'!$F$9/12</f>
        <v>55.276632186119762</v>
      </c>
      <c r="L116" s="422">
        <f t="shared" si="49"/>
        <v>0</v>
      </c>
      <c r="M116" s="281"/>
      <c r="N116" s="281"/>
      <c r="P116" s="150">
        <f t="shared" si="50"/>
        <v>55.196162337097086</v>
      </c>
      <c r="Q116" s="150">
        <v>41.931741717066465</v>
      </c>
      <c r="R116" s="460">
        <f t="shared" si="51"/>
        <v>48.563952027081775</v>
      </c>
      <c r="S116" s="459">
        <f t="shared" si="52"/>
        <v>55.276632186119762</v>
      </c>
    </row>
    <row r="117" spans="1:19">
      <c r="A117" s="274" t="str">
        <f t="shared" si="46"/>
        <v>GS Intermediate 1,000 To 4,999 KW</v>
      </c>
      <c r="B117" s="48">
        <f>('Revenue at Prior Year Rates'!I54-'Revenue at Prior Year Rates'!K54)/'Revenue at Prior Year Rates'!L54</f>
        <v>0.63769858265859447</v>
      </c>
      <c r="C117" s="48">
        <f t="shared" si="47"/>
        <v>0.36230141734140553</v>
      </c>
      <c r="D117" s="48">
        <f t="shared" si="48"/>
        <v>1</v>
      </c>
      <c r="E117" s="61">
        <f>+B102*C117/'Forecast Data For 2015 to 2019'!$F$12/12</f>
        <v>1161.6488422327377</v>
      </c>
      <c r="F117" s="61">
        <f>'Rates By Rate Class'!D71</f>
        <v>1120.7384686911003</v>
      </c>
      <c r="G117" s="58">
        <f>'Rates By Rate Class'!E71</f>
        <v>2.4246468655430098</v>
      </c>
      <c r="H117" s="150">
        <v>5.3771760600172174</v>
      </c>
      <c r="I117" s="48">
        <f t="shared" si="53"/>
        <v>0.36230141734140553</v>
      </c>
      <c r="J117" s="61">
        <f>+B102*I117/'Forecast Data For 2015 to 2019'!$F$12/12</f>
        <v>1161.6488422327377</v>
      </c>
      <c r="L117" s="422">
        <f t="shared" si="49"/>
        <v>0</v>
      </c>
      <c r="M117" s="281"/>
      <c r="N117" s="281"/>
      <c r="P117" s="150">
        <f t="shared" si="50"/>
        <v>5.3771760600172174</v>
      </c>
      <c r="Q117" s="150">
        <v>8.0528866021160245E-2</v>
      </c>
      <c r="R117" s="460">
        <f t="shared" si="51"/>
        <v>2.7288524630191886</v>
      </c>
      <c r="S117" s="459">
        <f t="shared" si="52"/>
        <v>1161.6488422327377</v>
      </c>
    </row>
    <row r="118" spans="1:19">
      <c r="A118" s="274" t="str">
        <f t="shared" si="46"/>
        <v>Large Use</v>
      </c>
      <c r="B118" s="48">
        <f>('Revenue at Prior Year Rates'!I55-'Revenue at Prior Year Rates'!K55)/'Revenue at Prior Year Rates'!L55</f>
        <v>0.56986265206846243</v>
      </c>
      <c r="C118" s="48">
        <f t="shared" si="47"/>
        <v>0.43013734793153757</v>
      </c>
      <c r="D118" s="48">
        <f t="shared" si="48"/>
        <v>1</v>
      </c>
      <c r="E118" s="61">
        <f>+B103*C118/'Forecast Data For 2015 to 2019'!$F$15/12</f>
        <v>8839.2652118992282</v>
      </c>
      <c r="F118" s="61">
        <f>'Rates By Rate Class'!D72</f>
        <v>8527.9757780890468</v>
      </c>
      <c r="G118" s="58">
        <f>'Rates By Rate Class'!E72</f>
        <v>2.0983226667431221</v>
      </c>
      <c r="H118" s="150">
        <v>91.681855004890863</v>
      </c>
      <c r="I118" s="48">
        <f t="shared" si="53"/>
        <v>0.43013734793153757</v>
      </c>
      <c r="J118" s="61">
        <f>+B103*I118/'Forecast Data For 2015 to 2019'!$F$15/12</f>
        <v>8839.2652118992282</v>
      </c>
      <c r="L118" s="422">
        <f t="shared" si="49"/>
        <v>0</v>
      </c>
      <c r="M118" s="281"/>
      <c r="N118" s="281"/>
      <c r="P118" s="150">
        <f t="shared" si="50"/>
        <v>91.681855004890863</v>
      </c>
      <c r="Q118" s="150">
        <v>82.661344671740423</v>
      </c>
      <c r="R118" s="460">
        <f t="shared" si="51"/>
        <v>87.171599838315643</v>
      </c>
      <c r="S118" s="459">
        <f t="shared" si="52"/>
        <v>8839.2652118992282</v>
      </c>
    </row>
    <row r="119" spans="1:19">
      <c r="A119" s="274" t="str">
        <f t="shared" si="46"/>
        <v>Street Lighting</v>
      </c>
      <c r="B119" s="48">
        <f>('Revenue at Prior Year Rates'!I56-'Revenue at Prior Year Rates'!K56)/'Revenue at Prior Year Rates'!L56</f>
        <v>0.56053337133170178</v>
      </c>
      <c r="C119" s="48">
        <f t="shared" si="47"/>
        <v>0.43946662866829822</v>
      </c>
      <c r="D119" s="48">
        <f t="shared" si="48"/>
        <v>1</v>
      </c>
      <c r="E119" s="61">
        <f>+B104*C119/'Forecast Data For 2015 to 2019'!$F$18/12</f>
        <v>1.9900831388964935</v>
      </c>
      <c r="F119" s="61">
        <f>'Rates By Rate Class'!D73</f>
        <v>1.921138029484547</v>
      </c>
      <c r="G119" s="58">
        <f>'Rates By Rate Class'!E73</f>
        <v>29.666360423608644</v>
      </c>
      <c r="H119" s="150">
        <v>6.9454546166975062</v>
      </c>
      <c r="I119" s="48">
        <f t="shared" si="53"/>
        <v>0.43946662866829822</v>
      </c>
      <c r="J119" s="61">
        <f>+B104*I119/'Forecast Data For 2015 to 2019'!$F$18/12</f>
        <v>1.9900831388964935</v>
      </c>
      <c r="L119" s="422">
        <f t="shared" si="49"/>
        <v>0</v>
      </c>
      <c r="M119" s="281"/>
      <c r="N119" s="281"/>
      <c r="P119" s="150">
        <f t="shared" si="50"/>
        <v>6.9454546166975062</v>
      </c>
      <c r="Q119" s="150">
        <v>-3.9727173141979053E-3</v>
      </c>
      <c r="R119" s="460">
        <f t="shared" si="51"/>
        <v>3.4707409496916539</v>
      </c>
      <c r="S119" s="459">
        <f t="shared" si="52"/>
        <v>1.9900831388964935</v>
      </c>
    </row>
    <row r="120" spans="1:19">
      <c r="A120" s="274" t="str">
        <f t="shared" si="46"/>
        <v>Sentinel Lighting</v>
      </c>
      <c r="B120" s="48">
        <f>('Revenue at Prior Year Rates'!I57-'Revenue at Prior Year Rates'!K57)/'Revenue at Prior Year Rates'!L57</f>
        <v>0.33667088236677983</v>
      </c>
      <c r="C120" s="48">
        <f t="shared" si="47"/>
        <v>0.66332911763322011</v>
      </c>
      <c r="D120" s="48">
        <f t="shared" si="48"/>
        <v>1</v>
      </c>
      <c r="E120" s="61">
        <f>+B105*C120/'Forecast Data For 2015 to 2019'!$F$21/12</f>
        <v>5.5660137791011293</v>
      </c>
      <c r="F120" s="61">
        <f>'Rates By Rate Class'!D74</f>
        <v>5.3737744827441736</v>
      </c>
      <c r="G120" s="58">
        <f>'Rates By Rate Class'!E74</f>
        <v>7.6712163186367803</v>
      </c>
      <c r="H120" s="150">
        <v>7.8784685623153683</v>
      </c>
      <c r="I120" s="48">
        <f t="shared" si="53"/>
        <v>0.66332911763322011</v>
      </c>
      <c r="J120" s="61">
        <f>+B105*I120/'Forecast Data For 2015 to 2019'!$F$21/12</f>
        <v>5.5660137791011293</v>
      </c>
      <c r="L120" s="422">
        <f t="shared" si="49"/>
        <v>0</v>
      </c>
      <c r="M120" s="281"/>
      <c r="N120" s="281"/>
      <c r="P120" s="150">
        <f t="shared" si="50"/>
        <v>7.8784685623153683</v>
      </c>
      <c r="Q120" s="150">
        <v>0.89161657616298029</v>
      </c>
      <c r="R120" s="460">
        <f t="shared" si="51"/>
        <v>4.3850425692391743</v>
      </c>
      <c r="S120" s="459">
        <f t="shared" si="52"/>
        <v>5.5660137791011293</v>
      </c>
    </row>
    <row r="121" spans="1:19">
      <c r="A121" s="274" t="str">
        <f t="shared" si="46"/>
        <v>Unmetered Scattered Load</v>
      </c>
      <c r="B121" s="48">
        <f>('Revenue at Prior Year Rates'!I58-'Revenue at Prior Year Rates'!K58)/'Revenue at Prior Year Rates'!L58</f>
        <v>0.76683090442389434</v>
      </c>
      <c r="C121" s="48">
        <f t="shared" si="47"/>
        <v>0.23316909557610566</v>
      </c>
      <c r="D121" s="48">
        <f t="shared" si="48"/>
        <v>1</v>
      </c>
      <c r="E121" s="61">
        <f>+B106*C121/'Forecast Data For 2015 to 2019'!$F$24/12</f>
        <v>4.4887048612639573</v>
      </c>
      <c r="F121" s="61">
        <f>'Rates By Rate Class'!D75</f>
        <v>4.4526486319928358</v>
      </c>
      <c r="G121" s="58">
        <f>'Rates By Rate Class'!E75</f>
        <v>1.8178244415016625E-2</v>
      </c>
      <c r="H121" s="150">
        <v>10.404299869343673</v>
      </c>
      <c r="I121" s="48">
        <f t="shared" si="53"/>
        <v>0.23316909557610566</v>
      </c>
      <c r="J121" s="61">
        <f>+B106*I121/'Forecast Data For 2015 to 2019'!$F$24/12</f>
        <v>4.4887048612639573</v>
      </c>
      <c r="L121" s="422">
        <f t="shared" si="49"/>
        <v>0</v>
      </c>
      <c r="M121" s="281"/>
      <c r="N121" s="281"/>
      <c r="P121" s="150">
        <f t="shared" si="50"/>
        <v>10.404299869343673</v>
      </c>
      <c r="Q121" s="150">
        <v>4.4388470154866386</v>
      </c>
      <c r="R121" s="460">
        <f t="shared" si="51"/>
        <v>7.4215734424151556</v>
      </c>
      <c r="S121" s="459">
        <f t="shared" si="52"/>
        <v>4.4887048612639573</v>
      </c>
    </row>
    <row r="122" spans="1:19">
      <c r="A122" s="274"/>
      <c r="B122" s="48"/>
      <c r="C122" s="48"/>
      <c r="D122" s="48"/>
      <c r="E122" s="61"/>
      <c r="F122" s="61"/>
      <c r="G122" s="61"/>
      <c r="H122" s="150"/>
      <c r="I122" s="61"/>
      <c r="J122" s="61"/>
      <c r="L122" s="344"/>
      <c r="M122" s="281"/>
      <c r="N122" s="281"/>
    </row>
    <row r="123" spans="1:19">
      <c r="A123" s="274"/>
      <c r="B123" s="103"/>
      <c r="C123" s="48"/>
      <c r="D123" s="48"/>
      <c r="E123" s="61"/>
      <c r="F123" s="61"/>
      <c r="G123" s="61"/>
      <c r="H123" s="46"/>
      <c r="I123" s="61"/>
      <c r="J123" s="61"/>
      <c r="L123" s="344"/>
      <c r="M123" s="281"/>
      <c r="N123" s="281"/>
    </row>
    <row r="124" spans="1:19" ht="13.5" thickBot="1">
      <c r="A124" s="63" t="s">
        <v>1</v>
      </c>
      <c r="B124" s="104"/>
      <c r="C124" s="64"/>
      <c r="D124" s="64"/>
      <c r="E124" s="64"/>
      <c r="F124" s="64"/>
      <c r="G124" s="64"/>
      <c r="H124" s="64"/>
      <c r="I124" s="64"/>
      <c r="J124" s="64"/>
      <c r="K124" s="281"/>
      <c r="L124" s="344"/>
      <c r="M124" s="281"/>
      <c r="N124" s="281"/>
    </row>
    <row r="125" spans="1:19" ht="13.15" thickTop="1">
      <c r="F125" s="1"/>
    </row>
    <row r="126" spans="1:19" s="270" customFormat="1">
      <c r="B126" s="271"/>
      <c r="K126" s="318"/>
      <c r="L126" s="423"/>
      <c r="R126" s="423"/>
    </row>
    <row r="127" spans="1:19" ht="17.649999999999999">
      <c r="A127" s="626" t="s">
        <v>186</v>
      </c>
      <c r="B127" s="626"/>
      <c r="C127" s="626"/>
      <c r="D127" s="626"/>
      <c r="E127" s="626"/>
      <c r="F127" s="626"/>
      <c r="G127" s="626"/>
      <c r="H127" s="626"/>
      <c r="I127" s="626"/>
    </row>
    <row r="128" spans="1:19" ht="13.15">
      <c r="A128" s="310"/>
      <c r="B128" s="310"/>
      <c r="C128" s="310"/>
      <c r="D128" s="310"/>
      <c r="E128" s="310"/>
      <c r="F128" s="310"/>
      <c r="G128" s="310"/>
      <c r="H128" s="310"/>
      <c r="I128" s="310"/>
    </row>
    <row r="129" spans="1:19" ht="39.4">
      <c r="A129" s="178" t="s">
        <v>0</v>
      </c>
      <c r="B129" s="149" t="s">
        <v>63</v>
      </c>
      <c r="C129" s="178" t="s">
        <v>51</v>
      </c>
      <c r="D129" s="178" t="s">
        <v>2</v>
      </c>
      <c r="E129" s="178" t="s">
        <v>109</v>
      </c>
      <c r="F129" s="178" t="s">
        <v>3</v>
      </c>
      <c r="G129" s="178" t="s">
        <v>4</v>
      </c>
      <c r="H129" s="178" t="s">
        <v>5</v>
      </c>
      <c r="I129" s="178" t="s">
        <v>64</v>
      </c>
    </row>
    <row r="130" spans="1:19">
      <c r="A130" s="274" t="str">
        <f>'Cost Allocation Study'!A5</f>
        <v>Residential</v>
      </c>
      <c r="B130" s="69">
        <f>'Cost Allocation Study'!K78</f>
        <v>15758144.608921647</v>
      </c>
      <c r="C130" s="45">
        <f t="shared" ref="C130:C137" si="54">+B130/$B$139</f>
        <v>0.63097868545077052</v>
      </c>
      <c r="D130" s="46">
        <f t="shared" ref="D130:D137" si="55">J145</f>
        <v>20.974805796721402</v>
      </c>
      <c r="E130" s="58">
        <f>+G130/'Forecast Data For 2015 to 2019'!$G$6</f>
        <v>4.1161318795820473E-3</v>
      </c>
      <c r="F130" s="59">
        <f>+D130*'Forecast Data For 2015 to 2019'!$G$5*12</f>
        <v>13788376.532806439</v>
      </c>
      <c r="G130" s="59">
        <f t="shared" ref="G130:G137" si="56">+B130-F130</f>
        <v>1969768.0761152077</v>
      </c>
      <c r="H130" s="60"/>
      <c r="I130" s="83">
        <f t="shared" ref="I130:I137" si="57">+F130+G130+H130</f>
        <v>15758144.608921647</v>
      </c>
    </row>
    <row r="131" spans="1:19">
      <c r="A131" s="274" t="str">
        <f>'Cost Allocation Study'!A6</f>
        <v>GS Less Than 50 KW</v>
      </c>
      <c r="B131" s="69">
        <f>'Cost Allocation Study'!K79</f>
        <v>3145670.9813947831</v>
      </c>
      <c r="C131" s="45">
        <f t="shared" si="54"/>
        <v>0.12595717262153883</v>
      </c>
      <c r="D131" s="46">
        <f t="shared" si="55"/>
        <v>16.470974086962965</v>
      </c>
      <c r="E131" s="58">
        <f>+G131/'Forecast Data For 2015 to 2019'!$G$8</f>
        <v>1.7798983045551886E-2</v>
      </c>
      <c r="F131" s="59">
        <f>+D131*'Forecast Data For 2015 to 2019'!$G$7*12</f>
        <v>849331.16497659148</v>
      </c>
      <c r="G131" s="59">
        <f t="shared" si="56"/>
        <v>2296339.8164181914</v>
      </c>
      <c r="H131" s="60"/>
      <c r="I131" s="83">
        <f t="shared" si="57"/>
        <v>3145670.9813947827</v>
      </c>
    </row>
    <row r="132" spans="1:19">
      <c r="A132" s="274" t="str">
        <f>'Cost Allocation Study'!A7</f>
        <v>GS 50 To 999 KW</v>
      </c>
      <c r="B132" s="69">
        <f>'Cost Allocation Study'!K80</f>
        <v>4416293.7212957591</v>
      </c>
      <c r="C132" s="45">
        <f t="shared" si="54"/>
        <v>0.17683472743675882</v>
      </c>
      <c r="D132" s="46">
        <f t="shared" si="55"/>
        <v>57.543898459216472</v>
      </c>
      <c r="E132" s="58">
        <f>(+G132+H132)/'Forecast Data For 2015 to 2019'!$G$10</f>
        <v>4.9236364079566659</v>
      </c>
      <c r="F132" s="59">
        <f>+D132*'Forecast Data For 2015 to 2019'!$G$9*12</f>
        <v>369638.98614262289</v>
      </c>
      <c r="G132" s="59">
        <f t="shared" si="56"/>
        <v>4046654.7351531363</v>
      </c>
      <c r="H132" s="59">
        <f>-'Transformer Allowance'!C66</f>
        <v>65163.825636568123</v>
      </c>
      <c r="I132" s="83">
        <f t="shared" si="57"/>
        <v>4481457.5469323276</v>
      </c>
    </row>
    <row r="133" spans="1:19">
      <c r="A133" s="274" t="str">
        <f>'Cost Allocation Study'!A8</f>
        <v>GS Intermediate 1,000 To 4,999 KW</v>
      </c>
      <c r="B133" s="69">
        <f>'Cost Allocation Study'!K81</f>
        <v>545909.27967460547</v>
      </c>
      <c r="C133" s="45">
        <f t="shared" si="54"/>
        <v>2.1858989634442206E-2</v>
      </c>
      <c r="D133" s="46">
        <f t="shared" si="55"/>
        <v>1209.2234016850373</v>
      </c>
      <c r="E133" s="58">
        <f>(+G133+H133)/'Forecast Data For 2015 to 2019'!$G$13</f>
        <v>2.5716849147480194</v>
      </c>
      <c r="F133" s="59">
        <f>+D133*'Forecast Data For 2015 to 2019'!$G$12*12</f>
        <v>206051.66764713038</v>
      </c>
      <c r="G133" s="59">
        <f t="shared" si="56"/>
        <v>339857.61202747509</v>
      </c>
      <c r="H133" s="59">
        <f>-'Transformer Allowance'!C67</f>
        <v>94931.611222137988</v>
      </c>
      <c r="I133" s="83">
        <f t="shared" si="57"/>
        <v>640840.8908967434</v>
      </c>
    </row>
    <row r="134" spans="1:19">
      <c r="A134" s="274" t="str">
        <f>'Cost Allocation Study'!A9</f>
        <v>Large Use</v>
      </c>
      <c r="B134" s="69">
        <f>'Cost Allocation Study'!K82</f>
        <v>253274.0101964004</v>
      </c>
      <c r="C134" s="45">
        <f t="shared" si="54"/>
        <v>1.0141454211690082E-2</v>
      </c>
      <c r="D134" s="46">
        <f t="shared" si="55"/>
        <v>9201.267281722121</v>
      </c>
      <c r="E134" s="58">
        <f>(+G134+H134)/'Forecast Data For 2015 to 2019'!$G$16</f>
        <v>2.2166003213535905</v>
      </c>
      <c r="F134" s="59">
        <f>+D134*'Forecast Data For 2015 to 2019'!$G$15*12</f>
        <v>110415.20738066545</v>
      </c>
      <c r="G134" s="59">
        <f t="shared" si="56"/>
        <v>142858.80281573493</v>
      </c>
      <c r="H134" s="59">
        <f>-'Transformer Allowance'!C68</f>
        <v>53022.395027172832</v>
      </c>
      <c r="I134" s="83">
        <f t="shared" si="57"/>
        <v>306296.40522357321</v>
      </c>
    </row>
    <row r="135" spans="1:19">
      <c r="A135" s="274" t="str">
        <f>'Cost Allocation Study'!A10</f>
        <v>Street Lighting</v>
      </c>
      <c r="B135" s="69">
        <f>'Cost Allocation Study'!K83</f>
        <v>786456.88824475557</v>
      </c>
      <c r="C135" s="45">
        <f t="shared" si="54"/>
        <v>3.149086049301953E-2</v>
      </c>
      <c r="D135" s="46">
        <f t="shared" si="55"/>
        <v>2.0714970682677429</v>
      </c>
      <c r="E135" s="58">
        <f>(+G135+H135)/'Forecast Data For 2015 to 2019'!$G$19</f>
        <v>32.008585327279057</v>
      </c>
      <c r="F135" s="59">
        <f>+D135*'Forecast Data For 2015 to 2019'!$G$18*12</f>
        <v>341478.72425098927</v>
      </c>
      <c r="G135" s="59">
        <f t="shared" si="56"/>
        <v>444978.1639937663</v>
      </c>
      <c r="H135" s="59"/>
      <c r="I135" s="83">
        <f t="shared" si="57"/>
        <v>786456.88824475557</v>
      </c>
    </row>
    <row r="136" spans="1:19">
      <c r="A136" s="274" t="str">
        <f>'Cost Allocation Study'!A11</f>
        <v>Sentinel Lighting</v>
      </c>
      <c r="B136" s="69">
        <f>'Cost Allocation Study'!K84</f>
        <v>2305.7528817135694</v>
      </c>
      <c r="C136" s="45">
        <f t="shared" si="54"/>
        <v>9.232564863342206E-5</v>
      </c>
      <c r="D136" s="46">
        <f t="shared" si="55"/>
        <v>5.7981098845484089</v>
      </c>
      <c r="E136" s="58">
        <f>(+G136+H136)/'Forecast Data For 2015 to 2019'!$G$22</f>
        <v>8.2768278840253693</v>
      </c>
      <c r="F136" s="59">
        <f>+D136*'Forecast Data For 2015 to 2019'!$G$21*12</f>
        <v>1535.7053117660021</v>
      </c>
      <c r="G136" s="59">
        <f t="shared" si="56"/>
        <v>770.04756994756735</v>
      </c>
      <c r="H136" s="60"/>
      <c r="I136" s="83">
        <f t="shared" si="57"/>
        <v>2305.7528817135694</v>
      </c>
    </row>
    <row r="137" spans="1:19">
      <c r="A137" s="274" t="str">
        <f>'Cost Allocation Study'!A12</f>
        <v>Unmetered Scattered Load</v>
      </c>
      <c r="B137" s="69">
        <f>'Cost Allocation Study'!K85</f>
        <v>66076.169870689424</v>
      </c>
      <c r="C137" s="45">
        <f t="shared" si="54"/>
        <v>2.6457845031466884E-3</v>
      </c>
      <c r="D137" s="46">
        <f t="shared" si="55"/>
        <v>4.6738803198603867</v>
      </c>
      <c r="E137" s="58">
        <f>+G137/'Forecast Data For 2015 to 2019'!$G$26</f>
        <v>1.915354073172185E-2</v>
      </c>
      <c r="F137" s="59">
        <f>+D137*'Forecast Data For 2015 to 2019'!$G$24*12</f>
        <v>15109.72042740281</v>
      </c>
      <c r="G137" s="59">
        <f t="shared" si="56"/>
        <v>50966.449443286612</v>
      </c>
      <c r="H137" s="60"/>
      <c r="I137" s="83">
        <f t="shared" si="57"/>
        <v>66076.169870689424</v>
      </c>
    </row>
    <row r="138" spans="1:19">
      <c r="A138" s="274"/>
      <c r="B138" s="69"/>
      <c r="C138" s="45"/>
      <c r="D138" s="46"/>
      <c r="E138" s="58"/>
      <c r="F138" s="59"/>
      <c r="G138" s="59"/>
      <c r="H138" s="60"/>
      <c r="I138" s="83"/>
    </row>
    <row r="139" spans="1:19" ht="13.5" thickBot="1">
      <c r="A139" s="50" t="s">
        <v>1</v>
      </c>
      <c r="B139" s="102">
        <f>SUM(B130:B138)</f>
        <v>24974131.412480351</v>
      </c>
      <c r="C139" s="54">
        <f>SUM(C130:C138)</f>
        <v>1</v>
      </c>
      <c r="D139" s="55"/>
      <c r="E139" s="56"/>
      <c r="F139" s="53">
        <f t="shared" ref="F139:I139" si="58">SUM(F130:F138)</f>
        <v>15681937.708943607</v>
      </c>
      <c r="G139" s="53">
        <f t="shared" si="58"/>
        <v>9292193.703536747</v>
      </c>
      <c r="H139" s="53">
        <f t="shared" si="58"/>
        <v>213117.83188587896</v>
      </c>
      <c r="I139" s="53">
        <f t="shared" si="58"/>
        <v>25187249.244366236</v>
      </c>
      <c r="K139" s="307">
        <f>'Revenue Input'!$F$11</f>
        <v>25187249.244366229</v>
      </c>
      <c r="L139" s="344">
        <f>K139-I139</f>
        <v>0</v>
      </c>
    </row>
    <row r="140" spans="1:19" ht="13.9" thickTop="1" thickBot="1">
      <c r="D140" s="624" t="s">
        <v>55</v>
      </c>
      <c r="E140" s="624"/>
      <c r="F140" s="52">
        <f>+F139/I139</f>
        <v>0.62261414721384345</v>
      </c>
      <c r="G140" s="52">
        <f>+G139/I139</f>
        <v>0.36892451467740889</v>
      </c>
      <c r="H140" s="52">
        <f>+H139/I139</f>
        <v>8.4613381087475497E-3</v>
      </c>
      <c r="I140" s="52">
        <f>F140+G140+H140</f>
        <v>0.99999999999999978</v>
      </c>
    </row>
    <row r="141" spans="1:19" ht="13.15">
      <c r="D141" s="14"/>
      <c r="E141" s="14"/>
      <c r="F141" s="93"/>
      <c r="G141" s="93"/>
      <c r="H141" s="93"/>
      <c r="I141" s="93"/>
    </row>
    <row r="143" spans="1:19" ht="17.649999999999999">
      <c r="A143" s="623" t="s">
        <v>293</v>
      </c>
      <c r="B143" s="623"/>
      <c r="C143" s="623"/>
      <c r="D143" s="623"/>
      <c r="E143" s="623"/>
      <c r="F143" s="623"/>
      <c r="G143" s="623"/>
    </row>
    <row r="144" spans="1:19" ht="91.9">
      <c r="A144" s="178" t="s">
        <v>0</v>
      </c>
      <c r="B144" s="149" t="s">
        <v>88</v>
      </c>
      <c r="C144" s="178" t="s">
        <v>89</v>
      </c>
      <c r="D144" s="178" t="s">
        <v>37</v>
      </c>
      <c r="E144" s="178" t="s">
        <v>90</v>
      </c>
      <c r="F144" s="410" t="s">
        <v>287</v>
      </c>
      <c r="G144" s="420" t="s">
        <v>288</v>
      </c>
      <c r="H144" s="211" t="s">
        <v>217</v>
      </c>
      <c r="I144" s="420" t="s">
        <v>277</v>
      </c>
      <c r="J144" s="420" t="s">
        <v>2</v>
      </c>
      <c r="K144" s="281"/>
      <c r="L144" s="424" t="s">
        <v>294</v>
      </c>
      <c r="M144" s="281"/>
      <c r="N144" s="421" t="s">
        <v>280</v>
      </c>
      <c r="P144" s="455" t="s">
        <v>312</v>
      </c>
      <c r="Q144" s="455" t="s">
        <v>313</v>
      </c>
      <c r="R144" s="387" t="s">
        <v>314</v>
      </c>
      <c r="S144" s="336" t="s">
        <v>315</v>
      </c>
    </row>
    <row r="145" spans="1:19">
      <c r="A145" s="274" t="str">
        <f t="shared" ref="A145:A152" si="59">A130</f>
        <v>Residential</v>
      </c>
      <c r="B145" s="48">
        <f>('Revenue at Prior Year Rates'!I66-'Revenue at Prior Year Rates'!K66)/'Revenue at Prior Year Rates'!L66</f>
        <v>0.24657360377856624</v>
      </c>
      <c r="C145" s="48">
        <f t="shared" ref="C145:C152" si="60">1-B145</f>
        <v>0.75342639622143381</v>
      </c>
      <c r="D145" s="48">
        <f t="shared" ref="D145:D152" si="61">SUM(B145:C145)</f>
        <v>1</v>
      </c>
      <c r="E145" s="61">
        <f>+B130*C145/'Forecast Data For 2015 to 2019'!$G$5/12</f>
        <v>18.060539820420853</v>
      </c>
      <c r="F145" s="61">
        <f>'Rates By Rate Class'!D99</f>
        <v>17.354871589918435</v>
      </c>
      <c r="G145" s="58">
        <f>'Rates By Rate Class'!E99</f>
        <v>7.7824315440538014E-3</v>
      </c>
      <c r="H145" s="150">
        <v>15.825487415880735</v>
      </c>
      <c r="I145" s="530">
        <f>Q40</f>
        <v>0.875</v>
      </c>
      <c r="J145" s="61">
        <f>+B130*I145/'Forecast Data For 2015 to 2019'!$G$5/12</f>
        <v>20.974805796721402</v>
      </c>
      <c r="L145" s="422">
        <f>(J145-E145)/E145</f>
        <v>0.16136095627692257</v>
      </c>
      <c r="M145" s="281"/>
      <c r="N145" s="281"/>
      <c r="P145" s="150">
        <f>H145</f>
        <v>15.825487415880735</v>
      </c>
      <c r="Q145" s="150">
        <v>8.2126899285175305</v>
      </c>
      <c r="R145" s="460">
        <f>SUM(P145:Q145)/2</f>
        <v>12.019088672199132</v>
      </c>
      <c r="S145" s="459">
        <f>J145</f>
        <v>20.974805796721402</v>
      </c>
    </row>
    <row r="146" spans="1:19">
      <c r="A146" s="274" t="str">
        <f t="shared" si="59"/>
        <v>GS Less Than 50 KW</v>
      </c>
      <c r="B146" s="48">
        <f>('Revenue at Prior Year Rates'!I67-'Revenue at Prior Year Rates'!K67)/'Revenue at Prior Year Rates'!L67</f>
        <v>0.72578475005257403</v>
      </c>
      <c r="C146" s="48">
        <f t="shared" si="60"/>
        <v>0.27421524994742597</v>
      </c>
      <c r="D146" s="48">
        <f t="shared" si="61"/>
        <v>1</v>
      </c>
      <c r="E146" s="61">
        <f>+B131*C146/'Forecast Data For 2015 to 2019'!$G$7/12</f>
        <v>16.728119541237501</v>
      </c>
      <c r="F146" s="61">
        <f>'Rates By Rate Class'!D100</f>
        <v>16.071498672864532</v>
      </c>
      <c r="G146" s="58">
        <f>'Rates By Rate Class'!E100</f>
        <v>1.6985257581145507E-2</v>
      </c>
      <c r="H146" s="150">
        <v>22.013637110013988</v>
      </c>
      <c r="I146" s="530">
        <v>0.27</v>
      </c>
      <c r="J146" s="61">
        <f>+B131*I146/'Forecast Data For 2015 to 2019'!$G$7/12</f>
        <v>16.470974086962965</v>
      </c>
      <c r="L146" s="422">
        <f t="shared" ref="L146:L152" si="62">(J146-E146)/E146</f>
        <v>-1.5372047864712522E-2</v>
      </c>
      <c r="M146" s="281"/>
      <c r="N146" s="281"/>
      <c r="P146" s="150">
        <f t="shared" ref="P146:P152" si="63">H146</f>
        <v>22.013637110013988</v>
      </c>
      <c r="Q146" s="150">
        <v>13.710572022732746</v>
      </c>
      <c r="R146" s="460">
        <f t="shared" ref="R146:R152" si="64">SUM(P146:Q146)/2</f>
        <v>17.862104566373368</v>
      </c>
      <c r="S146" s="459">
        <f t="shared" ref="S146:S152" si="65">J146</f>
        <v>16.470974086962965</v>
      </c>
    </row>
    <row r="147" spans="1:19">
      <c r="A147" s="274" t="str">
        <f t="shared" si="59"/>
        <v>GS 50 To 999 KW</v>
      </c>
      <c r="B147" s="48">
        <f>('Revenue at Prior Year Rates'!I68-'Revenue at Prior Year Rates'!K68)/'Revenue at Prior Year Rates'!L68</f>
        <v>0.91630108650604669</v>
      </c>
      <c r="C147" s="48">
        <f t="shared" si="60"/>
        <v>8.3698913493953309E-2</v>
      </c>
      <c r="D147" s="48">
        <f t="shared" si="61"/>
        <v>1</v>
      </c>
      <c r="E147" s="61">
        <f>+B132*C147/'Forecast Data For 2015 to 2019'!$G$9/12</f>
        <v>57.543898459216472</v>
      </c>
      <c r="F147" s="61">
        <f>'Rates By Rate Class'!D101</f>
        <v>55.276632186119762</v>
      </c>
      <c r="G147" s="58">
        <f>'Rates By Rate Class'!E101</f>
        <v>4.7330314168784771</v>
      </c>
      <c r="H147" s="150">
        <v>56.353495880810961</v>
      </c>
      <c r="I147" s="48">
        <f t="shared" ref="I147:I152" si="66">C147</f>
        <v>8.3698913493953309E-2</v>
      </c>
      <c r="J147" s="61">
        <f>+B132*I147/'Forecast Data For 2015 to 2019'!$G$9/12</f>
        <v>57.543898459216472</v>
      </c>
      <c r="L147" s="422">
        <f t="shared" si="62"/>
        <v>0</v>
      </c>
      <c r="M147" s="281"/>
      <c r="N147" s="281"/>
      <c r="P147" s="150">
        <f t="shared" si="63"/>
        <v>56.353495880810961</v>
      </c>
      <c r="Q147" s="150">
        <v>42.788088415833109</v>
      </c>
      <c r="R147" s="460">
        <f t="shared" si="64"/>
        <v>49.570792148322035</v>
      </c>
      <c r="S147" s="459">
        <f t="shared" si="65"/>
        <v>57.543898459216472</v>
      </c>
    </row>
    <row r="148" spans="1:19">
      <c r="A148" s="274" t="str">
        <f t="shared" si="59"/>
        <v>GS Intermediate 1,000 To 4,999 KW</v>
      </c>
      <c r="B148" s="48">
        <f>('Revenue at Prior Year Rates'!I69-'Revenue at Prior Year Rates'!K69)/'Revenue at Prior Year Rates'!L69</f>
        <v>0.62255327887089695</v>
      </c>
      <c r="C148" s="48">
        <f t="shared" si="60"/>
        <v>0.37744672112910305</v>
      </c>
      <c r="D148" s="48">
        <f t="shared" si="61"/>
        <v>1</v>
      </c>
      <c r="E148" s="61">
        <f>+B133*C148/'Forecast Data For 2015 to 2019'!$G$12/12</f>
        <v>1209.2234016850373</v>
      </c>
      <c r="F148" s="61">
        <f>'Rates By Rate Class'!D102</f>
        <v>1161.6488422327377</v>
      </c>
      <c r="G148" s="58">
        <f>'Rates By Rate Class'!E102</f>
        <v>2.492606192208787</v>
      </c>
      <c r="H148" s="150">
        <v>8.7995714932521114</v>
      </c>
      <c r="I148" s="48">
        <f t="shared" si="66"/>
        <v>0.37744672112910305</v>
      </c>
      <c r="J148" s="61">
        <f>+B133*I148/'Forecast Data For 2015 to 2019'!$G$12/12</f>
        <v>1209.2234016850373</v>
      </c>
      <c r="L148" s="422">
        <f t="shared" si="62"/>
        <v>0</v>
      </c>
      <c r="M148" s="281"/>
      <c r="N148" s="281"/>
      <c r="P148" s="150">
        <f t="shared" si="63"/>
        <v>8.7995714932521114</v>
      </c>
      <c r="Q148" s="150">
        <v>3.3540230614132267</v>
      </c>
      <c r="R148" s="460">
        <f t="shared" si="64"/>
        <v>6.0767972773326688</v>
      </c>
      <c r="S148" s="459">
        <f t="shared" si="65"/>
        <v>1209.2234016850373</v>
      </c>
    </row>
    <row r="149" spans="1:19">
      <c r="A149" s="274" t="str">
        <f t="shared" si="59"/>
        <v>Large Use</v>
      </c>
      <c r="B149" s="48">
        <f>('Revenue at Prior Year Rates'!I70-'Revenue at Prior Year Rates'!K70)/'Revenue at Prior Year Rates'!L70</f>
        <v>0.56404841027689978</v>
      </c>
      <c r="C149" s="48">
        <f t="shared" si="60"/>
        <v>0.43595158972310022</v>
      </c>
      <c r="D149" s="48">
        <f t="shared" si="61"/>
        <v>1</v>
      </c>
      <c r="E149" s="61">
        <f>+B134*C149/'Forecast Data For 2015 to 2019'!$G$15/12</f>
        <v>9201.267281722121</v>
      </c>
      <c r="F149" s="61">
        <f>'Rates By Rate Class'!D103</f>
        <v>8839.2652118992282</v>
      </c>
      <c r="G149" s="58">
        <f>'Rates By Rate Class'!E103</f>
        <v>2.152990261746091</v>
      </c>
      <c r="H149" s="150">
        <v>94.200754411318783</v>
      </c>
      <c r="I149" s="48">
        <f t="shared" si="66"/>
        <v>0.43595158972310022</v>
      </c>
      <c r="J149" s="61">
        <f>+B134*I149/'Forecast Data For 2015 to 2019'!$G$15/12</f>
        <v>9201.267281722121</v>
      </c>
      <c r="L149" s="422">
        <f t="shared" si="62"/>
        <v>0</v>
      </c>
      <c r="M149" s="281"/>
      <c r="N149" s="281"/>
      <c r="P149" s="150">
        <f t="shared" si="63"/>
        <v>94.200754411318783</v>
      </c>
      <c r="Q149" s="150">
        <v>84.898014482287792</v>
      </c>
      <c r="R149" s="460">
        <f t="shared" si="64"/>
        <v>89.549384446803288</v>
      </c>
      <c r="S149" s="459">
        <f t="shared" si="65"/>
        <v>9201.267281722121</v>
      </c>
    </row>
    <row r="150" spans="1:19">
      <c r="A150" s="274" t="str">
        <f t="shared" si="59"/>
        <v>Street Lighting</v>
      </c>
      <c r="B150" s="48">
        <f>('Revenue at Prior Year Rates'!I71-'Revenue at Prior Year Rates'!K71)/'Revenue at Prior Year Rates'!L71</f>
        <v>0.56580108922039651</v>
      </c>
      <c r="C150" s="48">
        <f t="shared" si="60"/>
        <v>0.43419891077960349</v>
      </c>
      <c r="D150" s="48">
        <f t="shared" si="61"/>
        <v>1</v>
      </c>
      <c r="E150" s="61">
        <f>+B135*C150/'Forecast Data For 2015 to 2019'!$G$18/12</f>
        <v>2.0714970682677429</v>
      </c>
      <c r="F150" s="61">
        <f>'Rates By Rate Class'!D104</f>
        <v>1.9900831388964935</v>
      </c>
      <c r="G150" s="58">
        <f>'Rates By Rate Class'!E104</f>
        <v>30.749272099874435</v>
      </c>
      <c r="H150" s="150">
        <v>7.111305333953549</v>
      </c>
      <c r="I150" s="48">
        <f t="shared" si="66"/>
        <v>0.43419891077960349</v>
      </c>
      <c r="J150" s="61">
        <f>+B135*I150/'Forecast Data For 2015 to 2019'!$G$18/12</f>
        <v>2.0714970682677429</v>
      </c>
      <c r="L150" s="422">
        <f t="shared" si="62"/>
        <v>0</v>
      </c>
      <c r="M150" s="281"/>
      <c r="N150" s="281"/>
      <c r="P150" s="150">
        <f t="shared" si="63"/>
        <v>7.111305333953549</v>
      </c>
      <c r="Q150" s="150">
        <v>-3.9523597521483001E-3</v>
      </c>
      <c r="R150" s="460">
        <f t="shared" si="64"/>
        <v>3.5536764871007005</v>
      </c>
      <c r="S150" s="459">
        <f t="shared" si="65"/>
        <v>2.0714970682677429</v>
      </c>
    </row>
    <row r="151" spans="1:19">
      <c r="A151" s="274" t="str">
        <f t="shared" si="59"/>
        <v>Sentinel Lighting</v>
      </c>
      <c r="B151" s="48">
        <f>('Revenue at Prior Year Rates'!I72-'Revenue at Prior Year Rates'!K72)/'Revenue at Prior Year Rates'!L72</f>
        <v>0.33396795296436543</v>
      </c>
      <c r="C151" s="48">
        <f t="shared" si="60"/>
        <v>0.66603204703563457</v>
      </c>
      <c r="D151" s="48">
        <f t="shared" si="61"/>
        <v>1</v>
      </c>
      <c r="E151" s="61">
        <f>+B136*C151/'Forecast Data For 2015 to 2019'!$G$21/12</f>
        <v>5.7981098845484089</v>
      </c>
      <c r="F151" s="61">
        <f>'Rates By Rate Class'!D105</f>
        <v>5.5660137791011293</v>
      </c>
      <c r="G151" s="58">
        <f>'Rates By Rate Class'!E105</f>
        <v>7.9512113411993655</v>
      </c>
      <c r="H151" s="150">
        <v>8.0672971836428626</v>
      </c>
      <c r="I151" s="48">
        <f t="shared" si="66"/>
        <v>0.66603204703563457</v>
      </c>
      <c r="J151" s="61">
        <f>+B136*I151/'Forecast Data For 2015 to 2019'!$G$21/12</f>
        <v>5.7981098845484089</v>
      </c>
      <c r="L151" s="422">
        <f t="shared" si="62"/>
        <v>0</v>
      </c>
      <c r="M151" s="281"/>
      <c r="N151" s="281"/>
      <c r="P151" s="150">
        <f t="shared" si="63"/>
        <v>8.0672971836428626</v>
      </c>
      <c r="Q151" s="150">
        <v>0.9153378631090755</v>
      </c>
      <c r="R151" s="460">
        <f t="shared" si="64"/>
        <v>4.4913175233759688</v>
      </c>
      <c r="S151" s="459">
        <f t="shared" si="65"/>
        <v>5.7981098845484089</v>
      </c>
    </row>
    <row r="152" spans="1:19">
      <c r="A152" s="274" t="str">
        <f t="shared" si="59"/>
        <v>Unmetered Scattered Load</v>
      </c>
      <c r="B152" s="48">
        <f>('Revenue at Prior Year Rates'!I73-'Revenue at Prior Year Rates'!K73)/'Revenue at Prior Year Rates'!L73</f>
        <v>0.77132874897300463</v>
      </c>
      <c r="C152" s="48">
        <f t="shared" si="60"/>
        <v>0.22867125102699537</v>
      </c>
      <c r="D152" s="48">
        <f t="shared" si="61"/>
        <v>1</v>
      </c>
      <c r="E152" s="61">
        <f>+B137*C152/'Forecast Data For 2015 to 2019'!$G$24/12</f>
        <v>4.6738803198603867</v>
      </c>
      <c r="F152" s="61">
        <f>'Rates By Rate Class'!D106</f>
        <v>4.4887048612639573</v>
      </c>
      <c r="G152" s="58">
        <f>'Rates By Rate Class'!E106</f>
        <v>1.8358298533708774E-2</v>
      </c>
      <c r="H152" s="150">
        <v>10.631064128089429</v>
      </c>
      <c r="I152" s="48">
        <f t="shared" si="66"/>
        <v>0.22867125102699537</v>
      </c>
      <c r="J152" s="61">
        <f>+B137*I152/'Forecast Data For 2015 to 2019'!$G$24/12</f>
        <v>4.6738803198603867</v>
      </c>
      <c r="L152" s="422">
        <f t="shared" si="62"/>
        <v>0</v>
      </c>
      <c r="M152" s="281"/>
      <c r="N152" s="281"/>
      <c r="P152" s="150">
        <f t="shared" si="63"/>
        <v>10.631064128089429</v>
      </c>
      <c r="Q152" s="150">
        <v>4.5548543808762316</v>
      </c>
      <c r="R152" s="460">
        <f t="shared" si="64"/>
        <v>7.5929592544828299</v>
      </c>
      <c r="S152" s="459">
        <f t="shared" si="65"/>
        <v>4.6738803198603867</v>
      </c>
    </row>
    <row r="153" spans="1:19">
      <c r="A153" s="274"/>
      <c r="B153" s="48"/>
      <c r="C153" s="48"/>
      <c r="D153" s="48"/>
      <c r="E153" s="61"/>
      <c r="F153" s="61"/>
      <c r="G153" s="61"/>
      <c r="H153" s="150"/>
      <c r="I153" s="61"/>
      <c r="J153" s="61"/>
      <c r="L153" s="344"/>
      <c r="M153" s="281"/>
      <c r="N153" s="281"/>
    </row>
    <row r="154" spans="1:19">
      <c r="A154" s="274"/>
      <c r="B154" s="103"/>
      <c r="C154" s="48"/>
      <c r="D154" s="48"/>
      <c r="E154" s="61"/>
      <c r="F154" s="61"/>
      <c r="G154" s="61"/>
      <c r="H154" s="46"/>
      <c r="I154" s="61"/>
      <c r="J154" s="61"/>
      <c r="L154" s="344"/>
      <c r="M154" s="281"/>
      <c r="N154" s="281"/>
    </row>
    <row r="155" spans="1:19" ht="13.5" thickBot="1">
      <c r="A155" s="63" t="s">
        <v>1</v>
      </c>
      <c r="B155" s="104"/>
      <c r="C155" s="64"/>
      <c r="D155" s="64"/>
      <c r="E155" s="64"/>
      <c r="F155" s="64"/>
      <c r="G155" s="64"/>
      <c r="H155" s="64"/>
      <c r="I155" s="64"/>
      <c r="J155" s="64"/>
      <c r="K155" s="281"/>
      <c r="L155" s="344"/>
      <c r="M155" s="281"/>
      <c r="N155" s="281"/>
    </row>
    <row r="156" spans="1:19" ht="13.15" thickTop="1">
      <c r="F156" s="1"/>
    </row>
    <row r="164" spans="1:10" ht="17.649999999999999">
      <c r="A164" s="623" t="s">
        <v>309</v>
      </c>
      <c r="B164" s="623"/>
      <c r="C164" s="623"/>
      <c r="D164" s="623"/>
      <c r="E164" s="623"/>
      <c r="F164" s="623"/>
      <c r="G164" s="623"/>
      <c r="J164" s="281"/>
    </row>
    <row r="165" spans="1:10" ht="13.15">
      <c r="A165" s="455" t="s">
        <v>0</v>
      </c>
      <c r="B165" s="456" t="s">
        <v>259</v>
      </c>
      <c r="C165" s="455">
        <v>2015</v>
      </c>
      <c r="D165" s="455">
        <v>2016</v>
      </c>
      <c r="E165" s="455">
        <v>2017</v>
      </c>
      <c r="F165" s="455">
        <v>2018</v>
      </c>
      <c r="G165" s="455">
        <v>2019</v>
      </c>
      <c r="J165" s="281"/>
    </row>
    <row r="166" spans="1:10">
      <c r="A166" s="274" t="s">
        <v>97</v>
      </c>
      <c r="B166" s="457">
        <v>0.45936610590249571</v>
      </c>
      <c r="C166" s="457">
        <f t="shared" ref="C166:C173" si="67">I21</f>
        <v>0.5</v>
      </c>
      <c r="D166" s="457">
        <f t="shared" ref="D166:D173" si="68">I52</f>
        <v>0.5</v>
      </c>
      <c r="E166" s="458">
        <f t="shared" ref="E166:E173" si="69">I83</f>
        <v>0.625</v>
      </c>
      <c r="F166" s="458">
        <f t="shared" ref="F166:F173" si="70">I114</f>
        <v>0.75</v>
      </c>
      <c r="G166" s="458">
        <f t="shared" ref="G166:G173" si="71">I145</f>
        <v>0.875</v>
      </c>
      <c r="J166" s="281"/>
    </row>
    <row r="167" spans="1:10">
      <c r="A167" s="274" t="s">
        <v>212</v>
      </c>
      <c r="B167" s="457">
        <v>0.15058886520184478</v>
      </c>
      <c r="C167" s="457">
        <f t="shared" si="67"/>
        <v>0.27</v>
      </c>
      <c r="D167" s="457">
        <f t="shared" si="68"/>
        <v>0.27</v>
      </c>
      <c r="E167" s="458">
        <f t="shared" si="69"/>
        <v>0.27</v>
      </c>
      <c r="F167" s="458">
        <f t="shared" si="70"/>
        <v>0.27</v>
      </c>
      <c r="G167" s="458">
        <f t="shared" si="71"/>
        <v>0.27</v>
      </c>
      <c r="J167" s="281"/>
    </row>
    <row r="168" spans="1:10">
      <c r="A168" s="274" t="s">
        <v>213</v>
      </c>
      <c r="B168" s="457">
        <v>7.4508210246807205E-2</v>
      </c>
      <c r="C168" s="457">
        <f t="shared" si="67"/>
        <v>7.8179420632456309E-2</v>
      </c>
      <c r="D168" s="457">
        <f t="shared" si="68"/>
        <v>7.8539238523510635E-2</v>
      </c>
      <c r="E168" s="458">
        <f t="shared" si="69"/>
        <v>7.91778019338919E-2</v>
      </c>
      <c r="F168" s="458">
        <f t="shared" si="70"/>
        <v>8.2425705999125576E-2</v>
      </c>
      <c r="G168" s="458">
        <f t="shared" si="71"/>
        <v>8.3698913493953309E-2</v>
      </c>
      <c r="J168" s="281"/>
    </row>
    <row r="169" spans="1:10">
      <c r="A169" s="274" t="s">
        <v>214</v>
      </c>
      <c r="B169" s="457">
        <v>0.30649345162650232</v>
      </c>
      <c r="C169" s="457">
        <f t="shared" si="67"/>
        <v>0.30721190718243396</v>
      </c>
      <c r="D169" s="457">
        <f t="shared" si="68"/>
        <v>0.30793619207671663</v>
      </c>
      <c r="E169" s="458">
        <f t="shared" si="69"/>
        <v>0.30946204161245905</v>
      </c>
      <c r="F169" s="458">
        <f t="shared" si="70"/>
        <v>0.36230141734140553</v>
      </c>
      <c r="G169" s="458">
        <f t="shared" si="71"/>
        <v>0.37744672112910305</v>
      </c>
      <c r="J169" s="281"/>
    </row>
    <row r="170" spans="1:10">
      <c r="A170" s="274" t="s">
        <v>98</v>
      </c>
      <c r="B170" s="457">
        <v>0.48944458876941344</v>
      </c>
      <c r="C170" s="457">
        <f t="shared" si="67"/>
        <v>0.41456948162966611</v>
      </c>
      <c r="D170" s="457">
        <f t="shared" si="68"/>
        <v>0.41444875731614195</v>
      </c>
      <c r="E170" s="458">
        <f t="shared" si="69"/>
        <v>0.41392640507214173</v>
      </c>
      <c r="F170" s="458">
        <f t="shared" si="70"/>
        <v>0.43013734793153757</v>
      </c>
      <c r="G170" s="458">
        <f t="shared" si="71"/>
        <v>0.43595158972310022</v>
      </c>
      <c r="J170" s="281"/>
    </row>
    <row r="171" spans="1:10">
      <c r="A171" s="274" t="s">
        <v>99</v>
      </c>
      <c r="B171" s="457">
        <v>0.25107762156035374</v>
      </c>
      <c r="C171" s="457">
        <f t="shared" si="67"/>
        <v>0.29188982180873824</v>
      </c>
      <c r="D171" s="457">
        <f t="shared" si="68"/>
        <v>0.40811284653148683</v>
      </c>
      <c r="E171" s="458">
        <f t="shared" si="69"/>
        <v>0.43152790503424165</v>
      </c>
      <c r="F171" s="458">
        <f t="shared" si="70"/>
        <v>0.43946662866829822</v>
      </c>
      <c r="G171" s="458">
        <f t="shared" si="71"/>
        <v>0.43419891077960349</v>
      </c>
      <c r="J171" s="281"/>
    </row>
    <row r="172" spans="1:10">
      <c r="A172" s="274" t="s">
        <v>208</v>
      </c>
      <c r="B172" s="457">
        <v>0.61860958739706295</v>
      </c>
      <c r="C172" s="457">
        <f t="shared" si="67"/>
        <v>0.66031521151064543</v>
      </c>
      <c r="D172" s="457">
        <f t="shared" si="68"/>
        <v>0.66261877517818535</v>
      </c>
      <c r="E172" s="458">
        <f t="shared" si="69"/>
        <v>0.66423552231513039</v>
      </c>
      <c r="F172" s="458">
        <f t="shared" si="70"/>
        <v>0.66332911763322011</v>
      </c>
      <c r="G172" s="458">
        <f t="shared" si="71"/>
        <v>0.66603204703563457</v>
      </c>
      <c r="J172" s="281"/>
    </row>
    <row r="173" spans="1:10">
      <c r="A173" s="274" t="s">
        <v>207</v>
      </c>
      <c r="B173" s="457">
        <v>0.22282248009451722</v>
      </c>
      <c r="C173" s="457">
        <f t="shared" si="67"/>
        <v>0.24500200235876013</v>
      </c>
      <c r="D173" s="457">
        <f t="shared" si="68"/>
        <v>0.24623395749119259</v>
      </c>
      <c r="E173" s="458">
        <f t="shared" si="69"/>
        <v>0.24729045627757829</v>
      </c>
      <c r="F173" s="458">
        <f t="shared" si="70"/>
        <v>0.23316909557610566</v>
      </c>
      <c r="G173" s="458">
        <f t="shared" si="71"/>
        <v>0.22867125102699537</v>
      </c>
      <c r="J173" s="281"/>
    </row>
    <row r="174" spans="1:10">
      <c r="A174" s="274"/>
      <c r="B174" s="457"/>
      <c r="C174" s="457"/>
      <c r="D174" s="457"/>
      <c r="E174" s="458"/>
      <c r="F174" s="458"/>
      <c r="G174" s="458"/>
      <c r="J174" s="281"/>
    </row>
    <row r="175" spans="1:10">
      <c r="A175" s="281"/>
      <c r="C175" s="281"/>
      <c r="D175" s="281"/>
      <c r="E175" s="281"/>
      <c r="F175" s="1"/>
      <c r="G175" s="281"/>
      <c r="J175" s="281"/>
    </row>
    <row r="176" spans="1:10">
      <c r="A176" s="281"/>
      <c r="C176" s="281"/>
      <c r="D176" s="281"/>
      <c r="E176" s="281"/>
      <c r="F176" s="281"/>
      <c r="G176" s="281"/>
      <c r="J176" s="281"/>
    </row>
    <row r="177" spans="10:10">
      <c r="J177" s="281"/>
    </row>
  </sheetData>
  <mergeCells count="17">
    <mergeCell ref="A164:G164"/>
    <mergeCell ref="A143:G143"/>
    <mergeCell ref="D140:E140"/>
    <mergeCell ref="A96:I96"/>
    <mergeCell ref="A127:I127"/>
    <mergeCell ref="A81:G81"/>
    <mergeCell ref="D78:E78"/>
    <mergeCell ref="A34:I34"/>
    <mergeCell ref="A65:I65"/>
    <mergeCell ref="A112:G112"/>
    <mergeCell ref="D109:E109"/>
    <mergeCell ref="A19:G19"/>
    <mergeCell ref="D16:E16"/>
    <mergeCell ref="A1:I1"/>
    <mergeCell ref="A3:I3"/>
    <mergeCell ref="A50:G50"/>
    <mergeCell ref="D47:E47"/>
  </mergeCells>
  <phoneticPr fontId="6" type="noConversion"/>
  <pageMargins left="0.75" right="0.75" top="1" bottom="1" header="0.5" footer="0.5"/>
  <pageSetup scale="82" orientation="landscape" horizontalDpi="355" verticalDpi="355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0"/>
  <sheetViews>
    <sheetView workbookViewId="0">
      <selection activeCell="E29" sqref="E29"/>
    </sheetView>
  </sheetViews>
  <sheetFormatPr defaultRowHeight="12.75"/>
  <cols>
    <col min="1" max="1" width="31.53125" style="281" customWidth="1"/>
    <col min="2" max="3" width="10.73046875" style="101" customWidth="1"/>
    <col min="4" max="7" width="10.73046875" style="281" customWidth="1"/>
    <col min="8" max="8" width="1.265625" style="281" customWidth="1"/>
    <col min="9" max="10" width="15.73046875" style="281" customWidth="1"/>
    <col min="12" max="12" width="31.53125" style="281" customWidth="1"/>
    <col min="13" max="14" width="10.73046875" style="101" customWidth="1"/>
    <col min="15" max="18" width="10.73046875" style="281" customWidth="1"/>
    <col min="19" max="19" width="1.265625" style="281" customWidth="1"/>
    <col min="20" max="20" width="31.53125" style="281" customWidth="1"/>
    <col min="21" max="22" width="10.73046875" style="101" customWidth="1"/>
    <col min="23" max="26" width="10.73046875" style="281" customWidth="1"/>
    <col min="27" max="27" width="1.265625" style="281" customWidth="1"/>
    <col min="28" max="28" width="31.53125" style="281" customWidth="1"/>
    <col min="29" max="30" width="10.73046875" style="101" customWidth="1"/>
    <col min="31" max="34" width="10.73046875" style="281" customWidth="1"/>
    <col min="35" max="35" width="1.265625" style="281" customWidth="1"/>
    <col min="37" max="37" width="20.53125" style="481" customWidth="1"/>
    <col min="38" max="38" width="31.53125" style="281" customWidth="1"/>
    <col min="39" max="40" width="10.73046875" style="101" customWidth="1"/>
    <col min="41" max="44" width="10.73046875" style="281" customWidth="1"/>
    <col min="45" max="45" width="1.265625" style="281" customWidth="1"/>
    <col min="46" max="47" width="15.73046875" style="281" customWidth="1"/>
    <col min="48" max="53" width="9.73046875" bestFit="1" customWidth="1"/>
  </cols>
  <sheetData>
    <row r="1" spans="1:47" ht="17.649999999999999">
      <c r="A1" s="461" t="s">
        <v>320</v>
      </c>
      <c r="B1" s="425"/>
      <c r="C1" s="425"/>
      <c r="D1" s="425"/>
      <c r="E1" s="425"/>
      <c r="F1" s="425"/>
      <c r="G1" s="425"/>
      <c r="H1" s="425"/>
      <c r="I1" s="425"/>
      <c r="J1" s="425"/>
      <c r="L1" s="461" t="s">
        <v>322</v>
      </c>
      <c r="M1" s="425"/>
      <c r="N1" s="425"/>
      <c r="O1" s="425"/>
      <c r="P1" s="425"/>
      <c r="Q1" s="425"/>
      <c r="R1" s="425"/>
      <c r="S1" s="425"/>
      <c r="T1" s="461" t="s">
        <v>323</v>
      </c>
      <c r="U1" s="425"/>
      <c r="V1" s="425"/>
      <c r="W1" s="425"/>
      <c r="X1" s="425"/>
      <c r="Y1" s="425"/>
      <c r="Z1" s="425"/>
      <c r="AA1" s="425"/>
      <c r="AB1" s="461"/>
      <c r="AC1" s="425"/>
      <c r="AD1" s="425"/>
      <c r="AE1" s="425"/>
      <c r="AF1" s="425"/>
      <c r="AG1" s="425"/>
      <c r="AH1" s="425"/>
      <c r="AI1" s="425"/>
      <c r="AK1" s="485" t="s">
        <v>341</v>
      </c>
      <c r="AL1" s="461" t="s">
        <v>320</v>
      </c>
      <c r="AM1" s="425"/>
      <c r="AN1" s="425"/>
      <c r="AO1" s="425"/>
      <c r="AP1" s="425"/>
      <c r="AQ1" s="425"/>
      <c r="AR1" s="425"/>
      <c r="AS1" s="425"/>
      <c r="AT1" s="425"/>
      <c r="AU1" s="425"/>
    </row>
    <row r="2" spans="1:47" ht="17.649999999999999">
      <c r="A2" s="433" t="s">
        <v>0</v>
      </c>
      <c r="B2" s="441" t="s">
        <v>324</v>
      </c>
      <c r="C2" s="441" t="s">
        <v>266</v>
      </c>
      <c r="D2" s="441" t="s">
        <v>267</v>
      </c>
      <c r="E2" s="441" t="s">
        <v>268</v>
      </c>
      <c r="F2" s="441" t="s">
        <v>269</v>
      </c>
      <c r="G2" s="441" t="s">
        <v>270</v>
      </c>
      <c r="H2" s="430"/>
      <c r="I2" s="425"/>
      <c r="J2" s="430"/>
      <c r="L2" s="433" t="s">
        <v>0</v>
      </c>
      <c r="M2" s="441" t="s">
        <v>324</v>
      </c>
      <c r="N2" s="441" t="s">
        <v>266</v>
      </c>
      <c r="O2" s="441" t="s">
        <v>267</v>
      </c>
      <c r="P2" s="441" t="s">
        <v>268</v>
      </c>
      <c r="Q2" s="441" t="s">
        <v>269</v>
      </c>
      <c r="R2" s="441" t="s">
        <v>270</v>
      </c>
      <c r="S2" s="430"/>
      <c r="T2" s="433" t="s">
        <v>0</v>
      </c>
      <c r="U2" s="441" t="s">
        <v>324</v>
      </c>
      <c r="V2" s="441" t="s">
        <v>266</v>
      </c>
      <c r="W2" s="441" t="s">
        <v>267</v>
      </c>
      <c r="X2" s="441" t="s">
        <v>268</v>
      </c>
      <c r="Y2" s="441" t="s">
        <v>269</v>
      </c>
      <c r="Z2" s="441" t="s">
        <v>270</v>
      </c>
      <c r="AA2" s="430"/>
      <c r="AB2" s="433" t="s">
        <v>0</v>
      </c>
      <c r="AC2" s="441" t="s">
        <v>324</v>
      </c>
      <c r="AD2" s="441" t="s">
        <v>266</v>
      </c>
      <c r="AE2" s="441" t="s">
        <v>267</v>
      </c>
      <c r="AF2" s="441" t="s">
        <v>268</v>
      </c>
      <c r="AG2" s="441" t="s">
        <v>269</v>
      </c>
      <c r="AH2" s="441" t="s">
        <v>270</v>
      </c>
      <c r="AI2" s="430"/>
      <c r="AL2" s="433" t="s">
        <v>0</v>
      </c>
      <c r="AM2" s="441" t="s">
        <v>324</v>
      </c>
      <c r="AN2" s="441" t="s">
        <v>266</v>
      </c>
      <c r="AO2" s="441" t="s">
        <v>267</v>
      </c>
      <c r="AP2" s="441" t="s">
        <v>268</v>
      </c>
      <c r="AQ2" s="441" t="s">
        <v>269</v>
      </c>
      <c r="AR2" s="441" t="s">
        <v>270</v>
      </c>
      <c r="AS2" s="430"/>
      <c r="AT2" s="425"/>
      <c r="AU2" s="430"/>
    </row>
    <row r="3" spans="1:47" ht="17.649999999999999">
      <c r="A3" s="426" t="s">
        <v>97</v>
      </c>
      <c r="B3" s="472">
        <f>M3+U3+AC3</f>
        <v>0.66999999999999993</v>
      </c>
      <c r="C3" s="472">
        <f t="shared" ref="C3:G3" si="0">N3+V3+AD3</f>
        <v>0.66999999999999993</v>
      </c>
      <c r="D3" s="472">
        <f t="shared" si="0"/>
        <v>0</v>
      </c>
      <c r="E3" s="472">
        <f t="shared" si="0"/>
        <v>0</v>
      </c>
      <c r="F3" s="472">
        <f t="shared" si="0"/>
        <v>0</v>
      </c>
      <c r="G3" s="472">
        <f t="shared" si="0"/>
        <v>0</v>
      </c>
      <c r="H3" s="462"/>
      <c r="I3" s="425"/>
      <c r="J3" s="425"/>
      <c r="L3" s="426" t="s">
        <v>97</v>
      </c>
      <c r="M3" s="464">
        <v>0.1</v>
      </c>
      <c r="N3" s="464">
        <v>0.1</v>
      </c>
      <c r="O3" s="464"/>
      <c r="P3" s="464"/>
      <c r="Q3" s="464"/>
      <c r="R3" s="464"/>
      <c r="S3" s="465"/>
      <c r="T3" s="466" t="s">
        <v>97</v>
      </c>
      <c r="U3" s="464">
        <v>0.56999999999999995</v>
      </c>
      <c r="V3" s="464">
        <v>0.56999999999999995</v>
      </c>
      <c r="W3" s="464"/>
      <c r="X3" s="464"/>
      <c r="Y3" s="464"/>
      <c r="Z3" s="464"/>
      <c r="AA3" s="462"/>
      <c r="AB3" s="466" t="s">
        <v>97</v>
      </c>
      <c r="AC3" s="464"/>
      <c r="AD3" s="464"/>
      <c r="AE3" s="464"/>
      <c r="AF3" s="464"/>
      <c r="AG3" s="464"/>
      <c r="AH3" s="464"/>
      <c r="AI3" s="462"/>
      <c r="AL3" s="426" t="s">
        <v>97</v>
      </c>
      <c r="AM3" s="442">
        <f>B3*B60*12</f>
        <v>403632.11999999994</v>
      </c>
      <c r="AN3" s="442">
        <f t="shared" ref="AN3:AR3" si="1">C3*C60*12</f>
        <v>409857.71236700809</v>
      </c>
      <c r="AO3" s="442">
        <f t="shared" si="1"/>
        <v>0</v>
      </c>
      <c r="AP3" s="442">
        <f t="shared" si="1"/>
        <v>0</v>
      </c>
      <c r="AQ3" s="442">
        <f t="shared" si="1"/>
        <v>0</v>
      </c>
      <c r="AR3" s="442">
        <f t="shared" si="1"/>
        <v>0</v>
      </c>
      <c r="AS3" s="462"/>
      <c r="AT3" s="425"/>
      <c r="AU3" s="425"/>
    </row>
    <row r="4" spans="1:47" ht="17.649999999999999">
      <c r="A4" s="426" t="s">
        <v>212</v>
      </c>
      <c r="B4" s="472">
        <f t="shared" ref="B4:B10" si="2">M4+U4+AC4</f>
        <v>2.9200000000000004</v>
      </c>
      <c r="C4" s="472">
        <f t="shared" ref="C4:C10" si="3">N4+V4+AD4</f>
        <v>2.9200000000000004</v>
      </c>
      <c r="D4" s="472">
        <f t="shared" ref="D4:D10" si="4">O4+W4+AE4</f>
        <v>0</v>
      </c>
      <c r="E4" s="472">
        <f t="shared" ref="E4:E10" si="5">P4+X4+AF4</f>
        <v>0</v>
      </c>
      <c r="F4" s="472">
        <f t="shared" ref="F4:F10" si="6">Q4+Y4+AG4</f>
        <v>0</v>
      </c>
      <c r="G4" s="472">
        <f t="shared" ref="G4:G10" si="7">R4+Z4+AH4</f>
        <v>0</v>
      </c>
      <c r="H4" s="462"/>
      <c r="I4" s="425"/>
      <c r="J4" s="425"/>
      <c r="L4" s="426" t="s">
        <v>212</v>
      </c>
      <c r="M4" s="464">
        <v>0.43</v>
      </c>
      <c r="N4" s="464">
        <v>0.43</v>
      </c>
      <c r="O4" s="464"/>
      <c r="P4" s="464"/>
      <c r="Q4" s="464"/>
      <c r="R4" s="464"/>
      <c r="S4" s="465"/>
      <c r="T4" s="466" t="s">
        <v>212</v>
      </c>
      <c r="U4" s="464">
        <v>2.4900000000000002</v>
      </c>
      <c r="V4" s="464">
        <v>2.4900000000000002</v>
      </c>
      <c r="W4" s="464"/>
      <c r="X4" s="464"/>
      <c r="Y4" s="464"/>
      <c r="Z4" s="464"/>
      <c r="AA4" s="462"/>
      <c r="AB4" s="466" t="s">
        <v>212</v>
      </c>
      <c r="AC4" s="464"/>
      <c r="AD4" s="464"/>
      <c r="AE4" s="464"/>
      <c r="AF4" s="464"/>
      <c r="AG4" s="464"/>
      <c r="AH4" s="464"/>
      <c r="AI4" s="462"/>
      <c r="AL4" s="426" t="s">
        <v>212</v>
      </c>
      <c r="AM4" s="442">
        <f t="shared" ref="AM4:AM10" si="8">B4*B61*12</f>
        <v>138513.12000000002</v>
      </c>
      <c r="AN4" s="442">
        <f t="shared" ref="AN4:AN10" si="9">C4*C61*12</f>
        <v>140246.48921760992</v>
      </c>
      <c r="AO4" s="442">
        <f t="shared" ref="AO4:AO10" si="10">D4*D61*12</f>
        <v>0</v>
      </c>
      <c r="AP4" s="442">
        <f t="shared" ref="AP4:AP10" si="11">E4*E61*12</f>
        <v>0</v>
      </c>
      <c r="AQ4" s="442">
        <f t="shared" ref="AQ4:AQ10" si="12">F4*F61*12</f>
        <v>0</v>
      </c>
      <c r="AR4" s="442">
        <f t="shared" ref="AR4:AR10" si="13">G4*G61*12</f>
        <v>0</v>
      </c>
      <c r="AS4" s="462"/>
      <c r="AT4" s="425"/>
      <c r="AU4" s="425"/>
    </row>
    <row r="5" spans="1:47" ht="17.649999999999999">
      <c r="A5" s="426" t="s">
        <v>213</v>
      </c>
      <c r="B5" s="472">
        <f t="shared" si="2"/>
        <v>0</v>
      </c>
      <c r="C5" s="472">
        <f t="shared" si="3"/>
        <v>0</v>
      </c>
      <c r="D5" s="472">
        <f t="shared" si="4"/>
        <v>0</v>
      </c>
      <c r="E5" s="472">
        <f t="shared" si="5"/>
        <v>0</v>
      </c>
      <c r="F5" s="472">
        <f t="shared" si="6"/>
        <v>0</v>
      </c>
      <c r="G5" s="472">
        <f t="shared" si="7"/>
        <v>0</v>
      </c>
      <c r="H5" s="462"/>
      <c r="I5" s="425"/>
      <c r="J5" s="425"/>
      <c r="L5" s="426" t="s">
        <v>213</v>
      </c>
      <c r="M5" s="464"/>
      <c r="N5" s="464"/>
      <c r="O5" s="464"/>
      <c r="P5" s="464"/>
      <c r="Q5" s="464"/>
      <c r="R5" s="464"/>
      <c r="S5" s="465"/>
      <c r="T5" s="466" t="s">
        <v>213</v>
      </c>
      <c r="U5" s="464"/>
      <c r="V5" s="464"/>
      <c r="W5" s="464"/>
      <c r="X5" s="464"/>
      <c r="Y5" s="464"/>
      <c r="Z5" s="464"/>
      <c r="AA5" s="462"/>
      <c r="AB5" s="466" t="s">
        <v>213</v>
      </c>
      <c r="AC5" s="464"/>
      <c r="AD5" s="464"/>
      <c r="AE5" s="464"/>
      <c r="AF5" s="464"/>
      <c r="AG5" s="464"/>
      <c r="AH5" s="464"/>
      <c r="AI5" s="462"/>
      <c r="AL5" s="426" t="s">
        <v>213</v>
      </c>
      <c r="AM5" s="442">
        <f t="shared" si="8"/>
        <v>0</v>
      </c>
      <c r="AN5" s="442">
        <f t="shared" si="9"/>
        <v>0</v>
      </c>
      <c r="AO5" s="442">
        <f t="shared" si="10"/>
        <v>0</v>
      </c>
      <c r="AP5" s="442">
        <f t="shared" si="11"/>
        <v>0</v>
      </c>
      <c r="AQ5" s="442">
        <f t="shared" si="12"/>
        <v>0</v>
      </c>
      <c r="AR5" s="442">
        <f t="shared" si="13"/>
        <v>0</v>
      </c>
      <c r="AS5" s="462"/>
      <c r="AT5" s="425"/>
      <c r="AU5" s="425"/>
    </row>
    <row r="6" spans="1:47" ht="17.649999999999999">
      <c r="A6" s="426" t="s">
        <v>214</v>
      </c>
      <c r="B6" s="472">
        <f t="shared" si="2"/>
        <v>0</v>
      </c>
      <c r="C6" s="472">
        <f t="shared" si="3"/>
        <v>0</v>
      </c>
      <c r="D6" s="472">
        <f t="shared" si="4"/>
        <v>0</v>
      </c>
      <c r="E6" s="472">
        <f t="shared" si="5"/>
        <v>0</v>
      </c>
      <c r="F6" s="472">
        <f t="shared" si="6"/>
        <v>0</v>
      </c>
      <c r="G6" s="472">
        <f t="shared" si="7"/>
        <v>0</v>
      </c>
      <c r="H6" s="462"/>
      <c r="I6" s="425"/>
      <c r="J6" s="425"/>
      <c r="L6" s="426" t="s">
        <v>214</v>
      </c>
      <c r="M6" s="464"/>
      <c r="N6" s="464"/>
      <c r="O6" s="464"/>
      <c r="P6" s="464"/>
      <c r="Q6" s="464"/>
      <c r="R6" s="464"/>
      <c r="S6" s="465"/>
      <c r="T6" s="466" t="s">
        <v>214</v>
      </c>
      <c r="U6" s="464"/>
      <c r="V6" s="464"/>
      <c r="W6" s="464"/>
      <c r="X6" s="464"/>
      <c r="Y6" s="464"/>
      <c r="Z6" s="464"/>
      <c r="AA6" s="462"/>
      <c r="AB6" s="466" t="s">
        <v>214</v>
      </c>
      <c r="AC6" s="464"/>
      <c r="AD6" s="464"/>
      <c r="AE6" s="464"/>
      <c r="AF6" s="464"/>
      <c r="AG6" s="464"/>
      <c r="AH6" s="464"/>
      <c r="AI6" s="462"/>
      <c r="AL6" s="426" t="s">
        <v>214</v>
      </c>
      <c r="AM6" s="442">
        <f t="shared" si="8"/>
        <v>0</v>
      </c>
      <c r="AN6" s="442">
        <f t="shared" si="9"/>
        <v>0</v>
      </c>
      <c r="AO6" s="442">
        <f t="shared" si="10"/>
        <v>0</v>
      </c>
      <c r="AP6" s="442">
        <f t="shared" si="11"/>
        <v>0</v>
      </c>
      <c r="AQ6" s="442">
        <f t="shared" si="12"/>
        <v>0</v>
      </c>
      <c r="AR6" s="442">
        <f t="shared" si="13"/>
        <v>0</v>
      </c>
      <c r="AS6" s="462"/>
      <c r="AT6" s="425"/>
      <c r="AU6" s="425"/>
    </row>
    <row r="7" spans="1:47" ht="17.649999999999999">
      <c r="A7" s="426" t="s">
        <v>98</v>
      </c>
      <c r="B7" s="472">
        <f t="shared" si="2"/>
        <v>0</v>
      </c>
      <c r="C7" s="472">
        <f t="shared" si="3"/>
        <v>0</v>
      </c>
      <c r="D7" s="472">
        <f t="shared" si="4"/>
        <v>0</v>
      </c>
      <c r="E7" s="472">
        <f t="shared" si="5"/>
        <v>0</v>
      </c>
      <c r="F7" s="472">
        <f t="shared" si="6"/>
        <v>0</v>
      </c>
      <c r="G7" s="472">
        <f t="shared" si="7"/>
        <v>0</v>
      </c>
      <c r="H7" s="462"/>
      <c r="I7" s="425"/>
      <c r="J7" s="425"/>
      <c r="L7" s="426" t="s">
        <v>98</v>
      </c>
      <c r="M7" s="464"/>
      <c r="N7" s="464"/>
      <c r="O7" s="464"/>
      <c r="P7" s="464"/>
      <c r="Q7" s="464"/>
      <c r="R7" s="464"/>
      <c r="S7" s="465"/>
      <c r="T7" s="466" t="s">
        <v>98</v>
      </c>
      <c r="U7" s="464"/>
      <c r="V7" s="464"/>
      <c r="W7" s="464"/>
      <c r="X7" s="464"/>
      <c r="Y7" s="464"/>
      <c r="Z7" s="464"/>
      <c r="AA7" s="462"/>
      <c r="AB7" s="466" t="s">
        <v>98</v>
      </c>
      <c r="AC7" s="464"/>
      <c r="AD7" s="464"/>
      <c r="AE7" s="464"/>
      <c r="AF7" s="464"/>
      <c r="AG7" s="464"/>
      <c r="AH7" s="464"/>
      <c r="AI7" s="462"/>
      <c r="AL7" s="426" t="s">
        <v>98</v>
      </c>
      <c r="AM7" s="442">
        <f t="shared" si="8"/>
        <v>0</v>
      </c>
      <c r="AN7" s="442">
        <f t="shared" si="9"/>
        <v>0</v>
      </c>
      <c r="AO7" s="442">
        <f t="shared" si="10"/>
        <v>0</v>
      </c>
      <c r="AP7" s="442">
        <f t="shared" si="11"/>
        <v>0</v>
      </c>
      <c r="AQ7" s="442">
        <f t="shared" si="12"/>
        <v>0</v>
      </c>
      <c r="AR7" s="442">
        <f t="shared" si="13"/>
        <v>0</v>
      </c>
      <c r="AS7" s="462"/>
      <c r="AT7" s="425"/>
      <c r="AU7" s="425"/>
    </row>
    <row r="8" spans="1:47" ht="17.649999999999999">
      <c r="A8" s="426" t="s">
        <v>99</v>
      </c>
      <c r="B8" s="472">
        <f t="shared" si="2"/>
        <v>0</v>
      </c>
      <c r="C8" s="472">
        <f t="shared" si="3"/>
        <v>0</v>
      </c>
      <c r="D8" s="472">
        <f t="shared" si="4"/>
        <v>0</v>
      </c>
      <c r="E8" s="472">
        <f t="shared" si="5"/>
        <v>0</v>
      </c>
      <c r="F8" s="472">
        <f t="shared" si="6"/>
        <v>0</v>
      </c>
      <c r="G8" s="472">
        <f t="shared" si="7"/>
        <v>0</v>
      </c>
      <c r="H8" s="462"/>
      <c r="I8" s="425"/>
      <c r="J8" s="425"/>
      <c r="L8" s="426" t="s">
        <v>99</v>
      </c>
      <c r="M8" s="464"/>
      <c r="N8" s="464"/>
      <c r="O8" s="464"/>
      <c r="P8" s="464"/>
      <c r="Q8" s="464"/>
      <c r="R8" s="464"/>
      <c r="S8" s="465"/>
      <c r="T8" s="466" t="s">
        <v>99</v>
      </c>
      <c r="U8" s="464"/>
      <c r="V8" s="464"/>
      <c r="W8" s="464"/>
      <c r="X8" s="464"/>
      <c r="Y8" s="464"/>
      <c r="Z8" s="464"/>
      <c r="AA8" s="462"/>
      <c r="AB8" s="466" t="s">
        <v>99</v>
      </c>
      <c r="AC8" s="464"/>
      <c r="AD8" s="464"/>
      <c r="AE8" s="464"/>
      <c r="AF8" s="464"/>
      <c r="AG8" s="464"/>
      <c r="AH8" s="464"/>
      <c r="AI8" s="462"/>
      <c r="AL8" s="426" t="s">
        <v>99</v>
      </c>
      <c r="AM8" s="442">
        <f t="shared" si="8"/>
        <v>0</v>
      </c>
      <c r="AN8" s="442">
        <f t="shared" si="9"/>
        <v>0</v>
      </c>
      <c r="AO8" s="442">
        <f t="shared" si="10"/>
        <v>0</v>
      </c>
      <c r="AP8" s="442">
        <f t="shared" si="11"/>
        <v>0</v>
      </c>
      <c r="AQ8" s="442">
        <f t="shared" si="12"/>
        <v>0</v>
      </c>
      <c r="AR8" s="442">
        <f t="shared" si="13"/>
        <v>0</v>
      </c>
      <c r="AS8" s="462"/>
      <c r="AT8" s="425"/>
      <c r="AU8" s="425"/>
    </row>
    <row r="9" spans="1:47" ht="17.649999999999999">
      <c r="A9" s="426" t="s">
        <v>208</v>
      </c>
      <c r="B9" s="472">
        <f t="shared" si="2"/>
        <v>0</v>
      </c>
      <c r="C9" s="472">
        <f t="shared" si="3"/>
        <v>0</v>
      </c>
      <c r="D9" s="472">
        <f t="shared" si="4"/>
        <v>0</v>
      </c>
      <c r="E9" s="472">
        <f t="shared" si="5"/>
        <v>0</v>
      </c>
      <c r="F9" s="472">
        <f t="shared" si="6"/>
        <v>0</v>
      </c>
      <c r="G9" s="472">
        <f t="shared" si="7"/>
        <v>0</v>
      </c>
      <c r="H9" s="462"/>
      <c r="I9" s="425"/>
      <c r="J9" s="425"/>
      <c r="L9" s="426" t="s">
        <v>208</v>
      </c>
      <c r="M9" s="464"/>
      <c r="N9" s="464"/>
      <c r="O9" s="464"/>
      <c r="P9" s="464"/>
      <c r="Q9" s="464"/>
      <c r="R9" s="464"/>
      <c r="S9" s="465"/>
      <c r="T9" s="466" t="s">
        <v>208</v>
      </c>
      <c r="U9" s="464"/>
      <c r="V9" s="464"/>
      <c r="W9" s="464"/>
      <c r="X9" s="464"/>
      <c r="Y9" s="464"/>
      <c r="Z9" s="464"/>
      <c r="AA9" s="462"/>
      <c r="AB9" s="466" t="s">
        <v>208</v>
      </c>
      <c r="AC9" s="464"/>
      <c r="AD9" s="464"/>
      <c r="AE9" s="464"/>
      <c r="AF9" s="464"/>
      <c r="AG9" s="464"/>
      <c r="AH9" s="464"/>
      <c r="AI9" s="462"/>
      <c r="AL9" s="426" t="s">
        <v>208</v>
      </c>
      <c r="AM9" s="442">
        <f t="shared" si="8"/>
        <v>0</v>
      </c>
      <c r="AN9" s="442">
        <f t="shared" si="9"/>
        <v>0</v>
      </c>
      <c r="AO9" s="442">
        <f t="shared" si="10"/>
        <v>0</v>
      </c>
      <c r="AP9" s="442">
        <f t="shared" si="11"/>
        <v>0</v>
      </c>
      <c r="AQ9" s="442">
        <f t="shared" si="12"/>
        <v>0</v>
      </c>
      <c r="AR9" s="442">
        <f t="shared" si="13"/>
        <v>0</v>
      </c>
      <c r="AS9" s="462"/>
      <c r="AT9" s="425"/>
      <c r="AU9" s="425"/>
    </row>
    <row r="10" spans="1:47" ht="17.649999999999999">
      <c r="A10" s="426" t="s">
        <v>207</v>
      </c>
      <c r="B10" s="472">
        <f t="shared" si="2"/>
        <v>0</v>
      </c>
      <c r="C10" s="472">
        <f t="shared" si="3"/>
        <v>0</v>
      </c>
      <c r="D10" s="472">
        <f t="shared" si="4"/>
        <v>0</v>
      </c>
      <c r="E10" s="472">
        <f t="shared" si="5"/>
        <v>0</v>
      </c>
      <c r="F10" s="472">
        <f t="shared" si="6"/>
        <v>0</v>
      </c>
      <c r="G10" s="472">
        <f t="shared" si="7"/>
        <v>0</v>
      </c>
      <c r="H10" s="462"/>
      <c r="I10" s="425"/>
      <c r="J10" s="425"/>
      <c r="L10" s="426" t="s">
        <v>207</v>
      </c>
      <c r="M10" s="464"/>
      <c r="N10" s="464"/>
      <c r="O10" s="464"/>
      <c r="P10" s="464"/>
      <c r="Q10" s="464"/>
      <c r="R10" s="464"/>
      <c r="S10" s="465"/>
      <c r="T10" s="466" t="s">
        <v>207</v>
      </c>
      <c r="U10" s="464"/>
      <c r="V10" s="464"/>
      <c r="W10" s="464"/>
      <c r="X10" s="464"/>
      <c r="Y10" s="464"/>
      <c r="Z10" s="464"/>
      <c r="AA10" s="462"/>
      <c r="AB10" s="466" t="s">
        <v>207</v>
      </c>
      <c r="AC10" s="464"/>
      <c r="AD10" s="464"/>
      <c r="AE10" s="464"/>
      <c r="AF10" s="464"/>
      <c r="AG10" s="464"/>
      <c r="AH10" s="464"/>
      <c r="AI10" s="462"/>
      <c r="AL10" s="426" t="s">
        <v>207</v>
      </c>
      <c r="AM10" s="442">
        <f t="shared" si="8"/>
        <v>0</v>
      </c>
      <c r="AN10" s="442">
        <f t="shared" si="9"/>
        <v>0</v>
      </c>
      <c r="AO10" s="442">
        <f t="shared" si="10"/>
        <v>0</v>
      </c>
      <c r="AP10" s="442">
        <f t="shared" si="11"/>
        <v>0</v>
      </c>
      <c r="AQ10" s="442">
        <f t="shared" si="12"/>
        <v>0</v>
      </c>
      <c r="AR10" s="442">
        <f t="shared" si="13"/>
        <v>0</v>
      </c>
      <c r="AS10" s="462"/>
      <c r="AT10" s="425"/>
      <c r="AU10" s="425"/>
    </row>
    <row r="11" spans="1:47" ht="17.649999999999999">
      <c r="A11" s="224"/>
      <c r="B11" s="428"/>
      <c r="C11" s="432"/>
      <c r="D11" s="432"/>
      <c r="E11" s="432"/>
      <c r="F11" s="432"/>
      <c r="G11" s="432"/>
      <c r="H11" s="425"/>
      <c r="I11" s="425"/>
      <c r="J11" s="425"/>
      <c r="L11" s="224"/>
      <c r="M11" s="428"/>
      <c r="N11" s="432"/>
      <c r="O11" s="432"/>
      <c r="P11" s="432"/>
      <c r="Q11" s="432"/>
      <c r="R11" s="432"/>
      <c r="S11" s="425"/>
      <c r="T11" s="224"/>
      <c r="U11" s="428"/>
      <c r="V11" s="432"/>
      <c r="W11" s="432"/>
      <c r="X11" s="432"/>
      <c r="Y11" s="432"/>
      <c r="Z11" s="432"/>
      <c r="AA11" s="425"/>
      <c r="AB11" s="224"/>
      <c r="AC11" s="428"/>
      <c r="AD11" s="432"/>
      <c r="AE11" s="432"/>
      <c r="AF11" s="432"/>
      <c r="AG11" s="432"/>
      <c r="AH11" s="432"/>
      <c r="AI11" s="425"/>
      <c r="AL11" s="224"/>
      <c r="AM11" s="428"/>
      <c r="AN11" s="432"/>
      <c r="AO11" s="432"/>
      <c r="AP11" s="432"/>
      <c r="AQ11" s="432"/>
      <c r="AR11" s="432"/>
      <c r="AS11" s="425"/>
      <c r="AT11" s="425"/>
      <c r="AU11" s="425"/>
    </row>
    <row r="12" spans="1:47" ht="17.649999999999999">
      <c r="A12" s="461" t="s">
        <v>321</v>
      </c>
      <c r="B12" s="428"/>
      <c r="C12" s="432"/>
      <c r="D12" s="432"/>
      <c r="E12" s="432"/>
      <c r="F12" s="432"/>
      <c r="G12" s="432"/>
      <c r="H12" s="425"/>
      <c r="I12" s="425"/>
      <c r="J12" s="425"/>
      <c r="L12" s="461" t="s">
        <v>325</v>
      </c>
      <c r="M12" s="428"/>
      <c r="N12" s="432"/>
      <c r="O12" s="432"/>
      <c r="P12" s="432"/>
      <c r="Q12" s="432"/>
      <c r="R12" s="432"/>
      <c r="S12" s="425"/>
      <c r="T12" s="461"/>
      <c r="U12" s="428"/>
      <c r="V12" s="432"/>
      <c r="W12" s="432"/>
      <c r="X12" s="432"/>
      <c r="Y12" s="432"/>
      <c r="Z12" s="432"/>
      <c r="AA12" s="425"/>
      <c r="AB12" s="461"/>
      <c r="AC12" s="428"/>
      <c r="AD12" s="432"/>
      <c r="AE12" s="432"/>
      <c r="AF12" s="432"/>
      <c r="AG12" s="432"/>
      <c r="AH12" s="432"/>
      <c r="AI12" s="425"/>
      <c r="AL12" s="461" t="s">
        <v>321</v>
      </c>
      <c r="AM12" s="428"/>
      <c r="AN12" s="432"/>
      <c r="AO12" s="432"/>
      <c r="AP12" s="432"/>
      <c r="AQ12" s="432"/>
      <c r="AR12" s="432"/>
      <c r="AS12" s="425"/>
      <c r="AT12" s="425"/>
      <c r="AU12" s="425"/>
    </row>
    <row r="13" spans="1:47" s="281" customFormat="1" ht="17.649999999999999">
      <c r="A13" s="433" t="s">
        <v>0</v>
      </c>
      <c r="B13" s="441" t="s">
        <v>324</v>
      </c>
      <c r="C13" s="441" t="s">
        <v>266</v>
      </c>
      <c r="D13" s="441" t="s">
        <v>267</v>
      </c>
      <c r="E13" s="441" t="s">
        <v>268</v>
      </c>
      <c r="F13" s="441" t="s">
        <v>269</v>
      </c>
      <c r="G13" s="441" t="s">
        <v>270</v>
      </c>
      <c r="H13" s="430"/>
      <c r="I13" s="425"/>
      <c r="J13" s="430"/>
      <c r="L13" s="433" t="s">
        <v>0</v>
      </c>
      <c r="M13" s="441" t="s">
        <v>324</v>
      </c>
      <c r="N13" s="441" t="s">
        <v>266</v>
      </c>
      <c r="O13" s="441" t="s">
        <v>267</v>
      </c>
      <c r="P13" s="441" t="s">
        <v>268</v>
      </c>
      <c r="Q13" s="441" t="s">
        <v>269</v>
      </c>
      <c r="R13" s="441" t="s">
        <v>270</v>
      </c>
      <c r="S13" s="430"/>
      <c r="T13" s="433" t="s">
        <v>0</v>
      </c>
      <c r="U13" s="441" t="s">
        <v>324</v>
      </c>
      <c r="V13" s="441" t="s">
        <v>266</v>
      </c>
      <c r="W13" s="441" t="s">
        <v>267</v>
      </c>
      <c r="X13" s="441" t="s">
        <v>268</v>
      </c>
      <c r="Y13" s="441" t="s">
        <v>269</v>
      </c>
      <c r="Z13" s="441" t="s">
        <v>270</v>
      </c>
      <c r="AA13" s="425"/>
      <c r="AB13" s="433" t="s">
        <v>0</v>
      </c>
      <c r="AC13" s="441" t="s">
        <v>324</v>
      </c>
      <c r="AD13" s="441" t="s">
        <v>266</v>
      </c>
      <c r="AE13" s="441" t="s">
        <v>267</v>
      </c>
      <c r="AF13" s="441" t="s">
        <v>268</v>
      </c>
      <c r="AG13" s="441" t="s">
        <v>269</v>
      </c>
      <c r="AH13" s="441" t="s">
        <v>270</v>
      </c>
      <c r="AI13" s="425"/>
      <c r="AK13" s="481"/>
      <c r="AL13" s="433" t="s">
        <v>0</v>
      </c>
      <c r="AM13" s="441" t="s">
        <v>324</v>
      </c>
      <c r="AN13" s="441" t="s">
        <v>266</v>
      </c>
      <c r="AO13" s="441" t="s">
        <v>267</v>
      </c>
      <c r="AP13" s="441" t="s">
        <v>268</v>
      </c>
      <c r="AQ13" s="441" t="s">
        <v>269</v>
      </c>
      <c r="AR13" s="441" t="s">
        <v>270</v>
      </c>
      <c r="AS13" s="430"/>
      <c r="AT13" s="425"/>
      <c r="AU13" s="430"/>
    </row>
    <row r="14" spans="1:47" ht="17.649999999999999">
      <c r="A14" s="438" t="s">
        <v>97</v>
      </c>
      <c r="B14" s="473">
        <f t="shared" ref="B14:B21" si="14">M14+U14+AC14</f>
        <v>4.0000000000000002E-4</v>
      </c>
      <c r="C14" s="473">
        <f t="shared" ref="C14:C21" si="15">N14+V14+AD14</f>
        <v>4.0000000000000002E-4</v>
      </c>
      <c r="D14" s="473">
        <f t="shared" ref="D14:D21" si="16">O14+W14+AE14</f>
        <v>0</v>
      </c>
      <c r="E14" s="473">
        <f t="shared" ref="E14:E21" si="17">P14+X14+AF14</f>
        <v>0</v>
      </c>
      <c r="F14" s="473">
        <f t="shared" ref="F14:F21" si="18">Q14+Y14+AG14</f>
        <v>0</v>
      </c>
      <c r="G14" s="473">
        <f t="shared" ref="G14:G21" si="19">R14+Z14+AH14</f>
        <v>0</v>
      </c>
      <c r="H14" s="463"/>
      <c r="I14" s="425"/>
      <c r="J14" s="425"/>
      <c r="L14" s="438" t="s">
        <v>97</v>
      </c>
      <c r="M14" s="467">
        <v>4.0000000000000002E-4</v>
      </c>
      <c r="N14" s="467">
        <v>4.0000000000000002E-4</v>
      </c>
      <c r="O14" s="467"/>
      <c r="P14" s="467"/>
      <c r="Q14" s="467"/>
      <c r="R14" s="467"/>
      <c r="S14" s="468"/>
      <c r="T14" s="438" t="s">
        <v>97</v>
      </c>
      <c r="U14" s="467"/>
      <c r="V14" s="467"/>
      <c r="W14" s="467"/>
      <c r="X14" s="467"/>
      <c r="Y14" s="467"/>
      <c r="Z14" s="467"/>
      <c r="AA14" s="425"/>
      <c r="AB14" s="438" t="s">
        <v>97</v>
      </c>
      <c r="AC14" s="467"/>
      <c r="AD14" s="467"/>
      <c r="AE14" s="467"/>
      <c r="AF14" s="467"/>
      <c r="AG14" s="467"/>
      <c r="AH14" s="467"/>
      <c r="AI14" s="425"/>
      <c r="AL14" s="438" t="s">
        <v>97</v>
      </c>
      <c r="AM14" s="442">
        <f>B14*B50</f>
        <v>192458.67336475174</v>
      </c>
      <c r="AN14" s="442">
        <f t="shared" ref="AN14:AR14" si="20">C14*C50</f>
        <v>195324.17673783435</v>
      </c>
      <c r="AO14" s="442">
        <f t="shared" si="20"/>
        <v>0</v>
      </c>
      <c r="AP14" s="442">
        <f t="shared" si="20"/>
        <v>0</v>
      </c>
      <c r="AQ14" s="442">
        <f t="shared" si="20"/>
        <v>0</v>
      </c>
      <c r="AR14" s="442">
        <f t="shared" si="20"/>
        <v>0</v>
      </c>
      <c r="AS14" s="463"/>
      <c r="AT14" s="425"/>
      <c r="AU14" s="425"/>
    </row>
    <row r="15" spans="1:47" ht="17.649999999999999">
      <c r="A15" s="438" t="s">
        <v>212</v>
      </c>
      <c r="B15" s="473">
        <f t="shared" si="14"/>
        <v>2.9999999999999997E-4</v>
      </c>
      <c r="C15" s="473">
        <f t="shared" si="15"/>
        <v>2.9999999999999997E-4</v>
      </c>
      <c r="D15" s="473">
        <f t="shared" si="16"/>
        <v>0</v>
      </c>
      <c r="E15" s="473">
        <f t="shared" si="17"/>
        <v>0</v>
      </c>
      <c r="F15" s="473">
        <f t="shared" si="18"/>
        <v>0</v>
      </c>
      <c r="G15" s="473">
        <f t="shared" si="19"/>
        <v>0</v>
      </c>
      <c r="H15" s="463"/>
      <c r="I15" s="425"/>
      <c r="J15" s="425"/>
      <c r="L15" s="438" t="s">
        <v>212</v>
      </c>
      <c r="M15" s="467">
        <v>2.9999999999999997E-4</v>
      </c>
      <c r="N15" s="467">
        <v>2.9999999999999997E-4</v>
      </c>
      <c r="O15" s="467"/>
      <c r="P15" s="467"/>
      <c r="Q15" s="467"/>
      <c r="R15" s="467"/>
      <c r="S15" s="468"/>
      <c r="T15" s="438" t="s">
        <v>212</v>
      </c>
      <c r="U15" s="467"/>
      <c r="V15" s="467"/>
      <c r="W15" s="467"/>
      <c r="X15" s="467"/>
      <c r="Y15" s="467"/>
      <c r="Z15" s="467"/>
      <c r="AA15" s="425"/>
      <c r="AB15" s="438" t="s">
        <v>212</v>
      </c>
      <c r="AC15" s="467"/>
      <c r="AD15" s="467"/>
      <c r="AE15" s="467"/>
      <c r="AF15" s="467"/>
      <c r="AG15" s="467"/>
      <c r="AH15" s="467"/>
      <c r="AI15" s="425"/>
      <c r="AL15" s="438" t="s">
        <v>212</v>
      </c>
      <c r="AM15" s="442">
        <f t="shared" ref="AM15:AM21" si="21">B15*B51</f>
        <v>39831.766561473785</v>
      </c>
      <c r="AN15" s="442">
        <f t="shared" ref="AN15:AN21" si="22">C15*C51</f>
        <v>40219.279835743175</v>
      </c>
      <c r="AO15" s="442">
        <f t="shared" ref="AO15:AO21" si="23">D15*D51</f>
        <v>0</v>
      </c>
      <c r="AP15" s="442">
        <f t="shared" ref="AP15:AP21" si="24">E15*E51</f>
        <v>0</v>
      </c>
      <c r="AQ15" s="442">
        <f t="shared" ref="AQ15:AQ21" si="25">F15*F51</f>
        <v>0</v>
      </c>
      <c r="AR15" s="442">
        <f t="shared" ref="AR15:AR21" si="26">G15*G51</f>
        <v>0</v>
      </c>
      <c r="AS15" s="463"/>
      <c r="AT15" s="425"/>
      <c r="AU15" s="425"/>
    </row>
    <row r="16" spans="1:47" ht="17.649999999999999">
      <c r="A16" s="438" t="s">
        <v>213</v>
      </c>
      <c r="B16" s="473">
        <f t="shared" si="14"/>
        <v>7.3000000000000001E-3</v>
      </c>
      <c r="C16" s="473">
        <f t="shared" si="15"/>
        <v>7.3000000000000001E-3</v>
      </c>
      <c r="D16" s="473">
        <f t="shared" si="16"/>
        <v>0</v>
      </c>
      <c r="E16" s="473">
        <f t="shared" si="17"/>
        <v>0</v>
      </c>
      <c r="F16" s="473">
        <f t="shared" si="18"/>
        <v>0</v>
      </c>
      <c r="G16" s="473">
        <f t="shared" si="19"/>
        <v>0</v>
      </c>
      <c r="H16" s="463"/>
      <c r="I16" s="425"/>
      <c r="J16" s="425"/>
      <c r="L16" s="438" t="s">
        <v>213</v>
      </c>
      <c r="M16" s="467">
        <v>7.3000000000000001E-3</v>
      </c>
      <c r="N16" s="467">
        <v>7.3000000000000001E-3</v>
      </c>
      <c r="O16" s="467"/>
      <c r="P16" s="467"/>
      <c r="Q16" s="467"/>
      <c r="R16" s="467"/>
      <c r="S16" s="468"/>
      <c r="T16" s="438" t="s">
        <v>213</v>
      </c>
      <c r="U16" s="467"/>
      <c r="V16" s="467"/>
      <c r="W16" s="467"/>
      <c r="X16" s="467"/>
      <c r="Y16" s="467"/>
      <c r="Z16" s="467"/>
      <c r="AA16" s="425"/>
      <c r="AB16" s="438" t="s">
        <v>213</v>
      </c>
      <c r="AC16" s="467"/>
      <c r="AD16" s="467"/>
      <c r="AE16" s="467"/>
      <c r="AF16" s="467"/>
      <c r="AG16" s="467"/>
      <c r="AH16" s="467"/>
      <c r="AI16" s="425"/>
      <c r="AL16" s="438" t="s">
        <v>213</v>
      </c>
      <c r="AM16" s="442">
        <f t="shared" si="21"/>
        <v>6072.0596999999998</v>
      </c>
      <c r="AN16" s="442">
        <f t="shared" si="22"/>
        <v>6219.2645717494579</v>
      </c>
      <c r="AO16" s="442">
        <f t="shared" si="23"/>
        <v>0</v>
      </c>
      <c r="AP16" s="442">
        <f t="shared" si="24"/>
        <v>0</v>
      </c>
      <c r="AQ16" s="442">
        <f t="shared" si="25"/>
        <v>0</v>
      </c>
      <c r="AR16" s="442">
        <f t="shared" si="26"/>
        <v>0</v>
      </c>
      <c r="AS16" s="463"/>
      <c r="AT16" s="425"/>
      <c r="AU16" s="425"/>
    </row>
    <row r="17" spans="1:53" ht="17.649999999999999">
      <c r="A17" s="438" t="s">
        <v>214</v>
      </c>
      <c r="B17" s="473">
        <f t="shared" si="14"/>
        <v>-2.4400000000000002E-2</v>
      </c>
      <c r="C17" s="473">
        <f t="shared" si="15"/>
        <v>-2.4400000000000002E-2</v>
      </c>
      <c r="D17" s="473">
        <f t="shared" si="16"/>
        <v>0</v>
      </c>
      <c r="E17" s="473">
        <f t="shared" si="17"/>
        <v>0</v>
      </c>
      <c r="F17" s="473">
        <f t="shared" si="18"/>
        <v>0</v>
      </c>
      <c r="G17" s="473">
        <f t="shared" si="19"/>
        <v>0</v>
      </c>
      <c r="H17" s="463"/>
      <c r="I17" s="425"/>
      <c r="J17" s="425"/>
      <c r="L17" s="438" t="s">
        <v>214</v>
      </c>
      <c r="M17" s="467">
        <v>-2.4400000000000002E-2</v>
      </c>
      <c r="N17" s="467">
        <v>-2.4400000000000002E-2</v>
      </c>
      <c r="O17" s="467"/>
      <c r="P17" s="467"/>
      <c r="Q17" s="467"/>
      <c r="R17" s="467"/>
      <c r="S17" s="468"/>
      <c r="T17" s="438" t="s">
        <v>214</v>
      </c>
      <c r="U17" s="467"/>
      <c r="V17" s="467"/>
      <c r="W17" s="467"/>
      <c r="X17" s="467"/>
      <c r="Y17" s="467"/>
      <c r="Z17" s="467"/>
      <c r="AA17" s="425"/>
      <c r="AB17" s="438" t="s">
        <v>214</v>
      </c>
      <c r="AC17" s="467"/>
      <c r="AD17" s="467"/>
      <c r="AE17" s="467"/>
      <c r="AF17" s="467"/>
      <c r="AG17" s="467"/>
      <c r="AH17" s="467"/>
      <c r="AI17" s="425"/>
      <c r="AL17" s="438" t="s">
        <v>214</v>
      </c>
      <c r="AM17" s="442">
        <f t="shared" si="21"/>
        <v>-4555.8216000000002</v>
      </c>
      <c r="AN17" s="442">
        <f t="shared" si="22"/>
        <v>-4766.130330010431</v>
      </c>
      <c r="AO17" s="442">
        <f t="shared" si="23"/>
        <v>0</v>
      </c>
      <c r="AP17" s="442">
        <f t="shared" si="24"/>
        <v>0</v>
      </c>
      <c r="AQ17" s="442">
        <f t="shared" si="25"/>
        <v>0</v>
      </c>
      <c r="AR17" s="442">
        <f t="shared" si="26"/>
        <v>0</v>
      </c>
      <c r="AS17" s="463"/>
      <c r="AT17" s="425"/>
      <c r="AU17" s="425"/>
    </row>
    <row r="18" spans="1:53" ht="17.649999999999999">
      <c r="A18" s="438" t="s">
        <v>98</v>
      </c>
      <c r="B18" s="473">
        <f t="shared" si="14"/>
        <v>-2.5100000000000001E-2</v>
      </c>
      <c r="C18" s="473">
        <f t="shared" si="15"/>
        <v>-2.5100000000000001E-2</v>
      </c>
      <c r="D18" s="473">
        <f t="shared" si="16"/>
        <v>0</v>
      </c>
      <c r="E18" s="473">
        <f t="shared" si="17"/>
        <v>0</v>
      </c>
      <c r="F18" s="473">
        <f t="shared" si="18"/>
        <v>0</v>
      </c>
      <c r="G18" s="473">
        <f t="shared" si="19"/>
        <v>0</v>
      </c>
      <c r="H18" s="463"/>
      <c r="I18" s="425"/>
      <c r="J18" s="425"/>
      <c r="L18" s="438" t="s">
        <v>98</v>
      </c>
      <c r="M18" s="467">
        <v>-2.5100000000000001E-2</v>
      </c>
      <c r="N18" s="467">
        <v>-2.5100000000000001E-2</v>
      </c>
      <c r="O18" s="467"/>
      <c r="P18" s="467"/>
      <c r="Q18" s="467"/>
      <c r="R18" s="467"/>
      <c r="S18" s="468"/>
      <c r="T18" s="438" t="s">
        <v>98</v>
      </c>
      <c r="U18" s="467"/>
      <c r="V18" s="467"/>
      <c r="W18" s="467"/>
      <c r="X18" s="467"/>
      <c r="Y18" s="467"/>
      <c r="Z18" s="467"/>
      <c r="AA18" s="425"/>
      <c r="AB18" s="438" t="s">
        <v>98</v>
      </c>
      <c r="AC18" s="467"/>
      <c r="AD18" s="467"/>
      <c r="AE18" s="467"/>
      <c r="AF18" s="467"/>
      <c r="AG18" s="467"/>
      <c r="AH18" s="467"/>
      <c r="AI18" s="425"/>
      <c r="AL18" s="438" t="s">
        <v>98</v>
      </c>
      <c r="AM18" s="442">
        <f t="shared" si="21"/>
        <v>-2339.3953000000001</v>
      </c>
      <c r="AN18" s="442">
        <f t="shared" si="22"/>
        <v>-2420.9020310902479</v>
      </c>
      <c r="AO18" s="442">
        <f t="shared" si="23"/>
        <v>0</v>
      </c>
      <c r="AP18" s="442">
        <f t="shared" si="24"/>
        <v>0</v>
      </c>
      <c r="AQ18" s="442">
        <f t="shared" si="25"/>
        <v>0</v>
      </c>
      <c r="AR18" s="442">
        <f t="shared" si="26"/>
        <v>0</v>
      </c>
      <c r="AS18" s="463"/>
      <c r="AT18" s="425"/>
      <c r="AU18" s="425"/>
    </row>
    <row r="19" spans="1:53" ht="17.649999999999999">
      <c r="A19" s="438" t="s">
        <v>99</v>
      </c>
      <c r="B19" s="473">
        <f t="shared" si="14"/>
        <v>0.37790000000000001</v>
      </c>
      <c r="C19" s="473">
        <f t="shared" si="15"/>
        <v>0.37790000000000001</v>
      </c>
      <c r="D19" s="473">
        <f t="shared" si="16"/>
        <v>0</v>
      </c>
      <c r="E19" s="473">
        <f t="shared" si="17"/>
        <v>0</v>
      </c>
      <c r="F19" s="473">
        <f t="shared" si="18"/>
        <v>0</v>
      </c>
      <c r="G19" s="473">
        <f t="shared" si="19"/>
        <v>0</v>
      </c>
      <c r="H19" s="463"/>
      <c r="I19" s="425"/>
      <c r="J19" s="425"/>
      <c r="L19" s="438" t="s">
        <v>99</v>
      </c>
      <c r="M19" s="467">
        <v>0.37790000000000001</v>
      </c>
      <c r="N19" s="467">
        <v>0.37790000000000001</v>
      </c>
      <c r="O19" s="467"/>
      <c r="P19" s="467"/>
      <c r="Q19" s="467"/>
      <c r="R19" s="467"/>
      <c r="S19" s="468"/>
      <c r="T19" s="438" t="s">
        <v>99</v>
      </c>
      <c r="U19" s="467"/>
      <c r="V19" s="467"/>
      <c r="W19" s="467"/>
      <c r="X19" s="467"/>
      <c r="Y19" s="467"/>
      <c r="Z19" s="467"/>
      <c r="AA19" s="425"/>
      <c r="AB19" s="438" t="s">
        <v>99</v>
      </c>
      <c r="AC19" s="467"/>
      <c r="AD19" s="467"/>
      <c r="AE19" s="467"/>
      <c r="AF19" s="467"/>
      <c r="AG19" s="467"/>
      <c r="AH19" s="467"/>
      <c r="AI19" s="425"/>
      <c r="AL19" s="438" t="s">
        <v>99</v>
      </c>
      <c r="AM19" s="442">
        <f t="shared" si="21"/>
        <v>5253.5045349203119</v>
      </c>
      <c r="AN19" s="442">
        <f t="shared" si="22"/>
        <v>9036.221496568749</v>
      </c>
      <c r="AO19" s="442">
        <f t="shared" si="23"/>
        <v>0</v>
      </c>
      <c r="AP19" s="442">
        <f t="shared" si="24"/>
        <v>0</v>
      </c>
      <c r="AQ19" s="442">
        <f t="shared" si="25"/>
        <v>0</v>
      </c>
      <c r="AR19" s="442">
        <f t="shared" si="26"/>
        <v>0</v>
      </c>
      <c r="AS19" s="463"/>
      <c r="AT19" s="425"/>
      <c r="AU19" s="425"/>
    </row>
    <row r="20" spans="1:53" ht="17.649999999999999">
      <c r="A20" s="438" t="s">
        <v>208</v>
      </c>
      <c r="B20" s="473">
        <f t="shared" si="14"/>
        <v>0.2409</v>
      </c>
      <c r="C20" s="473">
        <f t="shared" si="15"/>
        <v>0.2409</v>
      </c>
      <c r="D20" s="473">
        <f t="shared" si="16"/>
        <v>0</v>
      </c>
      <c r="E20" s="473">
        <f t="shared" si="17"/>
        <v>0</v>
      </c>
      <c r="F20" s="473">
        <f t="shared" si="18"/>
        <v>0</v>
      </c>
      <c r="G20" s="473">
        <f t="shared" si="19"/>
        <v>0</v>
      </c>
      <c r="H20" s="463"/>
      <c r="I20" s="425"/>
      <c r="J20" s="425"/>
      <c r="L20" s="438" t="s">
        <v>208</v>
      </c>
      <c r="M20" s="467">
        <v>0.2409</v>
      </c>
      <c r="N20" s="467">
        <v>0.2409</v>
      </c>
      <c r="O20" s="467"/>
      <c r="P20" s="467"/>
      <c r="Q20" s="467"/>
      <c r="R20" s="467"/>
      <c r="S20" s="468"/>
      <c r="T20" s="438" t="s">
        <v>208</v>
      </c>
      <c r="U20" s="467"/>
      <c r="V20" s="467"/>
      <c r="W20" s="467"/>
      <c r="X20" s="467"/>
      <c r="Y20" s="467"/>
      <c r="Z20" s="467"/>
      <c r="AA20" s="425"/>
      <c r="AB20" s="438" t="s">
        <v>208</v>
      </c>
      <c r="AC20" s="467"/>
      <c r="AD20" s="467"/>
      <c r="AE20" s="467"/>
      <c r="AF20" s="467"/>
      <c r="AG20" s="467"/>
      <c r="AH20" s="467"/>
      <c r="AI20" s="425"/>
      <c r="AL20" s="438" t="s">
        <v>208</v>
      </c>
      <c r="AM20" s="442">
        <f t="shared" si="21"/>
        <v>0</v>
      </c>
      <c r="AN20" s="442">
        <f t="shared" si="22"/>
        <v>24.128278098074272</v>
      </c>
      <c r="AO20" s="442">
        <f t="shared" si="23"/>
        <v>0</v>
      </c>
      <c r="AP20" s="442">
        <f t="shared" si="24"/>
        <v>0</v>
      </c>
      <c r="AQ20" s="442">
        <f t="shared" si="25"/>
        <v>0</v>
      </c>
      <c r="AR20" s="442">
        <f t="shared" si="26"/>
        <v>0</v>
      </c>
      <c r="AS20" s="463"/>
      <c r="AT20" s="425"/>
      <c r="AU20" s="425"/>
    </row>
    <row r="21" spans="1:53" ht="17.649999999999999">
      <c r="A21" s="438" t="s">
        <v>207</v>
      </c>
      <c r="B21" s="473">
        <f t="shared" si="14"/>
        <v>2.0000000000000001E-4</v>
      </c>
      <c r="C21" s="473">
        <f t="shared" si="15"/>
        <v>2.0000000000000001E-4</v>
      </c>
      <c r="D21" s="473">
        <f t="shared" si="16"/>
        <v>0</v>
      </c>
      <c r="E21" s="473">
        <f t="shared" si="17"/>
        <v>0</v>
      </c>
      <c r="F21" s="473">
        <f t="shared" si="18"/>
        <v>0</v>
      </c>
      <c r="G21" s="473">
        <f t="shared" si="19"/>
        <v>0</v>
      </c>
      <c r="H21" s="463"/>
      <c r="I21" s="425"/>
      <c r="J21" s="425"/>
      <c r="L21" s="438" t="s">
        <v>207</v>
      </c>
      <c r="M21" s="467">
        <v>2.0000000000000001E-4</v>
      </c>
      <c r="N21" s="467">
        <v>2.0000000000000001E-4</v>
      </c>
      <c r="O21" s="467"/>
      <c r="P21" s="467"/>
      <c r="Q21" s="467"/>
      <c r="R21" s="467"/>
      <c r="S21" s="468"/>
      <c r="T21" s="438" t="s">
        <v>207</v>
      </c>
      <c r="U21" s="467"/>
      <c r="V21" s="467"/>
      <c r="W21" s="467"/>
      <c r="X21" s="467"/>
      <c r="Y21" s="467"/>
      <c r="Z21" s="467"/>
      <c r="AA21" s="425"/>
      <c r="AB21" s="438" t="s">
        <v>207</v>
      </c>
      <c r="AC21" s="467"/>
      <c r="AD21" s="467"/>
      <c r="AE21" s="467"/>
      <c r="AF21" s="467"/>
      <c r="AG21" s="467"/>
      <c r="AH21" s="467"/>
      <c r="AI21" s="425"/>
      <c r="AL21" s="438" t="s">
        <v>207</v>
      </c>
      <c r="AM21" s="442">
        <f t="shared" si="21"/>
        <v>540.22514842953956</v>
      </c>
      <c r="AN21" s="442">
        <f t="shared" si="22"/>
        <v>537.30746281783752</v>
      </c>
      <c r="AO21" s="442">
        <f t="shared" si="23"/>
        <v>0</v>
      </c>
      <c r="AP21" s="442">
        <f t="shared" si="24"/>
        <v>0</v>
      </c>
      <c r="AQ21" s="442">
        <f t="shared" si="25"/>
        <v>0</v>
      </c>
      <c r="AR21" s="442">
        <f t="shared" si="26"/>
        <v>0</v>
      </c>
      <c r="AS21" s="463"/>
      <c r="AT21" s="425"/>
      <c r="AU21" s="425"/>
    </row>
    <row r="22" spans="1:53" ht="17.649999999999999">
      <c r="A22" s="224"/>
      <c r="B22" s="428"/>
      <c r="C22" s="432"/>
      <c r="D22" s="432"/>
      <c r="E22" s="432"/>
      <c r="F22" s="432"/>
      <c r="G22" s="432"/>
      <c r="H22" s="425"/>
      <c r="I22" s="425"/>
      <c r="J22" s="425"/>
      <c r="L22" s="224"/>
      <c r="M22" s="469"/>
      <c r="N22" s="470"/>
      <c r="O22" s="470"/>
      <c r="P22" s="470"/>
      <c r="Q22" s="470"/>
      <c r="R22" s="470"/>
      <c r="S22" s="468"/>
      <c r="T22" s="469"/>
      <c r="U22" s="428"/>
      <c r="V22" s="432"/>
      <c r="W22" s="432"/>
      <c r="X22" s="432"/>
      <c r="Y22" s="432"/>
      <c r="Z22" s="432"/>
      <c r="AA22" s="425"/>
      <c r="AB22" s="469"/>
      <c r="AC22" s="428"/>
      <c r="AD22" s="432"/>
      <c r="AE22" s="432"/>
      <c r="AF22" s="432"/>
      <c r="AG22" s="432"/>
      <c r="AH22" s="432"/>
      <c r="AI22" s="425"/>
      <c r="AL22" s="224"/>
      <c r="AM22" s="428"/>
      <c r="AN22" s="432"/>
      <c r="AO22" s="432"/>
      <c r="AP22" s="432"/>
      <c r="AQ22" s="432"/>
      <c r="AR22" s="432"/>
      <c r="AS22" s="425"/>
      <c r="AT22" s="425"/>
      <c r="AU22" s="425"/>
    </row>
    <row r="23" spans="1:53" s="281" customFormat="1" ht="17.649999999999999">
      <c r="A23" s="461" t="s">
        <v>340</v>
      </c>
      <c r="B23" s="428"/>
      <c r="C23" s="432"/>
      <c r="D23" s="432"/>
      <c r="E23" s="432"/>
      <c r="F23" s="432"/>
      <c r="G23" s="432"/>
      <c r="H23" s="425"/>
      <c r="I23" s="425"/>
      <c r="J23" s="425"/>
      <c r="L23" s="461" t="s">
        <v>336</v>
      </c>
      <c r="M23" s="428"/>
      <c r="N23" s="432"/>
      <c r="O23" s="432"/>
      <c r="P23" s="432"/>
      <c r="Q23" s="432"/>
      <c r="R23" s="432"/>
      <c r="S23" s="425"/>
      <c r="T23" s="461"/>
      <c r="U23" s="428"/>
      <c r="V23" s="432"/>
      <c r="W23" s="432"/>
      <c r="X23" s="432"/>
      <c r="Y23" s="432"/>
      <c r="Z23" s="432"/>
      <c r="AA23" s="425"/>
      <c r="AB23" s="461"/>
      <c r="AC23" s="428"/>
      <c r="AD23" s="432"/>
      <c r="AE23" s="432"/>
      <c r="AF23" s="432"/>
      <c r="AG23" s="432"/>
      <c r="AH23" s="432"/>
      <c r="AI23" s="425"/>
      <c r="AK23" s="481"/>
      <c r="AL23" s="461" t="s">
        <v>340</v>
      </c>
      <c r="AM23" s="428"/>
      <c r="AN23" s="432"/>
      <c r="AO23" s="432"/>
      <c r="AP23" s="432"/>
      <c r="AQ23" s="432"/>
      <c r="AR23" s="432"/>
      <c r="AS23" s="425"/>
      <c r="AT23" s="425"/>
      <c r="AU23" s="425"/>
      <c r="AV23" s="336" t="s">
        <v>343</v>
      </c>
    </row>
    <row r="24" spans="1:53" s="281" customFormat="1" ht="17.649999999999999">
      <c r="A24" s="433" t="s">
        <v>0</v>
      </c>
      <c r="B24" s="441" t="s">
        <v>324</v>
      </c>
      <c r="C24" s="441" t="s">
        <v>266</v>
      </c>
      <c r="D24" s="441" t="s">
        <v>267</v>
      </c>
      <c r="E24" s="441" t="s">
        <v>268</v>
      </c>
      <c r="F24" s="441" t="s">
        <v>269</v>
      </c>
      <c r="G24" s="441" t="s">
        <v>270</v>
      </c>
      <c r="H24" s="430"/>
      <c r="I24" s="425"/>
      <c r="J24" s="430"/>
      <c r="L24" s="433" t="s">
        <v>0</v>
      </c>
      <c r="M24" s="441" t="s">
        <v>324</v>
      </c>
      <c r="N24" s="441" t="s">
        <v>266</v>
      </c>
      <c r="O24" s="441" t="s">
        <v>267</v>
      </c>
      <c r="P24" s="441" t="s">
        <v>268</v>
      </c>
      <c r="Q24" s="441" t="s">
        <v>269</v>
      </c>
      <c r="R24" s="441" t="s">
        <v>270</v>
      </c>
      <c r="S24" s="430"/>
      <c r="T24" s="433" t="s">
        <v>0</v>
      </c>
      <c r="U24" s="441" t="s">
        <v>324</v>
      </c>
      <c r="V24" s="441" t="s">
        <v>266</v>
      </c>
      <c r="W24" s="441" t="s">
        <v>267</v>
      </c>
      <c r="X24" s="441" t="s">
        <v>268</v>
      </c>
      <c r="Y24" s="441" t="s">
        <v>269</v>
      </c>
      <c r="Z24" s="441" t="s">
        <v>270</v>
      </c>
      <c r="AA24" s="425"/>
      <c r="AB24" s="433" t="s">
        <v>0</v>
      </c>
      <c r="AC24" s="441" t="s">
        <v>324</v>
      </c>
      <c r="AD24" s="441" t="s">
        <v>266</v>
      </c>
      <c r="AE24" s="441" t="s">
        <v>267</v>
      </c>
      <c r="AF24" s="441" t="s">
        <v>268</v>
      </c>
      <c r="AG24" s="441" t="s">
        <v>269</v>
      </c>
      <c r="AH24" s="441" t="s">
        <v>270</v>
      </c>
      <c r="AI24" s="425"/>
      <c r="AK24" s="481"/>
      <c r="AL24" s="433" t="s">
        <v>0</v>
      </c>
      <c r="AM24" s="441" t="s">
        <v>324</v>
      </c>
      <c r="AN24" s="441" t="s">
        <v>266</v>
      </c>
      <c r="AO24" s="441" t="s">
        <v>267</v>
      </c>
      <c r="AP24" s="441" t="s">
        <v>268</v>
      </c>
      <c r="AQ24" s="441" t="s">
        <v>269</v>
      </c>
      <c r="AR24" s="441" t="s">
        <v>270</v>
      </c>
      <c r="AS24" s="430"/>
      <c r="AT24" s="425"/>
      <c r="AU24" s="430"/>
      <c r="AV24" s="486" t="s">
        <v>324</v>
      </c>
      <c r="AW24" s="486" t="s">
        <v>266</v>
      </c>
      <c r="AX24" s="486" t="s">
        <v>267</v>
      </c>
      <c r="AY24" s="486" t="s">
        <v>268</v>
      </c>
      <c r="AZ24" s="486" t="s">
        <v>269</v>
      </c>
      <c r="BA24" s="486" t="s">
        <v>270</v>
      </c>
    </row>
    <row r="25" spans="1:53" s="281" customFormat="1" ht="17.649999999999999">
      <c r="A25" s="438" t="s">
        <v>97</v>
      </c>
      <c r="B25" s="473">
        <f t="shared" ref="B25:B32" si="27">M25+U25+AC25</f>
        <v>3.9757799999999973E-3</v>
      </c>
      <c r="C25" s="473">
        <f t="shared" ref="C25:C32" si="28">N25+V25+AD25</f>
        <v>4.4980710158294976E-3</v>
      </c>
      <c r="D25" s="473">
        <f t="shared" ref="D25:D32" si="29">O25+W25+AE25</f>
        <v>4.4980710158294976E-3</v>
      </c>
      <c r="E25" s="473">
        <f t="shared" ref="E25:E32" si="30">P25+X25+AF25</f>
        <v>4.4980710158294976E-3</v>
      </c>
      <c r="F25" s="473">
        <f t="shared" ref="F25:F32" si="31">Q25+Y25+AG25</f>
        <v>4.4980710158294976E-3</v>
      </c>
      <c r="G25" s="473">
        <f t="shared" ref="G25:G32" si="32">R25+Z25+AH25</f>
        <v>4.4980710158294976E-3</v>
      </c>
      <c r="H25" s="463"/>
      <c r="I25" s="484">
        <f>C25*C72</f>
        <v>1517234.4784781951</v>
      </c>
      <c r="J25" s="425"/>
      <c r="L25" s="438" t="s">
        <v>97</v>
      </c>
      <c r="M25" s="467">
        <v>3.9757799999999973E-3</v>
      </c>
      <c r="N25" s="467">
        <v>4.4980710158294976E-3</v>
      </c>
      <c r="O25" s="467">
        <f>N25</f>
        <v>4.4980710158294976E-3</v>
      </c>
      <c r="P25" s="467">
        <f t="shared" ref="P25:R25" si="33">O25</f>
        <v>4.4980710158294976E-3</v>
      </c>
      <c r="Q25" s="467">
        <f t="shared" si="33"/>
        <v>4.4980710158294976E-3</v>
      </c>
      <c r="R25" s="467">
        <f t="shared" si="33"/>
        <v>4.4980710158294976E-3</v>
      </c>
      <c r="S25" s="468"/>
      <c r="T25" s="438" t="s">
        <v>97</v>
      </c>
      <c r="U25" s="467"/>
      <c r="V25" s="467"/>
      <c r="W25" s="467"/>
      <c r="X25" s="467"/>
      <c r="Y25" s="467"/>
      <c r="Z25" s="467"/>
      <c r="AA25" s="425"/>
      <c r="AB25" s="438" t="s">
        <v>97</v>
      </c>
      <c r="AC25" s="467"/>
      <c r="AD25" s="467"/>
      <c r="AE25" s="467"/>
      <c r="AF25" s="467"/>
      <c r="AG25" s="467"/>
      <c r="AH25" s="467"/>
      <c r="AI25" s="425"/>
      <c r="AK25" s="481"/>
      <c r="AL25" s="438" t="s">
        <v>97</v>
      </c>
      <c r="AM25" s="442">
        <f>B25*B50</f>
        <v>1912933.3609752802</v>
      </c>
      <c r="AN25" s="442">
        <f t="shared" ref="AN25:AR25" si="34">C25*C50</f>
        <v>2196455.045188027</v>
      </c>
      <c r="AO25" s="442">
        <f t="shared" si="34"/>
        <v>2210262.8594987532</v>
      </c>
      <c r="AP25" s="442">
        <f t="shared" si="34"/>
        <v>2214386.8692710232</v>
      </c>
      <c r="AQ25" s="442">
        <f t="shared" si="34"/>
        <v>2159127.7917985697</v>
      </c>
      <c r="AR25" s="442">
        <f t="shared" si="34"/>
        <v>2152544.4155544671</v>
      </c>
      <c r="AS25" s="463"/>
      <c r="AT25" s="484"/>
      <c r="AU25" s="425"/>
      <c r="AV25" s="487">
        <f>AM25/B60/12</f>
        <v>3.1753304267594902</v>
      </c>
      <c r="AW25" s="487">
        <f t="shared" ref="AW25" si="35">AN25/C60/12</f>
        <v>3.5905750602497086</v>
      </c>
      <c r="AX25" s="487">
        <f t="shared" ref="AX25" si="36">AO25/D60/12</f>
        <v>3.5597498438433992</v>
      </c>
      <c r="AY25" s="487">
        <f t="shared" ref="AY25" si="37">AP25/E60/12</f>
        <v>3.5136859219966929</v>
      </c>
      <c r="AZ25" s="487">
        <f t="shared" ref="AZ25" si="38">AQ25/F60/12</f>
        <v>3.3435756095920772</v>
      </c>
      <c r="BA25" s="487">
        <f t="shared" ref="BA25" si="39">AR25/G60/12</f>
        <v>3.2744392334840455</v>
      </c>
    </row>
    <row r="26" spans="1:53" s="281" customFormat="1" ht="17.649999999999999">
      <c r="A26" s="438" t="s">
        <v>212</v>
      </c>
      <c r="B26" s="473">
        <f t="shared" si="27"/>
        <v>3.9757799999999973E-3</v>
      </c>
      <c r="C26" s="473">
        <f t="shared" si="28"/>
        <v>4.4980710158294976E-3</v>
      </c>
      <c r="D26" s="473">
        <f t="shared" si="29"/>
        <v>4.4980710158294976E-3</v>
      </c>
      <c r="E26" s="473">
        <f t="shared" si="30"/>
        <v>4.4980710158294976E-3</v>
      </c>
      <c r="F26" s="473">
        <f t="shared" si="31"/>
        <v>4.4980710158294976E-3</v>
      </c>
      <c r="G26" s="473">
        <f t="shared" si="32"/>
        <v>4.4980710158294976E-3</v>
      </c>
      <c r="H26" s="463"/>
      <c r="I26" s="484">
        <f t="shared" ref="I26:I32" si="40">C26*C73</f>
        <v>397721.47335027542</v>
      </c>
      <c r="J26" s="425"/>
      <c r="L26" s="438" t="s">
        <v>212</v>
      </c>
      <c r="M26" s="467">
        <f>M$25</f>
        <v>3.9757799999999973E-3</v>
      </c>
      <c r="N26" s="467">
        <f>N$25</f>
        <v>4.4980710158294976E-3</v>
      </c>
      <c r="O26" s="467">
        <f>N26</f>
        <v>4.4980710158294976E-3</v>
      </c>
      <c r="P26" s="467">
        <f t="shared" ref="P26:R26" si="41">O26</f>
        <v>4.4980710158294976E-3</v>
      </c>
      <c r="Q26" s="467">
        <f t="shared" si="41"/>
        <v>4.4980710158294976E-3</v>
      </c>
      <c r="R26" s="467">
        <f t="shared" si="41"/>
        <v>4.4980710158294976E-3</v>
      </c>
      <c r="S26" s="468"/>
      <c r="T26" s="438" t="s">
        <v>212</v>
      </c>
      <c r="U26" s="467"/>
      <c r="V26" s="467"/>
      <c r="W26" s="467"/>
      <c r="X26" s="467"/>
      <c r="Y26" s="467"/>
      <c r="Z26" s="467"/>
      <c r="AA26" s="425"/>
      <c r="AB26" s="438" t="s">
        <v>212</v>
      </c>
      <c r="AC26" s="467"/>
      <c r="AD26" s="467"/>
      <c r="AE26" s="467"/>
      <c r="AF26" s="467"/>
      <c r="AG26" s="467"/>
      <c r="AH26" s="467"/>
      <c r="AI26" s="425"/>
      <c r="AK26" s="481"/>
      <c r="AL26" s="438" t="s">
        <v>212</v>
      </c>
      <c r="AM26" s="442">
        <f>B26*B51</f>
        <v>527874.46953258722</v>
      </c>
      <c r="AN26" s="442">
        <f t="shared" ref="AN26:AR26" si="42">C26*C51</f>
        <v>603030.58968897385</v>
      </c>
      <c r="AO26" s="442">
        <f t="shared" si="42"/>
        <v>606585.08023514296</v>
      </c>
      <c r="AP26" s="442">
        <f t="shared" si="42"/>
        <v>607526.30338925973</v>
      </c>
      <c r="AQ26" s="442">
        <f t="shared" si="42"/>
        <v>582883.33419877</v>
      </c>
      <c r="AR26" s="442">
        <f t="shared" si="42"/>
        <v>580319.64771758264</v>
      </c>
      <c r="AS26" s="463"/>
      <c r="AT26" s="484"/>
      <c r="AV26" s="487">
        <f>AM26/B61/12</f>
        <v>11.12814043200496</v>
      </c>
      <c r="AW26" s="487">
        <f t="shared" ref="AW26:BA26" si="43">AN26/C61/12</f>
        <v>12.55538966939576</v>
      </c>
      <c r="AX26" s="487">
        <f t="shared" si="43"/>
        <v>12.442792116518378</v>
      </c>
      <c r="AY26" s="487">
        <f t="shared" si="43"/>
        <v>12.27809464139898</v>
      </c>
      <c r="AZ26" s="487">
        <f t="shared" si="43"/>
        <v>11.507199518884304</v>
      </c>
      <c r="BA26" s="487">
        <f t="shared" si="43"/>
        <v>11.254067051660845</v>
      </c>
    </row>
    <row r="27" spans="1:53" s="281" customFormat="1" ht="17.649999999999999">
      <c r="A27" s="438" t="s">
        <v>213</v>
      </c>
      <c r="B27" s="473">
        <f t="shared" si="27"/>
        <v>3.9757799999999973E-3</v>
      </c>
      <c r="C27" s="473">
        <f t="shared" si="28"/>
        <v>4.4980710158294976E-3</v>
      </c>
      <c r="D27" s="473">
        <f t="shared" si="29"/>
        <v>4.4980710158294976E-3</v>
      </c>
      <c r="E27" s="473">
        <f t="shared" si="30"/>
        <v>4.4980710158294976E-3</v>
      </c>
      <c r="F27" s="473">
        <f t="shared" si="31"/>
        <v>4.4980710158294976E-3</v>
      </c>
      <c r="G27" s="473">
        <f t="shared" si="32"/>
        <v>4.4980710158294976E-3</v>
      </c>
      <c r="H27" s="463"/>
      <c r="I27" s="484">
        <f t="shared" si="40"/>
        <v>191795.88634739042</v>
      </c>
      <c r="J27" s="425"/>
      <c r="L27" s="438" t="s">
        <v>213</v>
      </c>
      <c r="M27" s="467">
        <f t="shared" ref="M27:N32" si="44">M$25</f>
        <v>3.9757799999999973E-3</v>
      </c>
      <c r="N27" s="467">
        <f t="shared" si="44"/>
        <v>4.4980710158294976E-3</v>
      </c>
      <c r="O27" s="467">
        <f t="shared" ref="O27:R27" si="45">N27</f>
        <v>4.4980710158294976E-3</v>
      </c>
      <c r="P27" s="467">
        <f t="shared" si="45"/>
        <v>4.4980710158294976E-3</v>
      </c>
      <c r="Q27" s="467">
        <f t="shared" si="45"/>
        <v>4.4980710158294976E-3</v>
      </c>
      <c r="R27" s="467">
        <f t="shared" si="45"/>
        <v>4.4980710158294976E-3</v>
      </c>
      <c r="S27" s="468"/>
      <c r="T27" s="438" t="s">
        <v>213</v>
      </c>
      <c r="U27" s="467"/>
      <c r="V27" s="467"/>
      <c r="W27" s="467"/>
      <c r="X27" s="467"/>
      <c r="Y27" s="467"/>
      <c r="Z27" s="467"/>
      <c r="AA27" s="425"/>
      <c r="AB27" s="438" t="s">
        <v>213</v>
      </c>
      <c r="AC27" s="467"/>
      <c r="AD27" s="467"/>
      <c r="AE27" s="467"/>
      <c r="AF27" s="467"/>
      <c r="AG27" s="467"/>
      <c r="AH27" s="467"/>
      <c r="AI27" s="425"/>
      <c r="AK27" s="481"/>
      <c r="AL27" s="438" t="s">
        <v>213</v>
      </c>
      <c r="AM27" s="442">
        <f>B27*B72</f>
        <v>1330156.0763260191</v>
      </c>
      <c r="AN27" s="442">
        <f t="shared" ref="AN27:AR31" si="46">C27*C72</f>
        <v>1517234.4784781951</v>
      </c>
      <c r="AO27" s="442">
        <f t="shared" si="46"/>
        <v>1532273.0541973496</v>
      </c>
      <c r="AP27" s="442">
        <f t="shared" si="46"/>
        <v>1541437.3279412608</v>
      </c>
      <c r="AQ27" s="442">
        <f t="shared" si="46"/>
        <v>1482542.8963378966</v>
      </c>
      <c r="AR27" s="442">
        <f t="shared" si="46"/>
        <v>1484407.4959022598</v>
      </c>
      <c r="AS27" s="463"/>
      <c r="AT27" s="484"/>
      <c r="AU27" s="425"/>
      <c r="AV27" s="487">
        <f t="shared" ref="AV27:AV32" si="47">AM27/B62/12</f>
        <v>220.37045664778316</v>
      </c>
      <c r="AW27" s="487">
        <f t="shared" ref="AW27:AW32" si="48">AN27/C62/12</f>
        <v>249.38107798786902</v>
      </c>
      <c r="AX27" s="487">
        <f t="shared" ref="AX27:AX32" si="49">AO27/D62/12</f>
        <v>248.13334858747078</v>
      </c>
      <c r="AY27" s="487">
        <f t="shared" ref="AY27:AY32" si="50">AP27/E62/12</f>
        <v>245.93741271639237</v>
      </c>
      <c r="AZ27" s="487">
        <f t="shared" ref="AZ27:AZ32" si="51">AQ27/F62/12</f>
        <v>234.9662254878117</v>
      </c>
      <c r="BA27" s="487">
        <f t="shared" ref="BA27:BA32" si="52">AR27/G62/12</f>
        <v>231.0865396198798</v>
      </c>
    </row>
    <row r="28" spans="1:53" s="281" customFormat="1" ht="17.649999999999999">
      <c r="A28" s="438" t="s">
        <v>214</v>
      </c>
      <c r="B28" s="473">
        <f t="shared" si="27"/>
        <v>3.9757799999999973E-3</v>
      </c>
      <c r="C28" s="473">
        <f t="shared" si="28"/>
        <v>4.4980710158294976E-3</v>
      </c>
      <c r="D28" s="473">
        <f t="shared" si="29"/>
        <v>4.4980710158294976E-3</v>
      </c>
      <c r="E28" s="473">
        <f t="shared" si="30"/>
        <v>4.4980710158294976E-3</v>
      </c>
      <c r="F28" s="473">
        <f t="shared" si="31"/>
        <v>4.4980710158294976E-3</v>
      </c>
      <c r="G28" s="473">
        <f t="shared" si="32"/>
        <v>4.4980710158294976E-3</v>
      </c>
      <c r="H28" s="463"/>
      <c r="I28" s="484">
        <f t="shared" si="40"/>
        <v>38588.28421318387</v>
      </c>
      <c r="J28" s="425"/>
      <c r="L28" s="438" t="s">
        <v>214</v>
      </c>
      <c r="M28" s="467">
        <f t="shared" si="44"/>
        <v>3.9757799999999973E-3</v>
      </c>
      <c r="N28" s="467">
        <f t="shared" si="44"/>
        <v>4.4980710158294976E-3</v>
      </c>
      <c r="O28" s="467">
        <f t="shared" ref="O28:R28" si="53">N28</f>
        <v>4.4980710158294976E-3</v>
      </c>
      <c r="P28" s="467">
        <f t="shared" si="53"/>
        <v>4.4980710158294976E-3</v>
      </c>
      <c r="Q28" s="467">
        <f t="shared" si="53"/>
        <v>4.4980710158294976E-3</v>
      </c>
      <c r="R28" s="467">
        <f t="shared" si="53"/>
        <v>4.4980710158294976E-3</v>
      </c>
      <c r="S28" s="468"/>
      <c r="T28" s="438" t="s">
        <v>214</v>
      </c>
      <c r="U28" s="467"/>
      <c r="V28" s="467"/>
      <c r="W28" s="467"/>
      <c r="X28" s="467"/>
      <c r="Y28" s="467"/>
      <c r="Z28" s="467"/>
      <c r="AA28" s="425"/>
      <c r="AB28" s="438" t="s">
        <v>214</v>
      </c>
      <c r="AC28" s="467"/>
      <c r="AD28" s="467"/>
      <c r="AE28" s="467"/>
      <c r="AF28" s="467"/>
      <c r="AG28" s="467"/>
      <c r="AH28" s="467"/>
      <c r="AI28" s="425"/>
      <c r="AK28" s="481"/>
      <c r="AL28" s="438" t="s">
        <v>214</v>
      </c>
      <c r="AM28" s="442">
        <f t="shared" ref="AM28:AM31" si="54">B28*B73</f>
        <v>322739.97673403978</v>
      </c>
      <c r="AN28" s="442">
        <f t="shared" si="46"/>
        <v>397721.47335027542</v>
      </c>
      <c r="AO28" s="442">
        <f t="shared" si="46"/>
        <v>396370.47500842344</v>
      </c>
      <c r="AP28" s="442">
        <f t="shared" si="46"/>
        <v>393552.63668944605</v>
      </c>
      <c r="AQ28" s="442">
        <f t="shared" si="46"/>
        <v>337527.74782145169</v>
      </c>
      <c r="AR28" s="442">
        <f t="shared" si="46"/>
        <v>340252.37808652339</v>
      </c>
      <c r="AS28" s="463"/>
      <c r="AT28" s="484"/>
      <c r="AU28" s="425"/>
      <c r="AV28" s="487">
        <f t="shared" si="47"/>
        <v>2444.9998237427258</v>
      </c>
      <c r="AW28" s="487">
        <f t="shared" si="48"/>
        <v>2761.9546760435792</v>
      </c>
      <c r="AX28" s="487">
        <f t="shared" si="49"/>
        <v>2752.5727431140517</v>
      </c>
      <c r="AY28" s="487">
        <f t="shared" si="50"/>
        <v>2733.0044214544864</v>
      </c>
      <c r="AZ28" s="487">
        <f t="shared" si="51"/>
        <v>2130.8569938222959</v>
      </c>
      <c r="BA28" s="487">
        <f t="shared" si="52"/>
        <v>1996.786256376311</v>
      </c>
    </row>
    <row r="29" spans="1:53" s="281" customFormat="1" ht="17.649999999999999">
      <c r="A29" s="438" t="s">
        <v>98</v>
      </c>
      <c r="B29" s="473">
        <f t="shared" si="27"/>
        <v>0</v>
      </c>
      <c r="C29" s="473">
        <f t="shared" si="28"/>
        <v>0</v>
      </c>
      <c r="D29" s="473">
        <f t="shared" si="29"/>
        <v>0</v>
      </c>
      <c r="E29" s="473">
        <f t="shared" si="30"/>
        <v>0</v>
      </c>
      <c r="F29" s="473">
        <f t="shared" si="31"/>
        <v>0</v>
      </c>
      <c r="G29" s="473">
        <f t="shared" si="32"/>
        <v>0</v>
      </c>
      <c r="H29" s="463"/>
      <c r="I29" s="484">
        <f t="shared" si="40"/>
        <v>0</v>
      </c>
      <c r="J29" s="425"/>
      <c r="L29" s="438" t="s">
        <v>98</v>
      </c>
      <c r="M29" s="467">
        <v>0</v>
      </c>
      <c r="N29" s="467">
        <v>0</v>
      </c>
      <c r="O29" s="467">
        <f t="shared" ref="O29:R29" si="55">N29</f>
        <v>0</v>
      </c>
      <c r="P29" s="467">
        <f t="shared" si="55"/>
        <v>0</v>
      </c>
      <c r="Q29" s="467">
        <f t="shared" si="55"/>
        <v>0</v>
      </c>
      <c r="R29" s="467">
        <f t="shared" si="55"/>
        <v>0</v>
      </c>
      <c r="S29" s="468"/>
      <c r="T29" s="438" t="s">
        <v>98</v>
      </c>
      <c r="U29" s="467"/>
      <c r="V29" s="467"/>
      <c r="W29" s="467"/>
      <c r="X29" s="467"/>
      <c r="Y29" s="467"/>
      <c r="Z29" s="467"/>
      <c r="AA29" s="425"/>
      <c r="AB29" s="438" t="s">
        <v>98</v>
      </c>
      <c r="AC29" s="467"/>
      <c r="AD29" s="467"/>
      <c r="AE29" s="467"/>
      <c r="AF29" s="467"/>
      <c r="AG29" s="467"/>
      <c r="AH29" s="467"/>
      <c r="AI29" s="425"/>
      <c r="AK29" s="481"/>
      <c r="AL29" s="438" t="s">
        <v>98</v>
      </c>
      <c r="AM29" s="442">
        <f t="shared" si="54"/>
        <v>0</v>
      </c>
      <c r="AN29" s="442">
        <f t="shared" si="46"/>
        <v>0</v>
      </c>
      <c r="AO29" s="442">
        <f t="shared" si="46"/>
        <v>0</v>
      </c>
      <c r="AP29" s="442">
        <f t="shared" si="46"/>
        <v>0</v>
      </c>
      <c r="AQ29" s="442">
        <f t="shared" si="46"/>
        <v>0</v>
      </c>
      <c r="AR29" s="442">
        <f t="shared" si="46"/>
        <v>0</v>
      </c>
      <c r="AS29" s="463"/>
      <c r="AT29" s="484"/>
      <c r="AU29" s="425"/>
      <c r="AV29" s="487">
        <f t="shared" si="47"/>
        <v>0</v>
      </c>
      <c r="AW29" s="487">
        <f t="shared" si="48"/>
        <v>0</v>
      </c>
      <c r="AX29" s="487">
        <f t="shared" si="49"/>
        <v>0</v>
      </c>
      <c r="AY29" s="487">
        <f t="shared" si="50"/>
        <v>0</v>
      </c>
      <c r="AZ29" s="487">
        <f t="shared" si="51"/>
        <v>0</v>
      </c>
      <c r="BA29" s="487">
        <f t="shared" si="52"/>
        <v>0</v>
      </c>
    </row>
    <row r="30" spans="1:53" s="281" customFormat="1" ht="17.649999999999999">
      <c r="A30" s="438" t="s">
        <v>99</v>
      </c>
      <c r="B30" s="473">
        <f t="shared" si="27"/>
        <v>3.9757799999999973E-3</v>
      </c>
      <c r="C30" s="473">
        <f t="shared" si="28"/>
        <v>4.4980710158294976E-3</v>
      </c>
      <c r="D30" s="473">
        <f t="shared" si="29"/>
        <v>4.4980710158294976E-3</v>
      </c>
      <c r="E30" s="473">
        <f t="shared" si="30"/>
        <v>4.4980710158294976E-3</v>
      </c>
      <c r="F30" s="473">
        <f t="shared" si="31"/>
        <v>4.4980710158294976E-3</v>
      </c>
      <c r="G30" s="473">
        <f t="shared" si="32"/>
        <v>4.4980710158294976E-3</v>
      </c>
      <c r="H30" s="463"/>
      <c r="I30" s="484">
        <f t="shared" si="40"/>
        <v>0</v>
      </c>
      <c r="J30" s="425"/>
      <c r="L30" s="438" t="s">
        <v>99</v>
      </c>
      <c r="M30" s="467">
        <f t="shared" si="44"/>
        <v>3.9757799999999973E-3</v>
      </c>
      <c r="N30" s="467">
        <f t="shared" si="44"/>
        <v>4.4980710158294976E-3</v>
      </c>
      <c r="O30" s="467">
        <f t="shared" ref="O30:R30" si="56">N30</f>
        <v>4.4980710158294976E-3</v>
      </c>
      <c r="P30" s="467">
        <f t="shared" si="56"/>
        <v>4.4980710158294976E-3</v>
      </c>
      <c r="Q30" s="467">
        <f t="shared" si="56"/>
        <v>4.4980710158294976E-3</v>
      </c>
      <c r="R30" s="467">
        <f t="shared" si="56"/>
        <v>4.4980710158294976E-3</v>
      </c>
      <c r="S30" s="468"/>
      <c r="T30" s="438" t="s">
        <v>99</v>
      </c>
      <c r="U30" s="467"/>
      <c r="V30" s="467"/>
      <c r="W30" s="467"/>
      <c r="X30" s="467"/>
      <c r="Y30" s="467"/>
      <c r="Z30" s="467"/>
      <c r="AA30" s="425"/>
      <c r="AB30" s="438" t="s">
        <v>99</v>
      </c>
      <c r="AC30" s="467"/>
      <c r="AD30" s="467"/>
      <c r="AE30" s="467"/>
      <c r="AF30" s="467"/>
      <c r="AG30" s="467"/>
      <c r="AH30" s="467"/>
      <c r="AI30" s="425"/>
      <c r="AK30" s="481"/>
      <c r="AL30" s="438" t="s">
        <v>99</v>
      </c>
      <c r="AM30" s="442">
        <f t="shared" si="54"/>
        <v>36349.172968559978</v>
      </c>
      <c r="AN30" s="442">
        <f t="shared" si="46"/>
        <v>38588.28421318387</v>
      </c>
      <c r="AO30" s="442">
        <f t="shared" si="46"/>
        <v>23560.148141351339</v>
      </c>
      <c r="AP30" s="442">
        <f t="shared" si="46"/>
        <v>21831.950869483895</v>
      </c>
      <c r="AQ30" s="442">
        <f t="shared" si="46"/>
        <v>22096.49569089225</v>
      </c>
      <c r="AR30" s="442">
        <f t="shared" si="46"/>
        <v>23017.772793387529</v>
      </c>
      <c r="AS30" s="463"/>
      <c r="AT30" s="484"/>
      <c r="AU30" s="425"/>
      <c r="AV30" s="487">
        <f t="shared" si="47"/>
        <v>0.2430082428704371</v>
      </c>
      <c r="AW30" s="487">
        <f t="shared" si="48"/>
        <v>0.25300779467473927</v>
      </c>
      <c r="AX30" s="487">
        <f t="shared" si="49"/>
        <v>0.15149245027413713</v>
      </c>
      <c r="AY30" s="487">
        <f t="shared" si="50"/>
        <v>0.13767023667902811</v>
      </c>
      <c r="AZ30" s="487">
        <f t="shared" si="51"/>
        <v>0.1366793897824802</v>
      </c>
      <c r="BA30" s="487">
        <f t="shared" si="52"/>
        <v>0.13963168265941286</v>
      </c>
    </row>
    <row r="31" spans="1:53" s="281" customFormat="1" ht="17.649999999999999">
      <c r="A31" s="438" t="s">
        <v>208</v>
      </c>
      <c r="B31" s="473">
        <f t="shared" si="27"/>
        <v>3.9757799999999973E-3</v>
      </c>
      <c r="C31" s="473">
        <f t="shared" si="28"/>
        <v>4.4980710158294976E-3</v>
      </c>
      <c r="D31" s="473">
        <f t="shared" si="29"/>
        <v>4.4980710158294976E-3</v>
      </c>
      <c r="E31" s="473">
        <f t="shared" si="30"/>
        <v>4.4980710158294976E-3</v>
      </c>
      <c r="F31" s="473">
        <f t="shared" si="31"/>
        <v>4.4980710158294976E-3</v>
      </c>
      <c r="G31" s="473">
        <f t="shared" si="32"/>
        <v>4.4980710158294976E-3</v>
      </c>
      <c r="H31" s="463"/>
      <c r="I31" s="484">
        <f t="shared" si="40"/>
        <v>0</v>
      </c>
      <c r="J31" s="425"/>
      <c r="L31" s="438" t="s">
        <v>208</v>
      </c>
      <c r="M31" s="467">
        <f t="shared" si="44"/>
        <v>3.9757799999999973E-3</v>
      </c>
      <c r="N31" s="467">
        <f t="shared" si="44"/>
        <v>4.4980710158294976E-3</v>
      </c>
      <c r="O31" s="467">
        <f t="shared" ref="O31:R31" si="57">N31</f>
        <v>4.4980710158294976E-3</v>
      </c>
      <c r="P31" s="467">
        <f t="shared" si="57"/>
        <v>4.4980710158294976E-3</v>
      </c>
      <c r="Q31" s="467">
        <f t="shared" si="57"/>
        <v>4.4980710158294976E-3</v>
      </c>
      <c r="R31" s="467">
        <f t="shared" si="57"/>
        <v>4.4980710158294976E-3</v>
      </c>
      <c r="S31" s="468"/>
      <c r="T31" s="438" t="s">
        <v>208</v>
      </c>
      <c r="U31" s="467"/>
      <c r="V31" s="467"/>
      <c r="W31" s="467"/>
      <c r="X31" s="467"/>
      <c r="Y31" s="467"/>
      <c r="Z31" s="467"/>
      <c r="AA31" s="425"/>
      <c r="AB31" s="438" t="s">
        <v>208</v>
      </c>
      <c r="AC31" s="467"/>
      <c r="AD31" s="467"/>
      <c r="AE31" s="467"/>
      <c r="AF31" s="467"/>
      <c r="AG31" s="467"/>
      <c r="AH31" s="467"/>
      <c r="AI31" s="425"/>
      <c r="AK31" s="481"/>
      <c r="AL31" s="438" t="s">
        <v>208</v>
      </c>
      <c r="AM31" s="442">
        <f t="shared" si="54"/>
        <v>0</v>
      </c>
      <c r="AN31" s="442">
        <f t="shared" si="46"/>
        <v>154.27116293974433</v>
      </c>
      <c r="AO31" s="442">
        <f t="shared" si="46"/>
        <v>148.02940266322204</v>
      </c>
      <c r="AP31" s="442">
        <f t="shared" si="46"/>
        <v>142.27598768967894</v>
      </c>
      <c r="AQ31" s="442">
        <f t="shared" si="46"/>
        <v>149.98832661221033</v>
      </c>
      <c r="AR31" s="442">
        <f t="shared" si="46"/>
        <v>144.20439238044975</v>
      </c>
      <c r="AS31" s="463"/>
      <c r="AT31" s="484"/>
      <c r="AU31" s="425"/>
      <c r="AV31" s="487" t="e">
        <f t="shared" si="47"/>
        <v>#DIV/0!</v>
      </c>
      <c r="AW31" s="487">
        <f t="shared" si="48"/>
        <v>0.55363081168441031</v>
      </c>
      <c r="AX31" s="487">
        <f t="shared" si="49"/>
        <v>0.54904946440901548</v>
      </c>
      <c r="AY31" s="487">
        <f t="shared" si="50"/>
        <v>0.54540998122129192</v>
      </c>
      <c r="AZ31" s="487">
        <f t="shared" si="51"/>
        <v>0.55069652260159963</v>
      </c>
      <c r="BA31" s="487">
        <f t="shared" si="52"/>
        <v>0.54444879916113942</v>
      </c>
    </row>
    <row r="32" spans="1:53" s="281" customFormat="1" ht="17.649999999999999">
      <c r="A32" s="438" t="s">
        <v>207</v>
      </c>
      <c r="B32" s="473">
        <f t="shared" si="27"/>
        <v>3.9757799999999973E-3</v>
      </c>
      <c r="C32" s="473">
        <f t="shared" si="28"/>
        <v>4.4980710158294976E-3</v>
      </c>
      <c r="D32" s="473">
        <f t="shared" si="29"/>
        <v>4.4980710158294976E-3</v>
      </c>
      <c r="E32" s="473">
        <f t="shared" si="30"/>
        <v>4.4980710158294976E-3</v>
      </c>
      <c r="F32" s="473">
        <f t="shared" si="31"/>
        <v>4.4980710158294976E-3</v>
      </c>
      <c r="G32" s="473">
        <f t="shared" si="32"/>
        <v>4.4980710158294976E-3</v>
      </c>
      <c r="H32" s="463"/>
      <c r="I32" s="484">
        <f t="shared" si="40"/>
        <v>0</v>
      </c>
      <c r="J32" s="425"/>
      <c r="L32" s="438" t="s">
        <v>207</v>
      </c>
      <c r="M32" s="467">
        <f t="shared" si="44"/>
        <v>3.9757799999999973E-3</v>
      </c>
      <c r="N32" s="467">
        <f t="shared" si="44"/>
        <v>4.4980710158294976E-3</v>
      </c>
      <c r="O32" s="467">
        <f t="shared" ref="O32:R32" si="58">N32</f>
        <v>4.4980710158294976E-3</v>
      </c>
      <c r="P32" s="467">
        <f t="shared" si="58"/>
        <v>4.4980710158294976E-3</v>
      </c>
      <c r="Q32" s="467">
        <f t="shared" si="58"/>
        <v>4.4980710158294976E-3</v>
      </c>
      <c r="R32" s="467">
        <f t="shared" si="58"/>
        <v>4.4980710158294976E-3</v>
      </c>
      <c r="S32" s="468"/>
      <c r="T32" s="438" t="s">
        <v>207</v>
      </c>
      <c r="U32" s="467"/>
      <c r="V32" s="467"/>
      <c r="W32" s="467"/>
      <c r="X32" s="467"/>
      <c r="Y32" s="467"/>
      <c r="Z32" s="467"/>
      <c r="AA32" s="425"/>
      <c r="AB32" s="438" t="s">
        <v>207</v>
      </c>
      <c r="AC32" s="467"/>
      <c r="AD32" s="467"/>
      <c r="AE32" s="467"/>
      <c r="AF32" s="467"/>
      <c r="AG32" s="467"/>
      <c r="AH32" s="467"/>
      <c r="AI32" s="425"/>
      <c r="AK32" s="481"/>
      <c r="AL32" s="438" t="s">
        <v>207</v>
      </c>
      <c r="AM32" s="442">
        <f>B32*B57</f>
        <v>10739.081703115966</v>
      </c>
      <c r="AN32" s="442">
        <f t="shared" ref="AN32:AR32" si="59">C32*C57</f>
        <v>12084.235625449001</v>
      </c>
      <c r="AO32" s="442">
        <f t="shared" si="59"/>
        <v>11997.225612688435</v>
      </c>
      <c r="AP32" s="442">
        <f t="shared" si="59"/>
        <v>11930.615692047986</v>
      </c>
      <c r="AQ32" s="442">
        <f t="shared" si="59"/>
        <v>11751.923875876382</v>
      </c>
      <c r="AR32" s="442">
        <f t="shared" si="59"/>
        <v>11969.103375278539</v>
      </c>
      <c r="AS32" s="463"/>
      <c r="AT32" s="484"/>
      <c r="AU32" s="425"/>
      <c r="AV32" s="487">
        <f t="shared" si="47"/>
        <v>3.0233901191204855</v>
      </c>
      <c r="AW32" s="487">
        <f t="shared" si="48"/>
        <v>3.4041605329222264</v>
      </c>
      <c r="AX32" s="487">
        <f t="shared" si="49"/>
        <v>3.375990782876956</v>
      </c>
      <c r="AY32" s="487">
        <f t="shared" si="50"/>
        <v>3.3536123589048734</v>
      </c>
      <c r="AZ32" s="487">
        <f t="shared" si="51"/>
        <v>3.6169587009059572</v>
      </c>
      <c r="BA32" s="487">
        <f t="shared" si="52"/>
        <v>3.702395221729772</v>
      </c>
    </row>
    <row r="33" spans="1:53" s="281" customFormat="1" ht="17.649999999999999">
      <c r="A33" s="224"/>
      <c r="B33" s="428"/>
      <c r="C33" s="432"/>
      <c r="D33" s="432"/>
      <c r="E33" s="432"/>
      <c r="F33" s="432"/>
      <c r="G33" s="432"/>
      <c r="H33" s="425"/>
      <c r="I33" s="425"/>
      <c r="J33" s="425"/>
      <c r="L33" s="224"/>
      <c r="M33" s="469"/>
      <c r="N33" s="470"/>
      <c r="O33" s="470"/>
      <c r="P33" s="470"/>
      <c r="Q33" s="470"/>
      <c r="R33" s="470"/>
      <c r="S33" s="468"/>
      <c r="T33" s="469"/>
      <c r="U33" s="428"/>
      <c r="V33" s="432"/>
      <c r="W33" s="432"/>
      <c r="X33" s="432"/>
      <c r="Y33" s="432"/>
      <c r="Z33" s="432"/>
      <c r="AA33" s="425"/>
      <c r="AB33" s="469"/>
      <c r="AC33" s="428"/>
      <c r="AD33" s="432"/>
      <c r="AE33" s="432"/>
      <c r="AF33" s="432"/>
      <c r="AG33" s="432"/>
      <c r="AH33" s="432"/>
      <c r="AI33" s="425"/>
      <c r="AK33" s="481"/>
      <c r="AL33" s="224"/>
      <c r="AM33" s="428"/>
      <c r="AN33" s="432"/>
      <c r="AO33" s="432"/>
      <c r="AP33" s="432"/>
      <c r="AQ33" s="432"/>
      <c r="AR33" s="432"/>
      <c r="AS33" s="425"/>
      <c r="AT33" s="425"/>
      <c r="AU33" s="425"/>
    </row>
    <row r="34" spans="1:53" s="281" customFormat="1" ht="17.649999999999999">
      <c r="A34" s="461" t="s">
        <v>319</v>
      </c>
      <c r="B34" s="428"/>
      <c r="C34" s="432"/>
      <c r="D34" s="432"/>
      <c r="E34" s="432"/>
      <c r="F34" s="432"/>
      <c r="G34" s="432"/>
      <c r="H34" s="425"/>
      <c r="I34" s="432"/>
      <c r="J34" s="425"/>
      <c r="M34" s="471"/>
      <c r="N34" s="471"/>
      <c r="O34" s="471"/>
      <c r="P34" s="471"/>
      <c r="Q34" s="471"/>
      <c r="R34" s="471"/>
      <c r="S34" s="471"/>
      <c r="T34" s="469"/>
      <c r="U34" s="428"/>
      <c r="V34" s="432"/>
      <c r="W34" s="432"/>
      <c r="X34" s="432"/>
      <c r="Y34" s="432"/>
      <c r="Z34" s="432"/>
      <c r="AA34" s="425"/>
      <c r="AB34" s="469"/>
      <c r="AC34" s="428"/>
      <c r="AD34" s="432"/>
      <c r="AE34" s="432"/>
      <c r="AF34" s="432"/>
      <c r="AG34" s="432"/>
      <c r="AH34" s="432"/>
      <c r="AI34" s="425"/>
      <c r="AK34" s="481"/>
      <c r="AL34" s="461" t="s">
        <v>319</v>
      </c>
      <c r="AM34" s="428"/>
      <c r="AN34" s="432"/>
      <c r="AO34" s="432"/>
      <c r="AP34" s="432"/>
      <c r="AQ34" s="432"/>
      <c r="AR34" s="432"/>
      <c r="AS34" s="425"/>
      <c r="AT34" s="432"/>
      <c r="AU34" s="425"/>
    </row>
    <row r="35" spans="1:53" ht="17.649999999999999">
      <c r="A35" s="436" t="s">
        <v>0</v>
      </c>
      <c r="B35" s="441" t="s">
        <v>324</v>
      </c>
      <c r="C35" s="441" t="s">
        <v>266</v>
      </c>
      <c r="D35" s="441" t="s">
        <v>267</v>
      </c>
      <c r="E35" s="441" t="s">
        <v>268</v>
      </c>
      <c r="F35" s="441" t="s">
        <v>269</v>
      </c>
      <c r="G35" s="441" t="s">
        <v>270</v>
      </c>
      <c r="H35" s="430"/>
      <c r="I35" s="441" t="s">
        <v>328</v>
      </c>
      <c r="J35" s="425"/>
      <c r="M35" s="471"/>
      <c r="N35" s="471"/>
      <c r="O35" s="471"/>
      <c r="P35" s="471"/>
      <c r="Q35" s="471"/>
      <c r="R35" s="471"/>
      <c r="S35" s="471"/>
      <c r="T35" s="469"/>
      <c r="U35" s="428"/>
      <c r="V35" s="432"/>
      <c r="W35" s="432"/>
      <c r="X35" s="432"/>
      <c r="Y35" s="432"/>
      <c r="Z35" s="432"/>
      <c r="AA35" s="425"/>
      <c r="AB35" s="469"/>
      <c r="AC35" s="428"/>
      <c r="AD35" s="432"/>
      <c r="AE35" s="432"/>
      <c r="AF35" s="432"/>
      <c r="AG35" s="432"/>
      <c r="AH35" s="432"/>
      <c r="AI35" s="425"/>
      <c r="AL35" s="436" t="s">
        <v>0</v>
      </c>
      <c r="AM35" s="441" t="s">
        <v>324</v>
      </c>
      <c r="AN35" s="441" t="s">
        <v>266</v>
      </c>
      <c r="AO35" s="441" t="s">
        <v>267</v>
      </c>
      <c r="AP35" s="441" t="s">
        <v>268</v>
      </c>
      <c r="AQ35" s="441" t="s">
        <v>269</v>
      </c>
      <c r="AR35" s="441" t="s">
        <v>270</v>
      </c>
      <c r="AS35" s="430"/>
      <c r="AT35" s="441" t="s">
        <v>328</v>
      </c>
      <c r="AU35" s="425"/>
      <c r="AV35" s="441" t="s">
        <v>324</v>
      </c>
      <c r="AW35" s="441" t="s">
        <v>266</v>
      </c>
      <c r="AX35" s="441" t="s">
        <v>267</v>
      </c>
      <c r="AY35" s="441" t="s">
        <v>268</v>
      </c>
      <c r="AZ35" s="441" t="s">
        <v>269</v>
      </c>
      <c r="BA35" s="441" t="s">
        <v>270</v>
      </c>
    </row>
    <row r="36" spans="1:53" ht="27">
      <c r="A36" s="437"/>
      <c r="B36" s="435"/>
      <c r="C36" s="435" t="s">
        <v>296</v>
      </c>
      <c r="D36" s="435" t="s">
        <v>296</v>
      </c>
      <c r="E36" s="435" t="s">
        <v>296</v>
      </c>
      <c r="F36" s="435" t="s">
        <v>296</v>
      </c>
      <c r="G36" s="435" t="s">
        <v>296</v>
      </c>
      <c r="H36" s="430"/>
      <c r="I36" s="435" t="s">
        <v>37</v>
      </c>
      <c r="J36" s="425"/>
      <c r="M36" s="281"/>
      <c r="N36" s="281"/>
      <c r="T36" s="224"/>
      <c r="U36" s="428"/>
      <c r="V36" s="432"/>
      <c r="W36" s="432"/>
      <c r="X36" s="432"/>
      <c r="Y36" s="432"/>
      <c r="Z36" s="432"/>
      <c r="AA36" s="425"/>
      <c r="AB36" s="224"/>
      <c r="AC36" s="428"/>
      <c r="AD36" s="432"/>
      <c r="AE36" s="432"/>
      <c r="AF36" s="432"/>
      <c r="AG36" s="432"/>
      <c r="AH36" s="432"/>
      <c r="AI36" s="425"/>
      <c r="AL36" s="437"/>
      <c r="AM36" s="435"/>
      <c r="AN36" s="435" t="s">
        <v>296</v>
      </c>
      <c r="AO36" s="435" t="s">
        <v>296</v>
      </c>
      <c r="AP36" s="435" t="s">
        <v>296</v>
      </c>
      <c r="AQ36" s="435" t="s">
        <v>296</v>
      </c>
      <c r="AR36" s="435" t="s">
        <v>296</v>
      </c>
      <c r="AS36" s="430"/>
      <c r="AT36" s="435" t="s">
        <v>37</v>
      </c>
      <c r="AU36" s="425"/>
      <c r="AV36" s="435" t="s">
        <v>342</v>
      </c>
      <c r="AW36" s="435" t="s">
        <v>342</v>
      </c>
      <c r="AX36" s="435" t="s">
        <v>342</v>
      </c>
      <c r="AY36" s="435" t="s">
        <v>342</v>
      </c>
      <c r="AZ36" s="435" t="s">
        <v>342</v>
      </c>
      <c r="BA36" s="435" t="s">
        <v>342</v>
      </c>
    </row>
    <row r="37" spans="1:53" ht="17.649999999999999">
      <c r="A37" s="438" t="s">
        <v>97</v>
      </c>
      <c r="B37" s="442">
        <f>B3*B60*12+B14*B50+AV25*B60*12</f>
        <v>2509024.154340032</v>
      </c>
      <c r="C37" s="442">
        <f t="shared" ref="C37:G37" si="60">C3*C60*12+C14*C50+C25*C50</f>
        <v>2801636.9342928696</v>
      </c>
      <c r="D37" s="442">
        <f t="shared" si="60"/>
        <v>2210262.8594987532</v>
      </c>
      <c r="E37" s="442">
        <f t="shared" si="60"/>
        <v>2214386.8692710232</v>
      </c>
      <c r="F37" s="442">
        <f t="shared" si="60"/>
        <v>2159127.7917985697</v>
      </c>
      <c r="G37" s="442">
        <f t="shared" si="60"/>
        <v>2152544.4155544671</v>
      </c>
      <c r="H37" s="444"/>
      <c r="I37" s="442">
        <f>SUM(B37:H37)</f>
        <v>14046983.024755716</v>
      </c>
      <c r="J37" s="425"/>
      <c r="M37" s="281"/>
      <c r="N37" s="281"/>
      <c r="U37" s="281"/>
      <c r="V37" s="281"/>
      <c r="AC37" s="281"/>
      <c r="AD37" s="281"/>
      <c r="AL37" s="438" t="s">
        <v>97</v>
      </c>
      <c r="AM37" s="442">
        <f>SUM(AM25,AM14,AM3)</f>
        <v>2509024.154340032</v>
      </c>
      <c r="AN37" s="442">
        <f t="shared" ref="AN37:AR37" si="61">SUM(AN25,AN14,AN3)</f>
        <v>2801636.9342928692</v>
      </c>
      <c r="AO37" s="442">
        <f t="shared" si="61"/>
        <v>2210262.8594987532</v>
      </c>
      <c r="AP37" s="442">
        <f t="shared" si="61"/>
        <v>2214386.8692710232</v>
      </c>
      <c r="AQ37" s="442">
        <f t="shared" si="61"/>
        <v>2159127.7917985697</v>
      </c>
      <c r="AR37" s="442">
        <f t="shared" si="61"/>
        <v>2152544.4155544671</v>
      </c>
      <c r="AS37" s="444"/>
      <c r="AT37" s="442">
        <f>SUM(AM37:AS37)</f>
        <v>14046983.024755714</v>
      </c>
      <c r="AU37" s="425"/>
      <c r="AV37" s="442">
        <f>B37-AM37</f>
        <v>0</v>
      </c>
      <c r="AW37" s="442">
        <f t="shared" ref="AW37:BA37" si="62">C37-AN37</f>
        <v>0</v>
      </c>
      <c r="AX37" s="442">
        <f t="shared" si="62"/>
        <v>0</v>
      </c>
      <c r="AY37" s="442">
        <f t="shared" si="62"/>
        <v>0</v>
      </c>
      <c r="AZ37" s="442">
        <f t="shared" si="62"/>
        <v>0</v>
      </c>
      <c r="BA37" s="442">
        <f t="shared" si="62"/>
        <v>0</v>
      </c>
    </row>
    <row r="38" spans="1:53" ht="17.649999999999999">
      <c r="A38" s="438" t="s">
        <v>212</v>
      </c>
      <c r="B38" s="442">
        <f>B4*B61*12+B15*B51+B26*B51</f>
        <v>706219.35609406105</v>
      </c>
      <c r="C38" s="442">
        <f t="shared" ref="C38:G38" si="63">C4*C61*12+C15*C51+C26*C51</f>
        <v>783496.35874232696</v>
      </c>
      <c r="D38" s="442">
        <f t="shared" si="63"/>
        <v>606585.08023514296</v>
      </c>
      <c r="E38" s="442">
        <f t="shared" si="63"/>
        <v>607526.30338925973</v>
      </c>
      <c r="F38" s="442">
        <f t="shared" si="63"/>
        <v>582883.33419877</v>
      </c>
      <c r="G38" s="442">
        <f t="shared" si="63"/>
        <v>580319.64771758264</v>
      </c>
      <c r="H38" s="444"/>
      <c r="I38" s="442">
        <f t="shared" ref="I38:I44" si="64">SUM(B38:H38)</f>
        <v>3867030.0803771433</v>
      </c>
      <c r="J38" s="425"/>
      <c r="M38" s="281"/>
      <c r="N38" s="281"/>
      <c r="U38" s="281"/>
      <c r="V38" s="281"/>
      <c r="AC38" s="281"/>
      <c r="AD38" s="281"/>
      <c r="AL38" s="438" t="s">
        <v>212</v>
      </c>
      <c r="AM38" s="442">
        <f t="shared" ref="AM38:AR38" si="65">SUM(AM26,AM15,AM4)</f>
        <v>706219.35609406105</v>
      </c>
      <c r="AN38" s="442">
        <f t="shared" si="65"/>
        <v>783496.35874232696</v>
      </c>
      <c r="AO38" s="442">
        <f t="shared" si="65"/>
        <v>606585.08023514296</v>
      </c>
      <c r="AP38" s="442">
        <f t="shared" si="65"/>
        <v>607526.30338925973</v>
      </c>
      <c r="AQ38" s="442">
        <f t="shared" si="65"/>
        <v>582883.33419877</v>
      </c>
      <c r="AR38" s="442">
        <f t="shared" si="65"/>
        <v>580319.64771758264</v>
      </c>
      <c r="AS38" s="444"/>
      <c r="AT38" s="442">
        <f t="shared" ref="AT38:AT44" si="66">SUM(AM38:AS38)</f>
        <v>3867030.0803771433</v>
      </c>
      <c r="AU38" s="425"/>
      <c r="AV38" s="442">
        <f t="shared" ref="AV38:AV44" si="67">B38-AM38</f>
        <v>0</v>
      </c>
      <c r="AW38" s="442">
        <f t="shared" ref="AW38:AW44" si="68">C38-AN38</f>
        <v>0</v>
      </c>
      <c r="AX38" s="442">
        <f t="shared" ref="AX38:AX44" si="69">D38-AO38</f>
        <v>0</v>
      </c>
      <c r="AY38" s="442">
        <f t="shared" ref="AY38:AY44" si="70">E38-AP38</f>
        <v>0</v>
      </c>
      <c r="AZ38" s="442">
        <f t="shared" ref="AZ38:AZ44" si="71">F38-AQ38</f>
        <v>0</v>
      </c>
      <c r="BA38" s="442">
        <f t="shared" ref="BA38:BA44" si="72">G38-AR38</f>
        <v>0</v>
      </c>
    </row>
    <row r="39" spans="1:53" ht="17.649999999999999">
      <c r="A39" s="438" t="s">
        <v>213</v>
      </c>
      <c r="B39" s="442">
        <f>B5*B62*12+B16*B52+B27*B72</f>
        <v>1336228.1360260192</v>
      </c>
      <c r="C39" s="442">
        <f t="shared" ref="C39:G39" si="73">C5*C62*12+C16*C52+C27*C72</f>
        <v>1523453.7430499445</v>
      </c>
      <c r="D39" s="442">
        <f t="shared" si="73"/>
        <v>1532273.0541973496</v>
      </c>
      <c r="E39" s="442">
        <f t="shared" si="73"/>
        <v>1541437.3279412608</v>
      </c>
      <c r="F39" s="442">
        <f t="shared" si="73"/>
        <v>1482542.8963378966</v>
      </c>
      <c r="G39" s="442">
        <f t="shared" si="73"/>
        <v>1484407.4959022598</v>
      </c>
      <c r="H39" s="444"/>
      <c r="I39" s="442">
        <f t="shared" si="64"/>
        <v>8900342.6534547321</v>
      </c>
      <c r="J39" s="425"/>
      <c r="M39" s="281"/>
      <c r="N39" s="281"/>
      <c r="U39" s="281"/>
      <c r="V39" s="281"/>
      <c r="AC39" s="281"/>
      <c r="AD39" s="281"/>
      <c r="AL39" s="438" t="s">
        <v>213</v>
      </c>
      <c r="AM39" s="442">
        <f t="shared" ref="AM39:AR39" si="74">SUM(AM27,AM16,AM5)</f>
        <v>1336228.1360260192</v>
      </c>
      <c r="AN39" s="442">
        <f t="shared" si="74"/>
        <v>1523453.7430499445</v>
      </c>
      <c r="AO39" s="442">
        <f t="shared" si="74"/>
        <v>1532273.0541973496</v>
      </c>
      <c r="AP39" s="442">
        <f t="shared" si="74"/>
        <v>1541437.3279412608</v>
      </c>
      <c r="AQ39" s="442">
        <f t="shared" si="74"/>
        <v>1482542.8963378966</v>
      </c>
      <c r="AR39" s="442">
        <f t="shared" si="74"/>
        <v>1484407.4959022598</v>
      </c>
      <c r="AS39" s="444"/>
      <c r="AT39" s="442">
        <f t="shared" si="66"/>
        <v>8900342.6534547321</v>
      </c>
      <c r="AU39" s="425"/>
      <c r="AV39" s="442">
        <f t="shared" si="67"/>
        <v>0</v>
      </c>
      <c r="AW39" s="442">
        <f t="shared" si="68"/>
        <v>0</v>
      </c>
      <c r="AX39" s="442">
        <f t="shared" si="69"/>
        <v>0</v>
      </c>
      <c r="AY39" s="442">
        <f t="shared" si="70"/>
        <v>0</v>
      </c>
      <c r="AZ39" s="442">
        <f t="shared" si="71"/>
        <v>0</v>
      </c>
      <c r="BA39" s="442">
        <f t="shared" si="72"/>
        <v>0</v>
      </c>
    </row>
    <row r="40" spans="1:53" ht="17.649999999999999">
      <c r="A40" s="438" t="s">
        <v>214</v>
      </c>
      <c r="B40" s="442">
        <f t="shared" ref="B40:G43" si="75">B6*B63*12+B17*B53+B28*B73</f>
        <v>318184.15513403976</v>
      </c>
      <c r="C40" s="442">
        <f t="shared" si="75"/>
        <v>392955.34302026499</v>
      </c>
      <c r="D40" s="442">
        <f t="shared" si="75"/>
        <v>396370.47500842344</v>
      </c>
      <c r="E40" s="442">
        <f t="shared" si="75"/>
        <v>393552.63668944605</v>
      </c>
      <c r="F40" s="442">
        <f t="shared" si="75"/>
        <v>337527.74782145169</v>
      </c>
      <c r="G40" s="442">
        <f t="shared" si="75"/>
        <v>340252.37808652339</v>
      </c>
      <c r="H40" s="444"/>
      <c r="I40" s="442">
        <f t="shared" si="64"/>
        <v>2178842.7357601495</v>
      </c>
      <c r="J40" s="425"/>
      <c r="M40" s="281"/>
      <c r="N40" s="281"/>
      <c r="U40" s="281"/>
      <c r="V40" s="281"/>
      <c r="AC40" s="281"/>
      <c r="AD40" s="281"/>
      <c r="AL40" s="438" t="s">
        <v>214</v>
      </c>
      <c r="AM40" s="442">
        <f t="shared" ref="AM40:AR40" si="76">SUM(AM28,AM17,AM6)</f>
        <v>318184.15513403976</v>
      </c>
      <c r="AN40" s="442">
        <f t="shared" si="76"/>
        <v>392955.34302026499</v>
      </c>
      <c r="AO40" s="442">
        <f t="shared" si="76"/>
        <v>396370.47500842344</v>
      </c>
      <c r="AP40" s="442">
        <f t="shared" si="76"/>
        <v>393552.63668944605</v>
      </c>
      <c r="AQ40" s="442">
        <f t="shared" si="76"/>
        <v>337527.74782145169</v>
      </c>
      <c r="AR40" s="442">
        <f t="shared" si="76"/>
        <v>340252.37808652339</v>
      </c>
      <c r="AS40" s="444"/>
      <c r="AT40" s="442">
        <f t="shared" si="66"/>
        <v>2178842.7357601495</v>
      </c>
      <c r="AU40" s="425"/>
      <c r="AV40" s="442">
        <f t="shared" si="67"/>
        <v>0</v>
      </c>
      <c r="AW40" s="442">
        <f t="shared" si="68"/>
        <v>0</v>
      </c>
      <c r="AX40" s="442">
        <f t="shared" si="69"/>
        <v>0</v>
      </c>
      <c r="AY40" s="442">
        <f t="shared" si="70"/>
        <v>0</v>
      </c>
      <c r="AZ40" s="442">
        <f t="shared" si="71"/>
        <v>0</v>
      </c>
      <c r="BA40" s="442">
        <f t="shared" si="72"/>
        <v>0</v>
      </c>
    </row>
    <row r="41" spans="1:53" ht="17.649999999999999">
      <c r="A41" s="438" t="s">
        <v>98</v>
      </c>
      <c r="B41" s="442">
        <f t="shared" si="75"/>
        <v>-2339.3953000000001</v>
      </c>
      <c r="C41" s="442">
        <f t="shared" si="75"/>
        <v>-2420.9020310902479</v>
      </c>
      <c r="D41" s="442">
        <f t="shared" si="75"/>
        <v>0</v>
      </c>
      <c r="E41" s="442">
        <f t="shared" si="75"/>
        <v>0</v>
      </c>
      <c r="F41" s="442">
        <f t="shared" si="75"/>
        <v>0</v>
      </c>
      <c r="G41" s="442">
        <f t="shared" si="75"/>
        <v>0</v>
      </c>
      <c r="H41" s="444"/>
      <c r="I41" s="442">
        <f t="shared" si="64"/>
        <v>-4760.297331090248</v>
      </c>
      <c r="J41" s="224"/>
      <c r="M41" s="281"/>
      <c r="N41" s="281"/>
      <c r="U41" s="281"/>
      <c r="V41" s="281"/>
      <c r="AC41" s="281"/>
      <c r="AD41" s="281"/>
      <c r="AL41" s="438" t="s">
        <v>98</v>
      </c>
      <c r="AM41" s="442">
        <f t="shared" ref="AM41:AR41" si="77">SUM(AM29,AM18,AM7)</f>
        <v>-2339.3953000000001</v>
      </c>
      <c r="AN41" s="442">
        <f t="shared" si="77"/>
        <v>-2420.9020310902479</v>
      </c>
      <c r="AO41" s="442">
        <f t="shared" si="77"/>
        <v>0</v>
      </c>
      <c r="AP41" s="442">
        <f t="shared" si="77"/>
        <v>0</v>
      </c>
      <c r="AQ41" s="442">
        <f t="shared" si="77"/>
        <v>0</v>
      </c>
      <c r="AR41" s="442">
        <f t="shared" si="77"/>
        <v>0</v>
      </c>
      <c r="AS41" s="444"/>
      <c r="AT41" s="442">
        <f t="shared" si="66"/>
        <v>-4760.297331090248</v>
      </c>
      <c r="AU41" s="224"/>
      <c r="AV41" s="442">
        <f t="shared" si="67"/>
        <v>0</v>
      </c>
      <c r="AW41" s="442">
        <f t="shared" si="68"/>
        <v>0</v>
      </c>
      <c r="AX41" s="442">
        <f t="shared" si="69"/>
        <v>0</v>
      </c>
      <c r="AY41" s="442">
        <f t="shared" si="70"/>
        <v>0</v>
      </c>
      <c r="AZ41" s="442">
        <f t="shared" si="71"/>
        <v>0</v>
      </c>
      <c r="BA41" s="442">
        <f t="shared" si="72"/>
        <v>0</v>
      </c>
    </row>
    <row r="42" spans="1:53" ht="17.649999999999999">
      <c r="A42" s="438" t="s">
        <v>99</v>
      </c>
      <c r="B42" s="442">
        <f t="shared" si="75"/>
        <v>41602.677503480292</v>
      </c>
      <c r="C42" s="442">
        <f t="shared" si="75"/>
        <v>47624.505709752615</v>
      </c>
      <c r="D42" s="442">
        <f t="shared" si="75"/>
        <v>23560.148141351339</v>
      </c>
      <c r="E42" s="442">
        <f t="shared" si="75"/>
        <v>21831.950869483895</v>
      </c>
      <c r="F42" s="442">
        <f t="shared" si="75"/>
        <v>22096.49569089225</v>
      </c>
      <c r="G42" s="442">
        <f t="shared" si="75"/>
        <v>23017.772793387529</v>
      </c>
      <c r="H42" s="444"/>
      <c r="I42" s="442">
        <f t="shared" si="64"/>
        <v>179733.5507083479</v>
      </c>
      <c r="J42" s="224"/>
      <c r="M42" s="281"/>
      <c r="N42" s="281"/>
      <c r="U42" s="281"/>
      <c r="V42" s="281"/>
      <c r="AC42" s="281"/>
      <c r="AD42" s="281"/>
      <c r="AL42" s="438" t="s">
        <v>99</v>
      </c>
      <c r="AM42" s="442">
        <f t="shared" ref="AM42:AR42" si="78">SUM(AM30,AM19,AM8)</f>
        <v>41602.677503480292</v>
      </c>
      <c r="AN42" s="442">
        <f t="shared" si="78"/>
        <v>47624.505709752615</v>
      </c>
      <c r="AO42" s="442">
        <f t="shared" si="78"/>
        <v>23560.148141351339</v>
      </c>
      <c r="AP42" s="442">
        <f t="shared" si="78"/>
        <v>21831.950869483895</v>
      </c>
      <c r="AQ42" s="442">
        <f t="shared" si="78"/>
        <v>22096.49569089225</v>
      </c>
      <c r="AR42" s="442">
        <f t="shared" si="78"/>
        <v>23017.772793387529</v>
      </c>
      <c r="AS42" s="444"/>
      <c r="AT42" s="442">
        <f t="shared" si="66"/>
        <v>179733.5507083479</v>
      </c>
      <c r="AU42" s="224"/>
      <c r="AV42" s="442">
        <f t="shared" si="67"/>
        <v>0</v>
      </c>
      <c r="AW42" s="442">
        <f t="shared" si="68"/>
        <v>0</v>
      </c>
      <c r="AX42" s="442">
        <f t="shared" si="69"/>
        <v>0</v>
      </c>
      <c r="AY42" s="442">
        <f t="shared" si="70"/>
        <v>0</v>
      </c>
      <c r="AZ42" s="442">
        <f t="shared" si="71"/>
        <v>0</v>
      </c>
      <c r="BA42" s="442">
        <f t="shared" si="72"/>
        <v>0</v>
      </c>
    </row>
    <row r="43" spans="1:53" ht="17.649999999999999">
      <c r="A43" s="438" t="s">
        <v>208</v>
      </c>
      <c r="B43" s="442">
        <f t="shared" si="75"/>
        <v>0</v>
      </c>
      <c r="C43" s="442">
        <f t="shared" si="75"/>
        <v>178.3994410378186</v>
      </c>
      <c r="D43" s="442">
        <f t="shared" si="75"/>
        <v>148.02940266322204</v>
      </c>
      <c r="E43" s="442">
        <f t="shared" si="75"/>
        <v>142.27598768967894</v>
      </c>
      <c r="F43" s="442">
        <f t="shared" si="75"/>
        <v>149.98832661221033</v>
      </c>
      <c r="G43" s="442">
        <f t="shared" si="75"/>
        <v>144.20439238044975</v>
      </c>
      <c r="H43" s="444"/>
      <c r="I43" s="442">
        <f t="shared" si="64"/>
        <v>762.89755038337967</v>
      </c>
      <c r="J43" s="224"/>
      <c r="M43" s="281"/>
      <c r="N43" s="281"/>
      <c r="U43" s="281"/>
      <c r="V43" s="281"/>
      <c r="AC43" s="281"/>
      <c r="AD43" s="281"/>
      <c r="AL43" s="438" t="s">
        <v>208</v>
      </c>
      <c r="AM43" s="442">
        <f t="shared" ref="AM43:AR43" si="79">SUM(AM31,AM20,AM9)</f>
        <v>0</v>
      </c>
      <c r="AN43" s="442">
        <f t="shared" si="79"/>
        <v>178.3994410378186</v>
      </c>
      <c r="AO43" s="442">
        <f t="shared" si="79"/>
        <v>148.02940266322204</v>
      </c>
      <c r="AP43" s="442">
        <f t="shared" si="79"/>
        <v>142.27598768967894</v>
      </c>
      <c r="AQ43" s="442">
        <f t="shared" si="79"/>
        <v>149.98832661221033</v>
      </c>
      <c r="AR43" s="442">
        <f t="shared" si="79"/>
        <v>144.20439238044975</v>
      </c>
      <c r="AS43" s="444"/>
      <c r="AT43" s="442">
        <f t="shared" si="66"/>
        <v>762.89755038337967</v>
      </c>
      <c r="AU43" s="224"/>
      <c r="AV43" s="442">
        <f t="shared" si="67"/>
        <v>0</v>
      </c>
      <c r="AW43" s="442">
        <f t="shared" si="68"/>
        <v>0</v>
      </c>
      <c r="AX43" s="442">
        <f t="shared" si="69"/>
        <v>0</v>
      </c>
      <c r="AY43" s="442">
        <f t="shared" si="70"/>
        <v>0</v>
      </c>
      <c r="AZ43" s="442">
        <f t="shared" si="71"/>
        <v>0</v>
      </c>
      <c r="BA43" s="442">
        <f t="shared" si="72"/>
        <v>0</v>
      </c>
    </row>
    <row r="44" spans="1:53" ht="17.649999999999999">
      <c r="A44" s="438" t="s">
        <v>207</v>
      </c>
      <c r="B44" s="442">
        <f>B10*B67*12+B21*B57+B32*B57</f>
        <v>11279.306851545505</v>
      </c>
      <c r="C44" s="442">
        <f t="shared" ref="C44:G44" si="80">C10*C67*12+C21*C57+C32*C57</f>
        <v>12621.543088266839</v>
      </c>
      <c r="D44" s="442">
        <f t="shared" si="80"/>
        <v>11997.225612688435</v>
      </c>
      <c r="E44" s="442">
        <f t="shared" si="80"/>
        <v>11930.615692047986</v>
      </c>
      <c r="F44" s="442">
        <f t="shared" si="80"/>
        <v>11751.923875876382</v>
      </c>
      <c r="G44" s="442">
        <f t="shared" si="80"/>
        <v>11969.103375278539</v>
      </c>
      <c r="H44" s="444"/>
      <c r="I44" s="442">
        <f t="shared" si="64"/>
        <v>71549.718495703695</v>
      </c>
      <c r="J44" s="224"/>
      <c r="M44" s="281"/>
      <c r="N44" s="281"/>
      <c r="U44" s="281"/>
      <c r="V44" s="281"/>
      <c r="AC44" s="281"/>
      <c r="AD44" s="281"/>
      <c r="AL44" s="438" t="s">
        <v>207</v>
      </c>
      <c r="AM44" s="442">
        <f t="shared" ref="AM44:AR44" si="81">SUM(AM32,AM21,AM10)</f>
        <v>11279.306851545505</v>
      </c>
      <c r="AN44" s="442">
        <f t="shared" si="81"/>
        <v>12621.543088266839</v>
      </c>
      <c r="AO44" s="442">
        <f t="shared" si="81"/>
        <v>11997.225612688435</v>
      </c>
      <c r="AP44" s="442">
        <f t="shared" si="81"/>
        <v>11930.615692047986</v>
      </c>
      <c r="AQ44" s="442">
        <f t="shared" si="81"/>
        <v>11751.923875876382</v>
      </c>
      <c r="AR44" s="442">
        <f t="shared" si="81"/>
        <v>11969.103375278539</v>
      </c>
      <c r="AS44" s="444"/>
      <c r="AT44" s="442">
        <f t="shared" si="66"/>
        <v>71549.718495703695</v>
      </c>
      <c r="AU44" s="224"/>
      <c r="AV44" s="442">
        <f t="shared" si="67"/>
        <v>0</v>
      </c>
      <c r="AW44" s="442">
        <f t="shared" si="68"/>
        <v>0</v>
      </c>
      <c r="AX44" s="442">
        <f t="shared" si="69"/>
        <v>0</v>
      </c>
      <c r="AY44" s="442">
        <f t="shared" si="70"/>
        <v>0</v>
      </c>
      <c r="AZ44" s="442">
        <f t="shared" si="71"/>
        <v>0</v>
      </c>
      <c r="BA44" s="442">
        <f t="shared" si="72"/>
        <v>0</v>
      </c>
    </row>
    <row r="45" spans="1:53" ht="18" thickBot="1">
      <c r="A45" s="427" t="s">
        <v>1</v>
      </c>
      <c r="B45" s="443">
        <f t="shared" ref="B45:G45" si="82">SUM(B37:B44)</f>
        <v>4920198.3906491781</v>
      </c>
      <c r="C45" s="443">
        <f t="shared" si="82"/>
        <v>5559545.9253133731</v>
      </c>
      <c r="D45" s="443">
        <f t="shared" si="82"/>
        <v>4781196.8720963728</v>
      </c>
      <c r="E45" s="443">
        <f t="shared" si="82"/>
        <v>4790807.9798402106</v>
      </c>
      <c r="F45" s="443">
        <f t="shared" si="82"/>
        <v>4596080.1780500701</v>
      </c>
      <c r="G45" s="443">
        <f t="shared" si="82"/>
        <v>4592655.0178218791</v>
      </c>
      <c r="H45" s="444"/>
      <c r="I45" s="443">
        <f>SUM(I37:I44)</f>
        <v>29240484.363771081</v>
      </c>
      <c r="J45" s="224"/>
      <c r="M45" s="281"/>
      <c r="N45" s="281"/>
      <c r="U45" s="281"/>
      <c r="V45" s="281"/>
      <c r="AC45" s="281"/>
      <c r="AD45" s="281"/>
      <c r="AL45" s="427" t="s">
        <v>1</v>
      </c>
      <c r="AM45" s="443">
        <f t="shared" ref="AM45:AR45" si="83">SUM(AM37:AM44)</f>
        <v>4920198.3906491781</v>
      </c>
      <c r="AN45" s="443">
        <f t="shared" si="83"/>
        <v>5559545.9253133731</v>
      </c>
      <c r="AO45" s="443">
        <f t="shared" si="83"/>
        <v>4781196.8720963728</v>
      </c>
      <c r="AP45" s="443">
        <f t="shared" si="83"/>
        <v>4790807.9798402106</v>
      </c>
      <c r="AQ45" s="443">
        <f t="shared" si="83"/>
        <v>4596080.1780500701</v>
      </c>
      <c r="AR45" s="443">
        <f t="shared" si="83"/>
        <v>4592655.0178218791</v>
      </c>
      <c r="AS45" s="444"/>
      <c r="AT45" s="443">
        <f>SUM(AT37:AT44)</f>
        <v>29240484.363771081</v>
      </c>
      <c r="AU45" s="224"/>
      <c r="AV45" s="443">
        <f t="shared" ref="AV45:BA45" si="84">SUM(AV37:AV44)</f>
        <v>0</v>
      </c>
      <c r="AW45" s="443">
        <f t="shared" si="84"/>
        <v>0</v>
      </c>
      <c r="AX45" s="443">
        <f t="shared" si="84"/>
        <v>0</v>
      </c>
      <c r="AY45" s="443">
        <f t="shared" si="84"/>
        <v>0</v>
      </c>
      <c r="AZ45" s="443">
        <f t="shared" si="84"/>
        <v>0</v>
      </c>
      <c r="BA45" s="443">
        <f t="shared" si="84"/>
        <v>0</v>
      </c>
    </row>
    <row r="46" spans="1:53" ht="13.15" thickTop="1">
      <c r="A46" s="224"/>
      <c r="B46" s="428"/>
      <c r="C46" s="428"/>
      <c r="D46" s="224"/>
      <c r="E46" s="224"/>
      <c r="F46" s="224"/>
      <c r="G46" s="224"/>
      <c r="H46" s="224"/>
      <c r="I46" s="224"/>
      <c r="J46" s="224"/>
      <c r="M46" s="281"/>
      <c r="N46" s="281"/>
      <c r="U46" s="281"/>
      <c r="V46" s="281"/>
      <c r="AC46" s="281"/>
      <c r="AD46" s="281"/>
      <c r="AL46" s="224"/>
      <c r="AM46" s="428"/>
      <c r="AN46" s="428"/>
      <c r="AO46" s="224"/>
      <c r="AP46" s="224"/>
      <c r="AQ46" s="224"/>
      <c r="AR46" s="224"/>
      <c r="AS46" s="224"/>
      <c r="AT46" s="224"/>
      <c r="AU46" s="224"/>
    </row>
    <row r="47" spans="1:53">
      <c r="A47" s="224"/>
      <c r="B47" s="428"/>
      <c r="C47" s="428"/>
      <c r="D47" s="224"/>
      <c r="E47" s="224"/>
      <c r="F47" s="224"/>
      <c r="G47" s="224"/>
      <c r="H47" s="224"/>
      <c r="I47" s="224"/>
      <c r="J47" s="224"/>
      <c r="M47" s="281"/>
      <c r="N47" s="281"/>
      <c r="U47" s="281"/>
      <c r="V47" s="281"/>
      <c r="AC47" s="281"/>
      <c r="AD47" s="281"/>
      <c r="AL47" s="224"/>
      <c r="AM47" s="428"/>
      <c r="AN47" s="428"/>
      <c r="AO47" s="224"/>
      <c r="AP47" s="224"/>
      <c r="AQ47" s="224"/>
      <c r="AR47" s="224"/>
      <c r="AS47" s="224"/>
      <c r="AT47" s="224"/>
      <c r="AU47" s="224"/>
    </row>
    <row r="48" spans="1:53" s="281" customFormat="1" ht="17.649999999999999">
      <c r="A48" s="433" t="s">
        <v>0</v>
      </c>
      <c r="B48" s="441" t="s">
        <v>324</v>
      </c>
      <c r="C48" s="441" t="s">
        <v>266</v>
      </c>
      <c r="D48" s="441" t="s">
        <v>267</v>
      </c>
      <c r="E48" s="441" t="s">
        <v>268</v>
      </c>
      <c r="F48" s="441" t="s">
        <v>269</v>
      </c>
      <c r="G48" s="441" t="s">
        <v>270</v>
      </c>
      <c r="H48" s="430"/>
      <c r="L48" s="101"/>
      <c r="M48" s="101"/>
      <c r="AK48" s="481"/>
      <c r="AL48" s="224"/>
      <c r="AM48" s="428"/>
      <c r="AN48" s="428"/>
      <c r="AO48" s="224"/>
      <c r="AP48" s="224"/>
      <c r="AQ48" s="224"/>
      <c r="AR48" s="224"/>
      <c r="AS48" s="224"/>
      <c r="AT48" s="224"/>
      <c r="AU48" s="224"/>
    </row>
    <row r="49" spans="1:50" s="281" customFormat="1" ht="27">
      <c r="A49" s="434" t="s">
        <v>327</v>
      </c>
      <c r="B49" s="435" t="s">
        <v>306</v>
      </c>
      <c r="C49" s="435" t="s">
        <v>306</v>
      </c>
      <c r="D49" s="435" t="s">
        <v>306</v>
      </c>
      <c r="E49" s="435" t="s">
        <v>306</v>
      </c>
      <c r="F49" s="435" t="s">
        <v>306</v>
      </c>
      <c r="G49" s="435" t="s">
        <v>306</v>
      </c>
      <c r="H49" s="430"/>
      <c r="L49" s="101"/>
      <c r="M49" s="101"/>
      <c r="AK49" s="481"/>
      <c r="AL49" s="224"/>
      <c r="AM49" s="428"/>
      <c r="AN49" s="428"/>
      <c r="AO49" s="224"/>
      <c r="AP49" s="224"/>
      <c r="AQ49" s="224"/>
      <c r="AR49" s="224"/>
      <c r="AS49" s="224"/>
      <c r="AT49" s="224"/>
      <c r="AU49" s="224"/>
    </row>
    <row r="50" spans="1:50" s="281" customFormat="1" ht="18" customHeight="1">
      <c r="A50" s="426" t="s">
        <v>97</v>
      </c>
      <c r="B50" s="452">
        <f>'Data '!I22</f>
        <v>481146683.4118793</v>
      </c>
      <c r="C50" s="452">
        <f>'Rate Smoothing'!C69</f>
        <v>488310441.84458584</v>
      </c>
      <c r="D50" s="452">
        <f>'Rate Smoothing'!D69</f>
        <v>491380160.90018409</v>
      </c>
      <c r="E50" s="452">
        <f>'Rate Smoothing'!E69</f>
        <v>492297000.53160763</v>
      </c>
      <c r="F50" s="452">
        <f>'Rate Smoothing'!F69</f>
        <v>480011939.38473219</v>
      </c>
      <c r="G50" s="452">
        <f>'Rate Smoothing'!G69</f>
        <v>478548339.49470502</v>
      </c>
      <c r="H50" s="453"/>
      <c r="I50" s="2" t="s">
        <v>337</v>
      </c>
      <c r="J50" s="454"/>
      <c r="L50" s="101"/>
      <c r="M50" s="101"/>
      <c r="AK50" s="481"/>
      <c r="AL50" s="224"/>
      <c r="AM50" s="428"/>
      <c r="AN50" s="428"/>
      <c r="AO50" s="224"/>
      <c r="AP50" s="224"/>
      <c r="AQ50" s="224"/>
      <c r="AR50" s="224"/>
      <c r="AS50" s="224"/>
      <c r="AT50" s="224"/>
      <c r="AU50" s="224"/>
    </row>
    <row r="51" spans="1:50" s="281" customFormat="1" ht="18" customHeight="1">
      <c r="A51" s="426" t="s">
        <v>212</v>
      </c>
      <c r="B51" s="452">
        <f>'Data '!I24</f>
        <v>132772555.20491263</v>
      </c>
      <c r="C51" s="452">
        <f>'Rate Smoothing'!C70</f>
        <v>134064266.11914393</v>
      </c>
      <c r="D51" s="452">
        <f>'Rate Smoothing'!D70</f>
        <v>134854491.64774501</v>
      </c>
      <c r="E51" s="452">
        <f>'Rate Smoothing'!E70</f>
        <v>135063742.04659477</v>
      </c>
      <c r="F51" s="452">
        <f>'Rate Smoothing'!F70</f>
        <v>129585178.21250525</v>
      </c>
      <c r="G51" s="452">
        <f>'Rate Smoothing'!G70</f>
        <v>129015225.78797366</v>
      </c>
      <c r="H51" s="453"/>
      <c r="I51" s="2" t="s">
        <v>337</v>
      </c>
      <c r="J51" s="454"/>
      <c r="L51" s="101"/>
      <c r="M51" s="101"/>
      <c r="AK51" s="481"/>
      <c r="AL51" s="224"/>
      <c r="AM51" s="428"/>
      <c r="AN51" s="428"/>
      <c r="AO51" s="224"/>
      <c r="AP51" s="224"/>
      <c r="AQ51" s="224"/>
      <c r="AR51" s="224"/>
      <c r="AS51" s="224"/>
      <c r="AT51" s="224"/>
      <c r="AU51" s="224"/>
    </row>
    <row r="52" spans="1:50" s="281" customFormat="1" ht="18" customHeight="1">
      <c r="A52" s="426" t="s">
        <v>213</v>
      </c>
      <c r="B52" s="452">
        <f>'Data '!I26</f>
        <v>831789</v>
      </c>
      <c r="C52" s="452">
        <f>'Rate Smoothing'!C71</f>
        <v>851954.05092458322</v>
      </c>
      <c r="D52" s="452">
        <f>'Rate Smoothing'!D71</f>
        <v>860398.47773257422</v>
      </c>
      <c r="E52" s="452">
        <f>'Rate Smoothing'!E71</f>
        <v>865544.379866131</v>
      </c>
      <c r="F52" s="452">
        <f>'Rate Smoothing'!F71</f>
        <v>834069.22595941229</v>
      </c>
      <c r="G52" s="452">
        <f>'Rate Smoothing'!G71</f>
        <v>835118.23784245062</v>
      </c>
      <c r="H52" s="453"/>
      <c r="I52" s="336" t="s">
        <v>338</v>
      </c>
      <c r="J52" s="454"/>
      <c r="L52" s="101"/>
      <c r="M52" s="101"/>
      <c r="AK52" s="481"/>
      <c r="AL52" s="224"/>
      <c r="AM52" s="428"/>
      <c r="AN52" s="428"/>
      <c r="AO52" s="224"/>
      <c r="AP52" s="224"/>
      <c r="AQ52" s="224"/>
      <c r="AR52" s="224"/>
      <c r="AS52" s="224"/>
      <c r="AT52" s="224"/>
      <c r="AU52" s="224"/>
    </row>
    <row r="53" spans="1:50" s="281" customFormat="1" ht="18" customHeight="1">
      <c r="A53" s="426" t="s">
        <v>214</v>
      </c>
      <c r="B53" s="452">
        <f>'Data '!I29</f>
        <v>186714</v>
      </c>
      <c r="C53" s="452">
        <f>'Rate Smoothing'!C72</f>
        <v>195333.21024632914</v>
      </c>
      <c r="D53" s="452">
        <f>'Rate Smoothing'!D72</f>
        <v>194669.69353718983</v>
      </c>
      <c r="E53" s="452">
        <f>'Rate Smoothing'!E72</f>
        <v>193285.76673996553</v>
      </c>
      <c r="F53" s="452">
        <f>'Rate Smoothing'!F72</f>
        <v>167714.00346680533</v>
      </c>
      <c r="G53" s="452">
        <f>'Rate Smoothing'!G72</f>
        <v>169067.84371452243</v>
      </c>
      <c r="H53" s="453"/>
      <c r="I53" s="336" t="s">
        <v>338</v>
      </c>
      <c r="J53" s="454"/>
      <c r="L53" s="101"/>
      <c r="M53" s="101"/>
      <c r="AK53" s="481"/>
      <c r="AL53" s="224"/>
      <c r="AM53" s="428"/>
      <c r="AN53" s="428"/>
      <c r="AO53" s="224"/>
      <c r="AP53" s="224"/>
      <c r="AQ53" s="224"/>
      <c r="AR53" s="224"/>
      <c r="AS53" s="224"/>
      <c r="AT53" s="224"/>
      <c r="AU53" s="224"/>
    </row>
    <row r="54" spans="1:50" s="281" customFormat="1" ht="18" customHeight="1">
      <c r="A54" s="426" t="s">
        <v>98</v>
      </c>
      <c r="B54" s="452">
        <f>'Data '!I32</f>
        <v>93203</v>
      </c>
      <c r="C54" s="452">
        <f>'Rate Smoothing'!C73</f>
        <v>96450.280123117438</v>
      </c>
      <c r="D54" s="452">
        <f>'Rate Smoothing'!D73</f>
        <v>96497.827923500081</v>
      </c>
      <c r="E54" s="452">
        <f>'Rate Smoothing'!E73</f>
        <v>96705.677469853224</v>
      </c>
      <c r="F54" s="452">
        <f>'Rate Smoothing'!F73</f>
        <v>90488.372107827323</v>
      </c>
      <c r="G54" s="452">
        <f>'Rate Smoothing'!G73</f>
        <v>88370.102609788868</v>
      </c>
      <c r="H54" s="453"/>
      <c r="I54" s="336" t="s">
        <v>338</v>
      </c>
      <c r="J54" s="454"/>
      <c r="L54" s="101"/>
      <c r="M54" s="101"/>
      <c r="AK54" s="481"/>
      <c r="AL54" s="224"/>
      <c r="AM54" s="428"/>
      <c r="AN54" s="428"/>
      <c r="AO54" s="224"/>
      <c r="AP54" s="224"/>
      <c r="AQ54" s="224"/>
      <c r="AR54" s="224"/>
      <c r="AS54" s="224"/>
      <c r="AT54" s="224"/>
      <c r="AU54" s="224"/>
    </row>
    <row r="55" spans="1:50" s="281" customFormat="1" ht="18" customHeight="1">
      <c r="A55" s="426" t="s">
        <v>99</v>
      </c>
      <c r="B55" s="452">
        <f>'Data '!G35</f>
        <v>13901.837880180767</v>
      </c>
      <c r="C55" s="452">
        <f>'Rate Smoothing'!C74</f>
        <v>23911.673714127413</v>
      </c>
      <c r="D55" s="452">
        <f>'Rate Smoothing'!D74</f>
        <v>14599.316515348542</v>
      </c>
      <c r="E55" s="452">
        <f>'Rate Smoothing'!E74</f>
        <v>13528.419217862043</v>
      </c>
      <c r="F55" s="452">
        <f>'Rate Smoothing'!F74</f>
        <v>13345.422407816242</v>
      </c>
      <c r="G55" s="452">
        <f>'Rate Smoothing'!G74</f>
        <v>13901.837880180767</v>
      </c>
      <c r="H55" s="453"/>
      <c r="I55" s="336" t="s">
        <v>338</v>
      </c>
      <c r="J55" s="454"/>
      <c r="L55" s="101"/>
      <c r="M55" s="101"/>
      <c r="AK55" s="481"/>
      <c r="AL55" s="224"/>
      <c r="AM55" s="428"/>
      <c r="AN55" s="428"/>
      <c r="AO55" s="224"/>
      <c r="AP55" s="224"/>
      <c r="AQ55" s="224"/>
      <c r="AR55" s="224"/>
      <c r="AS55" s="224"/>
      <c r="AT55" s="224"/>
      <c r="AU55" s="224"/>
    </row>
    <row r="56" spans="1:50" s="281" customFormat="1" ht="18" customHeight="1">
      <c r="A56" s="426" t="s">
        <v>208</v>
      </c>
      <c r="B56" s="452">
        <f>'Data '!I38</f>
        <v>0</v>
      </c>
      <c r="C56" s="452">
        <f>'Rate Smoothing'!C75</f>
        <v>100.15889621450508</v>
      </c>
      <c r="D56" s="452">
        <f>'Rate Smoothing'!D75</f>
        <v>96.106500369299738</v>
      </c>
      <c r="E56" s="452">
        <f>'Rate Smoothing'!E75</f>
        <v>92.371157468960305</v>
      </c>
      <c r="F56" s="452">
        <f>'Rate Smoothing'!F75</f>
        <v>96.768186330400098</v>
      </c>
      <c r="G56" s="452">
        <f>'Rate Smoothing'!G75</f>
        <v>93.036557088953359</v>
      </c>
      <c r="H56" s="453"/>
      <c r="I56" s="336" t="s">
        <v>338</v>
      </c>
      <c r="J56" s="454"/>
      <c r="L56" s="101"/>
      <c r="M56" s="101"/>
      <c r="AK56" s="481"/>
      <c r="AL56" s="224"/>
      <c r="AM56" s="428"/>
      <c r="AN56" s="428"/>
      <c r="AO56" s="224"/>
      <c r="AP56" s="224"/>
      <c r="AQ56" s="224"/>
      <c r="AR56" s="224"/>
      <c r="AS56" s="224"/>
      <c r="AT56" s="224"/>
      <c r="AU56" s="224"/>
    </row>
    <row r="57" spans="1:50" s="281" customFormat="1" ht="18" customHeight="1">
      <c r="A57" s="426" t="s">
        <v>207</v>
      </c>
      <c r="B57" s="452">
        <f>'Data '!I42</f>
        <v>2701125.7421476976</v>
      </c>
      <c r="C57" s="452">
        <f>'Rate Smoothing'!C76</f>
        <v>2686537.3140891874</v>
      </c>
      <c r="D57" s="452">
        <f>'Rate Smoothing'!D76</f>
        <v>2667193.4637021297</v>
      </c>
      <c r="E57" s="452">
        <f>'Rate Smoothing'!E76</f>
        <v>2652384.9112346303</v>
      </c>
      <c r="F57" s="452">
        <f>'Rate Smoothing'!F76</f>
        <v>2612658.5895418967</v>
      </c>
      <c r="G57" s="452">
        <f>'Rate Smoothing'!G76</f>
        <v>2660941.3975806902</v>
      </c>
      <c r="H57" s="453"/>
      <c r="I57" s="2" t="s">
        <v>337</v>
      </c>
      <c r="J57" s="454"/>
      <c r="L57" s="101"/>
      <c r="M57" s="101"/>
      <c r="AK57" s="481"/>
      <c r="AL57" s="224"/>
      <c r="AM57" s="428"/>
      <c r="AN57" s="428"/>
      <c r="AO57" s="224"/>
      <c r="AP57" s="224"/>
      <c r="AQ57" s="224"/>
      <c r="AR57" s="224"/>
      <c r="AS57" s="224"/>
      <c r="AT57" s="224"/>
      <c r="AU57" s="224"/>
    </row>
    <row r="58" spans="1:50">
      <c r="J58" s="454"/>
      <c r="L58" s="101"/>
      <c r="AL58" s="224"/>
      <c r="AM58" s="428"/>
      <c r="AN58" s="428"/>
      <c r="AO58" s="224"/>
      <c r="AP58" s="224"/>
      <c r="AQ58" s="224"/>
      <c r="AR58" s="224"/>
      <c r="AS58" s="224"/>
      <c r="AT58" s="224"/>
      <c r="AU58" s="224"/>
      <c r="AV58" s="281"/>
      <c r="AW58" s="281"/>
      <c r="AX58" s="281"/>
    </row>
    <row r="59" spans="1:50" ht="18" customHeight="1">
      <c r="A59" s="474" t="s">
        <v>326</v>
      </c>
      <c r="B59" s="475" t="s">
        <v>324</v>
      </c>
      <c r="C59" s="475" t="s">
        <v>266</v>
      </c>
      <c r="D59" s="475" t="s">
        <v>267</v>
      </c>
      <c r="E59" s="475" t="s">
        <v>268</v>
      </c>
      <c r="F59" s="475" t="s">
        <v>269</v>
      </c>
      <c r="G59" s="475" t="s">
        <v>270</v>
      </c>
      <c r="J59" s="454"/>
      <c r="L59" s="101"/>
      <c r="AL59" s="224"/>
      <c r="AM59" s="428"/>
      <c r="AN59" s="428"/>
      <c r="AO59" s="224"/>
      <c r="AP59" s="224"/>
      <c r="AQ59" s="224"/>
      <c r="AR59" s="224"/>
      <c r="AS59" s="224"/>
      <c r="AT59" s="224"/>
      <c r="AU59" s="224"/>
      <c r="AV59" s="281"/>
      <c r="AW59" s="281"/>
      <c r="AX59" s="281"/>
    </row>
    <row r="60" spans="1:50" ht="18" customHeight="1">
      <c r="A60" s="426" t="s">
        <v>97</v>
      </c>
      <c r="B60" s="452">
        <f>'Data '!I21</f>
        <v>50203</v>
      </c>
      <c r="C60" s="452">
        <f>'Forecast Data For 2015 to 2019'!$C$5</f>
        <v>50977.327408831858</v>
      </c>
      <c r="D60" s="452">
        <f>'Forecast Data For 2015 to 2019'!$D$5</f>
        <v>51741.998652925271</v>
      </c>
      <c r="E60" s="452">
        <f>'Forecast Data For 2015 to 2019'!$E$5</f>
        <v>52518.137136473488</v>
      </c>
      <c r="F60" s="452">
        <f>'Forecast Data For 2015 to 2019'!$F$5</f>
        <v>53812.844987574732</v>
      </c>
      <c r="G60" s="452">
        <f>'Forecast Data For 2015 to 2019'!$G$5</f>
        <v>54781.502573600781</v>
      </c>
      <c r="J60" s="454"/>
      <c r="L60" s="101"/>
      <c r="AL60" s="224"/>
      <c r="AM60" s="428"/>
      <c r="AN60" s="428"/>
      <c r="AO60" s="224"/>
      <c r="AP60" s="224"/>
      <c r="AQ60" s="224"/>
      <c r="AR60" s="224"/>
      <c r="AS60" s="224"/>
      <c r="AT60" s="224"/>
      <c r="AU60" s="224"/>
      <c r="AV60" s="281"/>
      <c r="AW60" s="281"/>
      <c r="AX60" s="281"/>
    </row>
    <row r="61" spans="1:50" ht="18" customHeight="1">
      <c r="A61" s="426" t="s">
        <v>212</v>
      </c>
      <c r="B61" s="452">
        <f>'Data '!I23</f>
        <v>3953</v>
      </c>
      <c r="C61" s="452">
        <f>'Forecast Data For 2015 to 2019'!$C$7</f>
        <v>4002.4682995893245</v>
      </c>
      <c r="D61" s="452">
        <f>'Forecast Data For 2015 to 2019'!$D$7</f>
        <v>4062.4930652948956</v>
      </c>
      <c r="E61" s="452">
        <f>'Forecast Data For 2015 to 2019'!$E$7</f>
        <v>4123.3752815686439</v>
      </c>
      <c r="F61" s="452">
        <f>'Forecast Data For 2015 to 2019'!$F$7</f>
        <v>4221.1496466640174</v>
      </c>
      <c r="G61" s="452">
        <f>'Forecast Data For 2015 to 2019'!$G$7</f>
        <v>4297.1105842127581</v>
      </c>
      <c r="J61" s="454"/>
      <c r="L61" s="101"/>
      <c r="AL61" s="224"/>
      <c r="AM61" s="428"/>
      <c r="AN61" s="428"/>
      <c r="AO61" s="224"/>
      <c r="AP61" s="224"/>
      <c r="AQ61" s="224"/>
      <c r="AR61" s="224"/>
      <c r="AS61" s="224"/>
      <c r="AT61" s="224"/>
      <c r="AU61" s="224"/>
      <c r="AV61" s="281"/>
      <c r="AW61" s="281"/>
      <c r="AX61" s="281"/>
    </row>
    <row r="62" spans="1:50" ht="18" customHeight="1">
      <c r="A62" s="426" t="s">
        <v>213</v>
      </c>
      <c r="B62" s="452">
        <f>'Data '!I25</f>
        <v>503</v>
      </c>
      <c r="C62" s="452">
        <f>'Forecast Data For 2015 to 2019'!$C$9</f>
        <v>507</v>
      </c>
      <c r="D62" s="452">
        <f>'Forecast Data For 2015 to 2019'!$D$9</f>
        <v>514.6</v>
      </c>
      <c r="E62" s="452">
        <f>'Forecast Data For 2015 to 2019'!$E$9</f>
        <v>522.29999999999995</v>
      </c>
      <c r="F62" s="452">
        <f>'Forecast Data For 2015 to 2019'!$F$9</f>
        <v>525.79999999999995</v>
      </c>
      <c r="G62" s="452">
        <f>'Forecast Data For 2015 to 2019'!$G$9</f>
        <v>535.29999999999995</v>
      </c>
      <c r="J62" s="454"/>
      <c r="L62" s="101"/>
      <c r="AL62" s="224"/>
      <c r="AM62" s="428"/>
      <c r="AN62" s="428"/>
      <c r="AO62" s="224"/>
      <c r="AP62" s="224"/>
      <c r="AQ62" s="224"/>
      <c r="AR62" s="224"/>
      <c r="AS62" s="224"/>
      <c r="AT62" s="224"/>
      <c r="AU62" s="224"/>
      <c r="AV62" s="281"/>
      <c r="AW62" s="281"/>
      <c r="AX62" s="281"/>
    </row>
    <row r="63" spans="1:50" ht="18" customHeight="1">
      <c r="A63" s="426" t="s">
        <v>214</v>
      </c>
      <c r="B63" s="452">
        <f>'Data '!I28</f>
        <v>11</v>
      </c>
      <c r="C63" s="452">
        <f>'Forecast Data For 2015 to 2019'!$C$12</f>
        <v>12</v>
      </c>
      <c r="D63" s="452">
        <f>'Forecast Data For 2015 to 2019'!$D$12</f>
        <v>12</v>
      </c>
      <c r="E63" s="452">
        <f>'Forecast Data For 2015 to 2019'!$E$12</f>
        <v>12</v>
      </c>
      <c r="F63" s="452">
        <f>'Forecast Data For 2015 to 2019'!$F$12</f>
        <v>13.2</v>
      </c>
      <c r="G63" s="452">
        <f>'Forecast Data For 2015 to 2019'!$G$12</f>
        <v>14.2</v>
      </c>
      <c r="J63" s="454"/>
      <c r="L63" s="101"/>
      <c r="AL63" s="224"/>
      <c r="AM63" s="428"/>
      <c r="AN63" s="428"/>
      <c r="AO63" s="224"/>
      <c r="AP63" s="224"/>
      <c r="AQ63" s="224"/>
      <c r="AR63" s="224"/>
      <c r="AS63" s="224"/>
      <c r="AT63" s="224"/>
      <c r="AU63" s="224"/>
      <c r="AV63" s="281"/>
      <c r="AW63" s="281"/>
      <c r="AX63" s="281"/>
    </row>
    <row r="64" spans="1:50" ht="18" customHeight="1">
      <c r="A64" s="426" t="s">
        <v>98</v>
      </c>
      <c r="B64" s="452">
        <f>'Data '!I31</f>
        <v>1</v>
      </c>
      <c r="C64" s="452">
        <f>'Forecast Data For 2015 to 2019'!$C$15</f>
        <v>1</v>
      </c>
      <c r="D64" s="452">
        <f>'Forecast Data For 2015 to 2019'!$D$15</f>
        <v>1</v>
      </c>
      <c r="E64" s="452">
        <f>'Forecast Data For 2015 to 2019'!$E$15</f>
        <v>1</v>
      </c>
      <c r="F64" s="452">
        <f>'Forecast Data For 2015 to 2019'!$F$15</f>
        <v>1</v>
      </c>
      <c r="G64" s="452">
        <f>'Forecast Data For 2015 to 2019'!$G$15</f>
        <v>1</v>
      </c>
      <c r="J64" s="454"/>
      <c r="L64" s="101"/>
      <c r="AL64" s="224"/>
      <c r="AM64" s="428"/>
      <c r="AN64" s="428"/>
      <c r="AO64" s="224"/>
      <c r="AP64" s="224"/>
      <c r="AQ64" s="224"/>
      <c r="AR64" s="224"/>
      <c r="AS64" s="224"/>
      <c r="AT64" s="224"/>
      <c r="AU64" s="224"/>
      <c r="AV64" s="281"/>
      <c r="AW64" s="281"/>
      <c r="AX64" s="281"/>
    </row>
    <row r="65" spans="1:50" ht="18" customHeight="1">
      <c r="A65" s="426" t="s">
        <v>99</v>
      </c>
      <c r="B65" s="452">
        <f>'Data '!I34</f>
        <v>12465</v>
      </c>
      <c r="C65" s="452">
        <f>'Forecast Data For 2015 to 2019'!$C$18</f>
        <v>12709.846964330369</v>
      </c>
      <c r="D65" s="452">
        <f>'Forecast Data For 2015 to 2019'!$D$18</f>
        <v>12960.023254578835</v>
      </c>
      <c r="E65" s="452">
        <f>'Forecast Data For 2015 to 2019'!$E$18</f>
        <v>13215.123929548703</v>
      </c>
      <c r="F65" s="452">
        <f>'Forecast Data For 2015 to 2019'!$F$18</f>
        <v>13472.218772985172</v>
      </c>
      <c r="G65" s="452">
        <f>'Forecast Data For 2015 to 2019'!$G$18</f>
        <v>13737.195572304361</v>
      </c>
      <c r="J65" s="454"/>
      <c r="L65" s="101"/>
      <c r="AL65" s="224"/>
      <c r="AM65" s="428"/>
      <c r="AN65" s="428"/>
      <c r="AO65" s="224"/>
      <c r="AP65" s="224"/>
      <c r="AQ65" s="224"/>
      <c r="AR65" s="224"/>
      <c r="AS65" s="224"/>
      <c r="AT65" s="224"/>
      <c r="AU65" s="224"/>
      <c r="AV65" s="281"/>
      <c r="AW65" s="281"/>
      <c r="AX65" s="281"/>
    </row>
    <row r="66" spans="1:50" ht="18" customHeight="1">
      <c r="A66" s="426" t="s">
        <v>208</v>
      </c>
      <c r="B66" s="452">
        <f>'Data '!I37</f>
        <v>0</v>
      </c>
      <c r="C66" s="452">
        <f>'Forecast Data For 2015 to 2019'!$C$21</f>
        <v>23.221124933174856</v>
      </c>
      <c r="D66" s="452">
        <f>'Forecast Data For 2015 to 2019'!$D$21</f>
        <v>22.46752679842146</v>
      </c>
      <c r="E66" s="452">
        <f>'Forecast Data For 2015 to 2019'!$E$21</f>
        <v>21.738385280233285</v>
      </c>
      <c r="F66" s="452">
        <f>'Forecast Data For 2015 to 2019'!$F$21</f>
        <v>22.696760746983312</v>
      </c>
      <c r="G66" s="452">
        <f>'Forecast Data For 2015 to 2019'!$G$21</f>
        <v>22.071924333171605</v>
      </c>
      <c r="J66" s="454"/>
      <c r="L66" s="101"/>
      <c r="AL66" s="224"/>
      <c r="AM66" s="428"/>
      <c r="AN66" s="428"/>
      <c r="AO66" s="224"/>
      <c r="AP66" s="224"/>
      <c r="AQ66" s="224"/>
      <c r="AR66" s="224"/>
      <c r="AS66" s="224"/>
      <c r="AT66" s="224"/>
      <c r="AU66" s="224"/>
      <c r="AV66" s="281"/>
      <c r="AW66" s="281"/>
      <c r="AX66" s="281"/>
    </row>
    <row r="67" spans="1:50" ht="18" customHeight="1">
      <c r="A67" s="426" t="s">
        <v>207</v>
      </c>
      <c r="B67" s="452">
        <f>'Data '!I40</f>
        <v>296</v>
      </c>
      <c r="C67" s="452">
        <f>'Forecast Data For 2015 to 2019'!$C$24</f>
        <v>295.82025457231583</v>
      </c>
      <c r="D67" s="452">
        <f>'Forecast Data For 2015 to 2019'!$D$24</f>
        <v>296.14085622751179</v>
      </c>
      <c r="E67" s="452">
        <f>'Forecast Data For 2015 to 2019'!$E$24</f>
        <v>296.46180534174658</v>
      </c>
      <c r="F67" s="452">
        <f>'Forecast Data For 2015 to 2019'!$F$24</f>
        <v>270.75979314086953</v>
      </c>
      <c r="G67" s="452">
        <f>'Forecast Data For 2015 to 2019'!$G$24</f>
        <v>269.4000023064018</v>
      </c>
      <c r="J67" s="454"/>
      <c r="L67" s="101"/>
      <c r="AL67" s="224"/>
      <c r="AM67" s="428"/>
      <c r="AN67" s="428"/>
      <c r="AO67" s="224"/>
      <c r="AP67" s="224"/>
      <c r="AQ67" s="224"/>
      <c r="AR67" s="224"/>
      <c r="AS67" s="224"/>
      <c r="AT67" s="224"/>
      <c r="AU67" s="224"/>
      <c r="AV67" s="281"/>
      <c r="AW67" s="281"/>
      <c r="AX67" s="281"/>
    </row>
    <row r="68" spans="1:50">
      <c r="J68" s="454"/>
      <c r="L68" s="101"/>
      <c r="AL68" s="224"/>
      <c r="AM68" s="428"/>
      <c r="AN68" s="428"/>
      <c r="AO68" s="224"/>
      <c r="AP68" s="224"/>
      <c r="AQ68" s="224"/>
      <c r="AR68" s="224"/>
      <c r="AS68" s="224"/>
      <c r="AT68" s="224"/>
      <c r="AU68" s="224"/>
      <c r="AV68" s="281"/>
      <c r="AW68" s="281"/>
      <c r="AX68" s="281"/>
    </row>
    <row r="69" spans="1:50">
      <c r="J69" s="454"/>
      <c r="AL69" s="224"/>
      <c r="AM69" s="428"/>
      <c r="AN69" s="428"/>
      <c r="AO69" s="224"/>
      <c r="AP69" s="224"/>
      <c r="AQ69" s="224"/>
      <c r="AR69" s="224"/>
      <c r="AS69" s="224"/>
      <c r="AT69" s="224"/>
      <c r="AU69" s="224"/>
      <c r="AV69" s="281"/>
      <c r="AW69" s="281"/>
      <c r="AX69" s="281"/>
    </row>
    <row r="70" spans="1:50" s="281" customFormat="1" ht="17.649999999999999">
      <c r="A70" s="433" t="s">
        <v>0</v>
      </c>
      <c r="B70" s="441" t="s">
        <v>324</v>
      </c>
      <c r="C70" s="441" t="s">
        <v>266</v>
      </c>
      <c r="D70" s="441" t="s">
        <v>267</v>
      </c>
      <c r="E70" s="441" t="s">
        <v>268</v>
      </c>
      <c r="F70" s="441" t="s">
        <v>269</v>
      </c>
      <c r="G70" s="441" t="s">
        <v>270</v>
      </c>
      <c r="H70" s="430"/>
      <c r="L70" s="101"/>
      <c r="M70" s="101"/>
      <c r="AK70" s="481"/>
      <c r="AL70" s="224"/>
      <c r="AM70" s="428"/>
      <c r="AN70" s="428"/>
      <c r="AO70" s="224"/>
      <c r="AP70" s="224"/>
      <c r="AQ70" s="224"/>
      <c r="AR70" s="224"/>
      <c r="AS70" s="224"/>
      <c r="AT70" s="224"/>
      <c r="AU70" s="224"/>
    </row>
    <row r="71" spans="1:50" s="281" customFormat="1" ht="27">
      <c r="A71" s="434" t="s">
        <v>339</v>
      </c>
      <c r="B71" s="435" t="s">
        <v>306</v>
      </c>
      <c r="C71" s="435" t="s">
        <v>306</v>
      </c>
      <c r="D71" s="435" t="s">
        <v>306</v>
      </c>
      <c r="E71" s="435" t="s">
        <v>306</v>
      </c>
      <c r="F71" s="435" t="s">
        <v>306</v>
      </c>
      <c r="G71" s="435" t="s">
        <v>306</v>
      </c>
      <c r="H71" s="430"/>
      <c r="L71" s="101"/>
      <c r="M71" s="101"/>
      <c r="AK71" s="481"/>
      <c r="AL71" s="224"/>
      <c r="AM71" s="428"/>
      <c r="AN71" s="428"/>
      <c r="AO71" s="224"/>
      <c r="AP71" s="224"/>
      <c r="AQ71" s="224"/>
      <c r="AR71" s="224"/>
      <c r="AS71" s="224"/>
      <c r="AT71" s="224"/>
      <c r="AU71" s="224"/>
    </row>
    <row r="72" spans="1:50" s="281" customFormat="1" ht="18" customHeight="1">
      <c r="A72" s="426" t="s">
        <v>213</v>
      </c>
      <c r="B72" s="452">
        <f>'Data '!I27</f>
        <v>334564809</v>
      </c>
      <c r="C72" s="452">
        <f>'Data '!C27</f>
        <v>337307808.8671304</v>
      </c>
      <c r="D72" s="452">
        <f>'Data '!D27</f>
        <v>340651147.74867117</v>
      </c>
      <c r="E72" s="452">
        <f>'Data '!E27</f>
        <v>342688526.37423319</v>
      </c>
      <c r="F72" s="452">
        <f>'Data '!F27</f>
        <v>329595262.30701321</v>
      </c>
      <c r="G72" s="452">
        <f>'Data '!G27</f>
        <v>330009795.46084768</v>
      </c>
      <c r="H72" s="453"/>
      <c r="I72" s="2" t="s">
        <v>337</v>
      </c>
      <c r="J72" s="454"/>
      <c r="L72" s="101"/>
      <c r="M72" s="101"/>
      <c r="AK72" s="481"/>
      <c r="AL72" s="224"/>
      <c r="AM72" s="428"/>
      <c r="AN72" s="428"/>
      <c r="AO72" s="224"/>
      <c r="AP72" s="224"/>
      <c r="AQ72" s="224"/>
      <c r="AR72" s="224"/>
      <c r="AS72" s="224"/>
      <c r="AT72" s="224"/>
      <c r="AU72" s="224"/>
    </row>
    <row r="73" spans="1:50" s="281" customFormat="1" ht="18" customHeight="1">
      <c r="A73" s="426" t="s">
        <v>214</v>
      </c>
      <c r="B73" s="452">
        <f>'Data '!I30</f>
        <v>81176518</v>
      </c>
      <c r="C73" s="452">
        <f>'Data '!C30</f>
        <v>88420452.222880453</v>
      </c>
      <c r="D73" s="452">
        <f>'Data '!D30</f>
        <v>88120101.619900286</v>
      </c>
      <c r="E73" s="452">
        <f>'Data '!E30</f>
        <v>87493646.788693547</v>
      </c>
      <c r="F73" s="452">
        <f>'Data '!F30</f>
        <v>75038332.350385889</v>
      </c>
      <c r="G73" s="452">
        <f>'Data '!G30</f>
        <v>75644065.398059711</v>
      </c>
      <c r="H73" s="453"/>
      <c r="I73" s="2" t="s">
        <v>337</v>
      </c>
      <c r="J73" s="454"/>
      <c r="L73" s="101"/>
      <c r="M73" s="101"/>
      <c r="AK73" s="481"/>
      <c r="AL73" s="224"/>
      <c r="AM73" s="428"/>
      <c r="AN73" s="428"/>
      <c r="AO73" s="224"/>
      <c r="AP73" s="224"/>
      <c r="AQ73" s="224"/>
      <c r="AR73" s="224"/>
      <c r="AS73" s="224"/>
      <c r="AT73" s="224"/>
      <c r="AU73" s="224"/>
    </row>
    <row r="74" spans="1:50" s="281" customFormat="1" ht="18" customHeight="1">
      <c r="A74" s="426" t="s">
        <v>98</v>
      </c>
      <c r="B74" s="452">
        <f>'Data '!I33</f>
        <v>42552763</v>
      </c>
      <c r="C74" s="452">
        <f>'Data '!C33</f>
        <v>42639586.096446052</v>
      </c>
      <c r="D74" s="452">
        <f>'Data '!D33</f>
        <v>42660606.445226006</v>
      </c>
      <c r="E74" s="452">
        <f>'Data '!E33</f>
        <v>42752494.396360196</v>
      </c>
      <c r="F74" s="452">
        <f>'Data '!F33</f>
        <v>39807306.868036307</v>
      </c>
      <c r="G74" s="452">
        <f>'Data '!G33</f>
        <v>38875445.657878414</v>
      </c>
      <c r="H74" s="453"/>
      <c r="I74" s="2" t="s">
        <v>337</v>
      </c>
      <c r="J74" s="454"/>
      <c r="L74" s="101"/>
      <c r="M74" s="101"/>
      <c r="AK74" s="481"/>
      <c r="AL74" s="224"/>
      <c r="AM74" s="428"/>
      <c r="AN74" s="428"/>
      <c r="AO74" s="224"/>
      <c r="AP74" s="224"/>
      <c r="AQ74" s="224"/>
      <c r="AR74" s="224"/>
      <c r="AS74" s="224"/>
      <c r="AT74" s="224"/>
      <c r="AU74" s="224"/>
    </row>
    <row r="75" spans="1:50" s="281" customFormat="1" ht="18" customHeight="1">
      <c r="A75" s="426" t="s">
        <v>99</v>
      </c>
      <c r="B75" s="452">
        <f>'Data '!I36</f>
        <v>9142652</v>
      </c>
      <c r="C75" s="452">
        <f>'Data '!C36</f>
        <v>8578851.707184026</v>
      </c>
      <c r="D75" s="452">
        <f>'Data '!D36</f>
        <v>5237833.7421617098</v>
      </c>
      <c r="E75" s="452">
        <f>'Data '!E36</f>
        <v>4853625.207928787</v>
      </c>
      <c r="F75" s="452">
        <f>'Data '!F36</f>
        <v>4912438.1569634676</v>
      </c>
      <c r="G75" s="452">
        <f>'Data '!G36</f>
        <v>5117254.1990519855</v>
      </c>
      <c r="H75" s="453"/>
      <c r="I75" s="2" t="s">
        <v>337</v>
      </c>
      <c r="J75" s="454"/>
      <c r="L75" s="101"/>
      <c r="M75" s="101"/>
      <c r="AK75" s="481"/>
      <c r="AL75" s="224"/>
      <c r="AM75" s="428"/>
      <c r="AN75" s="428"/>
      <c r="AO75" s="224"/>
      <c r="AP75" s="224"/>
      <c r="AQ75" s="224"/>
      <c r="AR75" s="224"/>
      <c r="AS75" s="224"/>
      <c r="AT75" s="224"/>
      <c r="AU75" s="224"/>
    </row>
    <row r="76" spans="1:50" s="281" customFormat="1" ht="18" customHeight="1">
      <c r="A76" s="426" t="s">
        <v>208</v>
      </c>
      <c r="B76" s="452">
        <f>'Data '!I39</f>
        <v>0</v>
      </c>
      <c r="C76" s="452">
        <f>'Data '!C39</f>
        <v>34297.182591568067</v>
      </c>
      <c r="D76" s="452">
        <f>'Data '!D39</f>
        <v>32909.529916775595</v>
      </c>
      <c r="E76" s="452">
        <f>'Data '!E39</f>
        <v>31630.444959402575</v>
      </c>
      <c r="F76" s="452">
        <f>'Data '!F39</f>
        <v>33345.033034021741</v>
      </c>
      <c r="G76" s="452">
        <f>'Data '!G39</f>
        <v>32059.16311080223</v>
      </c>
      <c r="H76" s="453"/>
      <c r="I76" s="2" t="s">
        <v>337</v>
      </c>
      <c r="J76" s="454"/>
      <c r="L76" s="101"/>
      <c r="M76" s="101"/>
      <c r="AK76" s="481"/>
      <c r="AL76" s="224"/>
      <c r="AM76" s="428"/>
      <c r="AN76" s="428"/>
      <c r="AO76" s="224"/>
      <c r="AP76" s="224"/>
      <c r="AQ76" s="224"/>
      <c r="AR76" s="224"/>
      <c r="AS76" s="224"/>
      <c r="AT76" s="224"/>
      <c r="AU76" s="224"/>
    </row>
    <row r="77" spans="1:50">
      <c r="H77" s="453"/>
      <c r="AL77" s="224"/>
      <c r="AM77" s="428"/>
      <c r="AN77" s="428"/>
      <c r="AO77" s="224"/>
      <c r="AP77" s="224"/>
      <c r="AQ77" s="224"/>
      <c r="AR77" s="224"/>
      <c r="AS77" s="224"/>
      <c r="AT77" s="224"/>
      <c r="AU77" s="224"/>
      <c r="AV77" s="281"/>
      <c r="AW77" s="281"/>
      <c r="AX77" s="281"/>
    </row>
    <row r="78" spans="1:50">
      <c r="H78" s="453"/>
      <c r="AL78" s="224"/>
      <c r="AM78" s="428"/>
      <c r="AN78" s="428"/>
      <c r="AO78" s="224"/>
      <c r="AP78" s="224"/>
      <c r="AQ78" s="224"/>
      <c r="AR78" s="224"/>
      <c r="AS78" s="224"/>
      <c r="AT78" s="224"/>
      <c r="AU78" s="224"/>
      <c r="AV78" s="281"/>
      <c r="AW78" s="281"/>
      <c r="AX78" s="281"/>
    </row>
    <row r="79" spans="1:50">
      <c r="AL79" s="224"/>
      <c r="AM79" s="428"/>
      <c r="AN79" s="428"/>
      <c r="AO79" s="224"/>
      <c r="AP79" s="224"/>
      <c r="AQ79" s="224"/>
      <c r="AR79" s="224"/>
      <c r="AS79" s="224"/>
      <c r="AT79" s="224"/>
      <c r="AU79" s="224"/>
      <c r="AV79" s="281"/>
      <c r="AW79" s="281"/>
      <c r="AX79" s="281"/>
    </row>
    <row r="80" spans="1:50">
      <c r="AL80" s="224"/>
      <c r="AM80" s="428"/>
      <c r="AN80" s="428"/>
      <c r="AO80" s="224"/>
      <c r="AP80" s="224"/>
      <c r="AQ80" s="224"/>
      <c r="AR80" s="224"/>
      <c r="AS80" s="224"/>
      <c r="AT80" s="224"/>
      <c r="AU80" s="224"/>
      <c r="AV80" s="281"/>
      <c r="AW80" s="281"/>
      <c r="AX80" s="281"/>
    </row>
    <row r="81" spans="38:50">
      <c r="AL81" s="224"/>
      <c r="AM81" s="428"/>
      <c r="AN81" s="428"/>
      <c r="AO81" s="224"/>
      <c r="AP81" s="224"/>
      <c r="AQ81" s="224"/>
      <c r="AR81" s="224"/>
      <c r="AS81" s="224"/>
      <c r="AT81" s="224"/>
      <c r="AU81" s="224"/>
      <c r="AV81" s="281"/>
      <c r="AW81" s="281"/>
      <c r="AX81" s="281"/>
    </row>
    <row r="82" spans="38:50">
      <c r="AL82" s="224"/>
      <c r="AM82" s="428"/>
      <c r="AN82" s="428"/>
      <c r="AO82" s="224"/>
      <c r="AP82" s="224"/>
      <c r="AQ82" s="224"/>
      <c r="AR82" s="224"/>
      <c r="AS82" s="224"/>
      <c r="AT82" s="224"/>
      <c r="AU82" s="224"/>
      <c r="AV82" s="281"/>
      <c r="AW82" s="281"/>
      <c r="AX82" s="281"/>
    </row>
    <row r="83" spans="38:50">
      <c r="AL83" s="224"/>
      <c r="AM83" s="428"/>
      <c r="AN83" s="428"/>
      <c r="AO83" s="224"/>
      <c r="AP83" s="224"/>
      <c r="AQ83" s="224"/>
      <c r="AR83" s="224"/>
      <c r="AS83" s="224"/>
      <c r="AT83" s="224"/>
      <c r="AU83" s="224"/>
      <c r="AV83" s="281"/>
      <c r="AW83" s="281"/>
      <c r="AX83" s="281"/>
    </row>
    <row r="84" spans="38:50">
      <c r="AL84" s="224"/>
      <c r="AM84" s="428"/>
      <c r="AN84" s="428"/>
      <c r="AO84" s="224"/>
      <c r="AP84" s="224"/>
      <c r="AQ84" s="224"/>
      <c r="AR84" s="224"/>
      <c r="AS84" s="224"/>
      <c r="AT84" s="224"/>
      <c r="AU84" s="224"/>
      <c r="AV84" s="281"/>
      <c r="AW84" s="281"/>
      <c r="AX84" s="281"/>
    </row>
    <row r="85" spans="38:50">
      <c r="AL85" s="224"/>
      <c r="AM85" s="428"/>
      <c r="AN85" s="428"/>
      <c r="AO85" s="224"/>
      <c r="AP85" s="224"/>
      <c r="AQ85" s="224"/>
      <c r="AR85" s="224"/>
      <c r="AS85" s="224"/>
      <c r="AT85" s="224"/>
      <c r="AU85" s="224"/>
      <c r="AV85" s="281"/>
      <c r="AW85" s="281"/>
      <c r="AX85" s="281"/>
    </row>
    <row r="86" spans="38:50">
      <c r="AL86" s="224"/>
      <c r="AM86" s="428"/>
      <c r="AN86" s="428"/>
      <c r="AO86" s="224"/>
      <c r="AP86" s="224"/>
      <c r="AQ86" s="224"/>
      <c r="AR86" s="224"/>
      <c r="AS86" s="224"/>
      <c r="AT86" s="224"/>
      <c r="AU86" s="224"/>
      <c r="AV86" s="281"/>
      <c r="AW86" s="281"/>
      <c r="AX86" s="281"/>
    </row>
    <row r="87" spans="38:50">
      <c r="AL87" s="224"/>
      <c r="AM87" s="428"/>
      <c r="AN87" s="428"/>
      <c r="AO87" s="224"/>
      <c r="AP87" s="224"/>
      <c r="AQ87" s="224"/>
      <c r="AR87" s="224"/>
      <c r="AS87" s="224"/>
      <c r="AT87" s="224"/>
      <c r="AU87" s="224"/>
      <c r="AV87" s="281"/>
      <c r="AW87" s="281"/>
      <c r="AX87" s="281"/>
    </row>
    <row r="88" spans="38:50">
      <c r="AL88" s="224"/>
      <c r="AM88" s="428"/>
      <c r="AN88" s="428"/>
      <c r="AO88" s="224"/>
      <c r="AP88" s="224"/>
      <c r="AQ88" s="224"/>
      <c r="AR88" s="224"/>
      <c r="AS88" s="224"/>
      <c r="AT88" s="224"/>
      <c r="AU88" s="224"/>
      <c r="AV88" s="281"/>
      <c r="AW88" s="281"/>
      <c r="AX88" s="281"/>
    </row>
    <row r="89" spans="38:50">
      <c r="AL89" s="224"/>
      <c r="AM89" s="428"/>
      <c r="AN89" s="428"/>
      <c r="AO89" s="224"/>
      <c r="AP89" s="224"/>
      <c r="AQ89" s="224"/>
      <c r="AR89" s="224"/>
      <c r="AS89" s="224"/>
      <c r="AT89" s="224"/>
      <c r="AU89" s="224"/>
      <c r="AV89" s="281"/>
      <c r="AW89" s="281"/>
      <c r="AX89" s="281"/>
    </row>
    <row r="90" spans="38:50">
      <c r="AL90" s="224"/>
      <c r="AM90" s="428"/>
      <c r="AN90" s="428"/>
      <c r="AO90" s="224"/>
      <c r="AP90" s="224"/>
      <c r="AQ90" s="224"/>
      <c r="AR90" s="224"/>
      <c r="AS90" s="224"/>
      <c r="AT90" s="224"/>
      <c r="AU90" s="224"/>
      <c r="AV90" s="281"/>
      <c r="AW90" s="281"/>
      <c r="AX90" s="281"/>
    </row>
    <row r="91" spans="38:50">
      <c r="AL91" s="224"/>
      <c r="AM91" s="428"/>
      <c r="AN91" s="428"/>
      <c r="AO91" s="224"/>
      <c r="AP91" s="224"/>
      <c r="AQ91" s="224"/>
      <c r="AR91" s="224"/>
      <c r="AS91" s="224"/>
      <c r="AT91" s="224"/>
      <c r="AU91" s="224"/>
      <c r="AV91" s="281"/>
      <c r="AW91" s="281"/>
      <c r="AX91" s="281"/>
    </row>
    <row r="92" spans="38:50">
      <c r="AL92" s="224"/>
      <c r="AM92" s="428"/>
      <c r="AN92" s="428"/>
      <c r="AO92" s="224"/>
      <c r="AP92" s="224"/>
      <c r="AQ92" s="224"/>
      <c r="AR92" s="224"/>
      <c r="AS92" s="224"/>
      <c r="AT92" s="224"/>
      <c r="AU92" s="224"/>
      <c r="AV92" s="281"/>
      <c r="AW92" s="281"/>
      <c r="AX92" s="281"/>
    </row>
    <row r="93" spans="38:50">
      <c r="AL93" s="224"/>
      <c r="AM93" s="428"/>
      <c r="AN93" s="428"/>
      <c r="AO93" s="224"/>
      <c r="AP93" s="224"/>
      <c r="AQ93" s="224"/>
      <c r="AR93" s="224"/>
      <c r="AS93" s="224"/>
      <c r="AT93" s="224"/>
      <c r="AU93" s="224"/>
      <c r="AV93" s="281"/>
      <c r="AW93" s="281"/>
      <c r="AX93" s="281"/>
    </row>
    <row r="94" spans="38:50">
      <c r="AL94" s="224"/>
      <c r="AM94" s="428"/>
      <c r="AN94" s="428"/>
      <c r="AO94" s="224"/>
      <c r="AP94" s="224"/>
      <c r="AQ94" s="224"/>
      <c r="AR94" s="224"/>
      <c r="AS94" s="224"/>
      <c r="AT94" s="224"/>
      <c r="AU94" s="224"/>
      <c r="AV94" s="281"/>
      <c r="AW94" s="281"/>
      <c r="AX94" s="281"/>
    </row>
    <row r="95" spans="38:50">
      <c r="AL95" s="224"/>
      <c r="AM95" s="428"/>
      <c r="AN95" s="428"/>
      <c r="AO95" s="224"/>
      <c r="AP95" s="224"/>
      <c r="AQ95" s="224"/>
      <c r="AR95" s="224"/>
      <c r="AS95" s="224"/>
      <c r="AT95" s="224"/>
      <c r="AU95" s="224"/>
      <c r="AV95" s="281"/>
      <c r="AW95" s="281"/>
      <c r="AX95" s="281"/>
    </row>
    <row r="96" spans="38:50">
      <c r="AL96" s="224"/>
      <c r="AM96" s="428"/>
      <c r="AN96" s="428"/>
      <c r="AO96" s="224"/>
      <c r="AP96" s="224"/>
      <c r="AQ96" s="224"/>
      <c r="AR96" s="224"/>
      <c r="AS96" s="224"/>
      <c r="AT96" s="224"/>
      <c r="AU96" s="224"/>
      <c r="AV96" s="281"/>
      <c r="AW96" s="281"/>
      <c r="AX96" s="281"/>
    </row>
    <row r="97" spans="38:50">
      <c r="AL97" s="224"/>
      <c r="AM97" s="428"/>
      <c r="AN97" s="428"/>
      <c r="AO97" s="224"/>
      <c r="AP97" s="224"/>
      <c r="AQ97" s="224"/>
      <c r="AR97" s="224"/>
      <c r="AS97" s="224"/>
      <c r="AT97" s="224"/>
      <c r="AU97" s="224"/>
      <c r="AV97" s="281"/>
      <c r="AW97" s="281"/>
      <c r="AX97" s="281"/>
    </row>
    <row r="98" spans="38:50">
      <c r="AL98" s="224"/>
      <c r="AM98" s="428"/>
      <c r="AN98" s="428"/>
      <c r="AO98" s="224"/>
      <c r="AP98" s="224"/>
      <c r="AQ98" s="224"/>
      <c r="AR98" s="224"/>
      <c r="AS98" s="224"/>
      <c r="AT98" s="224"/>
      <c r="AU98" s="224"/>
      <c r="AV98" s="281"/>
      <c r="AW98" s="281"/>
      <c r="AX98" s="281"/>
    </row>
    <row r="99" spans="38:50">
      <c r="AL99" s="224"/>
      <c r="AM99" s="428"/>
      <c r="AN99" s="428"/>
      <c r="AO99" s="224"/>
      <c r="AP99" s="224"/>
      <c r="AQ99" s="224"/>
      <c r="AR99" s="224"/>
      <c r="AS99" s="224"/>
      <c r="AT99" s="224"/>
      <c r="AU99" s="224"/>
      <c r="AV99" s="281"/>
      <c r="AW99" s="281"/>
      <c r="AX99" s="281"/>
    </row>
    <row r="100" spans="38:50">
      <c r="AL100" s="224"/>
      <c r="AM100" s="428"/>
      <c r="AN100" s="428"/>
      <c r="AO100" s="224"/>
      <c r="AP100" s="224"/>
      <c r="AQ100" s="224"/>
      <c r="AR100" s="224"/>
      <c r="AS100" s="224"/>
      <c r="AT100" s="224"/>
      <c r="AU100" s="224"/>
      <c r="AV100" s="281"/>
      <c r="AW100" s="281"/>
      <c r="AX100" s="281"/>
    </row>
    <row r="101" spans="38:50">
      <c r="AL101" s="224"/>
      <c r="AM101" s="428"/>
      <c r="AN101" s="428"/>
      <c r="AO101" s="224"/>
      <c r="AP101" s="224"/>
      <c r="AQ101" s="224"/>
      <c r="AR101" s="224"/>
      <c r="AS101" s="224"/>
      <c r="AT101" s="224"/>
      <c r="AU101" s="224"/>
      <c r="AV101" s="281"/>
      <c r="AW101" s="281"/>
      <c r="AX101" s="281"/>
    </row>
    <row r="102" spans="38:50">
      <c r="AL102" s="224"/>
      <c r="AM102" s="428"/>
      <c r="AN102" s="428"/>
      <c r="AO102" s="224"/>
      <c r="AP102" s="224"/>
      <c r="AQ102" s="224"/>
      <c r="AR102" s="224"/>
      <c r="AS102" s="224"/>
      <c r="AT102" s="224"/>
      <c r="AU102" s="224"/>
      <c r="AV102" s="281"/>
      <c r="AW102" s="281"/>
      <c r="AX102" s="281"/>
    </row>
    <row r="103" spans="38:50">
      <c r="AL103" s="224"/>
      <c r="AM103" s="428"/>
      <c r="AN103" s="428"/>
      <c r="AO103" s="224"/>
      <c r="AP103" s="224"/>
      <c r="AQ103" s="224"/>
      <c r="AR103" s="224"/>
      <c r="AS103" s="224"/>
      <c r="AT103" s="224"/>
      <c r="AU103" s="224"/>
      <c r="AV103" s="281"/>
      <c r="AW103" s="281"/>
      <c r="AX103" s="281"/>
    </row>
    <row r="104" spans="38:50">
      <c r="AL104" s="224"/>
      <c r="AM104" s="428"/>
      <c r="AN104" s="428"/>
      <c r="AO104" s="224"/>
      <c r="AP104" s="224"/>
      <c r="AQ104" s="224"/>
      <c r="AR104" s="224"/>
      <c r="AS104" s="224"/>
      <c r="AT104" s="224"/>
      <c r="AU104" s="224"/>
      <c r="AV104" s="281"/>
      <c r="AW104" s="281"/>
      <c r="AX104" s="281"/>
    </row>
    <row r="105" spans="38:50">
      <c r="AL105" s="224"/>
      <c r="AM105" s="428"/>
      <c r="AN105" s="428"/>
      <c r="AO105" s="224"/>
      <c r="AP105" s="224"/>
      <c r="AQ105" s="224"/>
      <c r="AR105" s="224"/>
      <c r="AS105" s="224"/>
      <c r="AT105" s="224"/>
      <c r="AU105" s="224"/>
      <c r="AV105" s="281"/>
      <c r="AW105" s="281"/>
      <c r="AX105" s="281"/>
    </row>
    <row r="106" spans="38:50">
      <c r="AL106" s="224"/>
      <c r="AM106" s="428"/>
      <c r="AN106" s="428"/>
      <c r="AO106" s="224"/>
      <c r="AP106" s="224"/>
      <c r="AQ106" s="224"/>
      <c r="AR106" s="224"/>
      <c r="AS106" s="224"/>
      <c r="AT106" s="224"/>
      <c r="AU106" s="224"/>
      <c r="AV106" s="281"/>
      <c r="AW106" s="281"/>
      <c r="AX106" s="281"/>
    </row>
    <row r="107" spans="38:50">
      <c r="AL107" s="224"/>
      <c r="AM107" s="428"/>
      <c r="AN107" s="428"/>
      <c r="AO107" s="224"/>
      <c r="AP107" s="224"/>
      <c r="AQ107" s="224"/>
      <c r="AR107" s="224"/>
      <c r="AS107" s="224"/>
      <c r="AT107" s="224"/>
      <c r="AU107" s="224"/>
      <c r="AV107" s="281"/>
      <c r="AW107" s="281"/>
      <c r="AX107" s="281"/>
    </row>
    <row r="108" spans="38:50">
      <c r="AL108" s="224"/>
      <c r="AM108" s="428"/>
      <c r="AN108" s="428"/>
      <c r="AO108" s="224"/>
      <c r="AP108" s="224"/>
      <c r="AQ108" s="224"/>
      <c r="AR108" s="224"/>
      <c r="AS108" s="224"/>
      <c r="AT108" s="224"/>
      <c r="AU108" s="224"/>
      <c r="AV108" s="281"/>
      <c r="AW108" s="281"/>
      <c r="AX108" s="281"/>
    </row>
    <row r="109" spans="38:50">
      <c r="AL109" s="224"/>
      <c r="AM109" s="428"/>
      <c r="AN109" s="428"/>
      <c r="AO109" s="224"/>
      <c r="AP109" s="224"/>
      <c r="AQ109" s="224"/>
      <c r="AR109" s="224"/>
      <c r="AS109" s="224"/>
      <c r="AT109" s="224"/>
      <c r="AU109" s="224"/>
      <c r="AV109" s="281"/>
      <c r="AW109" s="281"/>
      <c r="AX109" s="281"/>
    </row>
    <row r="110" spans="38:50">
      <c r="AL110" s="224"/>
      <c r="AM110" s="428"/>
      <c r="AN110" s="428"/>
      <c r="AO110" s="224"/>
      <c r="AP110" s="224"/>
      <c r="AQ110" s="224"/>
      <c r="AR110" s="224"/>
      <c r="AS110" s="224"/>
      <c r="AT110" s="224"/>
      <c r="AU110" s="224"/>
      <c r="AV110" s="281"/>
      <c r="AW110" s="281"/>
      <c r="AX110" s="281"/>
    </row>
    <row r="111" spans="38:50">
      <c r="AL111" s="224"/>
      <c r="AM111" s="428"/>
      <c r="AN111" s="428"/>
      <c r="AO111" s="224"/>
      <c r="AP111" s="224"/>
      <c r="AQ111" s="224"/>
      <c r="AR111" s="224"/>
      <c r="AS111" s="224"/>
      <c r="AT111" s="224"/>
      <c r="AU111" s="224"/>
      <c r="AV111" s="281"/>
      <c r="AW111" s="281"/>
      <c r="AX111" s="281"/>
    </row>
    <row r="112" spans="38:50">
      <c r="AL112" s="224"/>
      <c r="AM112" s="428"/>
      <c r="AN112" s="428"/>
      <c r="AO112" s="224"/>
      <c r="AP112" s="224"/>
      <c r="AQ112" s="224"/>
      <c r="AR112" s="224"/>
      <c r="AS112" s="224"/>
      <c r="AT112" s="224"/>
      <c r="AU112" s="224"/>
      <c r="AV112" s="281"/>
      <c r="AW112" s="281"/>
      <c r="AX112" s="281"/>
    </row>
    <row r="113" spans="38:50">
      <c r="AL113" s="224"/>
      <c r="AM113" s="428"/>
      <c r="AN113" s="428"/>
      <c r="AO113" s="224"/>
      <c r="AP113" s="224"/>
      <c r="AQ113" s="224"/>
      <c r="AR113" s="224"/>
      <c r="AS113" s="224"/>
      <c r="AT113" s="224"/>
      <c r="AU113" s="224"/>
      <c r="AV113" s="281"/>
      <c r="AW113" s="281"/>
      <c r="AX113" s="281"/>
    </row>
    <row r="114" spans="38:50">
      <c r="AL114" s="224"/>
      <c r="AM114" s="428"/>
      <c r="AN114" s="428"/>
      <c r="AO114" s="224"/>
      <c r="AP114" s="224"/>
      <c r="AQ114" s="224"/>
      <c r="AR114" s="224"/>
      <c r="AS114" s="224"/>
      <c r="AT114" s="224"/>
      <c r="AU114" s="224"/>
      <c r="AV114" s="281"/>
      <c r="AW114" s="281"/>
      <c r="AX114" s="281"/>
    </row>
    <row r="115" spans="38:50">
      <c r="AL115" s="224"/>
      <c r="AM115" s="428"/>
      <c r="AN115" s="428"/>
      <c r="AO115" s="224"/>
      <c r="AP115" s="224"/>
      <c r="AQ115" s="224"/>
      <c r="AR115" s="224"/>
      <c r="AS115" s="224"/>
      <c r="AT115" s="224"/>
      <c r="AU115" s="224"/>
      <c r="AV115" s="281"/>
      <c r="AW115" s="281"/>
      <c r="AX115" s="281"/>
    </row>
    <row r="116" spans="38:50">
      <c r="AL116" s="224"/>
      <c r="AM116" s="428"/>
      <c r="AN116" s="428"/>
      <c r="AO116" s="224"/>
      <c r="AP116" s="224"/>
      <c r="AQ116" s="224"/>
      <c r="AR116" s="224"/>
      <c r="AS116" s="224"/>
      <c r="AT116" s="224"/>
      <c r="AU116" s="224"/>
      <c r="AV116" s="281"/>
      <c r="AW116" s="281"/>
      <c r="AX116" s="281"/>
    </row>
    <row r="117" spans="38:50">
      <c r="AL117" s="224"/>
      <c r="AM117" s="428"/>
      <c r="AN117" s="428"/>
      <c r="AO117" s="224"/>
      <c r="AP117" s="224"/>
      <c r="AQ117" s="224"/>
      <c r="AR117" s="224"/>
      <c r="AS117" s="224"/>
      <c r="AT117" s="224"/>
      <c r="AU117" s="224"/>
      <c r="AV117" s="281"/>
      <c r="AW117" s="281"/>
      <c r="AX117" s="281"/>
    </row>
    <row r="118" spans="38:50">
      <c r="AL118" s="224"/>
      <c r="AM118" s="428"/>
      <c r="AN118" s="428"/>
      <c r="AO118" s="224"/>
      <c r="AP118" s="224"/>
      <c r="AQ118" s="224"/>
      <c r="AR118" s="224"/>
      <c r="AS118" s="224"/>
      <c r="AT118" s="224"/>
      <c r="AU118" s="224"/>
      <c r="AV118" s="281"/>
      <c r="AW118" s="281"/>
      <c r="AX118" s="281"/>
    </row>
    <row r="119" spans="38:50">
      <c r="AL119" s="224"/>
      <c r="AM119" s="428"/>
      <c r="AN119" s="428"/>
      <c r="AO119" s="224"/>
      <c r="AP119" s="224"/>
      <c r="AQ119" s="224"/>
      <c r="AR119" s="224"/>
      <c r="AS119" s="224"/>
      <c r="AT119" s="224"/>
      <c r="AU119" s="224"/>
      <c r="AV119" s="281"/>
      <c r="AW119" s="281"/>
      <c r="AX119" s="281"/>
    </row>
    <row r="120" spans="38:50">
      <c r="AL120" s="224"/>
      <c r="AM120" s="428"/>
      <c r="AN120" s="428"/>
      <c r="AO120" s="224"/>
      <c r="AP120" s="224"/>
      <c r="AQ120" s="224"/>
      <c r="AR120" s="224"/>
      <c r="AS120" s="224"/>
      <c r="AT120" s="224"/>
      <c r="AU120" s="224"/>
      <c r="AV120" s="281"/>
      <c r="AW120" s="281"/>
      <c r="AX120" s="281"/>
    </row>
    <row r="121" spans="38:50">
      <c r="AL121" s="224"/>
      <c r="AM121" s="428"/>
      <c r="AN121" s="428"/>
      <c r="AO121" s="224"/>
      <c r="AP121" s="224"/>
      <c r="AQ121" s="224"/>
      <c r="AR121" s="224"/>
      <c r="AS121" s="224"/>
      <c r="AT121" s="224"/>
      <c r="AU121" s="224"/>
      <c r="AV121" s="281"/>
      <c r="AW121" s="281"/>
      <c r="AX121" s="281"/>
    </row>
    <row r="122" spans="38:50">
      <c r="AL122" s="224"/>
      <c r="AM122" s="428"/>
      <c r="AN122" s="428"/>
      <c r="AO122" s="224"/>
      <c r="AP122" s="224"/>
      <c r="AQ122" s="224"/>
      <c r="AR122" s="224"/>
      <c r="AS122" s="224"/>
      <c r="AT122" s="224"/>
      <c r="AU122" s="224"/>
      <c r="AV122" s="281"/>
      <c r="AW122" s="281"/>
      <c r="AX122" s="281"/>
    </row>
    <row r="123" spans="38:50">
      <c r="AL123" s="224"/>
      <c r="AM123" s="428"/>
      <c r="AN123" s="428"/>
      <c r="AO123" s="224"/>
      <c r="AP123" s="224"/>
      <c r="AQ123" s="224"/>
      <c r="AR123" s="224"/>
      <c r="AS123" s="224"/>
      <c r="AT123" s="224"/>
      <c r="AU123" s="224"/>
      <c r="AV123" s="281"/>
      <c r="AW123" s="281"/>
      <c r="AX123" s="281"/>
    </row>
    <row r="124" spans="38:50">
      <c r="AL124" s="224"/>
      <c r="AM124" s="428"/>
      <c r="AN124" s="428"/>
      <c r="AO124" s="224"/>
      <c r="AP124" s="224"/>
      <c r="AQ124" s="224"/>
      <c r="AR124" s="224"/>
      <c r="AS124" s="224"/>
      <c r="AT124" s="224"/>
      <c r="AU124" s="224"/>
      <c r="AV124" s="281"/>
      <c r="AW124" s="281"/>
      <c r="AX124" s="281"/>
    </row>
    <row r="125" spans="38:50">
      <c r="AL125" s="224"/>
      <c r="AM125" s="428"/>
      <c r="AN125" s="428"/>
      <c r="AO125" s="224"/>
      <c r="AP125" s="224"/>
      <c r="AQ125" s="224"/>
      <c r="AR125" s="224"/>
      <c r="AS125" s="224"/>
      <c r="AT125" s="224"/>
      <c r="AU125" s="224"/>
      <c r="AV125" s="281"/>
      <c r="AW125" s="281"/>
      <c r="AX125" s="281"/>
    </row>
    <row r="126" spans="38:50">
      <c r="AL126" s="224"/>
      <c r="AM126" s="428"/>
      <c r="AN126" s="428"/>
      <c r="AO126" s="224"/>
      <c r="AP126" s="224"/>
      <c r="AQ126" s="224"/>
      <c r="AR126" s="224"/>
      <c r="AS126" s="224"/>
      <c r="AT126" s="224"/>
      <c r="AU126" s="224"/>
      <c r="AV126" s="281"/>
      <c r="AW126" s="281"/>
      <c r="AX126" s="281"/>
    </row>
    <row r="127" spans="38:50">
      <c r="AL127" s="224"/>
      <c r="AM127" s="428"/>
      <c r="AN127" s="428"/>
      <c r="AO127" s="224"/>
      <c r="AP127" s="224"/>
      <c r="AQ127" s="224"/>
      <c r="AR127" s="224"/>
      <c r="AS127" s="224"/>
      <c r="AT127" s="224"/>
      <c r="AU127" s="224"/>
      <c r="AV127" s="281"/>
      <c r="AW127" s="281"/>
      <c r="AX127" s="281"/>
    </row>
    <row r="128" spans="38:50">
      <c r="AL128" s="224"/>
      <c r="AM128" s="428"/>
      <c r="AN128" s="428"/>
      <c r="AO128" s="224"/>
      <c r="AP128" s="224"/>
      <c r="AQ128" s="224"/>
      <c r="AR128" s="224"/>
      <c r="AS128" s="224"/>
      <c r="AT128" s="224"/>
      <c r="AU128" s="224"/>
      <c r="AV128" s="281"/>
      <c r="AW128" s="281"/>
      <c r="AX128" s="281"/>
    </row>
    <row r="129" spans="38:50">
      <c r="AL129" s="224"/>
      <c r="AM129" s="428"/>
      <c r="AN129" s="428"/>
      <c r="AO129" s="224"/>
      <c r="AP129" s="224"/>
      <c r="AQ129" s="224"/>
      <c r="AR129" s="224"/>
      <c r="AS129" s="224"/>
      <c r="AT129" s="224"/>
      <c r="AU129" s="224"/>
      <c r="AV129" s="281"/>
      <c r="AW129" s="281"/>
      <c r="AX129" s="281"/>
    </row>
    <row r="130" spans="38:50">
      <c r="AL130" s="224"/>
      <c r="AM130" s="428"/>
      <c r="AN130" s="428"/>
      <c r="AO130" s="224"/>
      <c r="AP130" s="224"/>
      <c r="AQ130" s="224"/>
      <c r="AR130" s="224"/>
      <c r="AS130" s="224"/>
      <c r="AT130" s="224"/>
      <c r="AU130" s="224"/>
      <c r="AV130" s="281"/>
      <c r="AW130" s="281"/>
      <c r="AX130" s="28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6"/>
  <sheetViews>
    <sheetView showGridLines="0" topLeftCell="A52" zoomScale="98" zoomScaleNormal="98" workbookViewId="0">
      <selection activeCell="D7" sqref="D7"/>
    </sheetView>
  </sheetViews>
  <sheetFormatPr defaultColWidth="9.19921875" defaultRowHeight="12.75" outlineLevelRow="1"/>
  <cols>
    <col min="1" max="1" width="31.53125" style="281" customWidth="1"/>
    <col min="2" max="3" width="10.73046875" style="101" customWidth="1"/>
    <col min="4" max="7" width="10.73046875" style="281" customWidth="1"/>
    <col min="8" max="8" width="1.265625" style="281" customWidth="1"/>
    <col min="9" max="10" width="15.73046875" style="281" customWidth="1"/>
    <col min="11" max="11" width="18.265625" style="281" customWidth="1"/>
    <col min="12" max="13" width="14.73046875" style="101" customWidth="1"/>
    <col min="14" max="17" width="14.73046875" style="281" customWidth="1"/>
    <col min="18" max="21" width="10.73046875" style="281" customWidth="1"/>
    <col min="22" max="16384" width="9.19921875" style="281"/>
  </cols>
  <sheetData>
    <row r="1" spans="1:18" s="290" customFormat="1" ht="18" customHeight="1">
      <c r="A1" s="461" t="s">
        <v>349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8" s="431" customFormat="1" ht="17.649999999999999">
      <c r="A2" s="433" t="s">
        <v>0</v>
      </c>
      <c r="B2" s="441" t="s">
        <v>266</v>
      </c>
      <c r="C2" s="441" t="s">
        <v>266</v>
      </c>
      <c r="D2" s="441" t="s">
        <v>267</v>
      </c>
      <c r="E2" s="441" t="s">
        <v>268</v>
      </c>
      <c r="F2" s="441" t="s">
        <v>269</v>
      </c>
      <c r="G2" s="441" t="s">
        <v>270</v>
      </c>
      <c r="H2" s="430"/>
      <c r="I2" s="441" t="s">
        <v>297</v>
      </c>
      <c r="J2" s="430"/>
    </row>
    <row r="3" spans="1:18" s="431" customFormat="1" ht="27">
      <c r="A3" s="434"/>
      <c r="B3" s="435" t="s">
        <v>295</v>
      </c>
      <c r="C3" s="435" t="s">
        <v>296</v>
      </c>
      <c r="D3" s="435" t="s">
        <v>296</v>
      </c>
      <c r="E3" s="435" t="s">
        <v>296</v>
      </c>
      <c r="F3" s="435" t="s">
        <v>296</v>
      </c>
      <c r="G3" s="435" t="s">
        <v>296</v>
      </c>
      <c r="H3" s="430"/>
      <c r="I3" s="435" t="s">
        <v>37</v>
      </c>
      <c r="J3" s="430"/>
    </row>
    <row r="4" spans="1:18" s="290" customFormat="1" ht="17.649999999999999">
      <c r="A4" s="426" t="s">
        <v>97</v>
      </c>
      <c r="B4" s="442">
        <f>'Revenue at Prior Year Rates'!L6</f>
        <v>11041060.8599687</v>
      </c>
      <c r="C4" s="442">
        <f>'Cost Allocation Study'!K5</f>
        <v>12845602.595781012</v>
      </c>
      <c r="D4" s="442">
        <f>'Cost Allocation Study'!K23</f>
        <v>13924495.105313618</v>
      </c>
      <c r="E4" s="442">
        <f>'Cost Allocation Study'!K42</f>
        <v>14340454.505900068</v>
      </c>
      <c r="F4" s="442">
        <f>'Cost Allocation Study'!K60</f>
        <v>14942640.234360727</v>
      </c>
      <c r="G4" s="442">
        <f>'Cost Allocation Study'!K78</f>
        <v>15758144.608921647</v>
      </c>
      <c r="H4" s="444"/>
      <c r="I4" s="442">
        <f>SUM(C4:G4)</f>
        <v>71811337.050277069</v>
      </c>
      <c r="J4" s="425"/>
    </row>
    <row r="5" spans="1:18" s="290" customFormat="1" ht="17.649999999999999">
      <c r="A5" s="426" t="s">
        <v>212</v>
      </c>
      <c r="B5" s="442">
        <f>'Revenue at Prior Year Rates'!L7</f>
        <v>2681580.7362321499</v>
      </c>
      <c r="C5" s="442">
        <f>'Cost Allocation Study'!K6</f>
        <v>2706175.1326604313</v>
      </c>
      <c r="D5" s="442">
        <f>'Cost Allocation Study'!K24</f>
        <v>2892921.1914680093</v>
      </c>
      <c r="E5" s="442">
        <f>'Cost Allocation Study'!K43</f>
        <v>2976190.8414891833</v>
      </c>
      <c r="F5" s="442">
        <f>'Cost Allocation Study'!K61</f>
        <v>3015120.0419699261</v>
      </c>
      <c r="G5" s="442">
        <f>'Cost Allocation Study'!K79</f>
        <v>3145670.9813947831</v>
      </c>
      <c r="H5" s="444"/>
      <c r="I5" s="442">
        <f t="shared" ref="I5:I11" si="0">SUM(C5:G5)</f>
        <v>14736078.188982334</v>
      </c>
      <c r="J5" s="425"/>
    </row>
    <row r="6" spans="1:18" s="290" customFormat="1" ht="17.649999999999999">
      <c r="A6" s="426" t="s">
        <v>213</v>
      </c>
      <c r="B6" s="442">
        <f>'Revenue at Prior Year Rates'!L8</f>
        <v>3356419.3476647874</v>
      </c>
      <c r="C6" s="442">
        <f>'Cost Allocation Study'!K7</f>
        <v>3794693.9064651723</v>
      </c>
      <c r="D6" s="442">
        <f>'Cost Allocation Study'!K25</f>
        <v>4104624.4810807095</v>
      </c>
      <c r="E6" s="442">
        <f>'Cost Allocation Study'!K44</f>
        <v>4221453.6614559507</v>
      </c>
      <c r="F6" s="442">
        <f>'Cost Allocation Study'!K62</f>
        <v>4231367.316953782</v>
      </c>
      <c r="G6" s="442">
        <f>'Cost Allocation Study'!K80</f>
        <v>4416293.7212957591</v>
      </c>
      <c r="H6" s="444"/>
      <c r="I6" s="442">
        <f t="shared" si="0"/>
        <v>20768433.087251373</v>
      </c>
      <c r="J6" s="425"/>
    </row>
    <row r="7" spans="1:18" s="290" customFormat="1" ht="17.649999999999999">
      <c r="A7" s="426" t="s">
        <v>214</v>
      </c>
      <c r="B7" s="442">
        <f>'Revenue at Prior Year Rates'!L9</f>
        <v>572588.74375445454</v>
      </c>
      <c r="C7" s="442">
        <f>'Cost Allocation Study'!K8</f>
        <v>480277.74348804652</v>
      </c>
      <c r="D7" s="442">
        <f>'Cost Allocation Study'!K26</f>
        <v>512996.28128129395</v>
      </c>
      <c r="E7" s="442">
        <f>'Cost Allocation Study'!K45</f>
        <v>521506.09053895983</v>
      </c>
      <c r="F7" s="442">
        <f>'Cost Allocation Study'!K63</f>
        <v>507878.71038404747</v>
      </c>
      <c r="G7" s="442">
        <f>'Cost Allocation Study'!K81</f>
        <v>545909.27967460547</v>
      </c>
      <c r="H7" s="444"/>
      <c r="I7" s="442">
        <f t="shared" si="0"/>
        <v>2568568.1053669532</v>
      </c>
      <c r="J7" s="425"/>
    </row>
    <row r="8" spans="1:18" s="290" customFormat="1" ht="17.649999999999999">
      <c r="A8" s="426" t="s">
        <v>98</v>
      </c>
      <c r="B8" s="442">
        <f>'Revenue at Prior Year Rates'!L10</f>
        <v>239399.09809535273</v>
      </c>
      <c r="C8" s="442">
        <f>'Cost Allocation Study'!K9</f>
        <v>226135.53988316999</v>
      </c>
      <c r="D8" s="442">
        <f>'Cost Allocation Study'!K27</f>
        <v>241692.35597608244</v>
      </c>
      <c r="E8" s="442">
        <f>'Cost Allocation Study'!K46</f>
        <v>247231.65297761772</v>
      </c>
      <c r="F8" s="442">
        <f>'Cost Allocation Study'!K64</f>
        <v>246598.40177299242</v>
      </c>
      <c r="G8" s="442">
        <f>'Cost Allocation Study'!K82</f>
        <v>253274.0101964004</v>
      </c>
      <c r="H8" s="444"/>
      <c r="I8" s="442">
        <f t="shared" si="0"/>
        <v>1214931.9608062629</v>
      </c>
      <c r="J8" s="425"/>
    </row>
    <row r="9" spans="1:18" s="224" customFormat="1" ht="17.649999999999999">
      <c r="A9" s="426" t="s">
        <v>99</v>
      </c>
      <c r="B9" s="442">
        <f>'Revenue at Prior Year Rates'!L11</f>
        <v>611347.97463450383</v>
      </c>
      <c r="C9" s="442">
        <f>'Cost Allocation Study'!K10</f>
        <v>861202.34860017814</v>
      </c>
      <c r="D9" s="442">
        <f>'Cost Allocation Study'!K28</f>
        <v>697028.28377216973</v>
      </c>
      <c r="E9" s="442">
        <f>'Cost Allocation Study'!K47</f>
        <v>705995.88622365647</v>
      </c>
      <c r="F9" s="442">
        <f>'Cost Allocation Study'!K65</f>
        <v>732092.04998941428</v>
      </c>
      <c r="G9" s="442">
        <f>'Cost Allocation Study'!K83</f>
        <v>786456.88824475557</v>
      </c>
      <c r="H9" s="444"/>
      <c r="I9" s="442">
        <f t="shared" si="0"/>
        <v>3782775.4568301742</v>
      </c>
      <c r="J9" s="425"/>
    </row>
    <row r="10" spans="1:18" s="224" customFormat="1" ht="17.649999999999999">
      <c r="A10" s="426" t="s">
        <v>208</v>
      </c>
      <c r="B10" s="442">
        <f>'Revenue at Prior Year Rates'!L12</f>
        <v>1831.4831544665235</v>
      </c>
      <c r="C10" s="442">
        <f>'Cost Allocation Study'!K11</f>
        <v>2070.6345799380219</v>
      </c>
      <c r="D10" s="442">
        <f>'Cost Allocation Study'!K29</f>
        <v>2138.9452176317882</v>
      </c>
      <c r="E10" s="442">
        <f>'Cost Allocation Study'!K48</f>
        <v>2110.4052919270061</v>
      </c>
      <c r="F10" s="442">
        <f>'Cost Allocation Study'!K66</f>
        <v>2285.3900973216196</v>
      </c>
      <c r="G10" s="442">
        <f>'Cost Allocation Study'!K84</f>
        <v>2305.7528817135694</v>
      </c>
      <c r="H10" s="444"/>
      <c r="I10" s="442">
        <f t="shared" si="0"/>
        <v>10911.128068532005</v>
      </c>
      <c r="J10" s="425"/>
    </row>
    <row r="11" spans="1:18" s="224" customFormat="1" ht="17.649999999999999">
      <c r="A11" s="426" t="s">
        <v>207</v>
      </c>
      <c r="B11" s="442">
        <f>'Revenue at Prior Year Rates'!L13</f>
        <v>48393.383274871361</v>
      </c>
      <c r="C11" s="442">
        <f>'Cost Allocation Study'!K12</f>
        <v>59028.186950306343</v>
      </c>
      <c r="D11" s="442">
        <f>'Cost Allocation Study'!K30</f>
        <v>62888.528108738392</v>
      </c>
      <c r="E11" s="442">
        <f>'Cost Allocation Study'!K49</f>
        <v>64056.184223041935</v>
      </c>
      <c r="F11" s="442">
        <f>'Cost Allocation Study'!K67</f>
        <v>62548.295949943567</v>
      </c>
      <c r="G11" s="442">
        <f>'Cost Allocation Study'!K85</f>
        <v>66076.169870689424</v>
      </c>
      <c r="H11" s="444"/>
      <c r="I11" s="442">
        <f t="shared" si="0"/>
        <v>314597.36510271963</v>
      </c>
      <c r="J11" s="425"/>
    </row>
    <row r="12" spans="1:18" s="224" customFormat="1" ht="18" customHeight="1" thickBot="1">
      <c r="A12" s="427" t="s">
        <v>1</v>
      </c>
      <c r="B12" s="443">
        <f t="shared" ref="B12:G12" si="1">SUM(B4:B11)</f>
        <v>18552621.626779288</v>
      </c>
      <c r="C12" s="443">
        <f t="shared" si="1"/>
        <v>20975186.088408258</v>
      </c>
      <c r="D12" s="443">
        <f t="shared" si="1"/>
        <v>22438785.172218252</v>
      </c>
      <c r="E12" s="443">
        <f t="shared" si="1"/>
        <v>23078999.228100404</v>
      </c>
      <c r="F12" s="443">
        <f t="shared" si="1"/>
        <v>23740530.441478152</v>
      </c>
      <c r="G12" s="443">
        <f t="shared" si="1"/>
        <v>24974131.412480351</v>
      </c>
      <c r="H12" s="444"/>
      <c r="I12" s="443">
        <f>SUM(I4:I11)</f>
        <v>115207632.34268545</v>
      </c>
      <c r="J12" s="425"/>
    </row>
    <row r="13" spans="1:18" s="224" customFormat="1" ht="18" customHeight="1" thickTop="1">
      <c r="B13" s="428"/>
      <c r="C13" s="432"/>
      <c r="D13" s="432"/>
      <c r="E13" s="432"/>
      <c r="F13" s="432"/>
      <c r="G13" s="432"/>
      <c r="H13" s="425"/>
      <c r="I13" s="432"/>
      <c r="J13" s="425"/>
    </row>
    <row r="14" spans="1:18" s="224" customFormat="1" ht="18" customHeight="1">
      <c r="A14" s="461" t="s">
        <v>319</v>
      </c>
      <c r="B14" s="428"/>
      <c r="C14" s="432"/>
      <c r="D14" s="432"/>
      <c r="E14" s="432"/>
      <c r="F14" s="432"/>
      <c r="G14" s="432"/>
      <c r="H14" s="425"/>
      <c r="I14" s="432"/>
      <c r="J14" s="425"/>
    </row>
    <row r="15" spans="1:18" s="431" customFormat="1" ht="17.649999999999999">
      <c r="A15" s="436" t="s">
        <v>0</v>
      </c>
      <c r="B15" s="441" t="s">
        <v>324</v>
      </c>
      <c r="C15" s="441" t="s">
        <v>266</v>
      </c>
      <c r="D15" s="441" t="s">
        <v>267</v>
      </c>
      <c r="E15" s="441" t="s">
        <v>268</v>
      </c>
      <c r="F15" s="441" t="s">
        <v>269</v>
      </c>
      <c r="G15" s="441" t="s">
        <v>270</v>
      </c>
      <c r="H15" s="430"/>
      <c r="I15" s="432"/>
      <c r="J15" s="430"/>
      <c r="K15" s="224"/>
      <c r="L15" s="224"/>
      <c r="M15" s="224"/>
      <c r="N15" s="224"/>
      <c r="O15" s="224"/>
      <c r="P15" s="224"/>
      <c r="Q15" s="224"/>
      <c r="R15" s="224"/>
    </row>
    <row r="16" spans="1:18" s="290" customFormat="1" ht="17.649999999999999">
      <c r="A16" s="438" t="s">
        <v>97</v>
      </c>
      <c r="B16" s="442">
        <f>'Other Dist &amp; Rate Riders'!B37</f>
        <v>2509024.154340032</v>
      </c>
      <c r="C16" s="442">
        <f>'Other Dist &amp; Rate Riders'!C37</f>
        <v>2801636.9342928696</v>
      </c>
      <c r="D16" s="442">
        <f>'Other Dist &amp; Rate Riders'!D37</f>
        <v>2210262.8594987532</v>
      </c>
      <c r="E16" s="442">
        <f>'Other Dist &amp; Rate Riders'!E37</f>
        <v>2214386.8692710232</v>
      </c>
      <c r="F16" s="442">
        <f>'Other Dist &amp; Rate Riders'!F37</f>
        <v>2159127.7917985697</v>
      </c>
      <c r="G16" s="442">
        <f>'Other Dist &amp; Rate Riders'!G37</f>
        <v>2152544.4155544671</v>
      </c>
      <c r="H16" s="444"/>
      <c r="I16" s="432"/>
      <c r="J16" s="425"/>
      <c r="K16" s="224"/>
      <c r="L16" s="224"/>
      <c r="M16" s="224"/>
      <c r="N16" s="224"/>
      <c r="O16" s="224"/>
      <c r="P16" s="224"/>
      <c r="Q16" s="224"/>
      <c r="R16" s="224"/>
    </row>
    <row r="17" spans="1:18" s="290" customFormat="1" ht="17.649999999999999">
      <c r="A17" s="438" t="s">
        <v>212</v>
      </c>
      <c r="B17" s="442">
        <f>'Other Dist &amp; Rate Riders'!B38</f>
        <v>706219.35609406105</v>
      </c>
      <c r="C17" s="442">
        <f>'Other Dist &amp; Rate Riders'!C38</f>
        <v>783496.35874232696</v>
      </c>
      <c r="D17" s="442">
        <f>'Other Dist &amp; Rate Riders'!D38</f>
        <v>606585.08023514296</v>
      </c>
      <c r="E17" s="442">
        <f>'Other Dist &amp; Rate Riders'!E38</f>
        <v>607526.30338925973</v>
      </c>
      <c r="F17" s="442">
        <f>'Other Dist &amp; Rate Riders'!F38</f>
        <v>582883.33419877</v>
      </c>
      <c r="G17" s="442">
        <f>'Other Dist &amp; Rate Riders'!G38</f>
        <v>580319.64771758264</v>
      </c>
      <c r="H17" s="444"/>
      <c r="I17" s="432"/>
      <c r="J17" s="425"/>
      <c r="K17" s="224"/>
      <c r="L17" s="224"/>
      <c r="M17" s="224"/>
      <c r="N17" s="224"/>
      <c r="O17" s="224"/>
      <c r="P17" s="224"/>
      <c r="Q17" s="224"/>
      <c r="R17" s="224"/>
    </row>
    <row r="18" spans="1:18" s="290" customFormat="1" ht="17.649999999999999">
      <c r="A18" s="438" t="s">
        <v>213</v>
      </c>
      <c r="B18" s="442">
        <f>'Other Dist &amp; Rate Riders'!B39</f>
        <v>1336228.1360260192</v>
      </c>
      <c r="C18" s="442">
        <f>'Other Dist &amp; Rate Riders'!C39</f>
        <v>1523453.7430499445</v>
      </c>
      <c r="D18" s="442">
        <f>'Other Dist &amp; Rate Riders'!D39</f>
        <v>1532273.0541973496</v>
      </c>
      <c r="E18" s="442">
        <f>'Other Dist &amp; Rate Riders'!E39</f>
        <v>1541437.3279412608</v>
      </c>
      <c r="F18" s="442">
        <f>'Other Dist &amp; Rate Riders'!F39</f>
        <v>1482542.8963378966</v>
      </c>
      <c r="G18" s="442">
        <f>'Other Dist &amp; Rate Riders'!G39</f>
        <v>1484407.4959022598</v>
      </c>
      <c r="H18" s="444"/>
      <c r="I18" s="432"/>
      <c r="J18" s="425"/>
      <c r="K18" s="224"/>
      <c r="L18" s="224"/>
      <c r="M18" s="224"/>
      <c r="N18" s="224"/>
      <c r="O18" s="224"/>
      <c r="P18" s="224"/>
      <c r="Q18" s="224"/>
      <c r="R18" s="224"/>
    </row>
    <row r="19" spans="1:18" s="290" customFormat="1" ht="17.649999999999999">
      <c r="A19" s="438" t="s">
        <v>214</v>
      </c>
      <c r="B19" s="442">
        <f>'Other Dist &amp; Rate Riders'!B40</f>
        <v>318184.15513403976</v>
      </c>
      <c r="C19" s="442">
        <f>'Other Dist &amp; Rate Riders'!C40</f>
        <v>392955.34302026499</v>
      </c>
      <c r="D19" s="442">
        <f>'Other Dist &amp; Rate Riders'!D40</f>
        <v>396370.47500842344</v>
      </c>
      <c r="E19" s="442">
        <f>'Other Dist &amp; Rate Riders'!E40</f>
        <v>393552.63668944605</v>
      </c>
      <c r="F19" s="442">
        <f>'Other Dist &amp; Rate Riders'!F40</f>
        <v>337527.74782145169</v>
      </c>
      <c r="G19" s="442">
        <f>'Other Dist &amp; Rate Riders'!G40</f>
        <v>340252.37808652339</v>
      </c>
      <c r="H19" s="444"/>
      <c r="I19" s="432"/>
      <c r="J19" s="425"/>
      <c r="K19" s="224"/>
      <c r="L19" s="224"/>
      <c r="M19" s="224"/>
      <c r="N19" s="224"/>
      <c r="O19" s="224"/>
      <c r="P19" s="224"/>
      <c r="Q19" s="224"/>
      <c r="R19" s="224"/>
    </row>
    <row r="20" spans="1:18" s="290" customFormat="1" ht="17.649999999999999">
      <c r="A20" s="438" t="s">
        <v>98</v>
      </c>
      <c r="B20" s="442">
        <f>'Other Dist &amp; Rate Riders'!B41</f>
        <v>-2339.3953000000001</v>
      </c>
      <c r="C20" s="442">
        <f>'Other Dist &amp; Rate Riders'!C41</f>
        <v>-2420.9020310902479</v>
      </c>
      <c r="D20" s="442">
        <f>'Other Dist &amp; Rate Riders'!D41</f>
        <v>0</v>
      </c>
      <c r="E20" s="442">
        <f>'Other Dist &amp; Rate Riders'!E41</f>
        <v>0</v>
      </c>
      <c r="F20" s="442">
        <f>'Other Dist &amp; Rate Riders'!F41</f>
        <v>0</v>
      </c>
      <c r="G20" s="442">
        <f>'Other Dist &amp; Rate Riders'!G41</f>
        <v>0</v>
      </c>
      <c r="H20" s="444"/>
      <c r="I20" s="432"/>
      <c r="J20" s="425"/>
      <c r="K20" s="224"/>
      <c r="L20" s="224"/>
      <c r="M20" s="224"/>
      <c r="N20" s="224"/>
      <c r="O20" s="224"/>
      <c r="P20" s="224"/>
      <c r="Q20" s="224"/>
      <c r="R20" s="224"/>
    </row>
    <row r="21" spans="1:18" s="224" customFormat="1" ht="17.649999999999999">
      <c r="A21" s="438" t="s">
        <v>99</v>
      </c>
      <c r="B21" s="442">
        <f>'Other Dist &amp; Rate Riders'!B42</f>
        <v>41602.677503480292</v>
      </c>
      <c r="C21" s="442">
        <f>'Other Dist &amp; Rate Riders'!C42</f>
        <v>47624.505709752615</v>
      </c>
      <c r="D21" s="442">
        <f>'Other Dist &amp; Rate Riders'!D42</f>
        <v>23560.148141351339</v>
      </c>
      <c r="E21" s="442">
        <f>'Other Dist &amp; Rate Riders'!E42</f>
        <v>21831.950869483895</v>
      </c>
      <c r="F21" s="442">
        <f>'Other Dist &amp; Rate Riders'!F42</f>
        <v>22096.49569089225</v>
      </c>
      <c r="G21" s="442">
        <f>'Other Dist &amp; Rate Riders'!G42</f>
        <v>23017.772793387529</v>
      </c>
      <c r="H21" s="444"/>
      <c r="I21" s="432"/>
      <c r="J21" s="425"/>
    </row>
    <row r="22" spans="1:18" s="224" customFormat="1" ht="17.649999999999999">
      <c r="A22" s="438" t="s">
        <v>208</v>
      </c>
      <c r="B22" s="442">
        <f>'Other Dist &amp; Rate Riders'!B43</f>
        <v>0</v>
      </c>
      <c r="C22" s="442">
        <f>'Other Dist &amp; Rate Riders'!C43</f>
        <v>178.3994410378186</v>
      </c>
      <c r="D22" s="442">
        <f>'Other Dist &amp; Rate Riders'!D43</f>
        <v>148.02940266322204</v>
      </c>
      <c r="E22" s="442">
        <f>'Other Dist &amp; Rate Riders'!E43</f>
        <v>142.27598768967894</v>
      </c>
      <c r="F22" s="442">
        <f>'Other Dist &amp; Rate Riders'!F43</f>
        <v>149.98832661221033</v>
      </c>
      <c r="G22" s="442">
        <f>'Other Dist &amp; Rate Riders'!G43</f>
        <v>144.20439238044975</v>
      </c>
      <c r="H22" s="444"/>
      <c r="I22" s="432"/>
      <c r="J22" s="425"/>
    </row>
    <row r="23" spans="1:18" s="224" customFormat="1" ht="17.649999999999999">
      <c r="A23" s="438" t="s">
        <v>207</v>
      </c>
      <c r="B23" s="442">
        <f>'Other Dist &amp; Rate Riders'!B44</f>
        <v>11279.306851545505</v>
      </c>
      <c r="C23" s="442">
        <f>'Other Dist &amp; Rate Riders'!C44</f>
        <v>12621.543088266839</v>
      </c>
      <c r="D23" s="442">
        <f>'Other Dist &amp; Rate Riders'!D44</f>
        <v>11997.225612688435</v>
      </c>
      <c r="E23" s="442">
        <f>'Other Dist &amp; Rate Riders'!E44</f>
        <v>11930.615692047986</v>
      </c>
      <c r="F23" s="442">
        <f>'Other Dist &amp; Rate Riders'!F44</f>
        <v>11751.923875876382</v>
      </c>
      <c r="G23" s="442">
        <f>'Other Dist &amp; Rate Riders'!G44</f>
        <v>11969.103375278539</v>
      </c>
      <c r="H23" s="444"/>
      <c r="I23" s="432"/>
      <c r="J23" s="425"/>
    </row>
    <row r="24" spans="1:18" s="224" customFormat="1" ht="18" customHeight="1" thickBot="1">
      <c r="A24" s="427" t="s">
        <v>1</v>
      </c>
      <c r="B24" s="443">
        <f t="shared" ref="B24:G24" si="2">SUM(B16:B23)</f>
        <v>4920198.3906491781</v>
      </c>
      <c r="C24" s="443">
        <f t="shared" si="2"/>
        <v>5559545.9253133731</v>
      </c>
      <c r="D24" s="443">
        <f t="shared" si="2"/>
        <v>4781196.8720963728</v>
      </c>
      <c r="E24" s="443">
        <f t="shared" si="2"/>
        <v>4790807.9798402106</v>
      </c>
      <c r="F24" s="443">
        <f t="shared" si="2"/>
        <v>4596080.1780500701</v>
      </c>
      <c r="G24" s="443">
        <f t="shared" si="2"/>
        <v>4592655.0178218791</v>
      </c>
      <c r="H24" s="444"/>
      <c r="I24" s="432"/>
      <c r="J24" s="425"/>
    </row>
    <row r="25" spans="1:18" s="224" customFormat="1" ht="18" customHeight="1" thickTop="1">
      <c r="B25" s="428"/>
      <c r="C25" s="432"/>
      <c r="D25" s="432"/>
      <c r="E25" s="432"/>
      <c r="F25" s="432"/>
      <c r="G25" s="432"/>
      <c r="H25" s="425"/>
      <c r="I25" s="432"/>
      <c r="J25" s="425"/>
    </row>
    <row r="26" spans="1:18" s="224" customFormat="1" ht="18" customHeight="1">
      <c r="A26" s="461" t="s">
        <v>329</v>
      </c>
      <c r="B26" s="428"/>
      <c r="C26" s="432"/>
      <c r="D26" s="432"/>
      <c r="E26" s="432"/>
      <c r="F26" s="432"/>
      <c r="G26" s="432"/>
      <c r="H26" s="425"/>
      <c r="I26" s="432"/>
      <c r="J26" s="425"/>
    </row>
    <row r="27" spans="1:18" s="224" customFormat="1" ht="18" customHeight="1">
      <c r="A27" s="433" t="s">
        <v>0</v>
      </c>
      <c r="B27" s="441" t="s">
        <v>324</v>
      </c>
      <c r="C27" s="441" t="s">
        <v>266</v>
      </c>
      <c r="D27" s="441" t="s">
        <v>267</v>
      </c>
      <c r="E27" s="441" t="s">
        <v>268</v>
      </c>
      <c r="F27" s="441" t="s">
        <v>269</v>
      </c>
      <c r="G27" s="441" t="s">
        <v>270</v>
      </c>
      <c r="H27" s="430"/>
      <c r="I27" s="441" t="s">
        <v>330</v>
      </c>
      <c r="J27" s="425"/>
    </row>
    <row r="28" spans="1:18" s="224" customFormat="1" ht="17.649999999999999">
      <c r="A28" s="426" t="s">
        <v>97</v>
      </c>
      <c r="B28" s="442">
        <f>B4+B16</f>
        <v>13550085.014308732</v>
      </c>
      <c r="C28" s="442">
        <f t="shared" ref="C28:G28" si="3">C4+C16</f>
        <v>15647239.530073881</v>
      </c>
      <c r="D28" s="442">
        <f t="shared" si="3"/>
        <v>16134757.964812372</v>
      </c>
      <c r="E28" s="442">
        <f t="shared" si="3"/>
        <v>16554841.375171091</v>
      </c>
      <c r="F28" s="442">
        <f t="shared" si="3"/>
        <v>17101768.026159298</v>
      </c>
      <c r="G28" s="442">
        <f t="shared" si="3"/>
        <v>17910689.024476115</v>
      </c>
      <c r="H28" s="444"/>
      <c r="I28" s="442">
        <f>SUM(C28:G28)</f>
        <v>83349295.920692757</v>
      </c>
      <c r="J28" s="425"/>
    </row>
    <row r="29" spans="1:18" s="224" customFormat="1" ht="17.649999999999999">
      <c r="A29" s="426" t="s">
        <v>212</v>
      </c>
      <c r="B29" s="442">
        <f t="shared" ref="B29:G29" si="4">B5+B17</f>
        <v>3387800.0923262108</v>
      </c>
      <c r="C29" s="442">
        <f t="shared" si="4"/>
        <v>3489671.4914027583</v>
      </c>
      <c r="D29" s="442">
        <f t="shared" si="4"/>
        <v>3499506.271703152</v>
      </c>
      <c r="E29" s="442">
        <f t="shared" si="4"/>
        <v>3583717.1448784429</v>
      </c>
      <c r="F29" s="442">
        <f t="shared" si="4"/>
        <v>3598003.3761686962</v>
      </c>
      <c r="G29" s="442">
        <f t="shared" si="4"/>
        <v>3725990.6291123657</v>
      </c>
      <c r="H29" s="444"/>
      <c r="I29" s="442">
        <f t="shared" ref="I29:I35" si="5">SUM(C29:G29)</f>
        <v>17896888.913265415</v>
      </c>
      <c r="J29" s="425"/>
    </row>
    <row r="30" spans="1:18" s="224" customFormat="1" ht="17.649999999999999">
      <c r="A30" s="426" t="s">
        <v>213</v>
      </c>
      <c r="B30" s="442">
        <f t="shared" ref="B30:G30" si="6">B6+B18</f>
        <v>4692647.4836908067</v>
      </c>
      <c r="C30" s="442">
        <f t="shared" si="6"/>
        <v>5318147.6495151166</v>
      </c>
      <c r="D30" s="442">
        <f t="shared" si="6"/>
        <v>5636897.5352780595</v>
      </c>
      <c r="E30" s="442">
        <f t="shared" si="6"/>
        <v>5762890.989397211</v>
      </c>
      <c r="F30" s="442">
        <f t="shared" si="6"/>
        <v>5713910.2132916786</v>
      </c>
      <c r="G30" s="442">
        <f t="shared" si="6"/>
        <v>5900701.2171980189</v>
      </c>
      <c r="H30" s="444"/>
      <c r="I30" s="442">
        <f t="shared" si="5"/>
        <v>28332547.604680084</v>
      </c>
      <c r="J30" s="425"/>
    </row>
    <row r="31" spans="1:18" s="224" customFormat="1" ht="17.649999999999999">
      <c r="A31" s="426" t="s">
        <v>214</v>
      </c>
      <c r="B31" s="442">
        <f t="shared" ref="B31:G31" si="7">B7+B19</f>
        <v>890772.89888849435</v>
      </c>
      <c r="C31" s="442">
        <f t="shared" si="7"/>
        <v>873233.08650831156</v>
      </c>
      <c r="D31" s="442">
        <f t="shared" si="7"/>
        <v>909366.75628971739</v>
      </c>
      <c r="E31" s="442">
        <f t="shared" si="7"/>
        <v>915058.72722840589</v>
      </c>
      <c r="F31" s="442">
        <f t="shared" si="7"/>
        <v>845406.45820549922</v>
      </c>
      <c r="G31" s="442">
        <f t="shared" si="7"/>
        <v>886161.65776112885</v>
      </c>
      <c r="H31" s="444"/>
      <c r="I31" s="442">
        <f t="shared" si="5"/>
        <v>4429226.6859930633</v>
      </c>
      <c r="J31" s="425"/>
    </row>
    <row r="32" spans="1:18" s="224" customFormat="1" ht="17.649999999999999">
      <c r="A32" s="426" t="s">
        <v>98</v>
      </c>
      <c r="B32" s="442">
        <f t="shared" ref="B32:G32" si="8">B8+B20</f>
        <v>237059.70279535273</v>
      </c>
      <c r="C32" s="442">
        <f t="shared" si="8"/>
        <v>223714.63785207973</v>
      </c>
      <c r="D32" s="442">
        <f t="shared" si="8"/>
        <v>241692.35597608244</v>
      </c>
      <c r="E32" s="442">
        <f t="shared" si="8"/>
        <v>247231.65297761772</v>
      </c>
      <c r="F32" s="442">
        <f t="shared" si="8"/>
        <v>246598.40177299242</v>
      </c>
      <c r="G32" s="442">
        <f t="shared" si="8"/>
        <v>253274.0101964004</v>
      </c>
      <c r="H32" s="444"/>
      <c r="I32" s="442">
        <f t="shared" si="5"/>
        <v>1212511.0587751728</v>
      </c>
    </row>
    <row r="33" spans="1:13" s="224" customFormat="1" ht="17.649999999999999">
      <c r="A33" s="426" t="s">
        <v>99</v>
      </c>
      <c r="B33" s="442">
        <f t="shared" ref="B33:G33" si="9">B9+B21</f>
        <v>652950.65213798417</v>
      </c>
      <c r="C33" s="442">
        <f t="shared" si="9"/>
        <v>908826.8543099307</v>
      </c>
      <c r="D33" s="442">
        <f t="shared" si="9"/>
        <v>720588.43191352102</v>
      </c>
      <c r="E33" s="442">
        <f t="shared" si="9"/>
        <v>727827.83709314035</v>
      </c>
      <c r="F33" s="442">
        <f t="shared" si="9"/>
        <v>754188.5456803065</v>
      </c>
      <c r="G33" s="442">
        <f t="shared" si="9"/>
        <v>809474.66103814309</v>
      </c>
      <c r="H33" s="444"/>
      <c r="I33" s="442">
        <f t="shared" si="5"/>
        <v>3920906.3300350416</v>
      </c>
    </row>
    <row r="34" spans="1:13" s="224" customFormat="1" ht="17.649999999999999">
      <c r="A34" s="426" t="s">
        <v>208</v>
      </c>
      <c r="B34" s="442">
        <f t="shared" ref="B34:G34" si="10">B10+B22</f>
        <v>1831.4831544665235</v>
      </c>
      <c r="C34" s="442">
        <f t="shared" si="10"/>
        <v>2249.0340209758406</v>
      </c>
      <c r="D34" s="442">
        <f t="shared" si="10"/>
        <v>2286.97462029501</v>
      </c>
      <c r="E34" s="442">
        <f t="shared" si="10"/>
        <v>2252.6812796166851</v>
      </c>
      <c r="F34" s="442">
        <f t="shared" si="10"/>
        <v>2435.3784239338297</v>
      </c>
      <c r="G34" s="442">
        <f t="shared" si="10"/>
        <v>2449.9572740940193</v>
      </c>
      <c r="H34" s="444"/>
      <c r="I34" s="442">
        <f t="shared" si="5"/>
        <v>11674.025618915384</v>
      </c>
    </row>
    <row r="35" spans="1:13" s="224" customFormat="1" ht="17.649999999999999">
      <c r="A35" s="426" t="s">
        <v>207</v>
      </c>
      <c r="B35" s="442">
        <f t="shared" ref="B35:G35" si="11">B11+B23</f>
        <v>59672.69012641687</v>
      </c>
      <c r="C35" s="442">
        <f t="shared" si="11"/>
        <v>71649.73003857318</v>
      </c>
      <c r="D35" s="442">
        <f t="shared" si="11"/>
        <v>74885.753721426823</v>
      </c>
      <c r="E35" s="442">
        <f t="shared" si="11"/>
        <v>75986.799915089927</v>
      </c>
      <c r="F35" s="442">
        <f t="shared" si="11"/>
        <v>74300.21982581995</v>
      </c>
      <c r="G35" s="442">
        <f t="shared" si="11"/>
        <v>78045.273245967968</v>
      </c>
      <c r="H35" s="444"/>
      <c r="I35" s="442">
        <f t="shared" si="5"/>
        <v>374867.77674687788</v>
      </c>
    </row>
    <row r="36" spans="1:13" s="224" customFormat="1" ht="18" thickBot="1">
      <c r="A36" s="427" t="s">
        <v>1</v>
      </c>
      <c r="B36" s="443">
        <f t="shared" ref="B36:G36" si="12">SUM(B28:B35)</f>
        <v>23472820.017428465</v>
      </c>
      <c r="C36" s="443">
        <f t="shared" si="12"/>
        <v>26534732.013721626</v>
      </c>
      <c r="D36" s="443">
        <f t="shared" si="12"/>
        <v>27219982.044314623</v>
      </c>
      <c r="E36" s="443">
        <f t="shared" si="12"/>
        <v>27869807.207940623</v>
      </c>
      <c r="F36" s="443">
        <f t="shared" si="12"/>
        <v>28336610.619528219</v>
      </c>
      <c r="G36" s="443">
        <f t="shared" si="12"/>
        <v>29566786.430302233</v>
      </c>
      <c r="H36" s="444"/>
      <c r="I36" s="443">
        <f>SUM(I28:I35)</f>
        <v>139527918.31580731</v>
      </c>
    </row>
    <row r="37" spans="1:13" s="224" customFormat="1" ht="13.15" thickTop="1">
      <c r="B37" s="428"/>
      <c r="C37" s="428"/>
      <c r="I37" s="432"/>
      <c r="L37" s="428"/>
      <c r="M37" s="428"/>
    </row>
    <row r="38" spans="1:13" s="224" customFormat="1" ht="13.15" thickBot="1">
      <c r="B38" s="428"/>
      <c r="C38" s="428"/>
      <c r="L38" s="428"/>
      <c r="M38" s="428"/>
    </row>
    <row r="39" spans="1:13" s="224" customFormat="1">
      <c r="B39" s="428"/>
      <c r="C39" s="428"/>
      <c r="K39" s="627" t="s">
        <v>331</v>
      </c>
      <c r="L39" s="628"/>
      <c r="M39" s="428"/>
    </row>
    <row r="40" spans="1:13" s="224" customFormat="1" ht="17.649999999999999">
      <c r="A40" s="461" t="s">
        <v>333</v>
      </c>
      <c r="B40" s="425"/>
      <c r="C40" s="425"/>
      <c r="D40" s="425"/>
      <c r="E40" s="425"/>
      <c r="F40" s="425"/>
      <c r="G40" s="425"/>
      <c r="H40" s="425"/>
      <c r="I40" s="425"/>
      <c r="J40" s="290"/>
      <c r="K40" s="629"/>
      <c r="L40" s="630"/>
      <c r="M40" s="428"/>
    </row>
    <row r="41" spans="1:13" s="224" customFormat="1" ht="17.649999999999999" thickBot="1">
      <c r="A41" s="480" t="s">
        <v>332</v>
      </c>
      <c r="B41" s="310"/>
      <c r="C41" s="310"/>
      <c r="D41" s="310"/>
      <c r="E41" s="310"/>
      <c r="F41" s="310"/>
      <c r="G41" s="310"/>
      <c r="H41" s="310"/>
      <c r="I41" s="310"/>
      <c r="J41" s="290"/>
      <c r="K41" s="631"/>
      <c r="L41" s="632"/>
      <c r="M41" s="428"/>
    </row>
    <row r="42" spans="1:13" s="224" customFormat="1" ht="17.649999999999999">
      <c r="A42" s="433" t="s">
        <v>0</v>
      </c>
      <c r="B42" s="441" t="s">
        <v>324</v>
      </c>
      <c r="C42" s="441" t="s">
        <v>266</v>
      </c>
      <c r="D42" s="441" t="s">
        <v>267</v>
      </c>
      <c r="E42" s="441" t="s">
        <v>268</v>
      </c>
      <c r="F42" s="441" t="s">
        <v>269</v>
      </c>
      <c r="G42" s="441" t="s">
        <v>270</v>
      </c>
      <c r="H42" s="430"/>
      <c r="I42" s="441" t="s">
        <v>330</v>
      </c>
      <c r="J42" s="431"/>
      <c r="K42" s="476" t="s">
        <v>318</v>
      </c>
      <c r="L42" s="478" t="s">
        <v>37</v>
      </c>
      <c r="M42" s="428"/>
    </row>
    <row r="43" spans="1:13" s="224" customFormat="1" ht="17.649999999999999">
      <c r="A43" s="426" t="s">
        <v>97</v>
      </c>
      <c r="B43" s="442">
        <f>B28</f>
        <v>13550085.014308732</v>
      </c>
      <c r="C43" s="442">
        <f t="shared" ref="C43:G50" si="13">B43*(1+$K43)</f>
        <v>14807452.172841201</v>
      </c>
      <c r="D43" s="442">
        <f t="shared" si="13"/>
        <v>16181495.512348663</v>
      </c>
      <c r="E43" s="442">
        <f t="shared" si="13"/>
        <v>17683041.887274172</v>
      </c>
      <c r="F43" s="442">
        <f t="shared" si="13"/>
        <v>19323922.819647189</v>
      </c>
      <c r="G43" s="442">
        <f t="shared" si="13"/>
        <v>21117067.726249833</v>
      </c>
      <c r="H43" s="444"/>
      <c r="I43" s="442">
        <f>SUM(C43:G43)</f>
        <v>89112980.118361056</v>
      </c>
      <c r="J43" s="290"/>
      <c r="K43" s="477">
        <v>9.2794042045101804E-2</v>
      </c>
      <c r="L43" s="479">
        <f>I28-I43</f>
        <v>-5763684.1976682991</v>
      </c>
      <c r="M43" s="428"/>
    </row>
    <row r="44" spans="1:13" s="224" customFormat="1" ht="17.649999999999999">
      <c r="A44" s="426" t="s">
        <v>212</v>
      </c>
      <c r="B44" s="442">
        <f t="shared" ref="B44:C50" si="14">B29</f>
        <v>3387800.0923262108</v>
      </c>
      <c r="C44" s="442">
        <f>B44*(1+$K44)</f>
        <v>3504419.9030233412</v>
      </c>
      <c r="D44" s="442">
        <f>C44*(1+$K44)</f>
        <v>3625054.1714441846</v>
      </c>
      <c r="E44" s="442">
        <f t="shared" si="13"/>
        <v>3749841.0891251457</v>
      </c>
      <c r="F44" s="442">
        <f t="shared" si="13"/>
        <v>3878923.6046338524</v>
      </c>
      <c r="G44" s="442">
        <f t="shared" si="13"/>
        <v>4012449.5873226421</v>
      </c>
      <c r="H44" s="444"/>
      <c r="I44" s="442">
        <f t="shared" ref="I44:I50" si="15">SUM(C44:G44)</f>
        <v>18770688.355549168</v>
      </c>
      <c r="J44" s="290"/>
      <c r="K44" s="477">
        <v>3.4423462872348529E-2</v>
      </c>
      <c r="L44" s="479">
        <f t="shared" ref="L44:L50" si="16">I29-I44</f>
        <v>-873799.44228375331</v>
      </c>
      <c r="M44" s="428"/>
    </row>
    <row r="45" spans="1:13" s="224" customFormat="1" ht="17.649999999999999">
      <c r="A45" s="426" t="s">
        <v>213</v>
      </c>
      <c r="B45" s="442">
        <f t="shared" si="14"/>
        <v>4692647.4836908067</v>
      </c>
      <c r="C45" s="442">
        <f t="shared" si="13"/>
        <v>4913049.3359883679</v>
      </c>
      <c r="D45" s="442">
        <f t="shared" si="13"/>
        <v>5143802.9090714827</v>
      </c>
      <c r="E45" s="442">
        <f t="shared" si="13"/>
        <v>5385394.3972352752</v>
      </c>
      <c r="F45" s="442">
        <f t="shared" si="13"/>
        <v>5638332.8300983412</v>
      </c>
      <c r="G45" s="442">
        <f t="shared" si="13"/>
        <v>5903151.1451204689</v>
      </c>
      <c r="H45" s="444"/>
      <c r="I45" s="442">
        <f t="shared" si="15"/>
        <v>26983730.617513936</v>
      </c>
      <c r="J45" s="290"/>
      <c r="K45" s="477">
        <v>4.6967485425564823E-2</v>
      </c>
      <c r="L45" s="520">
        <f t="shared" si="16"/>
        <v>1348816.9871661477</v>
      </c>
      <c r="M45" s="428"/>
    </row>
    <row r="46" spans="1:13" s="224" customFormat="1" ht="17.649999999999999">
      <c r="A46" s="510" t="s">
        <v>214</v>
      </c>
      <c r="B46" s="511">
        <f t="shared" si="14"/>
        <v>890772.89888849435</v>
      </c>
      <c r="C46" s="511">
        <f>C31</f>
        <v>873233.08650831156</v>
      </c>
      <c r="D46" s="511">
        <f t="shared" ref="D46:G46" si="17">D31</f>
        <v>909366.75628971739</v>
      </c>
      <c r="E46" s="511">
        <f t="shared" si="17"/>
        <v>915058.72722840589</v>
      </c>
      <c r="F46" s="511">
        <f t="shared" si="17"/>
        <v>845406.45820549922</v>
      </c>
      <c r="G46" s="511">
        <f t="shared" si="17"/>
        <v>886161.65776112885</v>
      </c>
      <c r="H46" s="512"/>
      <c r="I46" s="511">
        <f t="shared" si="15"/>
        <v>4429226.6859930633</v>
      </c>
      <c r="J46" s="506" t="s">
        <v>348</v>
      </c>
      <c r="K46" s="477"/>
      <c r="L46" s="479">
        <f t="shared" si="16"/>
        <v>0</v>
      </c>
      <c r="M46" s="428"/>
    </row>
    <row r="47" spans="1:13" s="224" customFormat="1" ht="17.649999999999999">
      <c r="A47" s="510" t="s">
        <v>98</v>
      </c>
      <c r="B47" s="511">
        <f t="shared" si="14"/>
        <v>237059.70279535273</v>
      </c>
      <c r="C47" s="511">
        <f t="shared" si="14"/>
        <v>223714.63785207973</v>
      </c>
      <c r="D47" s="511">
        <f t="shared" ref="D47:G47" si="18">D32</f>
        <v>241692.35597608244</v>
      </c>
      <c r="E47" s="511">
        <f t="shared" si="18"/>
        <v>247231.65297761772</v>
      </c>
      <c r="F47" s="511">
        <f t="shared" si="18"/>
        <v>246598.40177299242</v>
      </c>
      <c r="G47" s="511">
        <f t="shared" si="18"/>
        <v>253274.0101964004</v>
      </c>
      <c r="H47" s="512"/>
      <c r="I47" s="511">
        <f t="shared" si="15"/>
        <v>1212511.0587751728</v>
      </c>
      <c r="J47" s="506" t="s">
        <v>348</v>
      </c>
      <c r="K47" s="477"/>
      <c r="L47" s="479">
        <f t="shared" si="16"/>
        <v>0</v>
      </c>
      <c r="M47" s="428"/>
    </row>
    <row r="48" spans="1:13" s="224" customFormat="1" ht="17.649999999999999">
      <c r="A48" s="510" t="s">
        <v>99</v>
      </c>
      <c r="B48" s="511">
        <f t="shared" si="14"/>
        <v>652950.65213798417</v>
      </c>
      <c r="C48" s="511">
        <f t="shared" si="14"/>
        <v>908826.8543099307</v>
      </c>
      <c r="D48" s="511">
        <f t="shared" ref="D48:G48" si="19">D33</f>
        <v>720588.43191352102</v>
      </c>
      <c r="E48" s="511">
        <f t="shared" si="19"/>
        <v>727827.83709314035</v>
      </c>
      <c r="F48" s="511">
        <f t="shared" si="19"/>
        <v>754188.5456803065</v>
      </c>
      <c r="G48" s="511">
        <f t="shared" si="19"/>
        <v>809474.66103814309</v>
      </c>
      <c r="H48" s="512"/>
      <c r="I48" s="511">
        <f t="shared" si="15"/>
        <v>3920906.3300350416</v>
      </c>
      <c r="J48" s="506" t="s">
        <v>348</v>
      </c>
      <c r="K48" s="477"/>
      <c r="L48" s="479">
        <f t="shared" si="16"/>
        <v>0</v>
      </c>
      <c r="M48" s="428"/>
    </row>
    <row r="49" spans="1:13" s="224" customFormat="1" ht="17.649999999999999">
      <c r="A49" s="510" t="s">
        <v>208</v>
      </c>
      <c r="B49" s="511">
        <f t="shared" si="14"/>
        <v>1831.4831544665235</v>
      </c>
      <c r="C49" s="511">
        <f t="shared" si="14"/>
        <v>2249.0340209758406</v>
      </c>
      <c r="D49" s="511">
        <f t="shared" ref="D49:G49" si="20">D34</f>
        <v>2286.97462029501</v>
      </c>
      <c r="E49" s="511">
        <f t="shared" si="20"/>
        <v>2252.6812796166851</v>
      </c>
      <c r="F49" s="511">
        <f t="shared" si="20"/>
        <v>2435.3784239338297</v>
      </c>
      <c r="G49" s="511">
        <f t="shared" si="20"/>
        <v>2449.9572740940193</v>
      </c>
      <c r="H49" s="512"/>
      <c r="I49" s="511">
        <f t="shared" si="15"/>
        <v>11674.025618915384</v>
      </c>
      <c r="J49" s="506" t="s">
        <v>348</v>
      </c>
      <c r="K49" s="477"/>
      <c r="L49" s="479">
        <f t="shared" si="16"/>
        <v>0</v>
      </c>
      <c r="M49" s="428"/>
    </row>
    <row r="50" spans="1:13" s="224" customFormat="1" ht="17.649999999999999">
      <c r="A50" s="426" t="s">
        <v>207</v>
      </c>
      <c r="B50" s="442">
        <f t="shared" si="14"/>
        <v>59672.69012641687</v>
      </c>
      <c r="C50" s="442">
        <f t="shared" si="13"/>
        <v>65306.23362445736</v>
      </c>
      <c r="D50" s="442">
        <f t="shared" si="13"/>
        <v>71471.625314310208</v>
      </c>
      <c r="E50" s="442">
        <f t="shared" si="13"/>
        <v>78219.075600711352</v>
      </c>
      <c r="F50" s="442">
        <f t="shared" si="13"/>
        <v>85603.5351221374</v>
      </c>
      <c r="G50" s="442">
        <f t="shared" si="13"/>
        <v>93685.142263946269</v>
      </c>
      <c r="H50" s="444"/>
      <c r="I50" s="442">
        <f t="shared" si="15"/>
        <v>394285.61192556261</v>
      </c>
      <c r="K50" s="477">
        <v>9.440739953412193E-2</v>
      </c>
      <c r="L50" s="479">
        <f t="shared" si="16"/>
        <v>-19417.835178684734</v>
      </c>
      <c r="M50" s="428"/>
    </row>
    <row r="51" spans="1:13" s="224" customFormat="1" ht="18" thickBot="1">
      <c r="A51" s="427" t="s">
        <v>1</v>
      </c>
      <c r="B51" s="443">
        <f t="shared" ref="B51:G51" si="21">SUM(B43:B50)</f>
        <v>23472820.017428465</v>
      </c>
      <c r="C51" s="443">
        <f t="shared" si="21"/>
        <v>25298251.258168668</v>
      </c>
      <c r="D51" s="443">
        <f t="shared" si="21"/>
        <v>26895758.736978255</v>
      </c>
      <c r="E51" s="443">
        <f t="shared" si="21"/>
        <v>28788867.347814087</v>
      </c>
      <c r="F51" s="443">
        <f t="shared" si="21"/>
        <v>30775411.573584251</v>
      </c>
      <c r="G51" s="443">
        <f t="shared" si="21"/>
        <v>33077713.887226652</v>
      </c>
      <c r="H51" s="444"/>
      <c r="I51" s="443">
        <f>SUM(I43:I50)</f>
        <v>144836002.80377194</v>
      </c>
      <c r="L51" s="428"/>
      <c r="M51" s="428"/>
    </row>
    <row r="52" spans="1:13" ht="18" thickTop="1">
      <c r="A52" s="224"/>
      <c r="B52" s="428"/>
      <c r="C52" s="432"/>
      <c r="D52" s="432"/>
      <c r="E52" s="432"/>
      <c r="F52" s="432"/>
      <c r="G52" s="432"/>
      <c r="H52" s="425"/>
      <c r="I52" s="432"/>
      <c r="J52" s="224"/>
      <c r="K52" s="224"/>
      <c r="L52" s="101">
        <f>SUM(L43:L51)</f>
        <v>-5308084.4879645891</v>
      </c>
    </row>
    <row r="54" spans="1:13" ht="17.649999999999999">
      <c r="A54" s="461" t="s">
        <v>351</v>
      </c>
      <c r="B54" s="425"/>
      <c r="C54" s="425"/>
      <c r="D54" s="425"/>
      <c r="E54" s="425"/>
      <c r="F54" s="425"/>
      <c r="G54" s="425"/>
      <c r="H54" s="425"/>
      <c r="I54" s="425"/>
    </row>
    <row r="55" spans="1:13" ht="17.649999999999999">
      <c r="A55" s="436" t="s">
        <v>0</v>
      </c>
      <c r="B55" s="445"/>
      <c r="C55" s="441" t="s">
        <v>266</v>
      </c>
      <c r="D55" s="441" t="s">
        <v>267</v>
      </c>
      <c r="E55" s="441" t="s">
        <v>268</v>
      </c>
      <c r="F55" s="441" t="s">
        <v>269</v>
      </c>
      <c r="G55" s="441" t="s">
        <v>270</v>
      </c>
      <c r="H55" s="430"/>
      <c r="I55" s="441" t="s">
        <v>297</v>
      </c>
      <c r="K55" s="521" t="s">
        <v>355</v>
      </c>
      <c r="L55" s="523" t="s">
        <v>356</v>
      </c>
    </row>
    <row r="56" spans="1:13" ht="17.649999999999999">
      <c r="A56" s="438" t="s">
        <v>97</v>
      </c>
      <c r="B56" s="440"/>
      <c r="C56" s="442">
        <f>C28-C43</f>
        <v>839787.35723268054</v>
      </c>
      <c r="D56" s="442">
        <f t="shared" ref="D56:G56" si="22">D28-D43</f>
        <v>-46737.547536291182</v>
      </c>
      <c r="E56" s="442">
        <f t="shared" si="22"/>
        <v>-1128200.5121030807</v>
      </c>
      <c r="F56" s="442">
        <f t="shared" si="22"/>
        <v>-2222154.7934878916</v>
      </c>
      <c r="G56" s="442">
        <f t="shared" si="22"/>
        <v>-3206378.701773718</v>
      </c>
      <c r="H56" s="425"/>
      <c r="I56" s="442">
        <f>SUM(C56:G56)</f>
        <v>-5763684.1976683009</v>
      </c>
      <c r="K56" s="307">
        <v>58198.417788431041</v>
      </c>
      <c r="L56" s="522">
        <f>G56/K56/12</f>
        <v>-4.591159610543996</v>
      </c>
    </row>
    <row r="57" spans="1:13" ht="17.649999999999999">
      <c r="A57" s="438" t="s">
        <v>212</v>
      </c>
      <c r="B57" s="440"/>
      <c r="C57" s="442">
        <f t="shared" ref="C57:G57" si="23">C29-C44</f>
        <v>-14748.41162058292</v>
      </c>
      <c r="D57" s="442">
        <f t="shared" si="23"/>
        <v>-125547.89974103263</v>
      </c>
      <c r="E57" s="442">
        <f t="shared" si="23"/>
        <v>-166123.94424670283</v>
      </c>
      <c r="F57" s="442">
        <f t="shared" si="23"/>
        <v>-280920.22846515616</v>
      </c>
      <c r="G57" s="442">
        <f t="shared" si="23"/>
        <v>-286458.95821027644</v>
      </c>
      <c r="H57" s="425"/>
      <c r="I57" s="442">
        <f t="shared" ref="I57:I63" si="24">SUM(C57:G57)</f>
        <v>-873799.44228375098</v>
      </c>
    </row>
    <row r="58" spans="1:13" ht="17.649999999999999">
      <c r="A58" s="438" t="s">
        <v>213</v>
      </c>
      <c r="B58" s="440"/>
      <c r="C58" s="442">
        <f t="shared" ref="C58:G58" si="25">C30-C45</f>
        <v>405098.31352674868</v>
      </c>
      <c r="D58" s="442">
        <f t="shared" si="25"/>
        <v>493094.62620657682</v>
      </c>
      <c r="E58" s="442">
        <f t="shared" si="25"/>
        <v>377496.59216193575</v>
      </c>
      <c r="F58" s="442">
        <f t="shared" si="25"/>
        <v>75577.383193337359</v>
      </c>
      <c r="G58" s="442">
        <f t="shared" si="25"/>
        <v>-2449.927922450006</v>
      </c>
      <c r="H58" s="425"/>
      <c r="I58" s="442">
        <f t="shared" si="24"/>
        <v>1348816.9871661486</v>
      </c>
    </row>
    <row r="59" spans="1:13" ht="17.649999999999999">
      <c r="A59" s="438" t="s">
        <v>214</v>
      </c>
      <c r="B59" s="440"/>
      <c r="C59" s="442">
        <f t="shared" ref="C59:G59" si="26">C31-C46</f>
        <v>0</v>
      </c>
      <c r="D59" s="442">
        <f t="shared" si="26"/>
        <v>0</v>
      </c>
      <c r="E59" s="442">
        <f t="shared" si="26"/>
        <v>0</v>
      </c>
      <c r="F59" s="442">
        <f t="shared" si="26"/>
        <v>0</v>
      </c>
      <c r="G59" s="442">
        <f t="shared" si="26"/>
        <v>0</v>
      </c>
      <c r="H59" s="425"/>
      <c r="I59" s="442">
        <f t="shared" si="24"/>
        <v>0</v>
      </c>
    </row>
    <row r="60" spans="1:13" ht="17.649999999999999">
      <c r="A60" s="438" t="s">
        <v>98</v>
      </c>
      <c r="B60" s="440"/>
      <c r="C60" s="442">
        <f t="shared" ref="C60:G60" si="27">C32-C47</f>
        <v>0</v>
      </c>
      <c r="D60" s="442">
        <f t="shared" si="27"/>
        <v>0</v>
      </c>
      <c r="E60" s="442">
        <f t="shared" si="27"/>
        <v>0</v>
      </c>
      <c r="F60" s="442">
        <f t="shared" si="27"/>
        <v>0</v>
      </c>
      <c r="G60" s="442">
        <f t="shared" si="27"/>
        <v>0</v>
      </c>
      <c r="H60" s="425"/>
      <c r="I60" s="442">
        <f t="shared" si="24"/>
        <v>0</v>
      </c>
    </row>
    <row r="61" spans="1:13" ht="17.649999999999999">
      <c r="A61" s="438" t="s">
        <v>99</v>
      </c>
      <c r="B61" s="440"/>
      <c r="C61" s="442">
        <f t="shared" ref="C61:G61" si="28">C33-C48</f>
        <v>0</v>
      </c>
      <c r="D61" s="442">
        <f t="shared" si="28"/>
        <v>0</v>
      </c>
      <c r="E61" s="442">
        <f t="shared" si="28"/>
        <v>0</v>
      </c>
      <c r="F61" s="442">
        <f t="shared" si="28"/>
        <v>0</v>
      </c>
      <c r="G61" s="442">
        <f t="shared" si="28"/>
        <v>0</v>
      </c>
      <c r="H61" s="425"/>
      <c r="I61" s="442">
        <f t="shared" si="24"/>
        <v>0</v>
      </c>
    </row>
    <row r="62" spans="1:13" ht="17.649999999999999">
      <c r="A62" s="438" t="s">
        <v>208</v>
      </c>
      <c r="B62" s="440"/>
      <c r="C62" s="442">
        <f t="shared" ref="C62:G62" si="29">C34-C49</f>
        <v>0</v>
      </c>
      <c r="D62" s="442">
        <f t="shared" si="29"/>
        <v>0</v>
      </c>
      <c r="E62" s="442">
        <f t="shared" si="29"/>
        <v>0</v>
      </c>
      <c r="F62" s="442">
        <f t="shared" si="29"/>
        <v>0</v>
      </c>
      <c r="G62" s="442">
        <f t="shared" si="29"/>
        <v>0</v>
      </c>
      <c r="H62" s="425"/>
      <c r="I62" s="442">
        <f t="shared" si="24"/>
        <v>0</v>
      </c>
    </row>
    <row r="63" spans="1:13" ht="17.649999999999999">
      <c r="A63" s="438" t="s">
        <v>207</v>
      </c>
      <c r="B63" s="440"/>
      <c r="C63" s="442">
        <f t="shared" ref="C63:G63" si="30">C35-C50</f>
        <v>6343.4964141158198</v>
      </c>
      <c r="D63" s="442">
        <f t="shared" si="30"/>
        <v>3414.1284071166156</v>
      </c>
      <c r="E63" s="442">
        <f t="shared" si="30"/>
        <v>-2232.2756856214255</v>
      </c>
      <c r="F63" s="442">
        <f t="shared" si="30"/>
        <v>-11303.315296317451</v>
      </c>
      <c r="G63" s="442">
        <f t="shared" si="30"/>
        <v>-15639.869017978301</v>
      </c>
      <c r="H63" s="425"/>
      <c r="I63" s="442">
        <f t="shared" si="24"/>
        <v>-19417.835178684742</v>
      </c>
    </row>
    <row r="64" spans="1:13" ht="18" thickBot="1">
      <c r="A64" s="427" t="s">
        <v>1</v>
      </c>
      <c r="B64" s="429"/>
      <c r="C64" s="443">
        <f>SUM(C56:C63)</f>
        <v>1236480.7555529622</v>
      </c>
      <c r="D64" s="443">
        <f>SUM(D56:D63)</f>
        <v>324223.30733636965</v>
      </c>
      <c r="E64" s="443">
        <f>SUM(E56:E63)</f>
        <v>-919060.13987346925</v>
      </c>
      <c r="F64" s="443">
        <f>SUM(F56:F63)</f>
        <v>-2438800.9540560278</v>
      </c>
      <c r="G64" s="443">
        <f>SUM(G56:G63)</f>
        <v>-3510927.4569244226</v>
      </c>
      <c r="H64" s="444"/>
      <c r="I64" s="443">
        <f>SUM(I56:I63)</f>
        <v>-5308084.4879645882</v>
      </c>
    </row>
    <row r="65" spans="1:22" ht="13.15" thickTop="1">
      <c r="I65" s="307"/>
      <c r="V65" s="307"/>
    </row>
    <row r="66" spans="1:22" ht="17.649999999999999" hidden="1" outlineLevel="1">
      <c r="A66" s="461" t="s">
        <v>335</v>
      </c>
      <c r="B66" s="425"/>
      <c r="C66" s="425"/>
      <c r="D66" s="425"/>
      <c r="E66" s="425"/>
      <c r="F66" s="425"/>
      <c r="G66" s="425"/>
      <c r="H66" s="425"/>
      <c r="I66" s="425"/>
    </row>
    <row r="67" spans="1:22" ht="17.649999999999999" hidden="1" outlineLevel="1">
      <c r="A67" s="433" t="s">
        <v>0</v>
      </c>
      <c r="B67" s="441"/>
      <c r="C67" s="441" t="s">
        <v>266</v>
      </c>
      <c r="D67" s="441" t="s">
        <v>267</v>
      </c>
      <c r="E67" s="441" t="s">
        <v>268</v>
      </c>
      <c r="F67" s="441" t="s">
        <v>269</v>
      </c>
      <c r="G67" s="441" t="s">
        <v>270</v>
      </c>
      <c r="H67" s="430"/>
    </row>
    <row r="68" spans="1:22" ht="27" hidden="1" outlineLevel="1">
      <c r="A68" s="434"/>
      <c r="B68" s="435"/>
      <c r="C68" s="435" t="s">
        <v>306</v>
      </c>
      <c r="D68" s="435" t="s">
        <v>306</v>
      </c>
      <c r="E68" s="435" t="s">
        <v>306</v>
      </c>
      <c r="F68" s="435" t="s">
        <v>306</v>
      </c>
      <c r="G68" s="435" t="s">
        <v>306</v>
      </c>
      <c r="H68" s="430"/>
    </row>
    <row r="69" spans="1:22" ht="18" hidden="1" customHeight="1" outlineLevel="1">
      <c r="A69" s="426" t="s">
        <v>97</v>
      </c>
      <c r="B69" s="446" t="s">
        <v>15</v>
      </c>
      <c r="C69" s="452">
        <f>'Revenue at Prior Year Rates'!B6</f>
        <v>488310441.84458584</v>
      </c>
      <c r="D69" s="452">
        <f>'Revenue at Prior Year Rates'!B21</f>
        <v>491380160.90018409</v>
      </c>
      <c r="E69" s="452">
        <f>'Revenue at Prior Year Rates'!B36</f>
        <v>492297000.53160763</v>
      </c>
      <c r="F69" s="452">
        <f>'Revenue at Prior Year Rates'!B51</f>
        <v>480011939.38473219</v>
      </c>
      <c r="G69" s="452">
        <f>'Revenue at Prior Year Rates'!B66</f>
        <v>478548339.49470502</v>
      </c>
      <c r="H69" s="453"/>
      <c r="I69" s="454"/>
      <c r="J69" s="454"/>
    </row>
    <row r="70" spans="1:22" ht="18" hidden="1" customHeight="1" outlineLevel="1">
      <c r="A70" s="426" t="s">
        <v>212</v>
      </c>
      <c r="B70" s="446" t="s">
        <v>15</v>
      </c>
      <c r="C70" s="452">
        <f>'Revenue at Prior Year Rates'!B7</f>
        <v>134064266.11914393</v>
      </c>
      <c r="D70" s="452">
        <f>'Revenue at Prior Year Rates'!B22</f>
        <v>134854491.64774501</v>
      </c>
      <c r="E70" s="452">
        <f>'Revenue at Prior Year Rates'!B37</f>
        <v>135063742.04659477</v>
      </c>
      <c r="F70" s="452">
        <f>'Revenue at Prior Year Rates'!B52</f>
        <v>129585178.21250525</v>
      </c>
      <c r="G70" s="452">
        <f>'Revenue at Prior Year Rates'!B67</f>
        <v>129015225.78797366</v>
      </c>
      <c r="H70" s="453"/>
      <c r="I70" s="454"/>
      <c r="J70" s="454"/>
    </row>
    <row r="71" spans="1:22" ht="18" hidden="1" customHeight="1" outlineLevel="1">
      <c r="A71" s="426" t="s">
        <v>213</v>
      </c>
      <c r="B71" s="446" t="s">
        <v>16</v>
      </c>
      <c r="C71" s="452">
        <f>'Revenue at Prior Year Rates'!C8</f>
        <v>851954.05092458322</v>
      </c>
      <c r="D71" s="452">
        <f>'Revenue at Prior Year Rates'!C23</f>
        <v>860398.47773257422</v>
      </c>
      <c r="E71" s="452">
        <f>'Revenue at Prior Year Rates'!C38</f>
        <v>865544.379866131</v>
      </c>
      <c r="F71" s="452">
        <f>'Revenue at Prior Year Rates'!C53</f>
        <v>834069.22595941229</v>
      </c>
      <c r="G71" s="452">
        <f>'Revenue at Prior Year Rates'!C68</f>
        <v>835118.23784245062</v>
      </c>
      <c r="H71" s="453"/>
      <c r="I71" s="454"/>
      <c r="J71" s="454"/>
    </row>
    <row r="72" spans="1:22" ht="18" hidden="1" customHeight="1" outlineLevel="1">
      <c r="A72" s="426" t="s">
        <v>214</v>
      </c>
      <c r="B72" s="446" t="s">
        <v>16</v>
      </c>
      <c r="C72" s="452">
        <f>'Revenue at Prior Year Rates'!C9</f>
        <v>195333.21024632914</v>
      </c>
      <c r="D72" s="452">
        <f>'Revenue at Prior Year Rates'!C24</f>
        <v>194669.69353718983</v>
      </c>
      <c r="E72" s="452">
        <f>'Revenue at Prior Year Rates'!C39</f>
        <v>193285.76673996553</v>
      </c>
      <c r="F72" s="452">
        <f>'Revenue at Prior Year Rates'!C54</f>
        <v>167714.00346680533</v>
      </c>
      <c r="G72" s="452">
        <f>'Revenue at Prior Year Rates'!C69</f>
        <v>169067.84371452243</v>
      </c>
      <c r="H72" s="453"/>
      <c r="I72" s="454"/>
      <c r="J72" s="454"/>
    </row>
    <row r="73" spans="1:22" ht="18" hidden="1" customHeight="1" outlineLevel="1">
      <c r="A73" s="426" t="s">
        <v>98</v>
      </c>
      <c r="B73" s="446" t="s">
        <v>16</v>
      </c>
      <c r="C73" s="452">
        <f>'Revenue at Prior Year Rates'!C10</f>
        <v>96450.280123117438</v>
      </c>
      <c r="D73" s="452">
        <f>'Revenue at Prior Year Rates'!C25</f>
        <v>96497.827923500081</v>
      </c>
      <c r="E73" s="452">
        <f>'Revenue at Prior Year Rates'!C40</f>
        <v>96705.677469853224</v>
      </c>
      <c r="F73" s="452">
        <f>'Revenue at Prior Year Rates'!C55</f>
        <v>90488.372107827323</v>
      </c>
      <c r="G73" s="452">
        <f>'Revenue at Prior Year Rates'!C70</f>
        <v>88370.102609788868</v>
      </c>
      <c r="H73" s="453"/>
      <c r="I73" s="454"/>
      <c r="J73" s="454"/>
    </row>
    <row r="74" spans="1:22" ht="18" hidden="1" customHeight="1" outlineLevel="1">
      <c r="A74" s="426" t="s">
        <v>99</v>
      </c>
      <c r="B74" s="446" t="s">
        <v>16</v>
      </c>
      <c r="C74" s="452">
        <f>'Revenue at Prior Year Rates'!C11</f>
        <v>23911.673714127413</v>
      </c>
      <c r="D74" s="452">
        <f>'Revenue at Prior Year Rates'!C26</f>
        <v>14599.316515348542</v>
      </c>
      <c r="E74" s="452">
        <f>'Revenue at Prior Year Rates'!C41</f>
        <v>13528.419217862043</v>
      </c>
      <c r="F74" s="452">
        <f>'Revenue at Prior Year Rates'!C56</f>
        <v>13345.422407816242</v>
      </c>
      <c r="G74" s="452">
        <f>'Revenue at Prior Year Rates'!C71</f>
        <v>13901.837880180767</v>
      </c>
      <c r="H74" s="453"/>
      <c r="I74" s="454"/>
      <c r="J74" s="454"/>
    </row>
    <row r="75" spans="1:22" ht="18" hidden="1" customHeight="1" outlineLevel="1">
      <c r="A75" s="426" t="s">
        <v>208</v>
      </c>
      <c r="B75" s="446" t="s">
        <v>16</v>
      </c>
      <c r="C75" s="452">
        <f>'Revenue at Prior Year Rates'!C12</f>
        <v>100.15889621450508</v>
      </c>
      <c r="D75" s="452">
        <f>'Revenue at Prior Year Rates'!C27</f>
        <v>96.106500369299738</v>
      </c>
      <c r="E75" s="452">
        <f>'Revenue at Prior Year Rates'!C42</f>
        <v>92.371157468960305</v>
      </c>
      <c r="F75" s="452">
        <f>'Revenue at Prior Year Rates'!C57</f>
        <v>96.768186330400098</v>
      </c>
      <c r="G75" s="452">
        <f>'Revenue at Prior Year Rates'!C72</f>
        <v>93.036557088953359</v>
      </c>
      <c r="H75" s="453"/>
      <c r="I75" s="454"/>
      <c r="J75" s="454"/>
    </row>
    <row r="76" spans="1:22" ht="18" hidden="1" customHeight="1" outlineLevel="1">
      <c r="A76" s="426" t="s">
        <v>207</v>
      </c>
      <c r="B76" s="446" t="s">
        <v>15</v>
      </c>
      <c r="C76" s="452">
        <f>'Revenue at Prior Year Rates'!B13</f>
        <v>2686537.3140891874</v>
      </c>
      <c r="D76" s="452">
        <f>'Revenue at Prior Year Rates'!B28</f>
        <v>2667193.4637021297</v>
      </c>
      <c r="E76" s="452">
        <f>'Revenue at Prior Year Rates'!B43</f>
        <v>2652384.9112346303</v>
      </c>
      <c r="F76" s="452">
        <f>'Revenue at Prior Year Rates'!B58</f>
        <v>2612658.5895418967</v>
      </c>
      <c r="G76" s="452">
        <f>'Revenue at Prior Year Rates'!B73</f>
        <v>2660941.3975806902</v>
      </c>
      <c r="H76" s="453"/>
      <c r="I76" s="454"/>
      <c r="J76" s="496"/>
      <c r="K76" s="224"/>
      <c r="L76" s="428"/>
      <c r="M76" s="428"/>
      <c r="N76" s="224"/>
      <c r="O76" s="224"/>
      <c r="P76" s="224"/>
    </row>
    <row r="77" spans="1:22" hidden="1" outlineLevel="1">
      <c r="J77" s="224"/>
      <c r="K77" s="224"/>
      <c r="L77" s="224"/>
      <c r="M77" s="224"/>
      <c r="N77" s="224"/>
      <c r="O77" s="224"/>
      <c r="P77" s="224"/>
    </row>
    <row r="78" spans="1:22" ht="17.649999999999999" collapsed="1">
      <c r="A78" s="461" t="s">
        <v>354</v>
      </c>
      <c r="B78" s="425"/>
      <c r="C78" s="425"/>
      <c r="D78" s="425"/>
      <c r="E78" s="425"/>
      <c r="F78" s="425"/>
      <c r="G78" s="425"/>
      <c r="H78" s="425"/>
      <c r="I78" s="425"/>
      <c r="J78" s="500" t="s">
        <v>345</v>
      </c>
      <c r="K78" s="500"/>
      <c r="L78" s="500"/>
      <c r="M78" s="500"/>
      <c r="N78" s="500"/>
      <c r="O78" s="224"/>
      <c r="P78" s="224"/>
    </row>
    <row r="79" spans="1:22" ht="13.15">
      <c r="A79" s="433" t="s">
        <v>0</v>
      </c>
      <c r="B79" s="441"/>
      <c r="C79" s="441" t="s">
        <v>266</v>
      </c>
      <c r="D79" s="441" t="s">
        <v>267</v>
      </c>
      <c r="E79" s="441" t="s">
        <v>268</v>
      </c>
      <c r="F79" s="441" t="s">
        <v>269</v>
      </c>
      <c r="G79" s="441" t="s">
        <v>270</v>
      </c>
      <c r="J79" s="497" t="s">
        <v>266</v>
      </c>
      <c r="K79" s="497" t="s">
        <v>267</v>
      </c>
      <c r="L79" s="497" t="s">
        <v>268</v>
      </c>
      <c r="M79" s="497" t="s">
        <v>269</v>
      </c>
      <c r="N79" s="497" t="s">
        <v>270</v>
      </c>
      <c r="O79" s="224"/>
      <c r="P79" s="224"/>
      <c r="Q79" s="497" t="s">
        <v>266</v>
      </c>
      <c r="R79" s="497" t="s">
        <v>267</v>
      </c>
      <c r="S79" s="497" t="s">
        <v>268</v>
      </c>
      <c r="T79" s="497" t="s">
        <v>269</v>
      </c>
      <c r="U79" s="497" t="s">
        <v>270</v>
      </c>
    </row>
    <row r="80" spans="1:22" ht="13.15">
      <c r="A80" s="434"/>
      <c r="B80" s="435"/>
      <c r="C80" s="435" t="s">
        <v>298</v>
      </c>
      <c r="D80" s="435" t="s">
        <v>298</v>
      </c>
      <c r="E80" s="435" t="s">
        <v>298</v>
      </c>
      <c r="F80" s="435" t="s">
        <v>298</v>
      </c>
      <c r="G80" s="435" t="s">
        <v>298</v>
      </c>
      <c r="J80" s="498" t="s">
        <v>298</v>
      </c>
      <c r="K80" s="498" t="s">
        <v>298</v>
      </c>
      <c r="L80" s="498" t="s">
        <v>298</v>
      </c>
      <c r="M80" s="498" t="s">
        <v>298</v>
      </c>
      <c r="N80" s="498" t="s">
        <v>298</v>
      </c>
      <c r="O80" s="224"/>
      <c r="P80" s="224"/>
      <c r="Q80" s="638" t="s">
        <v>346</v>
      </c>
      <c r="R80" s="639"/>
      <c r="S80" s="639"/>
      <c r="T80" s="639"/>
      <c r="U80" s="640"/>
    </row>
    <row r="81" spans="1:24" ht="18" customHeight="1">
      <c r="A81" s="426" t="s">
        <v>97</v>
      </c>
      <c r="B81" s="69" t="s">
        <v>41</v>
      </c>
      <c r="C81" s="447">
        <f>J81+Q81</f>
        <v>-2E-3</v>
      </c>
      <c r="D81" s="447">
        <f t="shared" ref="D81:G81" si="31">K81+R81</f>
        <v>-1E-4</v>
      </c>
      <c r="E81" s="447">
        <f t="shared" si="31"/>
        <v>2.3E-3</v>
      </c>
      <c r="F81" s="447">
        <f t="shared" si="31"/>
        <v>4.7000000000000002E-3</v>
      </c>
      <c r="G81" s="447">
        <f t="shared" si="31"/>
        <v>7.1000000000000004E-3</v>
      </c>
      <c r="J81" s="447">
        <f>-ROUND(C56/C69,4)</f>
        <v>-1.6999999999999999E-3</v>
      </c>
      <c r="K81" s="447">
        <f t="shared" ref="K81:N81" si="32">-ROUND(D56/D69,4)</f>
        <v>1E-4</v>
      </c>
      <c r="L81" s="447">
        <f t="shared" si="32"/>
        <v>2.3E-3</v>
      </c>
      <c r="M81" s="447">
        <f t="shared" si="32"/>
        <v>4.5999999999999999E-3</v>
      </c>
      <c r="N81" s="447">
        <f t="shared" si="32"/>
        <v>6.7000000000000002E-3</v>
      </c>
      <c r="O81" s="499"/>
      <c r="P81" s="224"/>
      <c r="Q81" s="513">
        <v>-2.9999999999999997E-4</v>
      </c>
      <c r="R81" s="513">
        <v>-2.0000000000000001E-4</v>
      </c>
      <c r="S81" s="528">
        <v>0</v>
      </c>
      <c r="T81" s="528">
        <v>1E-4</v>
      </c>
      <c r="U81" s="513">
        <v>4.0000000000000002E-4</v>
      </c>
      <c r="V81" s="501">
        <f t="shared" ref="V81:V88" si="33">SUM(Q81:U81)</f>
        <v>0</v>
      </c>
      <c r="X81" s="307">
        <f>K95</f>
        <v>-3410.6707041468471</v>
      </c>
    </row>
    <row r="82" spans="1:24" ht="18" customHeight="1">
      <c r="A82" s="426" t="s">
        <v>212</v>
      </c>
      <c r="B82" s="69" t="s">
        <v>41</v>
      </c>
      <c r="C82" s="447">
        <f t="shared" ref="C82:C88" si="34">J82+Q82</f>
        <v>-1E-3</v>
      </c>
      <c r="D82" s="447">
        <f t="shared" ref="D82:D88" si="35">K82+R82</f>
        <v>6.9999999999999999E-4</v>
      </c>
      <c r="E82" s="447">
        <f t="shared" ref="E82:E88" si="36">L82+S82</f>
        <v>1.2999999999999999E-3</v>
      </c>
      <c r="F82" s="447">
        <f t="shared" ref="F82:F88" si="37">M82+T82</f>
        <v>2.6000000000000003E-3</v>
      </c>
      <c r="G82" s="447">
        <f t="shared" ref="G82:G88" si="38">N82+U82</f>
        <v>3.0000000000000001E-3</v>
      </c>
      <c r="J82" s="447">
        <f t="shared" ref="J82:J88" si="39">-ROUND(C57/C70,4)</f>
        <v>1E-4</v>
      </c>
      <c r="K82" s="447">
        <f t="shared" ref="K82:K88" si="40">-ROUND(D57/D70,4)</f>
        <v>8.9999999999999998E-4</v>
      </c>
      <c r="L82" s="447">
        <f t="shared" ref="L82:L88" si="41">-ROUND(E57/E70,4)</f>
        <v>1.1999999999999999E-3</v>
      </c>
      <c r="M82" s="447">
        <f t="shared" ref="M82:M88" si="42">-ROUND(F57/F70,4)</f>
        <v>2.2000000000000001E-3</v>
      </c>
      <c r="N82" s="447">
        <f t="shared" ref="N82:N88" si="43">-ROUND(G57/G70,4)</f>
        <v>2.2000000000000001E-3</v>
      </c>
      <c r="O82" s="499"/>
      <c r="P82" s="224"/>
      <c r="Q82" s="513">
        <v>-1.1000000000000001E-3</v>
      </c>
      <c r="R82" s="528">
        <v>-2.0000000000000001E-4</v>
      </c>
      <c r="S82" s="513">
        <v>1E-4</v>
      </c>
      <c r="T82" s="513">
        <v>4.0000000000000002E-4</v>
      </c>
      <c r="U82" s="513">
        <v>8.0000000000000004E-4</v>
      </c>
      <c r="V82" s="501">
        <f t="shared" si="33"/>
        <v>0</v>
      </c>
      <c r="X82" s="307">
        <f t="shared" ref="X82:X88" si="44">K96</f>
        <v>-13915.55887246551</v>
      </c>
    </row>
    <row r="83" spans="1:24" ht="18" customHeight="1">
      <c r="A83" s="426" t="s">
        <v>213</v>
      </c>
      <c r="B83" s="69" t="s">
        <v>22</v>
      </c>
      <c r="C83" s="447">
        <f t="shared" si="34"/>
        <v>-0.52549999999999997</v>
      </c>
      <c r="D83" s="447">
        <f t="shared" si="35"/>
        <v>-0.58310000000000006</v>
      </c>
      <c r="E83" s="447">
        <f t="shared" si="36"/>
        <v>-0.42609999999999998</v>
      </c>
      <c r="F83" s="447">
        <f t="shared" si="37"/>
        <v>-7.0599999999999996E-2</v>
      </c>
      <c r="G83" s="447">
        <f t="shared" si="38"/>
        <v>3.2899999999999999E-2</v>
      </c>
      <c r="I83" s="369"/>
      <c r="J83" s="447">
        <f t="shared" si="39"/>
        <v>-0.47549999999999998</v>
      </c>
      <c r="K83" s="447">
        <f t="shared" si="40"/>
        <v>-0.57310000000000005</v>
      </c>
      <c r="L83" s="447">
        <f t="shared" si="41"/>
        <v>-0.43609999999999999</v>
      </c>
      <c r="M83" s="447">
        <f t="shared" si="42"/>
        <v>-9.06E-2</v>
      </c>
      <c r="N83" s="447">
        <f t="shared" si="43"/>
        <v>2.8999999999999998E-3</v>
      </c>
      <c r="O83" s="499"/>
      <c r="P83" s="224"/>
      <c r="Q83" s="513">
        <v>-0.05</v>
      </c>
      <c r="R83" s="513">
        <v>-0.01</v>
      </c>
      <c r="S83" s="513">
        <v>0.01</v>
      </c>
      <c r="T83" s="513">
        <v>0.02</v>
      </c>
      <c r="U83" s="513">
        <v>0.03</v>
      </c>
      <c r="V83" s="501">
        <f t="shared" si="33"/>
        <v>0</v>
      </c>
      <c r="X83" s="307">
        <f t="shared" si="44"/>
        <v>-801.57654926017858</v>
      </c>
    </row>
    <row r="84" spans="1:24" ht="18" customHeight="1">
      <c r="A84" s="426" t="s">
        <v>214</v>
      </c>
      <c r="B84" s="69" t="s">
        <v>22</v>
      </c>
      <c r="C84" s="447">
        <f t="shared" si="34"/>
        <v>0</v>
      </c>
      <c r="D84" s="447">
        <f t="shared" si="35"/>
        <v>0</v>
      </c>
      <c r="E84" s="447">
        <f t="shared" si="36"/>
        <v>0</v>
      </c>
      <c r="F84" s="447">
        <f t="shared" si="37"/>
        <v>0</v>
      </c>
      <c r="G84" s="447">
        <f t="shared" si="38"/>
        <v>0</v>
      </c>
      <c r="J84" s="447">
        <f t="shared" si="39"/>
        <v>0</v>
      </c>
      <c r="K84" s="447">
        <f t="shared" si="40"/>
        <v>0</v>
      </c>
      <c r="L84" s="447">
        <f t="shared" si="41"/>
        <v>0</v>
      </c>
      <c r="M84" s="447">
        <f t="shared" si="42"/>
        <v>0</v>
      </c>
      <c r="N84" s="447">
        <f t="shared" si="43"/>
        <v>0</v>
      </c>
      <c r="O84" s="499"/>
      <c r="P84" s="224"/>
      <c r="Q84" s="495"/>
      <c r="R84" s="495"/>
      <c r="S84" s="495"/>
      <c r="T84" s="495"/>
      <c r="U84" s="495"/>
      <c r="V84" s="501">
        <f t="shared" si="33"/>
        <v>0</v>
      </c>
      <c r="X84" s="307">
        <f t="shared" si="44"/>
        <v>0</v>
      </c>
    </row>
    <row r="85" spans="1:24" ht="18" customHeight="1">
      <c r="A85" s="426" t="s">
        <v>98</v>
      </c>
      <c r="B85" s="69" t="s">
        <v>22</v>
      </c>
      <c r="C85" s="447">
        <f t="shared" si="34"/>
        <v>0</v>
      </c>
      <c r="D85" s="447">
        <f t="shared" si="35"/>
        <v>0</v>
      </c>
      <c r="E85" s="447">
        <f t="shared" si="36"/>
        <v>0</v>
      </c>
      <c r="F85" s="447">
        <f t="shared" si="37"/>
        <v>0</v>
      </c>
      <c r="G85" s="447">
        <f t="shared" si="38"/>
        <v>0</v>
      </c>
      <c r="J85" s="447">
        <f t="shared" si="39"/>
        <v>0</v>
      </c>
      <c r="K85" s="447">
        <f t="shared" si="40"/>
        <v>0</v>
      </c>
      <c r="L85" s="447">
        <f t="shared" si="41"/>
        <v>0</v>
      </c>
      <c r="M85" s="447">
        <f t="shared" si="42"/>
        <v>0</v>
      </c>
      <c r="N85" s="447">
        <f t="shared" si="43"/>
        <v>0</v>
      </c>
      <c r="O85" s="499"/>
      <c r="P85" s="224"/>
      <c r="Q85" s="495"/>
      <c r="R85" s="495"/>
      <c r="S85" s="495"/>
      <c r="T85" s="495"/>
      <c r="U85" s="495"/>
      <c r="V85" s="501">
        <f t="shared" si="33"/>
        <v>0</v>
      </c>
      <c r="X85" s="307">
        <f t="shared" si="44"/>
        <v>0</v>
      </c>
    </row>
    <row r="86" spans="1:24" ht="18" customHeight="1">
      <c r="A86" s="426" t="s">
        <v>99</v>
      </c>
      <c r="B86" s="69" t="s">
        <v>22</v>
      </c>
      <c r="C86" s="447">
        <f t="shared" si="34"/>
        <v>0</v>
      </c>
      <c r="D86" s="447">
        <f t="shared" si="35"/>
        <v>0</v>
      </c>
      <c r="E86" s="447">
        <f t="shared" si="36"/>
        <v>0</v>
      </c>
      <c r="F86" s="447">
        <f t="shared" si="37"/>
        <v>0</v>
      </c>
      <c r="G86" s="447">
        <f t="shared" si="38"/>
        <v>0</v>
      </c>
      <c r="J86" s="447">
        <f t="shared" si="39"/>
        <v>0</v>
      </c>
      <c r="K86" s="447">
        <f t="shared" si="40"/>
        <v>0</v>
      </c>
      <c r="L86" s="447">
        <f t="shared" si="41"/>
        <v>0</v>
      </c>
      <c r="M86" s="447">
        <f t="shared" si="42"/>
        <v>0</v>
      </c>
      <c r="N86" s="447">
        <f t="shared" si="43"/>
        <v>0</v>
      </c>
      <c r="O86" s="499"/>
      <c r="P86" s="224"/>
      <c r="Q86" s="495"/>
      <c r="R86" s="495"/>
      <c r="S86" s="495"/>
      <c r="T86" s="495"/>
      <c r="U86" s="495"/>
      <c r="V86" s="501">
        <f t="shared" si="33"/>
        <v>0</v>
      </c>
      <c r="X86" s="307">
        <f t="shared" si="44"/>
        <v>0</v>
      </c>
    </row>
    <row r="87" spans="1:24" ht="18" customHeight="1">
      <c r="A87" s="426" t="s">
        <v>208</v>
      </c>
      <c r="B87" s="69" t="s">
        <v>22</v>
      </c>
      <c r="C87" s="447">
        <f t="shared" si="34"/>
        <v>0</v>
      </c>
      <c r="D87" s="447">
        <f t="shared" si="35"/>
        <v>0</v>
      </c>
      <c r="E87" s="447">
        <f t="shared" si="36"/>
        <v>0</v>
      </c>
      <c r="F87" s="447">
        <f t="shared" si="37"/>
        <v>0</v>
      </c>
      <c r="G87" s="447">
        <f t="shared" si="38"/>
        <v>0</v>
      </c>
      <c r="J87" s="447">
        <f t="shared" si="39"/>
        <v>0</v>
      </c>
      <c r="K87" s="447">
        <f t="shared" si="40"/>
        <v>0</v>
      </c>
      <c r="L87" s="447">
        <f t="shared" si="41"/>
        <v>0</v>
      </c>
      <c r="M87" s="447">
        <f t="shared" si="42"/>
        <v>0</v>
      </c>
      <c r="N87" s="447">
        <f t="shared" si="43"/>
        <v>0</v>
      </c>
      <c r="O87" s="499"/>
      <c r="P87" s="224"/>
      <c r="Q87" s="495"/>
      <c r="R87" s="495"/>
      <c r="S87" s="495"/>
      <c r="T87" s="495"/>
      <c r="U87" s="495"/>
      <c r="V87" s="501">
        <f t="shared" si="33"/>
        <v>0</v>
      </c>
      <c r="X87" s="307">
        <f t="shared" si="44"/>
        <v>0</v>
      </c>
    </row>
    <row r="88" spans="1:24" ht="18" customHeight="1">
      <c r="A88" s="426" t="s">
        <v>207</v>
      </c>
      <c r="B88" s="69" t="s">
        <v>41</v>
      </c>
      <c r="C88" s="447">
        <f t="shared" si="34"/>
        <v>-2.3999999999999998E-3</v>
      </c>
      <c r="D88" s="447">
        <f t="shared" si="35"/>
        <v>-1.2999999999999999E-3</v>
      </c>
      <c r="E88" s="447">
        <f t="shared" si="36"/>
        <v>8.0000000000000004E-4</v>
      </c>
      <c r="F88" s="447">
        <f t="shared" si="37"/>
        <v>4.3E-3</v>
      </c>
      <c r="G88" s="447">
        <f t="shared" si="38"/>
        <v>5.8999999999999999E-3</v>
      </c>
      <c r="J88" s="447">
        <f t="shared" si="39"/>
        <v>-2.3999999999999998E-3</v>
      </c>
      <c r="K88" s="447">
        <f t="shared" si="40"/>
        <v>-1.2999999999999999E-3</v>
      </c>
      <c r="L88" s="447">
        <f t="shared" si="41"/>
        <v>8.0000000000000004E-4</v>
      </c>
      <c r="M88" s="447">
        <f t="shared" si="42"/>
        <v>4.3E-3</v>
      </c>
      <c r="N88" s="447">
        <f t="shared" si="43"/>
        <v>5.8999999999999999E-3</v>
      </c>
      <c r="O88" s="499"/>
      <c r="P88" s="224"/>
      <c r="Q88" s="513"/>
      <c r="R88" s="513"/>
      <c r="S88" s="513"/>
      <c r="T88" s="513"/>
      <c r="U88" s="513"/>
      <c r="V88" s="501">
        <f t="shared" si="33"/>
        <v>0</v>
      </c>
      <c r="X88" s="307">
        <f t="shared" si="44"/>
        <v>-276.98212556762883</v>
      </c>
    </row>
    <row r="89" spans="1:24" ht="5.25" customHeight="1">
      <c r="J89" s="224"/>
      <c r="K89" s="224"/>
      <c r="L89" s="428"/>
      <c r="M89" s="428"/>
      <c r="N89" s="224"/>
      <c r="O89" s="224"/>
      <c r="P89" s="224"/>
    </row>
    <row r="90" spans="1:24" ht="4.5" customHeight="1"/>
    <row r="91" spans="1:24" ht="13.5" thickBot="1">
      <c r="A91" s="482" t="s">
        <v>264</v>
      </c>
      <c r="B91" s="483"/>
      <c r="C91" s="483"/>
      <c r="D91" s="212"/>
      <c r="E91" s="212"/>
      <c r="F91" s="212"/>
      <c r="G91" s="212"/>
      <c r="H91" s="212"/>
      <c r="I91" s="212"/>
      <c r="J91" s="212"/>
      <c r="K91" s="212"/>
      <c r="L91" s="483"/>
      <c r="M91" s="483"/>
      <c r="N91" s="212"/>
      <c r="X91" s="333">
        <f>SUM(X81:X90)</f>
        <v>-18404.788251440164</v>
      </c>
    </row>
    <row r="92" spans="1:24" ht="18" thickTop="1">
      <c r="A92" s="436" t="s">
        <v>0</v>
      </c>
      <c r="B92" s="445"/>
      <c r="C92" s="441" t="s">
        <v>266</v>
      </c>
      <c r="D92" s="441" t="s">
        <v>267</v>
      </c>
      <c r="E92" s="441" t="s">
        <v>268</v>
      </c>
      <c r="F92" s="441" t="s">
        <v>269</v>
      </c>
      <c r="G92" s="441" t="s">
        <v>270</v>
      </c>
      <c r="H92" s="430"/>
      <c r="I92" s="441" t="s">
        <v>297</v>
      </c>
      <c r="K92" s="633" t="s">
        <v>344</v>
      </c>
      <c r="L92" s="634"/>
      <c r="M92" s="488"/>
    </row>
    <row r="93" spans="1:24" ht="17.649999999999999">
      <c r="A93" s="448"/>
      <c r="B93" s="449"/>
      <c r="C93" s="450" t="s">
        <v>352</v>
      </c>
      <c r="D93" s="450" t="s">
        <v>352</v>
      </c>
      <c r="E93" s="450" t="s">
        <v>352</v>
      </c>
      <c r="F93" s="450" t="s">
        <v>352</v>
      </c>
      <c r="G93" s="450" t="s">
        <v>352</v>
      </c>
      <c r="H93" s="430"/>
      <c r="I93" s="450" t="s">
        <v>352</v>
      </c>
      <c r="K93" s="635"/>
      <c r="L93" s="636"/>
      <c r="M93" s="489"/>
    </row>
    <row r="94" spans="1:24" ht="17.649999999999999">
      <c r="A94" s="437"/>
      <c r="B94" s="439"/>
      <c r="C94" s="435" t="s">
        <v>353</v>
      </c>
      <c r="D94" s="435" t="s">
        <v>353</v>
      </c>
      <c r="E94" s="435" t="s">
        <v>353</v>
      </c>
      <c r="F94" s="435" t="s">
        <v>353</v>
      </c>
      <c r="G94" s="435" t="s">
        <v>353</v>
      </c>
      <c r="H94" s="430"/>
      <c r="I94" s="435" t="s">
        <v>353</v>
      </c>
      <c r="K94" s="637"/>
      <c r="L94" s="636"/>
      <c r="M94" s="489"/>
    </row>
    <row r="95" spans="1:24" ht="17.649999999999999">
      <c r="A95" s="438" t="s">
        <v>97</v>
      </c>
      <c r="B95" s="440"/>
      <c r="C95" s="442">
        <f t="shared" ref="C95:G102" si="45">C69*C81</f>
        <v>-976620.88368917163</v>
      </c>
      <c r="D95" s="442">
        <f t="shared" si="45"/>
        <v>-49138.016090018413</v>
      </c>
      <c r="E95" s="442">
        <f t="shared" si="45"/>
        <v>1132283.1012226974</v>
      </c>
      <c r="F95" s="442">
        <f t="shared" si="45"/>
        <v>2256056.1151082413</v>
      </c>
      <c r="G95" s="442">
        <f t="shared" si="45"/>
        <v>3397693.2104124059</v>
      </c>
      <c r="H95" s="425"/>
      <c r="I95" s="442">
        <f>SUM(C95:G95)</f>
        <v>5760273.5269641541</v>
      </c>
      <c r="K95" s="493">
        <f>I95+I56</f>
        <v>-3410.6707041468471</v>
      </c>
      <c r="L95" s="490" t="s">
        <v>357</v>
      </c>
      <c r="M95" s="489"/>
    </row>
    <row r="96" spans="1:24" ht="17.649999999999999">
      <c r="A96" s="438" t="s">
        <v>212</v>
      </c>
      <c r="B96" s="440"/>
      <c r="C96" s="442">
        <f t="shared" si="45"/>
        <v>-134064.26611914393</v>
      </c>
      <c r="D96" s="442">
        <f t="shared" si="45"/>
        <v>94398.144153421512</v>
      </c>
      <c r="E96" s="442">
        <f t="shared" si="45"/>
        <v>175582.86466057319</v>
      </c>
      <c r="F96" s="442">
        <f t="shared" si="45"/>
        <v>336921.46335251367</v>
      </c>
      <c r="G96" s="442">
        <f t="shared" si="45"/>
        <v>387045.67736392096</v>
      </c>
      <c r="H96" s="425"/>
      <c r="I96" s="442">
        <f t="shared" ref="I96:I102" si="46">SUM(C96:G96)</f>
        <v>859883.88341128547</v>
      </c>
      <c r="K96" s="493">
        <f t="shared" ref="K96:K102" si="47">I96+I57</f>
        <v>-13915.55887246551</v>
      </c>
      <c r="L96" s="490" t="s">
        <v>357</v>
      </c>
      <c r="M96" s="489"/>
    </row>
    <row r="97" spans="1:13" ht="17.649999999999999">
      <c r="A97" s="438" t="s">
        <v>213</v>
      </c>
      <c r="B97" s="440"/>
      <c r="C97" s="442">
        <f t="shared" si="45"/>
        <v>-447701.85376086843</v>
      </c>
      <c r="D97" s="442">
        <f t="shared" si="45"/>
        <v>-501698.35236586409</v>
      </c>
      <c r="E97" s="442">
        <f t="shared" si="45"/>
        <v>-368808.46026095841</v>
      </c>
      <c r="F97" s="442">
        <f t="shared" si="45"/>
        <v>-58885.287352734507</v>
      </c>
      <c r="G97" s="442">
        <f t="shared" si="45"/>
        <v>27475.390025016623</v>
      </c>
      <c r="H97" s="425"/>
      <c r="I97" s="442">
        <f t="shared" si="46"/>
        <v>-1349618.5637154088</v>
      </c>
      <c r="K97" s="493">
        <f t="shared" si="47"/>
        <v>-801.57654926017858</v>
      </c>
      <c r="L97" s="490" t="s">
        <v>357</v>
      </c>
      <c r="M97" s="489"/>
    </row>
    <row r="98" spans="1:13" ht="17.649999999999999">
      <c r="A98" s="438" t="s">
        <v>214</v>
      </c>
      <c r="B98" s="440"/>
      <c r="C98" s="442">
        <f t="shared" si="45"/>
        <v>0</v>
      </c>
      <c r="D98" s="442">
        <f t="shared" si="45"/>
        <v>0</v>
      </c>
      <c r="E98" s="442">
        <f t="shared" si="45"/>
        <v>0</v>
      </c>
      <c r="F98" s="442">
        <f t="shared" si="45"/>
        <v>0</v>
      </c>
      <c r="G98" s="442">
        <f t="shared" si="45"/>
        <v>0</v>
      </c>
      <c r="H98" s="425"/>
      <c r="I98" s="442">
        <f t="shared" si="46"/>
        <v>0</v>
      </c>
      <c r="K98" s="493">
        <f t="shared" si="47"/>
        <v>0</v>
      </c>
      <c r="L98" s="490" t="s">
        <v>357</v>
      </c>
      <c r="M98" s="489"/>
    </row>
    <row r="99" spans="1:13" ht="17.649999999999999">
      <c r="A99" s="438" t="s">
        <v>98</v>
      </c>
      <c r="B99" s="440"/>
      <c r="C99" s="442">
        <f t="shared" si="45"/>
        <v>0</v>
      </c>
      <c r="D99" s="442">
        <f t="shared" si="45"/>
        <v>0</v>
      </c>
      <c r="E99" s="442">
        <f t="shared" si="45"/>
        <v>0</v>
      </c>
      <c r="F99" s="442">
        <f t="shared" si="45"/>
        <v>0</v>
      </c>
      <c r="G99" s="442">
        <f t="shared" si="45"/>
        <v>0</v>
      </c>
      <c r="H99" s="425"/>
      <c r="I99" s="442">
        <f t="shared" si="46"/>
        <v>0</v>
      </c>
      <c r="K99" s="493">
        <f t="shared" si="47"/>
        <v>0</v>
      </c>
      <c r="L99" s="490" t="s">
        <v>357</v>
      </c>
      <c r="M99" s="489"/>
    </row>
    <row r="100" spans="1:13" ht="17.649999999999999">
      <c r="A100" s="438" t="s">
        <v>99</v>
      </c>
      <c r="B100" s="440"/>
      <c r="C100" s="442">
        <f t="shared" si="45"/>
        <v>0</v>
      </c>
      <c r="D100" s="442">
        <f t="shared" si="45"/>
        <v>0</v>
      </c>
      <c r="E100" s="442">
        <f t="shared" si="45"/>
        <v>0</v>
      </c>
      <c r="F100" s="442">
        <f t="shared" si="45"/>
        <v>0</v>
      </c>
      <c r="G100" s="442">
        <f t="shared" si="45"/>
        <v>0</v>
      </c>
      <c r="H100" s="425"/>
      <c r="I100" s="442">
        <f t="shared" si="46"/>
        <v>0</v>
      </c>
      <c r="K100" s="493">
        <f t="shared" si="47"/>
        <v>0</v>
      </c>
      <c r="L100" s="490" t="s">
        <v>357</v>
      </c>
      <c r="M100" s="489"/>
    </row>
    <row r="101" spans="1:13" ht="17.649999999999999">
      <c r="A101" s="438" t="s">
        <v>208</v>
      </c>
      <c r="B101" s="440"/>
      <c r="C101" s="442">
        <f t="shared" si="45"/>
        <v>0</v>
      </c>
      <c r="D101" s="442">
        <f t="shared" si="45"/>
        <v>0</v>
      </c>
      <c r="E101" s="442">
        <f t="shared" si="45"/>
        <v>0</v>
      </c>
      <c r="F101" s="442">
        <f t="shared" si="45"/>
        <v>0</v>
      </c>
      <c r="G101" s="442">
        <f t="shared" si="45"/>
        <v>0</v>
      </c>
      <c r="H101" s="425"/>
      <c r="I101" s="442">
        <f t="shared" si="46"/>
        <v>0</v>
      </c>
      <c r="K101" s="493">
        <f t="shared" si="47"/>
        <v>0</v>
      </c>
      <c r="L101" s="490" t="s">
        <v>357</v>
      </c>
      <c r="M101" s="489"/>
    </row>
    <row r="102" spans="1:13" ht="17.649999999999999">
      <c r="A102" s="438" t="s">
        <v>207</v>
      </c>
      <c r="B102" s="440"/>
      <c r="C102" s="442">
        <f t="shared" si="45"/>
        <v>-6447.6895538140488</v>
      </c>
      <c r="D102" s="442">
        <f t="shared" si="45"/>
        <v>-3467.3515028127686</v>
      </c>
      <c r="E102" s="442">
        <f t="shared" si="45"/>
        <v>2121.9079289877045</v>
      </c>
      <c r="F102" s="442">
        <f t="shared" si="45"/>
        <v>11234.431935030156</v>
      </c>
      <c r="G102" s="442">
        <f t="shared" si="45"/>
        <v>15699.554245726073</v>
      </c>
      <c r="H102" s="425"/>
      <c r="I102" s="442">
        <f t="shared" si="46"/>
        <v>19140.853053117113</v>
      </c>
      <c r="K102" s="493">
        <f t="shared" si="47"/>
        <v>-276.98212556762883</v>
      </c>
      <c r="L102" s="490" t="s">
        <v>357</v>
      </c>
      <c r="M102" s="489"/>
    </row>
    <row r="103" spans="1:13" ht="18" thickBot="1">
      <c r="A103" s="427" t="s">
        <v>1</v>
      </c>
      <c r="B103" s="429"/>
      <c r="C103" s="443">
        <f>SUM(C95:C102)</f>
        <v>-1564834.6931229979</v>
      </c>
      <c r="D103" s="443">
        <f>SUM(D95:D102)</f>
        <v>-459905.57580527378</v>
      </c>
      <c r="E103" s="443">
        <f>SUM(E95:E102)</f>
        <v>941179.41355129995</v>
      </c>
      <c r="F103" s="443">
        <f>SUM(F95:F102)</f>
        <v>2545326.7230430502</v>
      </c>
      <c r="G103" s="443">
        <f>SUM(G95:G102)</f>
        <v>3827913.8320470699</v>
      </c>
      <c r="H103" s="444"/>
      <c r="I103" s="443">
        <f>SUM(I95:I102)</f>
        <v>5289679.6997131482</v>
      </c>
      <c r="K103" s="494">
        <f>SUM(K95:K102)</f>
        <v>-18404.788251440164</v>
      </c>
      <c r="L103" s="491" t="s">
        <v>369</v>
      </c>
      <c r="M103" s="492"/>
    </row>
    <row r="104" spans="1:13" ht="4.5" customHeight="1" thickTop="1"/>
    <row r="105" spans="1:13" ht="5.25" customHeight="1"/>
    <row r="106" spans="1:13">
      <c r="C106" s="307">
        <f>C103+C64</f>
        <v>-328353.93757003569</v>
      </c>
      <c r="D106" s="307">
        <f t="shared" ref="D106:I106" si="48">D103+D64</f>
        <v>-135682.26846890413</v>
      </c>
      <c r="E106" s="307">
        <f t="shared" si="48"/>
        <v>22119.273677830701</v>
      </c>
      <c r="F106" s="307">
        <f t="shared" si="48"/>
        <v>106525.76898702234</v>
      </c>
      <c r="G106" s="307">
        <f t="shared" si="48"/>
        <v>316986.37512264727</v>
      </c>
      <c r="H106" s="307">
        <f t="shared" ref="H106" si="49">H103-H64</f>
        <v>0</v>
      </c>
      <c r="I106" s="307">
        <f t="shared" si="48"/>
        <v>-18404.788251440041</v>
      </c>
    </row>
  </sheetData>
  <mergeCells count="3">
    <mergeCell ref="K39:L41"/>
    <mergeCell ref="K92:L94"/>
    <mergeCell ref="Q80:U80"/>
  </mergeCells>
  <printOptions horizontalCentered="1"/>
  <pageMargins left="0.15748031496062992" right="0.15748031496062992" top="0.98425196850393704" bottom="0.59055118110236227" header="0.51181102362204722" footer="0.31496062992125984"/>
  <pageSetup scale="92" fitToHeight="0" orientation="portrait" horizontalDpi="355" verticalDpi="355" r:id="rId1"/>
  <headerFooter alignWithMargins="0"/>
  <rowBreaks count="2" manualBreakCount="2">
    <brk id="38" max="8" man="1"/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Revenue Input</vt:lpstr>
      <vt:lpstr>Transformer Allowance</vt:lpstr>
      <vt:lpstr>Forecast Data For 2015 to 2019</vt:lpstr>
      <vt:lpstr>2014 Existing Rates</vt:lpstr>
      <vt:lpstr>Revenue at Prior Year Rates</vt:lpstr>
      <vt:lpstr>Cost Allocation Study</vt:lpstr>
      <vt:lpstr>Rates By Rate Class</vt:lpstr>
      <vt:lpstr>Other Dist &amp; Rate Riders</vt:lpstr>
      <vt:lpstr>Rate Smoothing</vt:lpstr>
      <vt:lpstr>Jan-Aug2015 Rider</vt:lpstr>
      <vt:lpstr>Allocation Low Voltage Costs</vt:lpstr>
      <vt:lpstr>Low Voltage Rates</vt:lpstr>
      <vt:lpstr>LRAM and SSM Rate Rider</vt:lpstr>
      <vt:lpstr>Distribution Rate Schedule</vt:lpstr>
      <vt:lpstr>Rate Schedule </vt:lpstr>
      <vt:lpstr>Dist. Revenue Reconciliation</vt:lpstr>
      <vt:lpstr>2015 Revenue Deficiency Analys</vt:lpstr>
      <vt:lpstr>2016 Revenue Deficiency Analys</vt:lpstr>
      <vt:lpstr>2017 Revenue Deficiency Analys</vt:lpstr>
      <vt:lpstr>2018 Revenue Deficiency Analys</vt:lpstr>
      <vt:lpstr>2019 Revenue Deficiency Analys</vt:lpstr>
      <vt:lpstr>Data for Model ==&gt;</vt:lpstr>
      <vt:lpstr>Data </vt:lpstr>
      <vt:lpstr>'2014 Existing Rates'!Print_Area</vt:lpstr>
      <vt:lpstr>'2015 Revenue Deficiency Analys'!Print_Area</vt:lpstr>
      <vt:lpstr>'2016 Revenue Deficiency Analys'!Print_Area</vt:lpstr>
      <vt:lpstr>'2017 Revenue Deficiency Analys'!Print_Area</vt:lpstr>
      <vt:lpstr>'2018 Revenue Deficiency Analys'!Print_Area</vt:lpstr>
      <vt:lpstr>'2019 Revenue Deficiency Analys'!Print_Area</vt:lpstr>
      <vt:lpstr>'Allocation Low Voltage Costs'!Print_Area</vt:lpstr>
      <vt:lpstr>'Cost Allocation Study'!Print_Area</vt:lpstr>
      <vt:lpstr>'Dist. Revenue Reconciliation'!Print_Area</vt:lpstr>
      <vt:lpstr>'Distribution Rate Schedule'!Print_Area</vt:lpstr>
      <vt:lpstr>'Forecast Data For 2015 to 2019'!Print_Area</vt:lpstr>
      <vt:lpstr>'Jan-Aug2015 Rider'!Print_Area</vt:lpstr>
      <vt:lpstr>'Low Voltage Rates'!Print_Area</vt:lpstr>
      <vt:lpstr>'LRAM and SSM Rate Rider'!Print_Area</vt:lpstr>
      <vt:lpstr>'Rate Schedule '!Print_Area</vt:lpstr>
      <vt:lpstr>'Rate Smoothing'!Print_Area</vt:lpstr>
      <vt:lpstr>'Rates By Rate Class'!Print_Area</vt:lpstr>
      <vt:lpstr>'Revenue at Prior Year Rates'!Print_Area</vt:lpstr>
      <vt:lpstr>'Revenue Input'!Print_Area</vt:lpstr>
      <vt:lpstr>'Transformer Allowance'!Print_Area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2013-03-14T19:49:51Z</cp:lastPrinted>
  <dcterms:created xsi:type="dcterms:W3CDTF">2013-03-14T19:49:51Z</dcterms:created>
  <dcterms:modified xsi:type="dcterms:W3CDTF">2017-10-25T21:12:28Z</dcterms:modified>
</cp:coreProperties>
</file>