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3040" windowHeight="9045" activeTab="1"/>
  </bookViews>
  <sheets>
    <sheet name="2014" sheetId="1" r:id="rId1"/>
    <sheet name="2015" sheetId="2" r:id="rId2"/>
  </sheets>
  <definedNames>
    <definedName name="_xlnm.Print_Area" localSheetId="0">'2014'!$A$1:$G$27</definedName>
    <definedName name="_xlnm.Print_Area" localSheetId="1">'2015'!$A$1:$G$27</definedName>
  </definedNames>
  <calcPr calcId="145621"/>
</workbook>
</file>

<file path=xl/calcChain.xml><?xml version="1.0" encoding="utf-8"?>
<calcChain xmlns="http://schemas.openxmlformats.org/spreadsheetml/2006/main">
  <c r="G27" i="2" l="1"/>
  <c r="G27" i="1"/>
  <c r="D4" i="1"/>
  <c r="A23" i="2"/>
  <c r="A21" i="2"/>
  <c r="A22" i="2"/>
  <c r="A24" i="2"/>
  <c r="A20" i="2"/>
  <c r="A19" i="2"/>
  <c r="A18" i="2"/>
  <c r="A17" i="2"/>
  <c r="A16" i="2"/>
  <c r="A15" i="2"/>
  <c r="A14" i="2"/>
  <c r="A13" i="2"/>
  <c r="A24" i="1"/>
  <c r="A23" i="1"/>
  <c r="A22" i="1"/>
  <c r="A21" i="1"/>
  <c r="A20" i="1"/>
  <c r="A19" i="1"/>
  <c r="A18" i="1"/>
  <c r="A17" i="1"/>
  <c r="A16" i="1"/>
  <c r="A15" i="1"/>
  <c r="A14" i="1"/>
  <c r="A13" i="1" l="1"/>
  <c r="C25" i="2" l="1"/>
  <c r="B25" i="2"/>
  <c r="A25" i="2"/>
  <c r="F24" i="2"/>
  <c r="E24" i="2"/>
  <c r="D24" i="2"/>
  <c r="F23" i="2"/>
  <c r="E23" i="2"/>
  <c r="D23" i="2"/>
  <c r="F22" i="2"/>
  <c r="E22" i="2"/>
  <c r="D22" i="2"/>
  <c r="F21" i="2"/>
  <c r="E21" i="2"/>
  <c r="D21" i="2"/>
  <c r="F20" i="2"/>
  <c r="E20" i="2"/>
  <c r="D20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7" i="2"/>
  <c r="D6" i="2"/>
  <c r="D8" i="2" s="1"/>
  <c r="F8" i="2" s="1"/>
  <c r="F5" i="2"/>
  <c r="G20" i="2" l="1"/>
  <c r="G18" i="2"/>
  <c r="G13" i="2"/>
  <c r="G24" i="2"/>
  <c r="G23" i="2"/>
  <c r="G22" i="2"/>
  <c r="G21" i="2"/>
  <c r="G19" i="2"/>
  <c r="G17" i="2"/>
  <c r="G16" i="2"/>
  <c r="G15" i="2"/>
  <c r="D25" i="2"/>
  <c r="G14" i="2"/>
  <c r="E25" i="2"/>
  <c r="F6" i="2"/>
  <c r="F25" i="2"/>
  <c r="D6" i="1"/>
  <c r="G25" i="2" l="1"/>
  <c r="C25" i="1"/>
  <c r="B25" i="1"/>
  <c r="A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D25" i="1" s="1"/>
  <c r="F15" i="1"/>
  <c r="E15" i="1"/>
  <c r="D15" i="1"/>
  <c r="F14" i="1"/>
  <c r="E14" i="1"/>
  <c r="D14" i="1"/>
  <c r="F13" i="1"/>
  <c r="E13" i="1"/>
  <c r="D13" i="1"/>
  <c r="F7" i="1"/>
  <c r="F5" i="1"/>
  <c r="G21" i="1" l="1"/>
  <c r="G16" i="1"/>
  <c r="G24" i="1"/>
  <c r="G23" i="1"/>
  <c r="F25" i="1"/>
  <c r="G22" i="1"/>
  <c r="G20" i="1"/>
  <c r="G19" i="1"/>
  <c r="G18" i="1"/>
  <c r="G17" i="1"/>
  <c r="G15" i="1"/>
  <c r="G14" i="1"/>
  <c r="E25" i="1"/>
  <c r="G13" i="1"/>
  <c r="G25" i="1" l="1"/>
  <c r="F6" i="1"/>
  <c r="D8" i="1"/>
  <c r="F8" i="1" s="1"/>
</calcChain>
</file>

<file path=xl/sharedStrings.xml><?xml version="1.0" encoding="utf-8"?>
<sst xmlns="http://schemas.openxmlformats.org/spreadsheetml/2006/main" count="60" uniqueCount="24">
  <si>
    <t>Allocation Method for Class B RSVA-Global Adjustment.</t>
  </si>
  <si>
    <t>IRM Total Metered</t>
  </si>
  <si>
    <t>kWh</t>
  </si>
  <si>
    <t xml:space="preserve">IRM RPP </t>
  </si>
  <si>
    <t>IRM Non RPP</t>
  </si>
  <si>
    <t>IRM Class A</t>
  </si>
  <si>
    <t>IRM Net Class B</t>
  </si>
  <si>
    <t>Class B (Non RPP and Non Class A) RSVA GA Analysis - Allocation Method</t>
  </si>
  <si>
    <t>Class B Non-RPP Spot</t>
  </si>
  <si>
    <t>First Estimate GA</t>
  </si>
  <si>
    <t>Actual  GA</t>
  </si>
  <si>
    <t>Retail - Final</t>
  </si>
  <si>
    <t>Class B Non-RPP</t>
  </si>
  <si>
    <t>Est. Variance</t>
  </si>
  <si>
    <t>$/kWh</t>
  </si>
  <si>
    <t>@ Retail GA</t>
  </si>
  <si>
    <t>@ Actual GA</t>
  </si>
  <si>
    <t>Retail less Final</t>
  </si>
  <si>
    <t>2017 IRM Rate Continuity Schedule</t>
  </si>
  <si>
    <t>kWh *</t>
  </si>
  <si>
    <t>* - Quantities must be adjusted for unbilled revenue quantities on a monthly basis.</t>
  </si>
  <si>
    <t xml:space="preserve">Input cells </t>
  </si>
  <si>
    <t>2014 Global Adjustment Analysis Example</t>
  </si>
  <si>
    <t>2015 Global Adjustment Analysis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</si>
</sst>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$&quot;#,##0_);[Red]\(&quot;$&quot;#,##0\)"/>
    <numFmt numFmtId="165" formatCode="_(* #,##0_);_(* \(#,##0\);_(* &quot;-&quot;??_);_(@_)"/>
    <numFmt numFmtId="166" formatCode="0.0%"/>
    <numFmt numFmtId="167" formatCode="&quot;$&quot;#,##0.00000_);[Red]\(&quot;$&quot;#,##0.0000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1" applyFill="1" applyAlignment="1">
      <alignment vertical="center"/>
    </xf>
    <xf numFmtId="0" fontId="1" fillId="0" borderId="0" xfId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/>
    </xf>
    <xf numFmtId="0" fontId="3" fillId="0" borderId="4" xfId="1" applyFont="1" applyBorder="1" applyAlignment="1">
      <alignment horizontal="centerContinuous" vertical="center"/>
    </xf>
    <xf numFmtId="165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9" fontId="3" fillId="0" borderId="4" xfId="2" applyFont="1" applyBorder="1" applyAlignment="1">
      <alignment horizontal="right" vertical="center"/>
    </xf>
    <xf numFmtId="166" fontId="3" fillId="0" borderId="4" xfId="2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3" fillId="0" borderId="5" xfId="1" applyFont="1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/>
    </xf>
    <xf numFmtId="166" fontId="3" fillId="0" borderId="5" xfId="2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3" fillId="0" borderId="9" xfId="1" applyFont="1" applyBorder="1" applyAlignment="1">
      <alignment horizontal="centerContinuous" vertical="center"/>
    </xf>
    <xf numFmtId="165" fontId="3" fillId="0" borderId="9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66" fontId="3" fillId="0" borderId="10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165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43" fontId="3" fillId="0" borderId="0" xfId="1" applyNumberFormat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" xfId="1" applyFont="1" applyBorder="1" applyAlignment="1">
      <alignment horizontal="centerContinuous" vertical="center"/>
    </xf>
    <xf numFmtId="0" fontId="3" fillId="0" borderId="2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0" fontId="3" fillId="0" borderId="11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1" xfId="1" applyFont="1" applyBorder="1" applyAlignment="1">
      <alignment horizontal="center" vertical="top"/>
    </xf>
    <xf numFmtId="0" fontId="3" fillId="0" borderId="11" xfId="1" quotePrefix="1" applyFont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167" fontId="3" fillId="2" borderId="13" xfId="1" applyNumberFormat="1" applyFont="1" applyFill="1" applyBorder="1" applyAlignment="1">
      <alignment vertical="center"/>
    </xf>
    <xf numFmtId="164" fontId="5" fillId="0" borderId="13" xfId="3" applyNumberFormat="1" applyFont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167" fontId="3" fillId="2" borderId="11" xfId="1" applyNumberFormat="1" applyFont="1" applyFill="1" applyBorder="1" applyAlignment="1">
      <alignment vertical="center"/>
    </xf>
    <xf numFmtId="164" fontId="5" fillId="0" borderId="11" xfId="3" applyNumberFormat="1" applyFont="1" applyBorder="1" applyAlignment="1">
      <alignment vertical="center"/>
    </xf>
    <xf numFmtId="164" fontId="5" fillId="2" borderId="11" xfId="3" applyNumberFormat="1" applyFont="1" applyFill="1" applyBorder="1" applyAlignment="1">
      <alignment vertical="center"/>
    </xf>
    <xf numFmtId="167" fontId="3" fillId="2" borderId="16" xfId="1" applyNumberFormat="1" applyFont="1" applyFill="1" applyBorder="1" applyAlignment="1">
      <alignment vertical="center"/>
    </xf>
    <xf numFmtId="164" fontId="5" fillId="2" borderId="16" xfId="3" applyNumberFormat="1" applyFont="1" applyFill="1" applyBorder="1" applyAlignment="1">
      <alignment vertical="center"/>
    </xf>
    <xf numFmtId="165" fontId="3" fillId="0" borderId="17" xfId="1" applyNumberFormat="1" applyFont="1" applyBorder="1" applyAlignment="1">
      <alignment vertical="center"/>
    </xf>
    <xf numFmtId="167" fontId="3" fillId="2" borderId="17" xfId="1" applyNumberFormat="1" applyFont="1" applyFill="1" applyBorder="1" applyAlignment="1">
      <alignment vertical="center"/>
    </xf>
    <xf numFmtId="164" fontId="5" fillId="0" borderId="17" xfId="3" applyNumberFormat="1" applyFont="1" applyBorder="1" applyAlignment="1">
      <alignment vertical="center"/>
    </xf>
    <xf numFmtId="164" fontId="6" fillId="0" borderId="17" xfId="3" applyNumberFormat="1" applyFont="1" applyBorder="1" applyAlignment="1">
      <alignment vertical="center"/>
    </xf>
    <xf numFmtId="164" fontId="6" fillId="0" borderId="0" xfId="3" applyNumberFormat="1" applyFont="1" applyFill="1" applyBorder="1" applyAlignment="1">
      <alignment vertical="center"/>
    </xf>
    <xf numFmtId="165" fontId="3" fillId="0" borderId="18" xfId="1" quotePrefix="1" applyNumberFormat="1" applyFont="1" applyBorder="1" applyAlignment="1">
      <alignment vertical="center"/>
    </xf>
    <xf numFmtId="165" fontId="3" fillId="0" borderId="18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right" vertical="center"/>
    </xf>
    <xf numFmtId="164" fontId="7" fillId="3" borderId="17" xfId="3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vertical="center"/>
    </xf>
    <xf numFmtId="0" fontId="1" fillId="0" borderId="0" xfId="1"/>
    <xf numFmtId="0" fontId="1" fillId="0" borderId="0" xfId="1" applyFill="1"/>
    <xf numFmtId="165" fontId="3" fillId="4" borderId="3" xfId="0" applyNumberFormat="1" applyFont="1" applyFill="1" applyBorder="1" applyAlignment="1">
      <alignment vertical="center"/>
    </xf>
    <xf numFmtId="165" fontId="3" fillId="4" borderId="6" xfId="0" applyNumberFormat="1" applyFont="1" applyFill="1" applyBorder="1" applyAlignment="1">
      <alignment vertical="center"/>
    </xf>
    <xf numFmtId="165" fontId="5" fillId="4" borderId="12" xfId="3" applyNumberFormat="1" applyFont="1" applyFill="1" applyBorder="1" applyAlignment="1">
      <alignment vertical="center"/>
    </xf>
    <xf numFmtId="165" fontId="5" fillId="4" borderId="14" xfId="3" applyNumberFormat="1" applyFont="1" applyFill="1" applyBorder="1" applyAlignment="1">
      <alignment vertical="center"/>
    </xf>
    <xf numFmtId="165" fontId="5" fillId="4" borderId="15" xfId="3" applyNumberFormat="1" applyFont="1" applyFill="1" applyBorder="1" applyAlignment="1">
      <alignment vertical="center"/>
    </xf>
    <xf numFmtId="0" fontId="8" fillId="0" borderId="0" xfId="0" quotePrefix="1" applyFont="1" applyAlignment="1">
      <alignment vertical="center"/>
    </xf>
    <xf numFmtId="0" fontId="2" fillId="0" borderId="0" xfId="1" applyFont="1" applyAlignment="1">
      <alignment vertical="center"/>
    </xf>
    <xf numFmtId="0" fontId="3" fillId="4" borderId="0" xfId="0" applyFont="1" applyFill="1" applyAlignment="1">
      <alignment horizontal="center"/>
    </xf>
    <xf numFmtId="0" fontId="2" fillId="0" borderId="0" xfId="1" applyFont="1" applyAlignment="1">
      <alignment horizontal="center" vertical="center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209550</xdr:rowOff>
    </xdr:from>
    <xdr:to>
      <xdr:col>9</xdr:col>
      <xdr:colOff>560070</xdr:colOff>
      <xdr:row>40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525"/>
          <a:ext cx="962025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142875</xdr:rowOff>
    </xdr:from>
    <xdr:to>
      <xdr:col>9</xdr:col>
      <xdr:colOff>560070</xdr:colOff>
      <xdr:row>56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53600"/>
          <a:ext cx="9620250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200025</xdr:rowOff>
    </xdr:from>
    <xdr:to>
      <xdr:col>9</xdr:col>
      <xdr:colOff>137889</xdr:colOff>
      <xdr:row>43</xdr:row>
      <xdr:rowOff>104518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9409524" cy="2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238125</xdr:rowOff>
    </xdr:from>
    <xdr:to>
      <xdr:col>7</xdr:col>
      <xdr:colOff>1094346</xdr:colOff>
      <xdr:row>31</xdr:row>
      <xdr:rowOff>218985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277100"/>
          <a:ext cx="8238096" cy="7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G27" sqref="G27"/>
    </sheetView>
  </sheetViews>
  <sheetFormatPr defaultColWidth="9.140625" defaultRowHeight="12.75" x14ac:dyDescent="0.2"/>
  <cols>
    <col min="1" max="1" width="15.7109375" style="63" customWidth="1"/>
    <col min="2" max="3" width="12.7109375" style="63" customWidth="1"/>
    <col min="4" max="4" width="18.85546875" style="63" customWidth="1"/>
    <col min="5" max="7" width="15.7109375" style="63" customWidth="1"/>
    <col min="8" max="8" width="19.5703125" style="64" customWidth="1"/>
    <col min="9" max="9" width="9.140625" style="63"/>
    <col min="10" max="11" width="10" style="63" bestFit="1" customWidth="1"/>
    <col min="12" max="12" width="7.7109375" style="63" bestFit="1" customWidth="1"/>
    <col min="13" max="16384" width="9.140625" style="63"/>
  </cols>
  <sheetData>
    <row r="1" spans="1:8" s="2" customFormat="1" ht="20.100000000000001" customHeight="1" x14ac:dyDescent="0.3">
      <c r="A1" s="73" t="s">
        <v>22</v>
      </c>
      <c r="B1" s="73"/>
      <c r="C1" s="73"/>
      <c r="D1" s="73"/>
      <c r="E1" s="73"/>
      <c r="F1" s="73"/>
      <c r="G1" s="73"/>
      <c r="H1" s="1"/>
    </row>
    <row r="2" spans="1:8" s="2" customFormat="1" ht="20.100000000000001" customHeight="1" x14ac:dyDescent="0.25">
      <c r="A2" s="3"/>
      <c r="B2" s="3"/>
      <c r="C2" s="3"/>
      <c r="D2" s="3"/>
      <c r="E2" s="3"/>
      <c r="F2" s="3"/>
      <c r="G2" s="3"/>
      <c r="H2" s="4"/>
    </row>
    <row r="3" spans="1:8" s="2" customFormat="1" ht="20.100000000000001" customHeight="1" x14ac:dyDescent="0.25">
      <c r="A3" s="5" t="s">
        <v>0</v>
      </c>
      <c r="B3" s="6"/>
      <c r="C3" s="7"/>
      <c r="D3" s="7"/>
      <c r="E3" s="7"/>
      <c r="F3" s="8"/>
      <c r="G3" s="3"/>
      <c r="H3" s="72" t="s">
        <v>21</v>
      </c>
    </row>
    <row r="4" spans="1:8" s="2" customFormat="1" ht="20.100000000000001" customHeight="1" x14ac:dyDescent="0.25">
      <c r="A4" s="9" t="s">
        <v>1</v>
      </c>
      <c r="B4" s="10"/>
      <c r="C4" s="11"/>
      <c r="D4" s="65">
        <f>323466540+746945</f>
        <v>324213485</v>
      </c>
      <c r="E4" s="13" t="s">
        <v>2</v>
      </c>
      <c r="F4" s="14">
        <v>1</v>
      </c>
      <c r="G4" s="3"/>
      <c r="H4" s="4"/>
    </row>
    <row r="5" spans="1:8" s="2" customFormat="1" ht="20.100000000000001" customHeight="1" x14ac:dyDescent="0.25">
      <c r="A5" s="9" t="s">
        <v>3</v>
      </c>
      <c r="B5" s="10"/>
      <c r="C5" s="11"/>
      <c r="D5" s="65">
        <v>184832434</v>
      </c>
      <c r="E5" s="13" t="s">
        <v>2</v>
      </c>
      <c r="F5" s="15">
        <f>D5/D4</f>
        <v>0.57009483735693478</v>
      </c>
      <c r="G5" s="3"/>
      <c r="H5" s="4"/>
    </row>
    <row r="6" spans="1:8" s="2" customFormat="1" ht="20.100000000000001" customHeight="1" x14ac:dyDescent="0.25">
      <c r="A6" s="9" t="s">
        <v>4</v>
      </c>
      <c r="B6" s="10"/>
      <c r="C6" s="11"/>
      <c r="D6" s="12">
        <f>+D4-D5</f>
        <v>139381051</v>
      </c>
      <c r="E6" s="13" t="s">
        <v>2</v>
      </c>
      <c r="F6" s="15">
        <f>D6/D4</f>
        <v>0.42990516264306528</v>
      </c>
      <c r="G6" s="3"/>
      <c r="H6" s="4"/>
    </row>
    <row r="7" spans="1:8" s="2" customFormat="1" ht="20.100000000000001" customHeight="1" thickBot="1" x14ac:dyDescent="0.3">
      <c r="A7" s="16" t="s">
        <v>5</v>
      </c>
      <c r="B7" s="17"/>
      <c r="C7" s="18"/>
      <c r="D7" s="66">
        <v>0</v>
      </c>
      <c r="E7" s="19" t="s">
        <v>2</v>
      </c>
      <c r="F7" s="20">
        <f>D7/D4</f>
        <v>0</v>
      </c>
      <c r="G7" s="3"/>
      <c r="H7" s="4"/>
    </row>
    <row r="8" spans="1:8" s="2" customFormat="1" ht="20.100000000000001" customHeight="1" thickBot="1" x14ac:dyDescent="0.35">
      <c r="A8" s="21" t="s">
        <v>6</v>
      </c>
      <c r="B8" s="22"/>
      <c r="C8" s="23"/>
      <c r="D8" s="24">
        <f>+D6-D7</f>
        <v>139381051</v>
      </c>
      <c r="E8" s="25" t="s">
        <v>2</v>
      </c>
      <c r="F8" s="26">
        <f>D8/D4</f>
        <v>0.42990516264306528</v>
      </c>
      <c r="G8" s="27"/>
      <c r="H8" s="28"/>
    </row>
    <row r="9" spans="1:8" s="2" customFormat="1" ht="20.100000000000001" customHeight="1" x14ac:dyDescent="0.3">
      <c r="A9" s="29"/>
      <c r="B9" s="30"/>
      <c r="C9" s="30"/>
      <c r="D9" s="31"/>
      <c r="E9" s="30"/>
      <c r="F9" s="30"/>
      <c r="G9" s="30"/>
      <c r="H9" s="32"/>
    </row>
    <row r="10" spans="1:8" s="2" customFormat="1" ht="20.100000000000001" customHeight="1" x14ac:dyDescent="0.3">
      <c r="A10" s="33" t="s">
        <v>7</v>
      </c>
      <c r="B10" s="34"/>
      <c r="C10" s="34"/>
      <c r="D10" s="34"/>
      <c r="E10" s="34"/>
      <c r="F10" s="34"/>
      <c r="G10" s="35"/>
    </row>
    <row r="11" spans="1:8" s="2" customFormat="1" ht="27.75" customHeight="1" x14ac:dyDescent="0.25">
      <c r="A11" s="36" t="s">
        <v>8</v>
      </c>
      <c r="B11" s="37" t="s">
        <v>9</v>
      </c>
      <c r="C11" s="38" t="s">
        <v>10</v>
      </c>
      <c r="D11" s="38" t="s">
        <v>11</v>
      </c>
      <c r="E11" s="39" t="s">
        <v>12</v>
      </c>
      <c r="F11" s="39" t="s">
        <v>12</v>
      </c>
      <c r="G11" s="39" t="s">
        <v>13</v>
      </c>
      <c r="H11" s="40"/>
    </row>
    <row r="12" spans="1:8" s="2" customFormat="1" ht="20.100000000000001" customHeight="1" thickBot="1" x14ac:dyDescent="0.35">
      <c r="A12" s="41" t="s">
        <v>19</v>
      </c>
      <c r="B12" s="41" t="s">
        <v>14</v>
      </c>
      <c r="C12" s="41" t="s">
        <v>14</v>
      </c>
      <c r="D12" s="41" t="s">
        <v>14</v>
      </c>
      <c r="E12" s="42" t="s">
        <v>15</v>
      </c>
      <c r="F12" s="42" t="s">
        <v>16</v>
      </c>
      <c r="G12" s="41" t="s">
        <v>17</v>
      </c>
      <c r="H12" s="43"/>
    </row>
    <row r="13" spans="1:8" s="2" customFormat="1" ht="20.100000000000001" customHeight="1" x14ac:dyDescent="0.3">
      <c r="A13" s="67">
        <f>37749849.2-25566060.57</f>
        <v>12183788.630000003</v>
      </c>
      <c r="B13" s="44">
        <v>3.6260000000000001E-2</v>
      </c>
      <c r="C13" s="44">
        <v>1.261E-2</v>
      </c>
      <c r="D13" s="44">
        <f t="shared" ref="D13:D24" si="0">+B13-C13</f>
        <v>2.3650000000000001E-2</v>
      </c>
      <c r="E13" s="45">
        <f t="shared" ref="E13:E24" si="1">+A13*B13</f>
        <v>441784.17572380009</v>
      </c>
      <c r="F13" s="45">
        <f t="shared" ref="F13:F24" si="2">+A13*C13</f>
        <v>153637.57462430003</v>
      </c>
      <c r="G13" s="45">
        <f>+F13-E13</f>
        <v>-288146.60109950008</v>
      </c>
      <c r="H13" s="46"/>
    </row>
    <row r="14" spans="1:8" s="2" customFormat="1" ht="20.100000000000001" customHeight="1" x14ac:dyDescent="0.3">
      <c r="A14" s="68">
        <f>31040064.93+75956.62-18410354.22</f>
        <v>12705667.330000002</v>
      </c>
      <c r="B14" s="47">
        <v>2.231E-2</v>
      </c>
      <c r="C14" s="47">
        <v>1.3300000000000001E-2</v>
      </c>
      <c r="D14" s="47">
        <f t="shared" si="0"/>
        <v>9.0099999999999989E-3</v>
      </c>
      <c r="E14" s="48">
        <f t="shared" si="1"/>
        <v>283463.43813230004</v>
      </c>
      <c r="F14" s="48">
        <f t="shared" si="2"/>
        <v>168985.37548900003</v>
      </c>
      <c r="G14" s="48">
        <f t="shared" ref="G14:G24" si="3">+F14-E14</f>
        <v>-114478.06264330001</v>
      </c>
      <c r="H14" s="46"/>
    </row>
    <row r="15" spans="1:8" s="2" customFormat="1" ht="20.100000000000001" customHeight="1" x14ac:dyDescent="0.3">
      <c r="A15" s="68">
        <f>29538125.06-17966228.59</f>
        <v>11571896.469999999</v>
      </c>
      <c r="B15" s="47">
        <v>1.103E-2</v>
      </c>
      <c r="C15" s="47">
        <v>-2.7E-4</v>
      </c>
      <c r="D15" s="47">
        <f t="shared" si="0"/>
        <v>1.1299999999999999E-2</v>
      </c>
      <c r="E15" s="48">
        <f t="shared" si="1"/>
        <v>127638.01806409999</v>
      </c>
      <c r="F15" s="48">
        <f t="shared" si="2"/>
        <v>-3124.4120468999995</v>
      </c>
      <c r="G15" s="48">
        <f t="shared" si="3"/>
        <v>-130762.43011099999</v>
      </c>
      <c r="H15" s="46"/>
    </row>
    <row r="16" spans="1:8" s="2" customFormat="1" ht="20.100000000000001" customHeight="1" x14ac:dyDescent="0.3">
      <c r="A16" s="68">
        <f>29442731.13-17135274.99</f>
        <v>12307456.140000001</v>
      </c>
      <c r="B16" s="47">
        <v>-9.6500000000000006E-3</v>
      </c>
      <c r="C16" s="47">
        <v>5.1979999999999998E-2</v>
      </c>
      <c r="D16" s="47">
        <f t="shared" si="0"/>
        <v>-6.1629999999999997E-2</v>
      </c>
      <c r="E16" s="48">
        <f t="shared" si="1"/>
        <v>-118766.95175100002</v>
      </c>
      <c r="F16" s="48">
        <f t="shared" si="2"/>
        <v>639741.57015719998</v>
      </c>
      <c r="G16" s="48">
        <f t="shared" si="3"/>
        <v>758508.5219082</v>
      </c>
      <c r="H16" s="46"/>
    </row>
    <row r="17" spans="1:8" s="2" customFormat="1" ht="20.100000000000001" customHeight="1" x14ac:dyDescent="0.3">
      <c r="A17" s="68">
        <f>31516765.31+225393.36-19835457.12</f>
        <v>11906701.549999997</v>
      </c>
      <c r="B17" s="47">
        <v>5.3560000000000003E-2</v>
      </c>
      <c r="C17" s="47">
        <v>7.1959999999999996E-2</v>
      </c>
      <c r="D17" s="47">
        <f t="shared" si="0"/>
        <v>-1.8399999999999993E-2</v>
      </c>
      <c r="E17" s="48">
        <f t="shared" si="1"/>
        <v>637722.93501799984</v>
      </c>
      <c r="F17" s="48">
        <f t="shared" si="2"/>
        <v>856806.24353799969</v>
      </c>
      <c r="G17" s="48">
        <f t="shared" si="3"/>
        <v>219083.30851999985</v>
      </c>
      <c r="H17" s="46"/>
    </row>
    <row r="18" spans="1:8" s="2" customFormat="1" ht="20.100000000000001" customHeight="1" x14ac:dyDescent="0.3">
      <c r="A18" s="68">
        <f>21534477.33+84270.57-10631241.51</f>
        <v>10987506.389999999</v>
      </c>
      <c r="B18" s="47">
        <v>7.1900000000000006E-2</v>
      </c>
      <c r="C18" s="47">
        <v>6.0249999999999998E-2</v>
      </c>
      <c r="D18" s="47">
        <f t="shared" si="0"/>
        <v>1.1650000000000008E-2</v>
      </c>
      <c r="E18" s="48">
        <f t="shared" si="1"/>
        <v>790001.70944100001</v>
      </c>
      <c r="F18" s="48">
        <f t="shared" si="2"/>
        <v>661997.25999749987</v>
      </c>
      <c r="G18" s="48">
        <f t="shared" si="3"/>
        <v>-128004.44944350014</v>
      </c>
      <c r="H18" s="46"/>
    </row>
    <row r="19" spans="1:8" s="2" customFormat="1" ht="20.100000000000001" customHeight="1" x14ac:dyDescent="0.3">
      <c r="A19" s="68">
        <f>24981526.57+81189.19-13480688.84</f>
        <v>11582026.920000002</v>
      </c>
      <c r="B19" s="47">
        <v>5.9760000000000001E-2</v>
      </c>
      <c r="C19" s="47">
        <v>6.2560000000000004E-2</v>
      </c>
      <c r="D19" s="47">
        <f t="shared" si="0"/>
        <v>-2.8000000000000039E-3</v>
      </c>
      <c r="E19" s="48">
        <f t="shared" si="1"/>
        <v>692141.92873920011</v>
      </c>
      <c r="F19" s="48">
        <f t="shared" si="2"/>
        <v>724571.60411520011</v>
      </c>
      <c r="G19" s="48">
        <f t="shared" si="3"/>
        <v>32429.675375999999</v>
      </c>
      <c r="H19" s="46"/>
    </row>
    <row r="20" spans="1:8" s="2" customFormat="1" ht="20.100000000000001" customHeight="1" x14ac:dyDescent="0.3">
      <c r="A20" s="68">
        <f>22409658.94+57054.61-11570257.43</f>
        <v>10896456.120000001</v>
      </c>
      <c r="B20" s="47">
        <v>6.1079999999999995E-2</v>
      </c>
      <c r="C20" s="47">
        <v>6.7610000000000003E-2</v>
      </c>
      <c r="D20" s="47">
        <f t="shared" si="0"/>
        <v>-6.530000000000008E-3</v>
      </c>
      <c r="E20" s="48">
        <f t="shared" si="1"/>
        <v>665555.53980959998</v>
      </c>
      <c r="F20" s="48">
        <f t="shared" si="2"/>
        <v>736709.39827320015</v>
      </c>
      <c r="G20" s="48">
        <f t="shared" si="3"/>
        <v>71153.858463600161</v>
      </c>
      <c r="H20" s="46"/>
    </row>
    <row r="21" spans="1:8" s="2" customFormat="1" ht="20.100000000000001" customHeight="1" x14ac:dyDescent="0.25">
      <c r="A21" s="68">
        <f>22212565.69+34772.02-11399467.26</f>
        <v>10847870.450000001</v>
      </c>
      <c r="B21" s="47">
        <v>8.0489999999999992E-2</v>
      </c>
      <c r="C21" s="47">
        <v>7.9629999999999992E-2</v>
      </c>
      <c r="D21" s="47">
        <f t="shared" si="0"/>
        <v>8.5999999999999965E-4</v>
      </c>
      <c r="E21" s="48">
        <f t="shared" si="1"/>
        <v>873145.09252049995</v>
      </c>
      <c r="F21" s="48">
        <f t="shared" si="2"/>
        <v>863815.92393349996</v>
      </c>
      <c r="G21" s="48">
        <f t="shared" si="3"/>
        <v>-9329.1685869999928</v>
      </c>
      <c r="H21" s="46"/>
    </row>
    <row r="22" spans="1:8" s="2" customFormat="1" ht="20.100000000000001" customHeight="1" x14ac:dyDescent="0.25">
      <c r="A22" s="68">
        <f>24658337.27+59500.56-13447332.34</f>
        <v>11270505.489999998</v>
      </c>
      <c r="B22" s="47">
        <v>7.492E-2</v>
      </c>
      <c r="C22" s="47">
        <v>0.10014000000000001</v>
      </c>
      <c r="D22" s="47">
        <f t="shared" si="0"/>
        <v>-2.5220000000000006E-2</v>
      </c>
      <c r="E22" s="49">
        <f t="shared" si="1"/>
        <v>844386.27131079987</v>
      </c>
      <c r="F22" s="49">
        <f t="shared" si="2"/>
        <v>1128628.4197686</v>
      </c>
      <c r="G22" s="49">
        <f t="shared" si="3"/>
        <v>284242.14845780015</v>
      </c>
      <c r="H22" s="46"/>
    </row>
    <row r="23" spans="1:8" s="2" customFormat="1" ht="20.100000000000001" customHeight="1" x14ac:dyDescent="0.25">
      <c r="A23" s="68">
        <f>22866697.63+67189.89-11486931.38</f>
        <v>11446956.139999999</v>
      </c>
      <c r="B23" s="47">
        <v>9.9010000000000001E-2</v>
      </c>
      <c r="C23" s="47">
        <v>8.231999999999999E-2</v>
      </c>
      <c r="D23" s="47">
        <f t="shared" si="0"/>
        <v>1.669000000000001E-2</v>
      </c>
      <c r="E23" s="49">
        <f t="shared" si="1"/>
        <v>1133363.1274213998</v>
      </c>
      <c r="F23" s="49">
        <f t="shared" si="2"/>
        <v>942313.42944479978</v>
      </c>
      <c r="G23" s="49">
        <f t="shared" si="3"/>
        <v>-191049.69797660003</v>
      </c>
      <c r="H23" s="46"/>
    </row>
    <row r="24" spans="1:8" s="2" customFormat="1" ht="20.100000000000001" customHeight="1" thickBot="1" x14ac:dyDescent="0.3">
      <c r="A24" s="69">
        <f>25515746.13+61622.72-13903165.32</f>
        <v>11674203.529999997</v>
      </c>
      <c r="B24" s="50">
        <v>7.3180000000000009E-2</v>
      </c>
      <c r="C24" s="50">
        <v>7.4439999999999992E-2</v>
      </c>
      <c r="D24" s="50">
        <f t="shared" si="0"/>
        <v>-1.2599999999999834E-3</v>
      </c>
      <c r="E24" s="51">
        <f t="shared" si="1"/>
        <v>854318.21432539995</v>
      </c>
      <c r="F24" s="51">
        <f t="shared" si="2"/>
        <v>869027.71077319968</v>
      </c>
      <c r="G24" s="51">
        <f t="shared" si="3"/>
        <v>14709.496447799727</v>
      </c>
      <c r="H24" s="46"/>
    </row>
    <row r="25" spans="1:8" s="2" customFormat="1" ht="20.100000000000001" customHeight="1" x14ac:dyDescent="0.25">
      <c r="A25" s="52">
        <f>SUM(A13:A24)</f>
        <v>139381035.16</v>
      </c>
      <c r="B25" s="53">
        <f>AVERAGE(B13:B24)</f>
        <v>5.2820833333333338E-2</v>
      </c>
      <c r="C25" s="53">
        <f t="shared" ref="C25:D25" si="4">AVERAGE(C13:C24)</f>
        <v>5.6377499999999997E-2</v>
      </c>
      <c r="D25" s="53">
        <f t="shared" si="4"/>
        <v>-3.5566666666666646E-3</v>
      </c>
      <c r="E25" s="54">
        <f>SUM(E13:E24)</f>
        <v>7224753.4987550993</v>
      </c>
      <c r="F25" s="54">
        <f>SUM(F13:F24)</f>
        <v>7743110.0980675993</v>
      </c>
      <c r="G25" s="55">
        <f>SUM(G13:G24)</f>
        <v>518356.59931249963</v>
      </c>
      <c r="H25" s="56"/>
    </row>
    <row r="26" spans="1:8" s="2" customFormat="1" ht="20.100000000000001" customHeight="1" x14ac:dyDescent="0.25">
      <c r="A26" s="30"/>
      <c r="B26" s="30"/>
      <c r="C26" s="30"/>
      <c r="D26" s="57"/>
      <c r="E26" s="30"/>
      <c r="F26" s="58" t="s">
        <v>18</v>
      </c>
      <c r="G26" s="55">
        <v>722828</v>
      </c>
      <c r="H26" s="56"/>
    </row>
    <row r="27" spans="1:8" s="2" customFormat="1" ht="20.100000000000001" customHeight="1" x14ac:dyDescent="0.25">
      <c r="A27" s="30"/>
      <c r="B27" s="30"/>
      <c r="C27" s="30"/>
      <c r="D27" s="30"/>
      <c r="E27" s="59"/>
      <c r="F27" s="60"/>
      <c r="G27" s="61">
        <f>G25-G26</f>
        <v>-204471.40068750037</v>
      </c>
      <c r="H27" s="62"/>
    </row>
    <row r="28" spans="1:8" s="2" customFormat="1" ht="20.100000000000001" customHeight="1" x14ac:dyDescent="0.25">
      <c r="A28" s="70" t="s">
        <v>20</v>
      </c>
      <c r="B28" s="71"/>
      <c r="C28" s="71"/>
      <c r="D28" s="71"/>
      <c r="E28" s="71"/>
      <c r="H28" s="1"/>
    </row>
    <row r="29" spans="1:8" s="2" customFormat="1" ht="20.100000000000001" customHeight="1" x14ac:dyDescent="0.25">
      <c r="H29" s="1"/>
    </row>
    <row r="30" spans="1:8" s="2" customFormat="1" ht="20.100000000000001" customHeight="1" x14ac:dyDescent="0.25">
      <c r="H30" s="1"/>
    </row>
    <row r="31" spans="1:8" s="2" customFormat="1" ht="20.100000000000001" customHeight="1" x14ac:dyDescent="0.25">
      <c r="H31" s="1"/>
    </row>
    <row r="32" spans="1:8" s="2" customFormat="1" ht="20.100000000000001" customHeight="1" x14ac:dyDescent="0.25">
      <c r="H32" s="1"/>
    </row>
    <row r="33" spans="8:8" s="2" customFormat="1" ht="20.100000000000001" customHeight="1" x14ac:dyDescent="0.25">
      <c r="H33" s="1"/>
    </row>
    <row r="40" spans="8:8" ht="15.75" customHeight="1" x14ac:dyDescent="0.2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workbookViewId="0">
      <selection activeCell="G27" sqref="G27"/>
    </sheetView>
  </sheetViews>
  <sheetFormatPr defaultColWidth="9.140625" defaultRowHeight="12.75" x14ac:dyDescent="0.2"/>
  <cols>
    <col min="1" max="1" width="15.7109375" style="63" customWidth="1"/>
    <col min="2" max="3" width="12.7109375" style="63" customWidth="1"/>
    <col min="4" max="4" width="18.85546875" style="63" customWidth="1"/>
    <col min="5" max="7" width="15.7109375" style="63" customWidth="1"/>
    <col min="8" max="8" width="19.5703125" style="64" customWidth="1"/>
    <col min="9" max="9" width="12.28515625" style="63" bestFit="1" customWidth="1"/>
    <col min="10" max="10" width="10.7109375" style="63" bestFit="1" customWidth="1"/>
    <col min="11" max="11" width="10" style="63" bestFit="1" customWidth="1"/>
    <col min="12" max="12" width="10" style="63" customWidth="1"/>
    <col min="13" max="13" width="10" style="63" bestFit="1" customWidth="1"/>
    <col min="14" max="16384" width="9.140625" style="63"/>
  </cols>
  <sheetData>
    <row r="1" spans="1:8" s="2" customFormat="1" ht="20.100000000000001" customHeight="1" x14ac:dyDescent="0.3">
      <c r="A1" s="73" t="s">
        <v>23</v>
      </c>
      <c r="B1" s="73"/>
      <c r="C1" s="73"/>
      <c r="D1" s="73"/>
      <c r="E1" s="73"/>
      <c r="F1" s="73"/>
      <c r="G1" s="73"/>
      <c r="H1" s="1"/>
    </row>
    <row r="2" spans="1:8" s="2" customFormat="1" ht="20.100000000000001" customHeight="1" x14ac:dyDescent="0.25">
      <c r="A2" s="3"/>
      <c r="B2" s="3"/>
      <c r="C2" s="3"/>
      <c r="D2" s="3"/>
      <c r="E2" s="3"/>
      <c r="F2" s="3"/>
      <c r="G2" s="3"/>
      <c r="H2" s="4"/>
    </row>
    <row r="3" spans="1:8" s="2" customFormat="1" ht="20.100000000000001" customHeight="1" x14ac:dyDescent="0.25">
      <c r="A3" s="5" t="s">
        <v>0</v>
      </c>
      <c r="B3" s="6"/>
      <c r="C3" s="7"/>
      <c r="D3" s="7"/>
      <c r="E3" s="7"/>
      <c r="F3" s="8"/>
      <c r="G3" s="3"/>
      <c r="H3" s="72" t="s">
        <v>21</v>
      </c>
    </row>
    <row r="4" spans="1:8" s="2" customFormat="1" ht="20.100000000000001" customHeight="1" x14ac:dyDescent="0.25">
      <c r="A4" s="9" t="s">
        <v>1</v>
      </c>
      <c r="B4" s="10"/>
      <c r="C4" s="11"/>
      <c r="D4" s="65">
        <v>322603767</v>
      </c>
      <c r="E4" s="13" t="s">
        <v>2</v>
      </c>
      <c r="F4" s="14">
        <v>1</v>
      </c>
      <c r="G4" s="3"/>
      <c r="H4" s="4"/>
    </row>
    <row r="5" spans="1:8" s="2" customFormat="1" ht="20.100000000000001" customHeight="1" x14ac:dyDescent="0.25">
      <c r="A5" s="9" t="s">
        <v>3</v>
      </c>
      <c r="B5" s="10"/>
      <c r="C5" s="11"/>
      <c r="D5" s="65">
        <v>175008802</v>
      </c>
      <c r="E5" s="13" t="s">
        <v>2</v>
      </c>
      <c r="F5" s="15">
        <f>D5/D4</f>
        <v>0.54248840187907665</v>
      </c>
      <c r="G5" s="3"/>
      <c r="H5" s="4"/>
    </row>
    <row r="6" spans="1:8" s="2" customFormat="1" ht="20.100000000000001" customHeight="1" x14ac:dyDescent="0.25">
      <c r="A6" s="9" t="s">
        <v>4</v>
      </c>
      <c r="B6" s="10"/>
      <c r="C6" s="11"/>
      <c r="D6" s="12">
        <f>+D4-D5</f>
        <v>147594965</v>
      </c>
      <c r="E6" s="13" t="s">
        <v>2</v>
      </c>
      <c r="F6" s="15">
        <f>D6/D4</f>
        <v>0.45751159812092335</v>
      </c>
      <c r="G6" s="3"/>
      <c r="H6" s="4"/>
    </row>
    <row r="7" spans="1:8" s="2" customFormat="1" ht="20.100000000000001" customHeight="1" thickBot="1" x14ac:dyDescent="0.3">
      <c r="A7" s="16" t="s">
        <v>5</v>
      </c>
      <c r="B7" s="17"/>
      <c r="C7" s="18"/>
      <c r="D7" s="66">
        <v>14575053.449999999</v>
      </c>
      <c r="E7" s="19" t="s">
        <v>2</v>
      </c>
      <c r="F7" s="20">
        <f>D7/D4</f>
        <v>4.5179427337561126E-2</v>
      </c>
      <c r="G7" s="3"/>
      <c r="H7" s="4"/>
    </row>
    <row r="8" spans="1:8" s="2" customFormat="1" ht="20.100000000000001" customHeight="1" thickBot="1" x14ac:dyDescent="0.35">
      <c r="A8" s="21" t="s">
        <v>6</v>
      </c>
      <c r="B8" s="22"/>
      <c r="C8" s="23"/>
      <c r="D8" s="24">
        <f>+D6-D7</f>
        <v>133019911.55</v>
      </c>
      <c r="E8" s="25" t="s">
        <v>2</v>
      </c>
      <c r="F8" s="26">
        <f>D8/D4</f>
        <v>0.41233217078336221</v>
      </c>
      <c r="G8" s="27"/>
      <c r="H8" s="28"/>
    </row>
    <row r="9" spans="1:8" s="2" customFormat="1" ht="20.100000000000001" customHeight="1" x14ac:dyDescent="0.3">
      <c r="A9" s="29"/>
      <c r="B9" s="30"/>
      <c r="C9" s="30"/>
      <c r="D9" s="31"/>
      <c r="E9" s="30"/>
      <c r="F9" s="30"/>
      <c r="G9" s="30"/>
      <c r="H9" s="32"/>
    </row>
    <row r="10" spans="1:8" s="2" customFormat="1" ht="20.100000000000001" customHeight="1" x14ac:dyDescent="0.3">
      <c r="A10" s="33" t="s">
        <v>7</v>
      </c>
      <c r="B10" s="34"/>
      <c r="C10" s="34"/>
      <c r="D10" s="34"/>
      <c r="E10" s="34"/>
      <c r="F10" s="34"/>
      <c r="G10" s="35"/>
    </row>
    <row r="11" spans="1:8" s="2" customFormat="1" ht="27.75" customHeight="1" x14ac:dyDescent="0.25">
      <c r="A11" s="36" t="s">
        <v>8</v>
      </c>
      <c r="B11" s="37" t="s">
        <v>9</v>
      </c>
      <c r="C11" s="38" t="s">
        <v>10</v>
      </c>
      <c r="D11" s="38" t="s">
        <v>11</v>
      </c>
      <c r="E11" s="39" t="s">
        <v>12</v>
      </c>
      <c r="F11" s="39" t="s">
        <v>12</v>
      </c>
      <c r="G11" s="39" t="s">
        <v>13</v>
      </c>
      <c r="H11" s="40"/>
    </row>
    <row r="12" spans="1:8" s="2" customFormat="1" ht="20.100000000000001" customHeight="1" thickBot="1" x14ac:dyDescent="0.35">
      <c r="A12" s="41" t="s">
        <v>19</v>
      </c>
      <c r="B12" s="41" t="s">
        <v>14</v>
      </c>
      <c r="C12" s="41" t="s">
        <v>14</v>
      </c>
      <c r="D12" s="41" t="s">
        <v>14</v>
      </c>
      <c r="E12" s="42" t="s">
        <v>15</v>
      </c>
      <c r="F12" s="42" t="s">
        <v>16</v>
      </c>
      <c r="G12" s="41" t="s">
        <v>17</v>
      </c>
      <c r="H12" s="43"/>
    </row>
    <row r="13" spans="1:8" s="2" customFormat="1" ht="20.100000000000001" customHeight="1" x14ac:dyDescent="0.3">
      <c r="A13" s="67">
        <f>32554546.35+66902.79-19924786.64</f>
        <v>12696662.5</v>
      </c>
      <c r="B13" s="44">
        <v>5.5489999999999998E-2</v>
      </c>
      <c r="C13" s="44">
        <v>5.0680000000000003E-2</v>
      </c>
      <c r="D13" s="44">
        <f t="shared" ref="D13:D24" si="0">+B13-C13</f>
        <v>4.8099999999999948E-3</v>
      </c>
      <c r="E13" s="45">
        <f t="shared" ref="E13:E24" si="1">+A13*B13</f>
        <v>704537.80212499993</v>
      </c>
      <c r="F13" s="45">
        <f t="shared" ref="F13:F24" si="2">+A13*C13</f>
        <v>643466.85550000006</v>
      </c>
      <c r="G13" s="45">
        <f>+F13-E13</f>
        <v>-61070.946624999866</v>
      </c>
      <c r="H13" s="46"/>
    </row>
    <row r="14" spans="1:8" s="2" customFormat="1" ht="20.100000000000001" customHeight="1" x14ac:dyDescent="0.3">
      <c r="A14" s="68">
        <f>30934855.34+67470.74-18277114.12</f>
        <v>12725211.959999997</v>
      </c>
      <c r="B14" s="47">
        <v>6.9809999999999997E-2</v>
      </c>
      <c r="C14" s="47">
        <v>3.9609999999999999E-2</v>
      </c>
      <c r="D14" s="47">
        <f t="shared" si="0"/>
        <v>3.0199999999999998E-2</v>
      </c>
      <c r="E14" s="48">
        <f t="shared" si="1"/>
        <v>888347.04692759982</v>
      </c>
      <c r="F14" s="48">
        <f t="shared" si="2"/>
        <v>504045.64573559986</v>
      </c>
      <c r="G14" s="48">
        <f t="shared" ref="G14:G24" si="3">+F14-E14</f>
        <v>-384301.40119199996</v>
      </c>
      <c r="H14" s="46"/>
    </row>
    <row r="15" spans="1:8" s="2" customFormat="1" ht="20.100000000000001" customHeight="1" x14ac:dyDescent="0.3">
      <c r="A15" s="68">
        <f>31410926.27+47458.34-19085091.62</f>
        <v>12373292.989999998</v>
      </c>
      <c r="B15" s="47">
        <v>3.6040000000000003E-2</v>
      </c>
      <c r="C15" s="47">
        <v>6.2899999999999998E-2</v>
      </c>
      <c r="D15" s="47">
        <f t="shared" si="0"/>
        <v>-2.6859999999999995E-2</v>
      </c>
      <c r="E15" s="48">
        <f t="shared" si="1"/>
        <v>445933.47935959999</v>
      </c>
      <c r="F15" s="48">
        <f t="shared" si="2"/>
        <v>778280.12907099992</v>
      </c>
      <c r="G15" s="48">
        <f t="shared" si="3"/>
        <v>332346.64971139992</v>
      </c>
      <c r="H15" s="46"/>
    </row>
    <row r="16" spans="1:8" s="2" customFormat="1" ht="20.100000000000001" customHeight="1" x14ac:dyDescent="0.3">
      <c r="A16" s="68">
        <f>32241512.41+14033.15-18932307.38</f>
        <v>13323238.18</v>
      </c>
      <c r="B16" s="47">
        <v>6.7049999999999998E-2</v>
      </c>
      <c r="C16" s="47">
        <v>9.5589999999999994E-2</v>
      </c>
      <c r="D16" s="47">
        <f t="shared" si="0"/>
        <v>-2.8539999999999996E-2</v>
      </c>
      <c r="E16" s="48">
        <f t="shared" si="1"/>
        <v>893323.11996899999</v>
      </c>
      <c r="F16" s="48">
        <f t="shared" si="2"/>
        <v>1273568.3376261999</v>
      </c>
      <c r="G16" s="48">
        <f t="shared" si="3"/>
        <v>380245.21765719994</v>
      </c>
      <c r="H16" s="46"/>
    </row>
    <row r="17" spans="1:8" s="2" customFormat="1" ht="20.100000000000001" customHeight="1" x14ac:dyDescent="0.3">
      <c r="A17" s="68">
        <f>23513365.47+5295.2-12007333.92</f>
        <v>11511326.749999998</v>
      </c>
      <c r="B17" s="47">
        <v>9.4159999999999994E-2</v>
      </c>
      <c r="C17" s="47">
        <v>9.6680000000000002E-2</v>
      </c>
      <c r="D17" s="47">
        <f t="shared" si="0"/>
        <v>-2.5200000000000083E-3</v>
      </c>
      <c r="E17" s="48">
        <f t="shared" si="1"/>
        <v>1083906.5267799997</v>
      </c>
      <c r="F17" s="48">
        <f t="shared" si="2"/>
        <v>1112915.0701899999</v>
      </c>
      <c r="G17" s="48">
        <f t="shared" si="3"/>
        <v>29008.543410000158</v>
      </c>
      <c r="H17" s="46"/>
    </row>
    <row r="18" spans="1:8" s="2" customFormat="1" ht="20.100000000000001" customHeight="1" x14ac:dyDescent="0.3">
      <c r="A18" s="68">
        <f>22200299.42+5398.51-10759183.7</f>
        <v>11446514.230000004</v>
      </c>
      <c r="B18" s="47">
        <v>9.2280000000000001E-2</v>
      </c>
      <c r="C18" s="47">
        <v>9.5399999999999999E-2</v>
      </c>
      <c r="D18" s="47">
        <f t="shared" si="0"/>
        <v>-3.1199999999999978E-3</v>
      </c>
      <c r="E18" s="48">
        <f t="shared" si="1"/>
        <v>1056284.3331444005</v>
      </c>
      <c r="F18" s="48">
        <f t="shared" si="2"/>
        <v>1091997.4575420003</v>
      </c>
      <c r="G18" s="48">
        <f t="shared" si="3"/>
        <v>35713.124397599837</v>
      </c>
      <c r="H18" s="46"/>
    </row>
    <row r="19" spans="1:8" s="2" customFormat="1" ht="20.100000000000001" customHeight="1" x14ac:dyDescent="0.3">
      <c r="A19" s="68">
        <f>25114421.37+3027.84-13295471.93</f>
        <v>11821977.280000001</v>
      </c>
      <c r="B19" s="47">
        <v>8.8880000000000001E-2</v>
      </c>
      <c r="C19" s="47">
        <v>7.8829999999999997E-2</v>
      </c>
      <c r="D19" s="47">
        <f t="shared" si="0"/>
        <v>1.0050000000000003E-2</v>
      </c>
      <c r="E19" s="48">
        <f t="shared" si="1"/>
        <v>1050737.3406464001</v>
      </c>
      <c r="F19" s="48">
        <f t="shared" si="2"/>
        <v>931926.46898240002</v>
      </c>
      <c r="G19" s="48">
        <f t="shared" si="3"/>
        <v>-118810.87166400009</v>
      </c>
      <c r="H19" s="46"/>
    </row>
    <row r="20" spans="1:8" s="2" customFormat="1" ht="20.100000000000001" customHeight="1" x14ac:dyDescent="0.3">
      <c r="A20" s="68">
        <f>24263610.28-47488.01-12551353.6</f>
        <v>11664768.67</v>
      </c>
      <c r="B20" s="47">
        <v>8.8050000000000003E-2</v>
      </c>
      <c r="C20" s="47">
        <v>8.0100000000000005E-2</v>
      </c>
      <c r="D20" s="47">
        <f t="shared" si="0"/>
        <v>7.9499999999999987E-3</v>
      </c>
      <c r="E20" s="48">
        <f t="shared" si="1"/>
        <v>1027082.8813935</v>
      </c>
      <c r="F20" s="48">
        <f t="shared" si="2"/>
        <v>934347.97046700004</v>
      </c>
      <c r="G20" s="48">
        <f t="shared" si="3"/>
        <v>-92734.910926499986</v>
      </c>
      <c r="H20" s="46"/>
    </row>
    <row r="21" spans="1:8" s="2" customFormat="1" ht="20.100000000000001" customHeight="1" x14ac:dyDescent="0.25">
      <c r="A21" s="68">
        <f>27097462.58-114311.93-12755029.9-5636826.24</f>
        <v>8591294.5099999979</v>
      </c>
      <c r="B21" s="47">
        <v>8.2699999999999996E-2</v>
      </c>
      <c r="C21" s="47">
        <v>6.7030000000000006E-2</v>
      </c>
      <c r="D21" s="47">
        <f t="shared" si="0"/>
        <v>1.5669999999999989E-2</v>
      </c>
      <c r="E21" s="48">
        <f t="shared" si="1"/>
        <v>710500.05597699981</v>
      </c>
      <c r="F21" s="48">
        <f t="shared" si="2"/>
        <v>575874.47100529994</v>
      </c>
      <c r="G21" s="48">
        <f t="shared" si="3"/>
        <v>-134625.58497169986</v>
      </c>
      <c r="H21" s="46"/>
    </row>
    <row r="22" spans="1:8" s="2" customFormat="1" ht="20.100000000000001" customHeight="1" x14ac:dyDescent="0.25">
      <c r="A22" s="68">
        <f>26622575.15-140445.61-14175854.73-3019585.96</f>
        <v>9286688.8499999978</v>
      </c>
      <c r="B22" s="47">
        <v>6.3710000000000003E-2</v>
      </c>
      <c r="C22" s="47">
        <v>7.5439999999999993E-2</v>
      </c>
      <c r="D22" s="47">
        <f t="shared" si="0"/>
        <v>-1.172999999999999E-2</v>
      </c>
      <c r="E22" s="49">
        <f t="shared" si="1"/>
        <v>591654.94663349993</v>
      </c>
      <c r="F22" s="49">
        <f t="shared" si="2"/>
        <v>700587.80684399977</v>
      </c>
      <c r="G22" s="49">
        <f t="shared" si="3"/>
        <v>108932.86021049984</v>
      </c>
      <c r="H22" s="46"/>
    </row>
    <row r="23" spans="1:8" s="2" customFormat="1" ht="20.100000000000001" customHeight="1" x14ac:dyDescent="0.25">
      <c r="A23" s="68">
        <f>22949657.16-66202.46-11079248.47-3025773.87</f>
        <v>8778432.3599999994</v>
      </c>
      <c r="B23" s="47">
        <v>7.6230000000000006E-2</v>
      </c>
      <c r="C23" s="47">
        <v>0.1132</v>
      </c>
      <c r="D23" s="47">
        <f t="shared" si="0"/>
        <v>-3.6969999999999989E-2</v>
      </c>
      <c r="E23" s="49">
        <f t="shared" si="1"/>
        <v>669179.89880279999</v>
      </c>
      <c r="F23" s="49">
        <f t="shared" si="2"/>
        <v>993718.54315199994</v>
      </c>
      <c r="G23" s="49">
        <f t="shared" si="3"/>
        <v>324538.64434919995</v>
      </c>
      <c r="H23" s="46"/>
    </row>
    <row r="24" spans="1:8" s="2" customFormat="1" ht="20.100000000000001" customHeight="1" thickBot="1" x14ac:dyDescent="0.3">
      <c r="A24" s="69">
        <f>23836559.82+22142.9-12166033.9-2892867.38</f>
        <v>8799801.4399999976</v>
      </c>
      <c r="B24" s="50">
        <v>0.11462</v>
      </c>
      <c r="C24" s="50">
        <v>9.4710000000000003E-2</v>
      </c>
      <c r="D24" s="50">
        <f t="shared" si="0"/>
        <v>1.9909999999999997E-2</v>
      </c>
      <c r="E24" s="51">
        <f t="shared" si="1"/>
        <v>1008633.2410527997</v>
      </c>
      <c r="F24" s="51">
        <f t="shared" si="2"/>
        <v>833429.19438239979</v>
      </c>
      <c r="G24" s="51">
        <f t="shared" si="3"/>
        <v>-175204.04667039996</v>
      </c>
      <c r="H24" s="46"/>
    </row>
    <row r="25" spans="1:8" s="2" customFormat="1" ht="20.100000000000001" customHeight="1" x14ac:dyDescent="0.25">
      <c r="A25" s="52">
        <f>SUM(A13:A24)</f>
        <v>133019209.71999998</v>
      </c>
      <c r="B25" s="53">
        <f>AVERAGE(B13:B24)</f>
        <v>7.7418333333333325E-2</v>
      </c>
      <c r="C25" s="53">
        <f t="shared" ref="C25:D25" si="4">AVERAGE(C13:C24)</f>
        <v>7.9180833333333325E-2</v>
      </c>
      <c r="D25" s="53">
        <f t="shared" si="4"/>
        <v>-1.7624999999999995E-3</v>
      </c>
      <c r="E25" s="54">
        <f>SUM(E13:E24)</f>
        <v>10130120.672811598</v>
      </c>
      <c r="F25" s="54">
        <f>SUM(F13:F24)</f>
        <v>10374157.950497899</v>
      </c>
      <c r="G25" s="55">
        <f>SUM(G13:G24)</f>
        <v>244037.27768629993</v>
      </c>
      <c r="H25" s="56"/>
    </row>
    <row r="26" spans="1:8" s="2" customFormat="1" ht="20.100000000000001" customHeight="1" x14ac:dyDescent="0.25">
      <c r="A26" s="30"/>
      <c r="B26" s="30"/>
      <c r="C26" s="30"/>
      <c r="D26" s="57"/>
      <c r="E26" s="30"/>
      <c r="F26" s="58" t="s">
        <v>18</v>
      </c>
      <c r="G26" s="55">
        <v>2075699</v>
      </c>
      <c r="H26" s="56"/>
    </row>
    <row r="27" spans="1:8" s="2" customFormat="1" ht="20.100000000000001" customHeight="1" x14ac:dyDescent="0.25">
      <c r="A27" s="30"/>
      <c r="B27" s="30"/>
      <c r="C27" s="30"/>
      <c r="D27" s="30"/>
      <c r="E27" s="59"/>
      <c r="F27" s="60"/>
      <c r="G27" s="61">
        <f>G25-G26</f>
        <v>-1831661.7223137</v>
      </c>
      <c r="H27" s="62"/>
    </row>
    <row r="28" spans="1:8" s="2" customFormat="1" ht="20.100000000000001" customHeight="1" x14ac:dyDescent="0.25">
      <c r="A28" s="70" t="s">
        <v>20</v>
      </c>
      <c r="B28" s="71"/>
      <c r="C28" s="71"/>
      <c r="D28" s="71"/>
      <c r="E28" s="71"/>
      <c r="H28" s="1"/>
    </row>
    <row r="29" spans="1:8" s="2" customFormat="1" ht="20.100000000000001" customHeight="1" x14ac:dyDescent="0.25">
      <c r="H29" s="1"/>
    </row>
    <row r="30" spans="1:8" s="2" customFormat="1" ht="20.100000000000001" customHeight="1" x14ac:dyDescent="0.25">
      <c r="H30" s="1"/>
    </row>
    <row r="31" spans="1:8" s="2" customFormat="1" ht="20.100000000000001" customHeight="1" x14ac:dyDescent="0.25">
      <c r="H31" s="1"/>
    </row>
    <row r="32" spans="1:8" s="2" customFormat="1" ht="20.100000000000001" customHeight="1" x14ac:dyDescent="0.25">
      <c r="H32" s="1"/>
    </row>
    <row r="33" spans="8:8" s="2" customFormat="1" ht="20.100000000000001" customHeight="1" x14ac:dyDescent="0.25">
      <c r="H33" s="1"/>
    </row>
    <row r="40" spans="8:8" ht="15.75" customHeight="1" x14ac:dyDescent="0.2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</vt:lpstr>
      <vt:lpstr>2015</vt:lpstr>
      <vt:lpstr>'2014'!Print_Area</vt:lpstr>
      <vt:lpstr>'2015'!Print_Area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Katherine Wang</cp:lastModifiedBy>
  <cp:lastPrinted>2017-01-31T19:04:42Z</cp:lastPrinted>
  <dcterms:created xsi:type="dcterms:W3CDTF">2017-01-05T15:56:55Z</dcterms:created>
  <dcterms:modified xsi:type="dcterms:W3CDTF">2017-01-31T19:18:20Z</dcterms:modified>
</cp:coreProperties>
</file>