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420" windowWidth="20490" windowHeight="7020" tabRatio="871" firstSheet="2" activeTab="8"/>
  </bookViews>
  <sheets>
    <sheet name="Admin" sheetId="30" r:id="rId1"/>
    <sheet name="Wholesale Forecast" sheetId="31" r:id="rId2"/>
    <sheet name="Forecast Accuracy" sheetId="7" r:id="rId3"/>
    <sheet name="Rate Class Customer Model" sheetId="4" r:id="rId4"/>
    <sheet name="Generation Customer Model" sheetId="33" r:id="rId5"/>
    <sheet name="WMP" sheetId="14" r:id="rId6"/>
    <sheet name="CDM" sheetId="17" r:id="rId7"/>
    <sheet name="Rate Class Energy Model" sheetId="5" r:id="rId8"/>
    <sheet name="Rate Class Demand Model" sheetId="8" r:id="rId9"/>
    <sheet name="Transformer Allowance" sheetId="32" r:id="rId10"/>
    <sheet name="Detailed Summary" sheetId="9" r:id="rId11"/>
    <sheet name="Summary" sheetId="19" r:id="rId12"/>
    <sheet name="COP Rates" sheetId="20" r:id="rId13"/>
    <sheet name="COP Forecast" sheetId="25" r:id="rId14"/>
    <sheet name="2016 Revenue at Old Rates" sheetId="29" r:id="rId15"/>
    <sheet name="Market Participant" sheetId="11"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Order1" hidden="1">255</definedName>
    <definedName name="_Sort" hidden="1">[1]Sheet1!$G$40:$K$40</definedName>
    <definedName name="BI_LDCLIST">'[2]3. Rate Class Selection'!$B$19:$B$21</definedName>
    <definedName name="BridgeYear">'[3]LDC Info'!$E$26</definedName>
    <definedName name="CAfile">[4]Refs!$B$2</definedName>
    <definedName name="CArevReq">[4]Refs!$B$6</definedName>
    <definedName name="ClassRange1">[4]Refs!$B$3</definedName>
    <definedName name="ClassRange2">[4]Refs!$B$4</definedName>
    <definedName name="contactf" localSheetId="14">#REF!</definedName>
    <definedName name="contactf" localSheetId="6">#REF!</definedName>
    <definedName name="contactf" localSheetId="4">#REF!</definedName>
    <definedName name="contactf">#REF!</definedName>
    <definedName name="CustomerAdministration">[3]lists!$Z$1:$Z$36</definedName>
    <definedName name="EBNUMBER">'[3]LDC Info'!$E$16</definedName>
    <definedName name="Fixed_Charges">[3]lists!$I$1:$I$212</definedName>
    <definedName name="FolderPath">[4]Menu!$C$8</definedName>
    <definedName name="histdate">[5]Financials!$E$76</definedName>
    <definedName name="Incr2000" localSheetId="14">#REF!</definedName>
    <definedName name="Incr2000" localSheetId="6">#REF!</definedName>
    <definedName name="Incr2000" localSheetId="4">#REF!</definedName>
    <definedName name="Incr2000">#REF!</definedName>
    <definedName name="LDC_LIST">[6]lists!$AM$1:$AM$80</definedName>
    <definedName name="LIMIT" localSheetId="14">#REF!</definedName>
    <definedName name="LIMIT" localSheetId="6">#REF!</definedName>
    <definedName name="LIMIT" localSheetId="4">#REF!</definedName>
    <definedName name="LIMIT">#REF!</definedName>
    <definedName name="LossFactors">[3]lists!$L$2:$L$15</definedName>
    <definedName name="man_beg_bud" localSheetId="14">#REF!</definedName>
    <definedName name="man_beg_bud" localSheetId="6">#REF!</definedName>
    <definedName name="man_beg_bud" localSheetId="4">#REF!</definedName>
    <definedName name="man_beg_bud">#REF!</definedName>
    <definedName name="man_end_bud" localSheetId="14">#REF!</definedName>
    <definedName name="man_end_bud" localSheetId="6">#REF!</definedName>
    <definedName name="man_end_bud" localSheetId="4">#REF!</definedName>
    <definedName name="man_end_bud">#REF!</definedName>
    <definedName name="man12ACT" localSheetId="14">#REF!</definedName>
    <definedName name="man12ACT" localSheetId="6">#REF!</definedName>
    <definedName name="man12ACT" localSheetId="4">#REF!</definedName>
    <definedName name="man12ACT">#REF!</definedName>
    <definedName name="MANBUD" localSheetId="14">#REF!</definedName>
    <definedName name="MANBUD" localSheetId="6">#REF!</definedName>
    <definedName name="MANBUD" localSheetId="4">#REF!</definedName>
    <definedName name="MANBUD">#REF!</definedName>
    <definedName name="manCYACT" localSheetId="14">#REF!</definedName>
    <definedName name="manCYACT" localSheetId="6">#REF!</definedName>
    <definedName name="manCYACT" localSheetId="4">#REF!</definedName>
    <definedName name="manCYACT">#REF!</definedName>
    <definedName name="manCYBUD" localSheetId="14">#REF!</definedName>
    <definedName name="manCYBUD" localSheetId="6">#REF!</definedName>
    <definedName name="manCYBUD" localSheetId="4">#REF!</definedName>
    <definedName name="manCYBUD">#REF!</definedName>
    <definedName name="manCYF" localSheetId="14">#REF!</definedName>
    <definedName name="manCYF" localSheetId="6">#REF!</definedName>
    <definedName name="manCYF" localSheetId="4">#REF!</definedName>
    <definedName name="manCYF">#REF!</definedName>
    <definedName name="MANEND" localSheetId="14">#REF!</definedName>
    <definedName name="MANEND" localSheetId="6">#REF!</definedName>
    <definedName name="MANEND" localSheetId="4">#REF!</definedName>
    <definedName name="MANEND">#REF!</definedName>
    <definedName name="manNYbud" localSheetId="14">#REF!</definedName>
    <definedName name="manNYbud" localSheetId="6">#REF!</definedName>
    <definedName name="manNYbud" localSheetId="4">#REF!</definedName>
    <definedName name="manNYbud">#REF!</definedName>
    <definedName name="manpower_costs" localSheetId="14">#REF!</definedName>
    <definedName name="manpower_costs" localSheetId="6">#REF!</definedName>
    <definedName name="manpower_costs" localSheetId="4">#REF!</definedName>
    <definedName name="manpower_costs">#REF!</definedName>
    <definedName name="manPYACT" localSheetId="14">#REF!</definedName>
    <definedName name="manPYACT" localSheetId="6">#REF!</definedName>
    <definedName name="manPYACT" localSheetId="4">#REF!</definedName>
    <definedName name="manPYACT">#REF!</definedName>
    <definedName name="MANSTART" localSheetId="14">#REF!</definedName>
    <definedName name="MANSTART" localSheetId="6">#REF!</definedName>
    <definedName name="MANSTART" localSheetId="4">#REF!</definedName>
    <definedName name="MANSTART">#REF!</definedName>
    <definedName name="mat_beg_bud" localSheetId="14">#REF!</definedName>
    <definedName name="mat_beg_bud" localSheetId="6">#REF!</definedName>
    <definedName name="mat_beg_bud" localSheetId="4">#REF!</definedName>
    <definedName name="mat_beg_bud">#REF!</definedName>
    <definedName name="mat_end_bud" localSheetId="14">#REF!</definedName>
    <definedName name="mat_end_bud" localSheetId="6">#REF!</definedName>
    <definedName name="mat_end_bud" localSheetId="4">#REF!</definedName>
    <definedName name="mat_end_bud">#REF!</definedName>
    <definedName name="mat12ACT" localSheetId="14">#REF!</definedName>
    <definedName name="mat12ACT" localSheetId="6">#REF!</definedName>
    <definedName name="mat12ACT" localSheetId="4">#REF!</definedName>
    <definedName name="mat12ACT">#REF!</definedName>
    <definedName name="MATBUD" localSheetId="14">#REF!</definedName>
    <definedName name="MATBUD" localSheetId="6">#REF!</definedName>
    <definedName name="MATBUD" localSheetId="4">#REF!</definedName>
    <definedName name="MATBUD">#REF!</definedName>
    <definedName name="matCYACT" localSheetId="14">#REF!</definedName>
    <definedName name="matCYACT" localSheetId="6">#REF!</definedName>
    <definedName name="matCYACT" localSheetId="4">#REF!</definedName>
    <definedName name="matCYACT">#REF!</definedName>
    <definedName name="matCYBUD" localSheetId="14">#REF!</definedName>
    <definedName name="matCYBUD" localSheetId="6">#REF!</definedName>
    <definedName name="matCYBUD" localSheetId="4">#REF!</definedName>
    <definedName name="matCYBUD">#REF!</definedName>
    <definedName name="matCYF" localSheetId="14">#REF!</definedName>
    <definedName name="matCYF" localSheetId="6">#REF!</definedName>
    <definedName name="matCYF" localSheetId="4">#REF!</definedName>
    <definedName name="matCYF">#REF!</definedName>
    <definedName name="MATEND" localSheetId="14">#REF!</definedName>
    <definedName name="MATEND" localSheetId="6">#REF!</definedName>
    <definedName name="MATEND" localSheetId="4">#REF!</definedName>
    <definedName name="MATEND">#REF!</definedName>
    <definedName name="material_costs" localSheetId="14">#REF!</definedName>
    <definedName name="material_costs" localSheetId="6">#REF!</definedName>
    <definedName name="material_costs" localSheetId="4">#REF!</definedName>
    <definedName name="material_costs">#REF!</definedName>
    <definedName name="matNYbud" localSheetId="14">#REF!</definedName>
    <definedName name="matNYbud" localSheetId="6">#REF!</definedName>
    <definedName name="matNYbud" localSheetId="4">#REF!</definedName>
    <definedName name="matNYbud">#REF!</definedName>
    <definedName name="matPYACT" localSheetId="14">#REF!</definedName>
    <definedName name="matPYACT" localSheetId="6">#REF!</definedName>
    <definedName name="matPYACT" localSheetId="4">#REF!</definedName>
    <definedName name="matPYACT">#REF!</definedName>
    <definedName name="MATSTART" localSheetId="14">#REF!</definedName>
    <definedName name="MATSTART" localSheetId="6">#REF!</definedName>
    <definedName name="MATSTART" localSheetId="4">#REF!</definedName>
    <definedName name="MATSTART">#REF!</definedName>
    <definedName name="NewRevReq">[4]Refs!$B$8</definedName>
    <definedName name="NonPayment">[3]lists!$AA$1:$AA$71</definedName>
    <definedName name="oth_beg_bud" localSheetId="14">#REF!</definedName>
    <definedName name="oth_beg_bud" localSheetId="6">#REF!</definedName>
    <definedName name="oth_beg_bud" localSheetId="4">#REF!</definedName>
    <definedName name="oth_beg_bud">#REF!</definedName>
    <definedName name="oth_end_bud" localSheetId="14">#REF!</definedName>
    <definedName name="oth_end_bud" localSheetId="6">#REF!</definedName>
    <definedName name="oth_end_bud" localSheetId="4">#REF!</definedName>
    <definedName name="oth_end_bud">#REF!</definedName>
    <definedName name="oth12ACT" localSheetId="14">#REF!</definedName>
    <definedName name="oth12ACT" localSheetId="6">#REF!</definedName>
    <definedName name="oth12ACT" localSheetId="4">#REF!</definedName>
    <definedName name="oth12ACT">#REF!</definedName>
    <definedName name="othCYACT" localSheetId="14">#REF!</definedName>
    <definedName name="othCYACT" localSheetId="6">#REF!</definedName>
    <definedName name="othCYACT" localSheetId="4">#REF!</definedName>
    <definedName name="othCYACT">#REF!</definedName>
    <definedName name="othCYBUD" localSheetId="14">#REF!</definedName>
    <definedName name="othCYBUD" localSheetId="6">#REF!</definedName>
    <definedName name="othCYBUD" localSheetId="4">#REF!</definedName>
    <definedName name="othCYBUD">#REF!</definedName>
    <definedName name="othCYF" localSheetId="14">#REF!</definedName>
    <definedName name="othCYF" localSheetId="6">#REF!</definedName>
    <definedName name="othCYF" localSheetId="4">#REF!</definedName>
    <definedName name="othCYF">#REF!</definedName>
    <definedName name="OTHEND" localSheetId="14">#REF!</definedName>
    <definedName name="OTHEND" localSheetId="6">#REF!</definedName>
    <definedName name="OTHEND" localSheetId="4">#REF!</definedName>
    <definedName name="OTHEND">#REF!</definedName>
    <definedName name="other_costs" localSheetId="14">#REF!</definedName>
    <definedName name="other_costs" localSheetId="6">#REF!</definedName>
    <definedName name="other_costs" localSheetId="4">#REF!</definedName>
    <definedName name="other_costs">#REF!</definedName>
    <definedName name="OTHERBUD" localSheetId="14">#REF!</definedName>
    <definedName name="OTHERBUD" localSheetId="6">#REF!</definedName>
    <definedName name="OTHERBUD" localSheetId="4">#REF!</definedName>
    <definedName name="OTHERBUD">#REF!</definedName>
    <definedName name="othNYbud" localSheetId="14">#REF!</definedName>
    <definedName name="othNYbud" localSheetId="6">#REF!</definedName>
    <definedName name="othNYbud" localSheetId="4">#REF!</definedName>
    <definedName name="othNYbud">#REF!</definedName>
    <definedName name="othPYACT" localSheetId="14">#REF!</definedName>
    <definedName name="othPYACT" localSheetId="6">#REF!</definedName>
    <definedName name="othPYACT" localSheetId="4">#REF!</definedName>
    <definedName name="othPYACT">#REF!</definedName>
    <definedName name="OTHSTART" localSheetId="14">#REF!</definedName>
    <definedName name="OTHSTART" localSheetId="6">#REF!</definedName>
    <definedName name="OTHSTART" localSheetId="4">#REF!</definedName>
    <definedName name="OTHSTART">#REF!</definedName>
    <definedName name="PAGE11" localSheetId="14">#REF!</definedName>
    <definedName name="PAGE11" localSheetId="4">#REF!</definedName>
    <definedName name="PAGE11" localSheetId="15">#REF!</definedName>
    <definedName name="PAGE11" localSheetId="8">#REF!</definedName>
    <definedName name="PAGE11">#REF!</definedName>
    <definedName name="PAGE2">[1]Sheet1!$A$1:$I$40</definedName>
    <definedName name="PAGE3" localSheetId="14">#REF!</definedName>
    <definedName name="PAGE3" localSheetId="4">#REF!</definedName>
    <definedName name="PAGE3" localSheetId="15">#REF!</definedName>
    <definedName name="PAGE3" localSheetId="8">#REF!</definedName>
    <definedName name="PAGE3">#REF!</definedName>
    <definedName name="PAGE4" localSheetId="14">#REF!</definedName>
    <definedName name="PAGE4" localSheetId="4">#REF!</definedName>
    <definedName name="PAGE4" localSheetId="15">#REF!</definedName>
    <definedName name="PAGE4" localSheetId="8">#REF!</definedName>
    <definedName name="PAGE4">#REF!</definedName>
    <definedName name="PAGE7" localSheetId="14">#REF!</definedName>
    <definedName name="PAGE7" localSheetId="4">#REF!</definedName>
    <definedName name="PAGE7" localSheetId="15">#REF!</definedName>
    <definedName name="PAGE7" localSheetId="8">#REF!</definedName>
    <definedName name="PAGE7">#REF!</definedName>
    <definedName name="PAGE9" localSheetId="14">#REF!</definedName>
    <definedName name="PAGE9" localSheetId="4">#REF!</definedName>
    <definedName name="PAGE9" localSheetId="15">#REF!</definedName>
    <definedName name="PAGE9" localSheetId="8">#REF!</definedName>
    <definedName name="PAGE9">#REF!</definedName>
    <definedName name="_xlnm.Print_Area" localSheetId="14">'2016 Revenue at Old Rates'!$A$1:$F$66</definedName>
    <definedName name="_xlnm.Print_Area" localSheetId="6">CDM!$A$1:$J$46</definedName>
    <definedName name="_xlnm.Print_Area" localSheetId="13">'COP Forecast'!$A$1:$M$64</definedName>
    <definedName name="_xlnm.Print_Area" localSheetId="12">'COP Rates'!$A$1:$H$60</definedName>
    <definedName name="_xlnm.Print_Area" localSheetId="10">'Detailed Summary'!$A$1:$M$53</definedName>
    <definedName name="_xlnm.Print_Area" localSheetId="2">'Forecast Accuracy'!$A$1:$K$24</definedName>
    <definedName name="_xlnm.Print_Area" localSheetId="15">'Market Participant'!$A$1:$D$4</definedName>
    <definedName name="_xlnm.Print_Area" localSheetId="3">'Rate Class Customer Model'!$A$1:$J$54</definedName>
    <definedName name="_xlnm.Print_Area" localSheetId="8">'Rate Class Demand Model'!$A$1:$L$40</definedName>
    <definedName name="_xlnm.Print_Area" localSheetId="7">'Rate Class Energy Model'!$A$1:$J$71</definedName>
    <definedName name="_xlnm.Print_Area" localSheetId="11">Summary!$A$1:$H$35</definedName>
    <definedName name="print_end" localSheetId="14">#REF!</definedName>
    <definedName name="print_end" localSheetId="6">#REF!</definedName>
    <definedName name="print_end" localSheetId="4">#REF!</definedName>
    <definedName name="print_end">#REF!</definedName>
    <definedName name="_xlnm.Print_Titles" localSheetId="7">'Rate Class Energy Model'!$1:$7</definedName>
    <definedName name="Rate_Class">[3]lists!$A$1:$A$104</definedName>
    <definedName name="ratedescription">[7]hidden1!$D$1:$D$122</definedName>
    <definedName name="RebaseYear">'[3]LDC Info'!$E$28</definedName>
    <definedName name="RevReqLookupKey">[4]Refs!$B$5</definedName>
    <definedName name="RevReqRange">[4]Refs!$B$7</definedName>
    <definedName name="RRRP_15">'[8]Regulatory Rates'!$D$6</definedName>
    <definedName name="SALBENF" localSheetId="14">#REF!</definedName>
    <definedName name="SALBENF" localSheetId="6">#REF!</definedName>
    <definedName name="SALBENF" localSheetId="4">#REF!</definedName>
    <definedName name="SALBENF">#REF!</definedName>
    <definedName name="salreg" localSheetId="14">#REF!</definedName>
    <definedName name="salreg" localSheetId="6">#REF!</definedName>
    <definedName name="salreg" localSheetId="4">#REF!</definedName>
    <definedName name="salreg">#REF!</definedName>
    <definedName name="SALREGF" localSheetId="14">#REF!</definedName>
    <definedName name="SALREGF" localSheetId="6">#REF!</definedName>
    <definedName name="SALREGF" localSheetId="4">#REF!</definedName>
    <definedName name="SALREGF">#REF!</definedName>
    <definedName name="SM_15">'[8]Regulatory Rates'!$D$7</definedName>
    <definedName name="TEMPA" localSheetId="14">#REF!</definedName>
    <definedName name="TEMPA" localSheetId="6">#REF!</definedName>
    <definedName name="TEMPA" localSheetId="4">#REF!</definedName>
    <definedName name="TEMPA">#REF!</definedName>
    <definedName name="TestYear">'[3]LDC Info'!$E$24</definedName>
    <definedName name="total_dept" localSheetId="14">#REF!</definedName>
    <definedName name="total_dept" localSheetId="6">#REF!</definedName>
    <definedName name="total_dept" localSheetId="4">#REF!</definedName>
    <definedName name="total_dept">#REF!</definedName>
    <definedName name="total_manpower" localSheetId="14">#REF!</definedName>
    <definedName name="total_manpower" localSheetId="6">#REF!</definedName>
    <definedName name="total_manpower" localSheetId="4">#REF!</definedName>
    <definedName name="total_manpower">#REF!</definedName>
    <definedName name="total_material" localSheetId="14">#REF!</definedName>
    <definedName name="total_material" localSheetId="6">#REF!</definedName>
    <definedName name="total_material" localSheetId="4">#REF!</definedName>
    <definedName name="total_material">#REF!</definedName>
    <definedName name="total_other" localSheetId="14">#REF!</definedName>
    <definedName name="total_other" localSheetId="6">#REF!</definedName>
    <definedName name="total_other" localSheetId="4">#REF!</definedName>
    <definedName name="total_other">#REF!</definedName>
    <definedName name="total_transportation" localSheetId="14">#REF!</definedName>
    <definedName name="total_transportation" localSheetId="6">#REF!</definedName>
    <definedName name="total_transportation" localSheetId="4">#REF!</definedName>
    <definedName name="total_transportation">#REF!</definedName>
    <definedName name="TRANBUD" localSheetId="14">#REF!</definedName>
    <definedName name="TRANBUD" localSheetId="6">#REF!</definedName>
    <definedName name="TRANBUD" localSheetId="4">#REF!</definedName>
    <definedName name="TRANBUD">#REF!</definedName>
    <definedName name="TRANEND" localSheetId="14">#REF!</definedName>
    <definedName name="TRANEND" localSheetId="6">#REF!</definedName>
    <definedName name="TRANEND" localSheetId="4">#REF!</definedName>
    <definedName name="TRANEND">#REF!</definedName>
    <definedName name="transportation_costs" localSheetId="14">#REF!</definedName>
    <definedName name="transportation_costs" localSheetId="6">#REF!</definedName>
    <definedName name="transportation_costs" localSheetId="4">#REF!</definedName>
    <definedName name="transportation_costs">#REF!</definedName>
    <definedName name="TRANSTART" localSheetId="14">#REF!</definedName>
    <definedName name="TRANSTART" localSheetId="6">#REF!</definedName>
    <definedName name="TRANSTART" localSheetId="4">#REF!</definedName>
    <definedName name="TRANSTART">#REF!</definedName>
    <definedName name="trn_beg_bud" localSheetId="14">#REF!</definedName>
    <definedName name="trn_beg_bud" localSheetId="6">#REF!</definedName>
    <definedName name="trn_beg_bud" localSheetId="4">#REF!</definedName>
    <definedName name="trn_beg_bud">#REF!</definedName>
    <definedName name="trn_end_bud" localSheetId="14">#REF!</definedName>
    <definedName name="trn_end_bud" localSheetId="6">#REF!</definedName>
    <definedName name="trn_end_bud" localSheetId="4">#REF!</definedName>
    <definedName name="trn_end_bud">#REF!</definedName>
    <definedName name="trn12ACT" localSheetId="14">#REF!</definedName>
    <definedName name="trn12ACT" localSheetId="6">#REF!</definedName>
    <definedName name="trn12ACT" localSheetId="4">#REF!</definedName>
    <definedName name="trn12ACT">#REF!</definedName>
    <definedName name="trnCYACT" localSheetId="14">#REF!</definedName>
    <definedName name="trnCYACT" localSheetId="6">#REF!</definedName>
    <definedName name="trnCYACT" localSheetId="4">#REF!</definedName>
    <definedName name="trnCYACT">#REF!</definedName>
    <definedName name="trnCYBUD" localSheetId="14">#REF!</definedName>
    <definedName name="trnCYBUD" localSheetId="6">#REF!</definedName>
    <definedName name="trnCYBUD" localSheetId="4">#REF!</definedName>
    <definedName name="trnCYBUD">#REF!</definedName>
    <definedName name="trnCYF" localSheetId="14">#REF!</definedName>
    <definedName name="trnCYF" localSheetId="6">#REF!</definedName>
    <definedName name="trnCYF" localSheetId="4">#REF!</definedName>
    <definedName name="trnCYF">#REF!</definedName>
    <definedName name="trnNYbud" localSheetId="14">#REF!</definedName>
    <definedName name="trnNYbud" localSheetId="6">#REF!</definedName>
    <definedName name="trnNYbud" localSheetId="4">#REF!</definedName>
    <definedName name="trnNYbud">#REF!</definedName>
    <definedName name="trnPYACT" localSheetId="14">#REF!</definedName>
    <definedName name="trnPYACT" localSheetId="6">#REF!</definedName>
    <definedName name="trnPYACT" localSheetId="4">#REF!</definedName>
    <definedName name="trnPYACT">#REF!</definedName>
    <definedName name="Units">[3]lists!$N$2:$N$5</definedName>
    <definedName name="Utility">[5]Financials!$A$1</definedName>
    <definedName name="utitliy1">[9]Financials!$A$1</definedName>
    <definedName name="WAGBENF" localSheetId="14">#REF!</definedName>
    <definedName name="WAGBENF" localSheetId="6">#REF!</definedName>
    <definedName name="WAGBENF" localSheetId="4">#REF!</definedName>
    <definedName name="WAGBENF">#REF!</definedName>
    <definedName name="wagdob" localSheetId="14">#REF!</definedName>
    <definedName name="wagdob" localSheetId="6">#REF!</definedName>
    <definedName name="wagdob" localSheetId="4">#REF!</definedName>
    <definedName name="wagdob">#REF!</definedName>
    <definedName name="wagdobf" localSheetId="14">#REF!</definedName>
    <definedName name="wagdobf" localSheetId="6">#REF!</definedName>
    <definedName name="wagdobf" localSheetId="4">#REF!</definedName>
    <definedName name="wagdobf">#REF!</definedName>
    <definedName name="wagreg" localSheetId="14">#REF!</definedName>
    <definedName name="wagreg" localSheetId="6">#REF!</definedName>
    <definedName name="wagreg" localSheetId="4">#REF!</definedName>
    <definedName name="wagreg">#REF!</definedName>
    <definedName name="wagregf" localSheetId="14">#REF!</definedName>
    <definedName name="wagregf" localSheetId="6">#REF!</definedName>
    <definedName name="wagregf" localSheetId="4">#REF!</definedName>
    <definedName name="wagregf">#REF!</definedName>
    <definedName name="WMS_15">'[8]Regulatory Rates'!$D$5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8" l="1"/>
  <c r="J51" i="17" l="1"/>
  <c r="J50" i="17"/>
  <c r="K15" i="31" l="1"/>
  <c r="Q10" i="8"/>
  <c r="Q11" i="8"/>
  <c r="Q12" i="8"/>
  <c r="Q13" i="8"/>
  <c r="Q14" i="8"/>
  <c r="Q15" i="8"/>
  <c r="Q16" i="8"/>
  <c r="Q17" i="8"/>
  <c r="Q18" i="8"/>
  <c r="Q9" i="8"/>
  <c r="B31" i="17"/>
  <c r="D30" i="17"/>
  <c r="D31" i="17" s="1"/>
  <c r="C30" i="17"/>
  <c r="C31" i="17" s="1"/>
  <c r="B30" i="17"/>
  <c r="D24" i="17"/>
  <c r="C24" i="17"/>
  <c r="B24" i="17"/>
  <c r="C29" i="17"/>
  <c r="B29" i="17"/>
  <c r="G15" i="17"/>
  <c r="C23" i="17" l="1"/>
  <c r="B23" i="17"/>
  <c r="F19" i="31" l="1"/>
  <c r="F18" i="31"/>
  <c r="D18" i="31"/>
  <c r="F17" i="31"/>
  <c r="D17" i="31"/>
  <c r="F16" i="31"/>
  <c r="D16" i="31"/>
  <c r="F15" i="31"/>
  <c r="D15" i="31"/>
  <c r="F14" i="31"/>
  <c r="D14" i="31"/>
  <c r="F13" i="31"/>
  <c r="D13" i="31"/>
  <c r="F12" i="31"/>
  <c r="D12" i="31"/>
  <c r="F11" i="31"/>
  <c r="D11" i="31"/>
  <c r="F10" i="31"/>
  <c r="D10" i="31"/>
  <c r="F9" i="31"/>
  <c r="D9" i="31"/>
  <c r="O10" i="5" l="1"/>
  <c r="O11" i="5"/>
  <c r="O12" i="5"/>
  <c r="O13" i="5"/>
  <c r="O14" i="5"/>
  <c r="O15" i="5"/>
  <c r="O16" i="5"/>
  <c r="O17" i="5"/>
  <c r="O18" i="5"/>
  <c r="O9" i="5"/>
  <c r="C18" i="33" l="1"/>
  <c r="D18" i="33"/>
  <c r="E18" i="33"/>
  <c r="F18" i="33"/>
  <c r="J14" i="33"/>
  <c r="D19" i="4" l="1"/>
  <c r="D18" i="4"/>
  <c r="D17" i="4"/>
  <c r="D16" i="4"/>
  <c r="D15" i="4"/>
  <c r="D14" i="4"/>
  <c r="D13" i="4"/>
  <c r="D12" i="4"/>
  <c r="D11" i="4"/>
  <c r="D10" i="4"/>
  <c r="D9" i="4"/>
  <c r="C19" i="4"/>
  <c r="C18" i="4"/>
  <c r="C17" i="4"/>
  <c r="C16" i="4"/>
  <c r="C15" i="4"/>
  <c r="C14" i="4"/>
  <c r="C13" i="4"/>
  <c r="C12" i="4"/>
  <c r="C11" i="4"/>
  <c r="C10" i="4"/>
  <c r="C9" i="4"/>
  <c r="C44" i="17" l="1"/>
  <c r="D44" i="17"/>
  <c r="E44" i="17"/>
  <c r="F44" i="17"/>
  <c r="G44" i="17"/>
  <c r="H44" i="17"/>
  <c r="I44" i="17"/>
  <c r="B44" i="17"/>
  <c r="C43" i="17"/>
  <c r="D43" i="17"/>
  <c r="E43" i="17"/>
  <c r="F43" i="17"/>
  <c r="G43" i="17"/>
  <c r="H43" i="17"/>
  <c r="I43" i="17"/>
  <c r="B43" i="17"/>
  <c r="C47" i="4" l="1"/>
  <c r="D47" i="4"/>
  <c r="E47" i="4"/>
  <c r="F47" i="4"/>
  <c r="G47" i="4"/>
  <c r="H47" i="4"/>
  <c r="I47" i="4"/>
  <c r="B47" i="4"/>
  <c r="C44" i="4"/>
  <c r="D44" i="4"/>
  <c r="E44" i="4"/>
  <c r="F44" i="4"/>
  <c r="G44" i="4"/>
  <c r="H44" i="4"/>
  <c r="I44" i="4"/>
  <c r="B44" i="4"/>
  <c r="B31" i="4" l="1"/>
  <c r="C31" i="4"/>
  <c r="C57" i="4" s="1"/>
  <c r="D31" i="4"/>
  <c r="D57" i="4" s="1"/>
  <c r="E31" i="4"/>
  <c r="E57" i="4" s="1"/>
  <c r="F31" i="4"/>
  <c r="F57" i="4" s="1"/>
  <c r="G31" i="4"/>
  <c r="G57" i="4" s="1"/>
  <c r="H31" i="4"/>
  <c r="H57" i="4" s="1"/>
  <c r="I31" i="4"/>
  <c r="I57" i="4" s="1"/>
  <c r="J19" i="4"/>
  <c r="B57" i="4" l="1"/>
  <c r="J31" i="4"/>
  <c r="J57" i="4" s="1"/>
  <c r="J10" i="33" l="1"/>
  <c r="J11" i="33"/>
  <c r="J12" i="33"/>
  <c r="J13" i="33"/>
  <c r="J9" i="33"/>
  <c r="J19" i="33" l="1"/>
  <c r="J18" i="33"/>
  <c r="A3" i="33"/>
  <c r="A2" i="33"/>
  <c r="A1" i="33"/>
  <c r="D40" i="32" l="1"/>
  <c r="L40" i="32"/>
  <c r="L39" i="32"/>
  <c r="H20" i="7" l="1"/>
  <c r="D10" i="32"/>
  <c r="D11" i="32"/>
  <c r="D12" i="32"/>
  <c r="D13" i="32"/>
  <c r="D14" i="32"/>
  <c r="D9" i="32"/>
  <c r="C32" i="17" l="1"/>
  <c r="D32" i="17"/>
  <c r="E32" i="17"/>
  <c r="F32" i="17"/>
  <c r="G32" i="17"/>
  <c r="H32" i="17"/>
  <c r="I32" i="17"/>
  <c r="B32" i="17"/>
  <c r="C25" i="17"/>
  <c r="D25" i="17"/>
  <c r="E25" i="17"/>
  <c r="F25" i="17"/>
  <c r="G25" i="17"/>
  <c r="H25" i="17"/>
  <c r="I25" i="17"/>
  <c r="B25" i="17"/>
  <c r="B101" i="9" l="1"/>
  <c r="J99" i="9"/>
  <c r="I99" i="9"/>
  <c r="H99" i="9"/>
  <c r="G99" i="9"/>
  <c r="F99" i="9"/>
  <c r="E99" i="9"/>
  <c r="D99" i="9"/>
  <c r="C99" i="9"/>
  <c r="B99" i="9"/>
  <c r="B103" i="9" s="1"/>
  <c r="B102" i="9"/>
  <c r="B105" i="9" s="1"/>
  <c r="B63" i="9"/>
  <c r="B19" i="8"/>
  <c r="C19" i="8"/>
  <c r="E19" i="8"/>
  <c r="H19" i="8"/>
  <c r="I19" i="8"/>
  <c r="J19" i="8"/>
  <c r="K19" i="8"/>
  <c r="B23" i="4"/>
  <c r="C23" i="4"/>
  <c r="D23" i="4"/>
  <c r="E23" i="4"/>
  <c r="G23" i="4"/>
  <c r="H23" i="4"/>
  <c r="I23" i="4"/>
  <c r="B24" i="4"/>
  <c r="C24" i="4"/>
  <c r="D24" i="4"/>
  <c r="E24" i="4"/>
  <c r="G24" i="4"/>
  <c r="H24" i="4"/>
  <c r="I24" i="4"/>
  <c r="B25" i="4"/>
  <c r="C25" i="4"/>
  <c r="D25" i="4"/>
  <c r="E25" i="4"/>
  <c r="G25" i="4"/>
  <c r="H25" i="4"/>
  <c r="I25" i="4"/>
  <c r="B26" i="4"/>
  <c r="C26" i="4"/>
  <c r="D26" i="4"/>
  <c r="E26" i="4"/>
  <c r="G26" i="4"/>
  <c r="H26" i="4"/>
  <c r="I26" i="4"/>
  <c r="B27" i="4"/>
  <c r="C27" i="4"/>
  <c r="D27" i="4"/>
  <c r="E27" i="4"/>
  <c r="G27" i="4"/>
  <c r="H27" i="4"/>
  <c r="I27" i="4"/>
  <c r="B28" i="4"/>
  <c r="C28" i="4"/>
  <c r="D28" i="4"/>
  <c r="E28" i="4"/>
  <c r="G28" i="4"/>
  <c r="H28" i="4"/>
  <c r="I28" i="4"/>
  <c r="B29" i="4"/>
  <c r="C29" i="4"/>
  <c r="D29" i="4"/>
  <c r="E29" i="4"/>
  <c r="G29" i="4"/>
  <c r="H29" i="4"/>
  <c r="I29" i="4"/>
  <c r="B30" i="4"/>
  <c r="C30" i="4"/>
  <c r="D30" i="4"/>
  <c r="E30" i="4"/>
  <c r="G30" i="4"/>
  <c r="H30" i="4"/>
  <c r="H32" i="4" s="1"/>
  <c r="I30" i="4"/>
  <c r="C22" i="4"/>
  <c r="D22" i="4"/>
  <c r="E22" i="4"/>
  <c r="G22" i="4"/>
  <c r="H22" i="4"/>
  <c r="I22" i="4"/>
  <c r="B22" i="4"/>
  <c r="I32" i="4" l="1"/>
  <c r="E32" i="4"/>
  <c r="G32" i="4"/>
  <c r="D32" i="4"/>
  <c r="C32" i="4"/>
  <c r="B32" i="4"/>
  <c r="L8" i="31"/>
  <c r="L9" i="31"/>
  <c r="L10" i="31"/>
  <c r="L11" i="31"/>
  <c r="L12" i="31"/>
  <c r="L13" i="31"/>
  <c r="L14" i="31"/>
  <c r="L15" i="31"/>
  <c r="L16" i="31"/>
  <c r="L17" i="31" l="1"/>
  <c r="I17" i="31" l="1"/>
  <c r="E35" i="20" l="1"/>
  <c r="E36" i="20"/>
  <c r="E37" i="20"/>
  <c r="E38" i="20"/>
  <c r="E39" i="20"/>
  <c r="E40" i="20"/>
  <c r="E41" i="20"/>
  <c r="E42" i="20"/>
  <c r="E34" i="20"/>
  <c r="D15" i="8" l="1"/>
  <c r="D19" i="8" s="1"/>
  <c r="L15" i="8"/>
  <c r="D14" i="8"/>
  <c r="L14" i="8" s="1"/>
  <c r="D9" i="8"/>
  <c r="L9" i="8" s="1"/>
  <c r="D10" i="8"/>
  <c r="L10" i="8"/>
  <c r="N11" i="8"/>
  <c r="L18" i="8"/>
  <c r="L11" i="8"/>
  <c r="L12" i="8"/>
  <c r="L13" i="8"/>
  <c r="L16" i="8"/>
  <c r="L17" i="8"/>
  <c r="L19" i="8" l="1"/>
  <c r="R12" i="8"/>
  <c r="R16" i="8"/>
  <c r="R17" i="8"/>
  <c r="R15" i="8"/>
  <c r="R14" i="8"/>
  <c r="R10" i="8"/>
  <c r="R18" i="8"/>
  <c r="R9" i="8"/>
  <c r="R13" i="8"/>
  <c r="R11" i="8"/>
  <c r="L17" i="32" l="1"/>
  <c r="L18" i="32"/>
  <c r="L19" i="32"/>
  <c r="L20" i="32"/>
  <c r="L21" i="32"/>
  <c r="L22" i="32"/>
  <c r="L9" i="32"/>
  <c r="L10" i="32"/>
  <c r="L11" i="32"/>
  <c r="L12" i="32"/>
  <c r="L13" i="32"/>
  <c r="L14" i="32"/>
  <c r="D25" i="32"/>
  <c r="E25" i="32"/>
  <c r="F25" i="32"/>
  <c r="D26" i="32"/>
  <c r="E26" i="32"/>
  <c r="F26" i="32"/>
  <c r="D27" i="32"/>
  <c r="E27" i="32"/>
  <c r="F27" i="32"/>
  <c r="D28" i="32"/>
  <c r="E28" i="32"/>
  <c r="F28" i="32"/>
  <c r="D29" i="32"/>
  <c r="E29" i="32"/>
  <c r="F29" i="32"/>
  <c r="D30" i="32"/>
  <c r="E30" i="32"/>
  <c r="F30" i="32"/>
  <c r="K31" i="32"/>
  <c r="J31" i="32"/>
  <c r="I31" i="32"/>
  <c r="H31" i="32"/>
  <c r="C31" i="32"/>
  <c r="B31" i="32"/>
  <c r="K23" i="32"/>
  <c r="J23" i="32"/>
  <c r="I23" i="32"/>
  <c r="H23" i="32"/>
  <c r="F23" i="32"/>
  <c r="E23" i="32"/>
  <c r="D23" i="32"/>
  <c r="C23" i="32"/>
  <c r="B23" i="32"/>
  <c r="G22" i="32"/>
  <c r="G21" i="32"/>
  <c r="G20" i="32"/>
  <c r="G28" i="32" s="1"/>
  <c r="G19" i="32"/>
  <c r="G27" i="32" s="1"/>
  <c r="G18" i="32"/>
  <c r="G17" i="32"/>
  <c r="A3" i="32"/>
  <c r="A2" i="32"/>
  <c r="A1" i="32"/>
  <c r="K15" i="32"/>
  <c r="J15" i="32"/>
  <c r="I15" i="32"/>
  <c r="H15" i="32"/>
  <c r="F15" i="32"/>
  <c r="E15" i="32"/>
  <c r="D15" i="32"/>
  <c r="C15" i="32"/>
  <c r="B15" i="32"/>
  <c r="G14" i="32"/>
  <c r="G13" i="32"/>
  <c r="G29" i="32" s="1"/>
  <c r="G12" i="32"/>
  <c r="G11" i="32"/>
  <c r="G10" i="32"/>
  <c r="G26" i="32" s="1"/>
  <c r="G9" i="32"/>
  <c r="G25" i="32" s="1"/>
  <c r="A66" i="29"/>
  <c r="A67" i="29" s="1"/>
  <c r="A68" i="29" s="1"/>
  <c r="A69" i="29" s="1"/>
  <c r="A70" i="29" s="1"/>
  <c r="A71" i="29" s="1"/>
  <c r="A72" i="29" s="1"/>
  <c r="A73" i="29" s="1"/>
  <c r="A74" i="29" s="1"/>
  <c r="A75" i="29" s="1"/>
  <c r="A76" i="29" s="1"/>
  <c r="A77" i="29" s="1"/>
  <c r="A42" i="29"/>
  <c r="A31" i="29"/>
  <c r="A32" i="29"/>
  <c r="A33" i="29" s="1"/>
  <c r="A34" i="29" s="1"/>
  <c r="A35" i="29" s="1"/>
  <c r="A36" i="29" s="1"/>
  <c r="A37" i="29" s="1"/>
  <c r="A38" i="29" s="1"/>
  <c r="A39" i="29" s="1"/>
  <c r="A40" i="29" s="1"/>
  <c r="A41" i="29" s="1"/>
  <c r="F14" i="29"/>
  <c r="E57" i="29"/>
  <c r="E58" i="29"/>
  <c r="E59" i="29"/>
  <c r="E60" i="29"/>
  <c r="E61" i="29"/>
  <c r="E62" i="29"/>
  <c r="E63" i="29"/>
  <c r="E64" i="29"/>
  <c r="E46" i="29"/>
  <c r="E47" i="29"/>
  <c r="E48" i="29"/>
  <c r="E49" i="29"/>
  <c r="F49" i="29" s="1"/>
  <c r="E50" i="29"/>
  <c r="E51" i="29"/>
  <c r="E52" i="29"/>
  <c r="E53" i="29"/>
  <c r="E56" i="29"/>
  <c r="E45" i="29"/>
  <c r="G30" i="32" l="1"/>
  <c r="F31" i="32"/>
  <c r="E31" i="32"/>
  <c r="G31" i="32"/>
  <c r="D31" i="32"/>
  <c r="G15" i="32"/>
  <c r="G23" i="32"/>
  <c r="L23" i="32"/>
  <c r="L15" i="32"/>
  <c r="E54" i="29"/>
  <c r="L55" i="25" l="1"/>
  <c r="L56" i="25"/>
  <c r="L57" i="25"/>
  <c r="L58" i="25"/>
  <c r="L59" i="25"/>
  <c r="L60" i="25"/>
  <c r="L61" i="25"/>
  <c r="L62" i="25"/>
  <c r="L44" i="25"/>
  <c r="L45" i="25"/>
  <c r="L46" i="25"/>
  <c r="L47" i="25"/>
  <c r="L48" i="25"/>
  <c r="L49" i="25"/>
  <c r="L50" i="25"/>
  <c r="L51" i="25"/>
  <c r="J51" i="25"/>
  <c r="J44" i="25"/>
  <c r="J43" i="25"/>
  <c r="J22" i="25"/>
  <c r="J23" i="25"/>
  <c r="J24" i="25"/>
  <c r="J25" i="25"/>
  <c r="J26" i="25"/>
  <c r="J27" i="25"/>
  <c r="J28" i="25"/>
  <c r="J29" i="25"/>
  <c r="J21" i="25"/>
  <c r="J14" i="25"/>
  <c r="E22" i="25"/>
  <c r="E23" i="25"/>
  <c r="E24" i="25"/>
  <c r="E25" i="25"/>
  <c r="E26" i="25"/>
  <c r="E27" i="25"/>
  <c r="E28" i="25"/>
  <c r="E29" i="25"/>
  <c r="E21" i="25"/>
  <c r="E14" i="25"/>
  <c r="E62" i="25"/>
  <c r="E55" i="25"/>
  <c r="E54" i="25"/>
  <c r="E51" i="25"/>
  <c r="E44" i="25"/>
  <c r="E43" i="25"/>
  <c r="G55" i="25"/>
  <c r="G56" i="25"/>
  <c r="G57" i="25"/>
  <c r="G58" i="25"/>
  <c r="G59" i="25"/>
  <c r="G60" i="25"/>
  <c r="G61" i="25"/>
  <c r="G62" i="25"/>
  <c r="L24" i="25" l="1"/>
  <c r="G24" i="25"/>
  <c r="A26" i="19" l="1"/>
  <c r="A27" i="19"/>
  <c r="A28" i="19"/>
  <c r="C28" i="19"/>
  <c r="F28" i="19"/>
  <c r="A29" i="19"/>
  <c r="A31" i="19" s="1"/>
  <c r="A32" i="19" s="1"/>
  <c r="A33" i="19" s="1"/>
  <c r="A34" i="19" s="1"/>
  <c r="A35" i="19" s="1"/>
  <c r="A11" i="19"/>
  <c r="A12" i="19"/>
  <c r="A13" i="19"/>
  <c r="A14" i="19" s="1"/>
  <c r="A16" i="19" s="1"/>
  <c r="A17" i="19" s="1"/>
  <c r="A18" i="19" s="1"/>
  <c r="A19" i="19" s="1"/>
  <c r="A20" i="19" s="1"/>
  <c r="D22" i="14"/>
  <c r="J22" i="14"/>
  <c r="J23" i="14"/>
  <c r="J24" i="14"/>
  <c r="F9" i="4" l="1"/>
  <c r="F10" i="4"/>
  <c r="F22" i="4" s="1"/>
  <c r="J22" i="4" s="1"/>
  <c r="F11" i="4"/>
  <c r="F23" i="4" s="1"/>
  <c r="J23" i="4" s="1"/>
  <c r="F12" i="4"/>
  <c r="F24" i="4" s="1"/>
  <c r="J24" i="4" s="1"/>
  <c r="F13" i="4"/>
  <c r="F25" i="4" s="1"/>
  <c r="J25" i="4" s="1"/>
  <c r="F14" i="4"/>
  <c r="F26" i="4" s="1"/>
  <c r="J26" i="4" s="1"/>
  <c r="F15" i="4"/>
  <c r="F27" i="4" s="1"/>
  <c r="J27" i="4" s="1"/>
  <c r="F16" i="4"/>
  <c r="F28" i="4" s="1"/>
  <c r="J28" i="4" s="1"/>
  <c r="F17" i="4"/>
  <c r="F29" i="4" s="1"/>
  <c r="J29" i="4" s="1"/>
  <c r="F18" i="4"/>
  <c r="F30" i="4" s="1"/>
  <c r="J30" i="4" s="1"/>
  <c r="F32" i="4" l="1"/>
  <c r="J10" i="5"/>
  <c r="J11" i="5"/>
  <c r="J12" i="5"/>
  <c r="J13" i="5"/>
  <c r="J14" i="5"/>
  <c r="J15" i="5"/>
  <c r="J16" i="5"/>
  <c r="J17" i="5"/>
  <c r="J18" i="5"/>
  <c r="P18" i="5" s="1"/>
  <c r="J9" i="5"/>
  <c r="P16" i="5" l="1"/>
  <c r="P12" i="5"/>
  <c r="P9" i="5"/>
  <c r="P15" i="5"/>
  <c r="P11" i="5"/>
  <c r="P14" i="5"/>
  <c r="P10" i="5"/>
  <c r="P17" i="5"/>
  <c r="P13" i="5"/>
  <c r="M9" i="31"/>
  <c r="M10" i="31"/>
  <c r="M11" i="31"/>
  <c r="M12" i="31"/>
  <c r="M13" i="31"/>
  <c r="M14" i="31"/>
  <c r="M15" i="31"/>
  <c r="M16" i="31"/>
  <c r="M17" i="31"/>
  <c r="M8" i="31"/>
  <c r="J25" i="14" l="1"/>
  <c r="J11" i="14"/>
  <c r="J12" i="14"/>
  <c r="J13" i="14"/>
  <c r="J18" i="14"/>
  <c r="J10" i="14"/>
  <c r="D9" i="14"/>
  <c r="J9" i="14" s="1"/>
  <c r="G44" i="25"/>
  <c r="G45" i="25"/>
  <c r="G46" i="25"/>
  <c r="G47" i="25"/>
  <c r="G48" i="25"/>
  <c r="G49" i="25"/>
  <c r="G50" i="25"/>
  <c r="G51" i="25"/>
  <c r="L33" i="25"/>
  <c r="L32" i="25"/>
  <c r="G33" i="25"/>
  <c r="G32" i="25"/>
  <c r="A76" i="20"/>
  <c r="A77" i="20" s="1"/>
  <c r="A78" i="20" s="1"/>
  <c r="A79" i="20" s="1"/>
  <c r="A80" i="20" s="1"/>
  <c r="A81" i="20" s="1"/>
  <c r="A82" i="20" s="1"/>
  <c r="A83" i="20" s="1"/>
  <c r="L25" i="25"/>
  <c r="L26" i="25"/>
  <c r="L27" i="25"/>
  <c r="L28" i="25"/>
  <c r="L29" i="25"/>
  <c r="L22" i="25"/>
  <c r="L23" i="25"/>
  <c r="L21" i="25"/>
  <c r="G22" i="25"/>
  <c r="G23" i="25"/>
  <c r="G25" i="25"/>
  <c r="G26" i="25"/>
  <c r="G27" i="25"/>
  <c r="G28" i="25"/>
  <c r="G29" i="25"/>
  <c r="G21" i="25"/>
  <c r="A65" i="20"/>
  <c r="A66" i="20" s="1"/>
  <c r="A67" i="20" s="1"/>
  <c r="A68" i="20" s="1"/>
  <c r="A69" i="20" s="1"/>
  <c r="A70" i="20" s="1"/>
  <c r="A71" i="20" s="1"/>
  <c r="A64" i="20"/>
  <c r="J12" i="25"/>
  <c r="J13" i="25"/>
  <c r="J15" i="25"/>
  <c r="E15" i="25"/>
  <c r="E11" i="25"/>
  <c r="E12" i="25"/>
  <c r="E13" i="25"/>
  <c r="A3" i="29"/>
  <c r="A2" i="29"/>
  <c r="A1" i="29"/>
  <c r="A3" i="25"/>
  <c r="A2" i="25"/>
  <c r="A1" i="25"/>
  <c r="A3" i="20"/>
  <c r="A2" i="20"/>
  <c r="A1" i="20"/>
  <c r="K37" i="9"/>
  <c r="J37" i="9"/>
  <c r="I37" i="9"/>
  <c r="H37" i="9"/>
  <c r="G37" i="9"/>
  <c r="F37" i="9"/>
  <c r="E37" i="9"/>
  <c r="D37" i="9"/>
  <c r="C37" i="9"/>
  <c r="B37" i="9"/>
  <c r="K36" i="9"/>
  <c r="J36" i="9"/>
  <c r="I36" i="9"/>
  <c r="H36" i="9"/>
  <c r="G36" i="9"/>
  <c r="F36" i="9"/>
  <c r="E36" i="9"/>
  <c r="D36" i="9"/>
  <c r="C36" i="9"/>
  <c r="B36" i="9"/>
  <c r="K35" i="9"/>
  <c r="J35" i="9"/>
  <c r="I35" i="9"/>
  <c r="H35" i="9"/>
  <c r="G35" i="9"/>
  <c r="F35" i="9"/>
  <c r="E35" i="9"/>
  <c r="D35" i="9"/>
  <c r="C35" i="9"/>
  <c r="B35" i="9"/>
  <c r="K48" i="9"/>
  <c r="K47" i="9"/>
  <c r="K29" i="9"/>
  <c r="J29" i="9"/>
  <c r="J45" i="9"/>
  <c r="K45" i="9"/>
  <c r="K44" i="9"/>
  <c r="K43" i="9"/>
  <c r="J41" i="9"/>
  <c r="K41" i="9"/>
  <c r="K40" i="9"/>
  <c r="K39" i="9"/>
  <c r="F36" i="8"/>
  <c r="G36" i="8"/>
  <c r="H36" i="8"/>
  <c r="F37" i="8"/>
  <c r="G37" i="8"/>
  <c r="H37" i="8"/>
  <c r="E33" i="8"/>
  <c r="E87" i="9" l="1"/>
  <c r="I87" i="9"/>
  <c r="K79" i="9"/>
  <c r="C87" i="9"/>
  <c r="G87" i="9"/>
  <c r="K87" i="9"/>
  <c r="C86" i="9"/>
  <c r="G86" i="9"/>
  <c r="K86" i="9"/>
  <c r="E86" i="9"/>
  <c r="I86" i="9"/>
  <c r="C85" i="9"/>
  <c r="G85" i="9"/>
  <c r="K85" i="9"/>
  <c r="E85" i="9"/>
  <c r="I85" i="9"/>
  <c r="F85" i="9"/>
  <c r="J85" i="9"/>
  <c r="D86" i="9"/>
  <c r="H86" i="9"/>
  <c r="F87" i="9"/>
  <c r="J87" i="9"/>
  <c r="K91" i="9"/>
  <c r="K95" i="9"/>
  <c r="D85" i="9"/>
  <c r="H85" i="9"/>
  <c r="F86" i="9"/>
  <c r="J86" i="9"/>
  <c r="D87" i="9"/>
  <c r="H87" i="9"/>
  <c r="E34" i="8"/>
  <c r="J17" i="14"/>
  <c r="J37" i="14" l="1"/>
  <c r="J38" i="14"/>
  <c r="J39" i="14"/>
  <c r="K32" i="9" l="1"/>
  <c r="J32" i="9"/>
  <c r="I32" i="9"/>
  <c r="H32" i="9"/>
  <c r="G32" i="9"/>
  <c r="F32" i="9"/>
  <c r="E32" i="9"/>
  <c r="D32" i="9"/>
  <c r="C32" i="9"/>
  <c r="B32" i="9"/>
  <c r="K31" i="9"/>
  <c r="J31" i="9"/>
  <c r="I31" i="9"/>
  <c r="H31" i="9"/>
  <c r="G31" i="9"/>
  <c r="F31" i="9"/>
  <c r="E31" i="9"/>
  <c r="D31" i="9"/>
  <c r="C31" i="9"/>
  <c r="B31" i="9"/>
  <c r="K28" i="9"/>
  <c r="K27" i="9"/>
  <c r="K24" i="9"/>
  <c r="K23" i="9"/>
  <c r="K20" i="9"/>
  <c r="K19" i="9"/>
  <c r="D43" i="14"/>
  <c r="F81" i="9" l="1"/>
  <c r="J81" i="9"/>
  <c r="C82" i="9"/>
  <c r="G82" i="9"/>
  <c r="K82" i="9"/>
  <c r="D82" i="9"/>
  <c r="H82" i="9"/>
  <c r="I81" i="9"/>
  <c r="C81" i="9"/>
  <c r="E82" i="9"/>
  <c r="D81" i="9"/>
  <c r="H81" i="9"/>
  <c r="F82" i="9"/>
  <c r="J82" i="9"/>
  <c r="G81" i="9"/>
  <c r="K81" i="9"/>
  <c r="I82" i="9"/>
  <c r="E81" i="9"/>
  <c r="K51" i="9"/>
  <c r="K52" i="9"/>
  <c r="C45" i="17"/>
  <c r="D45" i="17"/>
  <c r="E45" i="17"/>
  <c r="F45" i="17"/>
  <c r="G45" i="17"/>
  <c r="H45" i="17"/>
  <c r="I45" i="17"/>
  <c r="B45" i="17"/>
  <c r="C40" i="17"/>
  <c r="D40" i="17"/>
  <c r="E40" i="17"/>
  <c r="F40" i="17"/>
  <c r="G40" i="17"/>
  <c r="H40" i="17"/>
  <c r="I40" i="17"/>
  <c r="B40" i="17"/>
  <c r="C39" i="17"/>
  <c r="D39" i="17"/>
  <c r="E39" i="17"/>
  <c r="F39" i="17"/>
  <c r="G39" i="17"/>
  <c r="H39" i="17"/>
  <c r="I39" i="17"/>
  <c r="B39" i="17"/>
  <c r="J24" i="17"/>
  <c r="J30" i="17"/>
  <c r="J29" i="17"/>
  <c r="G14" i="17" l="1"/>
  <c r="F13" i="17"/>
  <c r="G13" i="17" s="1"/>
  <c r="E12" i="17"/>
  <c r="F12" i="17" s="1"/>
  <c r="G12" i="17" s="1"/>
  <c r="D11" i="17"/>
  <c r="E11" i="17" s="1"/>
  <c r="F11" i="17" s="1"/>
  <c r="G11" i="17" s="1"/>
  <c r="C10" i="17"/>
  <c r="D10" i="17" s="1"/>
  <c r="E10" i="17" s="1"/>
  <c r="F10" i="17" s="1"/>
  <c r="G10" i="17" s="1"/>
  <c r="I21" i="8" l="1"/>
  <c r="I22" i="8"/>
  <c r="I23" i="8"/>
  <c r="I24" i="8"/>
  <c r="I25" i="8"/>
  <c r="I26" i="8"/>
  <c r="I27" i="8"/>
  <c r="I28" i="8"/>
  <c r="I29" i="8"/>
  <c r="I30" i="8"/>
  <c r="F33" i="8"/>
  <c r="G33" i="8" s="1"/>
  <c r="G39" i="8" s="1"/>
  <c r="G33" i="32" s="1"/>
  <c r="G36" i="32" s="1"/>
  <c r="G42" i="32" s="1"/>
  <c r="I31" i="8" l="1"/>
  <c r="F34" i="8"/>
  <c r="G34" i="8" s="1"/>
  <c r="G40" i="8" s="1"/>
  <c r="G34" i="32" s="1"/>
  <c r="G37" i="32" s="1"/>
  <c r="G43" i="32" s="1"/>
  <c r="F39" i="8"/>
  <c r="L33" i="9"/>
  <c r="D27" i="8"/>
  <c r="H27" i="8"/>
  <c r="J27" i="8"/>
  <c r="D28" i="8"/>
  <c r="H28" i="8"/>
  <c r="J28" i="8"/>
  <c r="D29" i="8"/>
  <c r="H29" i="8"/>
  <c r="J29" i="8"/>
  <c r="D30" i="8"/>
  <c r="H30" i="8"/>
  <c r="J30" i="8"/>
  <c r="G17" i="8"/>
  <c r="J33" i="9" s="1"/>
  <c r="G18" i="8"/>
  <c r="G10" i="8"/>
  <c r="C33" i="9" s="1"/>
  <c r="G11" i="8"/>
  <c r="D33" i="9" s="1"/>
  <c r="G12" i="8"/>
  <c r="E33" i="9" s="1"/>
  <c r="G13" i="8"/>
  <c r="F33" i="9" s="1"/>
  <c r="G14" i="8"/>
  <c r="G33" i="9" s="1"/>
  <c r="G15" i="8"/>
  <c r="G16" i="8"/>
  <c r="I33" i="9" s="1"/>
  <c r="G9" i="8"/>
  <c r="B33" i="9" s="1"/>
  <c r="I18" i="7"/>
  <c r="K15" i="9" s="1"/>
  <c r="C21" i="5"/>
  <c r="D21" i="5"/>
  <c r="E21" i="5"/>
  <c r="F21" i="5"/>
  <c r="G21" i="5"/>
  <c r="H21" i="5"/>
  <c r="I21" i="5"/>
  <c r="C22" i="5"/>
  <c r="D22" i="5"/>
  <c r="E22" i="5"/>
  <c r="F22" i="5"/>
  <c r="G22" i="5"/>
  <c r="H22" i="5"/>
  <c r="I22" i="5"/>
  <c r="C23" i="5"/>
  <c r="D23" i="5"/>
  <c r="E23" i="5"/>
  <c r="F23" i="5"/>
  <c r="G23" i="5"/>
  <c r="H23" i="5"/>
  <c r="I23" i="5"/>
  <c r="C24" i="5"/>
  <c r="D24" i="5"/>
  <c r="E24" i="5"/>
  <c r="F24" i="5"/>
  <c r="G24" i="5"/>
  <c r="H24" i="5"/>
  <c r="I24" i="5"/>
  <c r="C25" i="5"/>
  <c r="D25" i="5"/>
  <c r="E25" i="5"/>
  <c r="F25" i="5"/>
  <c r="G25" i="5"/>
  <c r="H25" i="5"/>
  <c r="I25" i="5"/>
  <c r="C26" i="5"/>
  <c r="D26" i="5"/>
  <c r="E26" i="5"/>
  <c r="F26" i="5"/>
  <c r="G26" i="5"/>
  <c r="H26" i="5"/>
  <c r="I26" i="5"/>
  <c r="C27" i="5"/>
  <c r="D27" i="5"/>
  <c r="E27" i="5"/>
  <c r="F27" i="5"/>
  <c r="G27" i="5"/>
  <c r="H27" i="5"/>
  <c r="I27" i="5"/>
  <c r="C28" i="5"/>
  <c r="D28" i="5"/>
  <c r="E28" i="5"/>
  <c r="F28" i="5"/>
  <c r="G28" i="5"/>
  <c r="H28" i="5"/>
  <c r="I28" i="5"/>
  <c r="C29" i="5"/>
  <c r="D29" i="5"/>
  <c r="E29" i="5"/>
  <c r="F29" i="5"/>
  <c r="G29" i="5"/>
  <c r="H29" i="5"/>
  <c r="I29" i="5"/>
  <c r="B21" i="5"/>
  <c r="B22" i="5"/>
  <c r="B23" i="5"/>
  <c r="B24" i="5"/>
  <c r="B25" i="5"/>
  <c r="B26" i="5"/>
  <c r="B27" i="5"/>
  <c r="B28" i="5"/>
  <c r="B29" i="5"/>
  <c r="D83" i="9" l="1"/>
  <c r="G83" i="9"/>
  <c r="C83" i="9"/>
  <c r="E83" i="9"/>
  <c r="J83" i="9"/>
  <c r="F83" i="9"/>
  <c r="G19" i="8"/>
  <c r="E14" i="19"/>
  <c r="E29" i="19" s="1"/>
  <c r="D47" i="25" s="1"/>
  <c r="F47" i="25" s="1"/>
  <c r="H47" i="25" s="1"/>
  <c r="F33" i="32"/>
  <c r="B39" i="5"/>
  <c r="B35" i="5"/>
  <c r="I40" i="5"/>
  <c r="E40" i="5"/>
  <c r="H39" i="5"/>
  <c r="D39" i="5"/>
  <c r="G38" i="5"/>
  <c r="C38" i="5"/>
  <c r="F37" i="5"/>
  <c r="I36" i="5"/>
  <c r="E36" i="5"/>
  <c r="H35" i="5"/>
  <c r="D35" i="5"/>
  <c r="G34" i="5"/>
  <c r="C34" i="5"/>
  <c r="F33" i="5"/>
  <c r="H33" i="9"/>
  <c r="H83" i="9" s="1"/>
  <c r="H31" i="8"/>
  <c r="J31" i="8"/>
  <c r="D31" i="8"/>
  <c r="B37" i="5"/>
  <c r="B33" i="5"/>
  <c r="G40" i="5"/>
  <c r="F39" i="5"/>
  <c r="I38" i="5"/>
  <c r="E38" i="5"/>
  <c r="H37" i="5"/>
  <c r="D37" i="5"/>
  <c r="G36" i="5"/>
  <c r="C36" i="5"/>
  <c r="F35" i="5"/>
  <c r="I34" i="5"/>
  <c r="E34" i="5"/>
  <c r="H33" i="5"/>
  <c r="D33" i="5"/>
  <c r="C40" i="5"/>
  <c r="K33" i="9"/>
  <c r="K83" i="9" s="1"/>
  <c r="F40" i="5"/>
  <c r="I39" i="5"/>
  <c r="E39" i="5"/>
  <c r="H38" i="5"/>
  <c r="D38" i="5"/>
  <c r="G37" i="5"/>
  <c r="C37" i="5"/>
  <c r="F36" i="5"/>
  <c r="I35" i="5"/>
  <c r="E35" i="5"/>
  <c r="H34" i="5"/>
  <c r="D34" i="5"/>
  <c r="G33" i="5"/>
  <c r="C33" i="5"/>
  <c r="M33" i="9"/>
  <c r="M83" i="9" s="1"/>
  <c r="F40" i="8"/>
  <c r="B38" i="5"/>
  <c r="B34" i="5"/>
  <c r="H40" i="5"/>
  <c r="D40" i="5"/>
  <c r="G39" i="5"/>
  <c r="C39" i="5"/>
  <c r="F38" i="5"/>
  <c r="I37" i="5"/>
  <c r="E37" i="5"/>
  <c r="H36" i="5"/>
  <c r="D36" i="5"/>
  <c r="G35" i="5"/>
  <c r="C35" i="5"/>
  <c r="F34" i="5"/>
  <c r="I33" i="5"/>
  <c r="E33" i="5"/>
  <c r="B40" i="5"/>
  <c r="B36" i="5"/>
  <c r="J18" i="4"/>
  <c r="D36" i="4"/>
  <c r="E36" i="4"/>
  <c r="F36" i="4"/>
  <c r="G36" i="4"/>
  <c r="H36" i="4"/>
  <c r="I36" i="4"/>
  <c r="D37" i="4"/>
  <c r="E37" i="4"/>
  <c r="F37" i="4"/>
  <c r="G37" i="4"/>
  <c r="H37" i="4"/>
  <c r="I37" i="4"/>
  <c r="D38" i="4"/>
  <c r="E38" i="4"/>
  <c r="F38" i="4"/>
  <c r="G38" i="4"/>
  <c r="H38" i="4"/>
  <c r="I38" i="4"/>
  <c r="D39" i="4"/>
  <c r="E39" i="4"/>
  <c r="F39" i="4"/>
  <c r="G39" i="4"/>
  <c r="H39" i="4"/>
  <c r="I39" i="4"/>
  <c r="D40" i="4"/>
  <c r="E40" i="4"/>
  <c r="F40" i="4"/>
  <c r="G40" i="4"/>
  <c r="H40" i="4"/>
  <c r="I40" i="4"/>
  <c r="D41" i="4"/>
  <c r="E41" i="4"/>
  <c r="F41" i="4"/>
  <c r="G41" i="4"/>
  <c r="H41" i="4"/>
  <c r="I41" i="4"/>
  <c r="D42" i="4"/>
  <c r="E42" i="4"/>
  <c r="F42" i="4"/>
  <c r="G42" i="4"/>
  <c r="H42" i="4"/>
  <c r="I42" i="4"/>
  <c r="D43" i="4"/>
  <c r="E43" i="4"/>
  <c r="E45" i="4" s="1"/>
  <c r="F43" i="4"/>
  <c r="F45" i="4" s="1"/>
  <c r="G43" i="4"/>
  <c r="H43" i="4"/>
  <c r="H45" i="4" s="1"/>
  <c r="I43" i="4"/>
  <c r="I45" i="4" s="1"/>
  <c r="C42" i="4"/>
  <c r="C43" i="4"/>
  <c r="B36" i="4"/>
  <c r="B37" i="4"/>
  <c r="B38" i="4"/>
  <c r="B39" i="4"/>
  <c r="B40" i="4"/>
  <c r="B41" i="4"/>
  <c r="B42" i="4"/>
  <c r="B43" i="4"/>
  <c r="G45" i="4" l="1"/>
  <c r="D45" i="4"/>
  <c r="D48" i="4" s="1"/>
  <c r="B45" i="4"/>
  <c r="D24" i="29"/>
  <c r="F24" i="29" s="1"/>
  <c r="I83" i="9"/>
  <c r="D58" i="25"/>
  <c r="F58" i="25" s="1"/>
  <c r="H58" i="25" s="1"/>
  <c r="L83" i="9"/>
  <c r="H14" i="19"/>
  <c r="H29" i="19" s="1"/>
  <c r="I47" i="25" s="1"/>
  <c r="K47" i="25" s="1"/>
  <c r="M47" i="25" s="1"/>
  <c r="F34" i="32"/>
  <c r="F37" i="32" s="1"/>
  <c r="D35" i="29"/>
  <c r="F35" i="29" s="1"/>
  <c r="F36" i="32"/>
  <c r="F42" i="32" s="1"/>
  <c r="H41" i="5"/>
  <c r="H43" i="5" s="1"/>
  <c r="B41" i="5"/>
  <c r="B43" i="5" s="1"/>
  <c r="C41" i="5"/>
  <c r="C43" i="5" s="1"/>
  <c r="G41" i="5"/>
  <c r="G43" i="5" s="1"/>
  <c r="I41" i="5"/>
  <c r="I43" i="5" s="1"/>
  <c r="E41" i="5"/>
  <c r="E43" i="5" s="1"/>
  <c r="D41" i="5"/>
  <c r="F41" i="5"/>
  <c r="F43" i="5" s="1"/>
  <c r="C12" i="19"/>
  <c r="D12" i="29" s="1"/>
  <c r="F12" i="29" s="1"/>
  <c r="A3" i="19"/>
  <c r="A2" i="19"/>
  <c r="A1" i="19"/>
  <c r="A3" i="9"/>
  <c r="A2" i="9"/>
  <c r="A1" i="9"/>
  <c r="A3" i="14"/>
  <c r="A2" i="14"/>
  <c r="A1" i="14"/>
  <c r="A3" i="17"/>
  <c r="A2" i="17"/>
  <c r="A1" i="17"/>
  <c r="A3" i="8"/>
  <c r="A2" i="8"/>
  <c r="A1" i="8"/>
  <c r="A3" i="5"/>
  <c r="A2" i="5"/>
  <c r="A1" i="5"/>
  <c r="C10" i="7"/>
  <c r="C11" i="7"/>
  <c r="C12" i="7"/>
  <c r="C13" i="7"/>
  <c r="C14" i="7"/>
  <c r="C15" i="7"/>
  <c r="C16" i="7"/>
  <c r="C17" i="7"/>
  <c r="C18" i="7"/>
  <c r="K10" i="9" s="1"/>
  <c r="C19" i="7"/>
  <c r="C20" i="7"/>
  <c r="C9" i="7"/>
  <c r="B10" i="7"/>
  <c r="H10" i="7" s="1"/>
  <c r="B11" i="7"/>
  <c r="D11" i="7" s="1"/>
  <c r="E11" i="7" s="1"/>
  <c r="B12" i="7"/>
  <c r="H12" i="7" s="1"/>
  <c r="B13" i="7"/>
  <c r="H13" i="7" s="1"/>
  <c r="B14" i="7"/>
  <c r="H14" i="7" s="1"/>
  <c r="B15" i="7"/>
  <c r="D15" i="7" s="1"/>
  <c r="E15" i="7" s="1"/>
  <c r="B16" i="7"/>
  <c r="D16" i="7" s="1"/>
  <c r="E16" i="7" s="1"/>
  <c r="B17" i="7"/>
  <c r="H17" i="7" s="1"/>
  <c r="B18" i="7"/>
  <c r="B9" i="7"/>
  <c r="A3" i="31"/>
  <c r="A2" i="31"/>
  <c r="A1" i="31"/>
  <c r="D43" i="5" l="1"/>
  <c r="D27" i="14"/>
  <c r="D70" i="29"/>
  <c r="F70" i="29" s="1"/>
  <c r="F43" i="32"/>
  <c r="D59" i="29"/>
  <c r="F59" i="29" s="1"/>
  <c r="I58" i="25"/>
  <c r="K58" i="25" s="1"/>
  <c r="M58" i="25" s="1"/>
  <c r="L31" i="9"/>
  <c r="L81" i="9" s="1"/>
  <c r="D17" i="7"/>
  <c r="E17" i="7" s="1"/>
  <c r="D12" i="7"/>
  <c r="E12" i="7" s="1"/>
  <c r="F12" i="19"/>
  <c r="D47" i="29" s="1"/>
  <c r="F47" i="29" s="1"/>
  <c r="D14" i="7"/>
  <c r="E14" i="7" s="1"/>
  <c r="H16" i="7"/>
  <c r="H18" i="7"/>
  <c r="K9" i="9"/>
  <c r="L10" i="9"/>
  <c r="L61" i="9" s="1"/>
  <c r="D18" i="7"/>
  <c r="E18" i="7" s="1"/>
  <c r="D13" i="7"/>
  <c r="E13" i="7" s="1"/>
  <c r="D10" i="7"/>
  <c r="E10" i="7" s="1"/>
  <c r="H15" i="7"/>
  <c r="H11" i="7"/>
  <c r="J18" i="7"/>
  <c r="A3" i="4"/>
  <c r="A2" i="4"/>
  <c r="A1" i="4"/>
  <c r="A3" i="7"/>
  <c r="A2" i="7"/>
  <c r="A1" i="7"/>
  <c r="D27" i="20" l="1"/>
  <c r="A10" i="29" l="1"/>
  <c r="A11" i="29" s="1"/>
  <c r="A12" i="29" s="1"/>
  <c r="A13" i="29" s="1"/>
  <c r="A14" i="29" s="1"/>
  <c r="A15" i="29" s="1"/>
  <c r="A16" i="29" s="1"/>
  <c r="A17" i="29" s="1"/>
  <c r="A18" i="29" s="1"/>
  <c r="A19" i="29" l="1"/>
  <c r="A20" i="29" s="1"/>
  <c r="A21" i="29" s="1"/>
  <c r="A22" i="29" s="1"/>
  <c r="A23" i="29" s="1"/>
  <c r="A24" i="29" s="1"/>
  <c r="A25" i="29" s="1"/>
  <c r="A26" i="29" s="1"/>
  <c r="A27" i="29" s="1"/>
  <c r="A28" i="29" s="1"/>
  <c r="A29" i="29" s="1"/>
  <c r="A45" i="29"/>
  <c r="A46" i="29" s="1"/>
  <c r="A47" i="29" s="1"/>
  <c r="A48" i="29" s="1"/>
  <c r="A49" i="29" s="1"/>
  <c r="A50" i="29" s="1"/>
  <c r="A51" i="29" s="1"/>
  <c r="A52" i="29" s="1"/>
  <c r="A53" i="29" s="1"/>
  <c r="A54" i="29" l="1"/>
  <c r="A55" i="29" s="1"/>
  <c r="A56" i="29" s="1"/>
  <c r="A57" i="29" s="1"/>
  <c r="A58" i="29" s="1"/>
  <c r="A59" i="29" s="1"/>
  <c r="A60" i="29" s="1"/>
  <c r="A61" i="29" s="1"/>
  <c r="A62" i="29" s="1"/>
  <c r="A63" i="29" s="1"/>
  <c r="A64" i="29" s="1"/>
  <c r="A30" i="29"/>
  <c r="A65" i="29" l="1"/>
  <c r="J20" i="9"/>
  <c r="E20" i="9"/>
  <c r="G20" i="9"/>
  <c r="I20" i="9"/>
  <c r="J24" i="9"/>
  <c r="F24" i="9"/>
  <c r="E24" i="9"/>
  <c r="G24" i="9"/>
  <c r="I24" i="9"/>
  <c r="J28" i="9"/>
  <c r="F28" i="9"/>
  <c r="E28" i="9"/>
  <c r="G28" i="9"/>
  <c r="H28" i="9"/>
  <c r="I28" i="9"/>
  <c r="J40" i="9"/>
  <c r="F40" i="9"/>
  <c r="E40" i="9"/>
  <c r="G40" i="9"/>
  <c r="H40" i="9"/>
  <c r="I40" i="9"/>
  <c r="J44" i="9"/>
  <c r="F44" i="9"/>
  <c r="G44" i="9"/>
  <c r="H44" i="9"/>
  <c r="I44" i="9"/>
  <c r="J48" i="9"/>
  <c r="F48" i="9"/>
  <c r="E48" i="9"/>
  <c r="G48" i="9"/>
  <c r="H48" i="9"/>
  <c r="I48" i="9"/>
  <c r="C20" i="9"/>
  <c r="C24" i="9"/>
  <c r="C48" i="9"/>
  <c r="D20" i="9"/>
  <c r="D24" i="9"/>
  <c r="D28" i="9"/>
  <c r="D40" i="9"/>
  <c r="D44" i="9"/>
  <c r="D48" i="9"/>
  <c r="G49" i="9"/>
  <c r="F45" i="9"/>
  <c r="I45" i="9"/>
  <c r="F29" i="9"/>
  <c r="J51" i="4"/>
  <c r="J50" i="4"/>
  <c r="B37" i="8"/>
  <c r="C37" i="8"/>
  <c r="E37" i="8"/>
  <c r="E40" i="8" s="1"/>
  <c r="I37" i="8"/>
  <c r="J37" i="8"/>
  <c r="K37" i="8"/>
  <c r="C36" i="8"/>
  <c r="E36" i="8"/>
  <c r="E39" i="8" s="1"/>
  <c r="I36" i="8"/>
  <c r="J36" i="8"/>
  <c r="K36" i="8"/>
  <c r="B36" i="8"/>
  <c r="A52" i="20"/>
  <c r="A53" i="20" s="1"/>
  <c r="A54" i="20" s="1"/>
  <c r="A55" i="20" s="1"/>
  <c r="A56" i="20" s="1"/>
  <c r="A57" i="20" s="1"/>
  <c r="A58" i="20" s="1"/>
  <c r="A59" i="20" s="1"/>
  <c r="A10" i="25"/>
  <c r="A11" i="25" s="1"/>
  <c r="A12" i="25" s="1"/>
  <c r="A13" i="25" s="1"/>
  <c r="G54" i="25"/>
  <c r="G43" i="25"/>
  <c r="J62" i="25"/>
  <c r="L54" i="25"/>
  <c r="L43" i="25"/>
  <c r="E43" i="20"/>
  <c r="D43" i="20"/>
  <c r="A35" i="20"/>
  <c r="A36" i="20" s="1"/>
  <c r="A37" i="20" s="1"/>
  <c r="A38" i="20" s="1"/>
  <c r="A39" i="20" s="1"/>
  <c r="A40" i="20" s="1"/>
  <c r="A41" i="20" s="1"/>
  <c r="A42" i="20" s="1"/>
  <c r="C43" i="20"/>
  <c r="D30" i="20"/>
  <c r="D45" i="20" s="1"/>
  <c r="C30" i="20"/>
  <c r="C45" i="20" s="1"/>
  <c r="A26" i="20"/>
  <c r="A27" i="20" s="1"/>
  <c r="A28" i="20" s="1"/>
  <c r="A29" i="20" s="1"/>
  <c r="A30" i="20" s="1"/>
  <c r="B16" i="17"/>
  <c r="J26" i="14"/>
  <c r="J35" i="14"/>
  <c r="J36" i="14"/>
  <c r="G44" i="11"/>
  <c r="G20" i="5"/>
  <c r="G32" i="5" s="1"/>
  <c r="D69" i="11"/>
  <c r="D70" i="11"/>
  <c r="D68" i="11"/>
  <c r="D49" i="11"/>
  <c r="D48" i="11"/>
  <c r="D47" i="11"/>
  <c r="D46" i="11"/>
  <c r="C69" i="11"/>
  <c r="C70" i="11"/>
  <c r="C68" i="11"/>
  <c r="E41" i="11"/>
  <c r="E40" i="11"/>
  <c r="E39" i="11"/>
  <c r="E38" i="11"/>
  <c r="E37" i="11"/>
  <c r="E36" i="11"/>
  <c r="E35" i="11"/>
  <c r="E34" i="11"/>
  <c r="E33" i="11"/>
  <c r="E32" i="11"/>
  <c r="E31" i="11"/>
  <c r="E30" i="11"/>
  <c r="E29" i="11"/>
  <c r="E28" i="11"/>
  <c r="E27" i="11"/>
  <c r="E26" i="11"/>
  <c r="E25" i="11"/>
  <c r="E24" i="11"/>
  <c r="E23" i="11"/>
  <c r="E22" i="11"/>
  <c r="E21" i="11"/>
  <c r="E20" i="11"/>
  <c r="E19" i="11"/>
  <c r="E18" i="11"/>
  <c r="E69" i="11" s="1"/>
  <c r="E17" i="11"/>
  <c r="E16" i="11"/>
  <c r="E15" i="11"/>
  <c r="E14" i="11"/>
  <c r="E13" i="11"/>
  <c r="E12" i="11"/>
  <c r="E70" i="11"/>
  <c r="E68" i="11"/>
  <c r="I41" i="9"/>
  <c r="H41" i="9"/>
  <c r="G41" i="9"/>
  <c r="F41" i="9"/>
  <c r="E45" i="9"/>
  <c r="E41" i="9"/>
  <c r="D45" i="9"/>
  <c r="D41" i="9"/>
  <c r="D29" i="9"/>
  <c r="C49" i="9"/>
  <c r="C45" i="9"/>
  <c r="C41" i="9"/>
  <c r="C29" i="9"/>
  <c r="B45" i="9"/>
  <c r="B41" i="9"/>
  <c r="H20" i="5"/>
  <c r="H32" i="5" s="1"/>
  <c r="E20" i="5"/>
  <c r="E32" i="5" s="1"/>
  <c r="B28" i="9"/>
  <c r="B20" i="5"/>
  <c r="B32" i="5" s="1"/>
  <c r="B47" i="9"/>
  <c r="B43" i="9"/>
  <c r="B19" i="9"/>
  <c r="B39" i="9"/>
  <c r="B27" i="9"/>
  <c r="B23" i="9"/>
  <c r="J9" i="4"/>
  <c r="E95" i="9" l="1"/>
  <c r="H98" i="9"/>
  <c r="I78" i="9"/>
  <c r="G90" i="9"/>
  <c r="E74" i="9"/>
  <c r="I94" i="9"/>
  <c r="H78" i="9"/>
  <c r="D70" i="9"/>
  <c r="F98" i="9"/>
  <c r="D79" i="9"/>
  <c r="C95" i="9"/>
  <c r="C91" i="9"/>
  <c r="F91" i="9"/>
  <c r="H91" i="9"/>
  <c r="F78" i="9"/>
  <c r="G98" i="9"/>
  <c r="E70" i="9"/>
  <c r="H94" i="9"/>
  <c r="I90" i="9"/>
  <c r="F95" i="9"/>
  <c r="J98" i="9"/>
  <c r="K98" i="9"/>
  <c r="D91" i="9"/>
  <c r="D95" i="9"/>
  <c r="G91" i="9"/>
  <c r="D98" i="9"/>
  <c r="D74" i="9"/>
  <c r="E98" i="9"/>
  <c r="F90" i="9"/>
  <c r="G78" i="9"/>
  <c r="J74" i="9"/>
  <c r="K74" i="9"/>
  <c r="J70" i="9"/>
  <c r="K70" i="9"/>
  <c r="I91" i="9"/>
  <c r="J91" i="9"/>
  <c r="J94" i="9"/>
  <c r="K94" i="9"/>
  <c r="E90" i="9"/>
  <c r="J78" i="9"/>
  <c r="K78" i="9"/>
  <c r="F74" i="9"/>
  <c r="E91" i="9"/>
  <c r="J95" i="9"/>
  <c r="I98" i="9"/>
  <c r="G94" i="9"/>
  <c r="H90" i="9"/>
  <c r="J90" i="9"/>
  <c r="K90" i="9"/>
  <c r="E78" i="9"/>
  <c r="G74" i="9"/>
  <c r="E34" i="32"/>
  <c r="E37" i="32" s="1"/>
  <c r="D60" i="29"/>
  <c r="F60" i="29" s="1"/>
  <c r="E33" i="32"/>
  <c r="E36" i="32" s="1"/>
  <c r="D25" i="29"/>
  <c r="F25" i="29" s="1"/>
  <c r="C44" i="20"/>
  <c r="H30" i="19"/>
  <c r="H15" i="19"/>
  <c r="E30" i="19"/>
  <c r="E15" i="19"/>
  <c r="C53" i="9"/>
  <c r="A43" i="20"/>
  <c r="A44" i="20" s="1"/>
  <c r="A45" i="20" s="1"/>
  <c r="A46" i="20" s="1"/>
  <c r="B51" i="9"/>
  <c r="G52" i="9"/>
  <c r="J52" i="9"/>
  <c r="D52" i="9"/>
  <c r="I52" i="9"/>
  <c r="A14" i="25"/>
  <c r="A15" i="25" s="1"/>
  <c r="A16" i="25" s="1"/>
  <c r="A17" i="25" s="1"/>
  <c r="A18" i="25" s="1"/>
  <c r="A19" i="25" s="1"/>
  <c r="A20" i="25" s="1"/>
  <c r="A21" i="25" s="1"/>
  <c r="A22" i="25" s="1"/>
  <c r="A23" i="25" s="1"/>
  <c r="A24" i="25" s="1"/>
  <c r="D44" i="20"/>
  <c r="E44" i="20" s="1"/>
  <c r="C46" i="20"/>
  <c r="G41" i="17"/>
  <c r="G61" i="5" s="1"/>
  <c r="H41" i="17"/>
  <c r="H61" i="5" s="1"/>
  <c r="I41" i="17"/>
  <c r="I61" i="5" s="1"/>
  <c r="F17" i="17"/>
  <c r="F18" i="17" s="1"/>
  <c r="E17" i="17"/>
  <c r="E18" i="17" s="1"/>
  <c r="G17" i="17"/>
  <c r="G18" i="17" s="1"/>
  <c r="D17" i="17"/>
  <c r="D18" i="17" s="1"/>
  <c r="D77" i="11"/>
  <c r="T20" i="4"/>
  <c r="G16" i="17"/>
  <c r="D45" i="14"/>
  <c r="F41" i="17"/>
  <c r="F61" i="5" s="1"/>
  <c r="D16" i="17"/>
  <c r="D9" i="9"/>
  <c r="J31" i="17"/>
  <c r="J11" i="25"/>
  <c r="J55" i="25" s="1"/>
  <c r="C17" i="17"/>
  <c r="C18" i="17" s="1"/>
  <c r="E16" i="17"/>
  <c r="J10" i="25"/>
  <c r="J54" i="25" s="1"/>
  <c r="B17" i="17"/>
  <c r="B18" i="17" s="1"/>
  <c r="C16" i="17"/>
  <c r="F16" i="17"/>
  <c r="D42" i="14"/>
  <c r="J23" i="8"/>
  <c r="F49" i="9"/>
  <c r="F53" i="9" s="1"/>
  <c r="H19" i="9"/>
  <c r="H24" i="8"/>
  <c r="F19" i="9"/>
  <c r="B40" i="9"/>
  <c r="D75" i="11"/>
  <c r="D27" i="9"/>
  <c r="J21" i="8"/>
  <c r="F23" i="9"/>
  <c r="I49" i="9"/>
  <c r="D23" i="9"/>
  <c r="J43" i="9"/>
  <c r="D19" i="9"/>
  <c r="D76" i="11"/>
  <c r="B20" i="9"/>
  <c r="C70" i="9" s="1"/>
  <c r="F35" i="4"/>
  <c r="D35" i="4"/>
  <c r="J27" i="9"/>
  <c r="D47" i="9"/>
  <c r="D25" i="8"/>
  <c r="H39" i="9"/>
  <c r="D22" i="8"/>
  <c r="H47" i="9"/>
  <c r="J24" i="8"/>
  <c r="D21" i="8"/>
  <c r="I47" i="9"/>
  <c r="F27" i="9"/>
  <c r="C44" i="9"/>
  <c r="D94" i="9" s="1"/>
  <c r="D23" i="8"/>
  <c r="H45" i="9"/>
  <c r="J47" i="9"/>
  <c r="G39" i="9"/>
  <c r="H21" i="8"/>
  <c r="J22" i="8"/>
  <c r="C28" i="9"/>
  <c r="C78" i="9" s="1"/>
  <c r="E44" i="9"/>
  <c r="F94" i="9" s="1"/>
  <c r="B29" i="9"/>
  <c r="C79" i="9" s="1"/>
  <c r="B49" i="9"/>
  <c r="F20" i="5"/>
  <c r="F32" i="5" s="1"/>
  <c r="H24" i="9"/>
  <c r="H74" i="9" s="1"/>
  <c r="H23" i="9"/>
  <c r="J19" i="9"/>
  <c r="H25" i="8"/>
  <c r="H23" i="8"/>
  <c r="C40" i="9"/>
  <c r="C90" i="9" s="1"/>
  <c r="F20" i="9"/>
  <c r="E29" i="9"/>
  <c r="E79" i="9" s="1"/>
  <c r="D24" i="8"/>
  <c r="E49" i="9"/>
  <c r="H29" i="9"/>
  <c r="J25" i="8"/>
  <c r="H20" i="9"/>
  <c r="H70" i="9" s="1"/>
  <c r="D44" i="14"/>
  <c r="I43" i="9"/>
  <c r="G43" i="9"/>
  <c r="J39" i="9"/>
  <c r="I27" i="9"/>
  <c r="H26" i="8"/>
  <c r="D20" i="5"/>
  <c r="D32" i="5" s="1"/>
  <c r="J49" i="9"/>
  <c r="J53" i="9" s="1"/>
  <c r="H22" i="8"/>
  <c r="H43" i="9"/>
  <c r="I39" i="9"/>
  <c r="H27" i="9"/>
  <c r="E18" i="25"/>
  <c r="E10" i="25"/>
  <c r="J16" i="25"/>
  <c r="J17" i="25"/>
  <c r="E16" i="25"/>
  <c r="J18" i="25"/>
  <c r="E17" i="25"/>
  <c r="J23" i="17"/>
  <c r="J25" i="17" s="1"/>
  <c r="E41" i="17"/>
  <c r="E61" i="5" s="1"/>
  <c r="J32" i="17"/>
  <c r="B48" i="9"/>
  <c r="C98" i="9" s="1"/>
  <c r="I20" i="5"/>
  <c r="I32" i="5" s="1"/>
  <c r="B24" i="9"/>
  <c r="C74" i="9" s="1"/>
  <c r="C20" i="5"/>
  <c r="C32" i="5" s="1"/>
  <c r="B44" i="9"/>
  <c r="D49" i="9"/>
  <c r="D53" i="9" s="1"/>
  <c r="I29" i="9"/>
  <c r="D26" i="8"/>
  <c r="G29" i="9"/>
  <c r="G79" i="9" s="1"/>
  <c r="J26" i="8"/>
  <c r="G45" i="9"/>
  <c r="G95" i="9" s="1"/>
  <c r="I17" i="7"/>
  <c r="J17" i="7" s="1"/>
  <c r="H49" i="9"/>
  <c r="J43" i="17"/>
  <c r="J39" i="17"/>
  <c r="I33" i="17" l="1"/>
  <c r="F33" i="17"/>
  <c r="C33" i="17"/>
  <c r="E33" i="17"/>
  <c r="H33" i="17"/>
  <c r="G33" i="17"/>
  <c r="D33" i="17"/>
  <c r="D36" i="29"/>
  <c r="F36" i="29" s="1"/>
  <c r="E42" i="32"/>
  <c r="D71" i="29"/>
  <c r="F71" i="29" s="1"/>
  <c r="E43" i="32"/>
  <c r="E103" i="9"/>
  <c r="C103" i="9"/>
  <c r="D103" i="9"/>
  <c r="C26" i="17"/>
  <c r="E26" i="17"/>
  <c r="D26" i="17"/>
  <c r="I26" i="17"/>
  <c r="B26" i="17"/>
  <c r="H26" i="17"/>
  <c r="F26" i="17"/>
  <c r="G26" i="17"/>
  <c r="J34" i="17"/>
  <c r="J27" i="17"/>
  <c r="H95" i="9"/>
  <c r="I74" i="9"/>
  <c r="D90" i="9"/>
  <c r="I89" i="9"/>
  <c r="I93" i="9"/>
  <c r="H89" i="9"/>
  <c r="F52" i="9"/>
  <c r="F70" i="9"/>
  <c r="F102" i="9" s="1"/>
  <c r="J77" i="9"/>
  <c r="K77" i="9"/>
  <c r="K102" i="9"/>
  <c r="G103" i="9"/>
  <c r="I79" i="9"/>
  <c r="J79" i="9"/>
  <c r="J103" i="9" s="1"/>
  <c r="I77" i="9"/>
  <c r="I95" i="9"/>
  <c r="D78" i="9"/>
  <c r="J102" i="9"/>
  <c r="G70" i="9"/>
  <c r="G102" i="9" s="1"/>
  <c r="J97" i="9"/>
  <c r="K97" i="9"/>
  <c r="F79" i="9"/>
  <c r="F103" i="9" s="1"/>
  <c r="H93" i="9"/>
  <c r="H79" i="9"/>
  <c r="H103" i="9" s="1"/>
  <c r="K69" i="9"/>
  <c r="I97" i="9"/>
  <c r="J89" i="9"/>
  <c r="K89" i="9"/>
  <c r="H102" i="9"/>
  <c r="E52" i="9"/>
  <c r="E94" i="9"/>
  <c r="E102" i="9" s="1"/>
  <c r="C94" i="9"/>
  <c r="C102" i="9" s="1"/>
  <c r="J93" i="9"/>
  <c r="K93" i="9"/>
  <c r="I70" i="9"/>
  <c r="I53" i="9"/>
  <c r="B53" i="9"/>
  <c r="G53" i="9"/>
  <c r="H53" i="9"/>
  <c r="E53" i="9"/>
  <c r="D46" i="20"/>
  <c r="E46" i="20" s="1"/>
  <c r="L10" i="25" s="1"/>
  <c r="L11" i="25" s="1"/>
  <c r="L12" i="25" s="1"/>
  <c r="L13" i="25" s="1"/>
  <c r="L14" i="25" s="1"/>
  <c r="L15" i="25" s="1"/>
  <c r="H51" i="9"/>
  <c r="F46" i="17"/>
  <c r="F62" i="5" s="1"/>
  <c r="C52" i="9"/>
  <c r="I16" i="7"/>
  <c r="J16" i="7" s="1"/>
  <c r="K16" i="7" s="1"/>
  <c r="I13" i="7"/>
  <c r="J13" i="7" s="1"/>
  <c r="K13" i="7" s="1"/>
  <c r="I15" i="7"/>
  <c r="J15" i="7" s="1"/>
  <c r="K15" i="7" s="1"/>
  <c r="I9" i="7"/>
  <c r="B15" i="9" s="1"/>
  <c r="I11" i="7"/>
  <c r="J11" i="7" s="1"/>
  <c r="K11" i="7" s="1"/>
  <c r="I12" i="7"/>
  <c r="J12" i="7" s="1"/>
  <c r="K12" i="7" s="1"/>
  <c r="I10" i="7"/>
  <c r="J10" i="7" s="1"/>
  <c r="K10" i="7" s="1"/>
  <c r="I14" i="7"/>
  <c r="J14" i="7" s="1"/>
  <c r="K14" i="7" s="1"/>
  <c r="H52" i="9"/>
  <c r="B52" i="9"/>
  <c r="D46" i="14"/>
  <c r="A25" i="25"/>
  <c r="A26" i="25" s="1"/>
  <c r="A27" i="25" s="1"/>
  <c r="A28" i="25" s="1"/>
  <c r="A29" i="25" s="1"/>
  <c r="A30" i="25" s="1"/>
  <c r="A31" i="25" s="1"/>
  <c r="A32" i="25" s="1"/>
  <c r="A33" i="25" s="1"/>
  <c r="A34" i="25" s="1"/>
  <c r="A35" i="25" s="1"/>
  <c r="A36" i="25" s="1"/>
  <c r="A37" i="25" s="1"/>
  <c r="A38" i="25" s="1"/>
  <c r="A39" i="25" s="1"/>
  <c r="A40" i="25" s="1"/>
  <c r="A41" i="25" s="1"/>
  <c r="J9" i="9"/>
  <c r="C10" i="9"/>
  <c r="H17" i="17"/>
  <c r="G46" i="17"/>
  <c r="G62" i="5" s="1"/>
  <c r="H46" i="17"/>
  <c r="H62" i="5" s="1"/>
  <c r="I46" i="17"/>
  <c r="I62" i="5" s="1"/>
  <c r="C27" i="9"/>
  <c r="C77" i="9" s="1"/>
  <c r="M10" i="9"/>
  <c r="M61" i="9" s="1"/>
  <c r="E46" i="17"/>
  <c r="E62" i="5" s="1"/>
  <c r="F10" i="9"/>
  <c r="G10" i="9"/>
  <c r="I10" i="9"/>
  <c r="H10" i="9"/>
  <c r="B10" i="9"/>
  <c r="B12" i="9" s="1"/>
  <c r="I9" i="9"/>
  <c r="G9" i="9"/>
  <c r="B9" i="9"/>
  <c r="H9" i="7"/>
  <c r="E9" i="9"/>
  <c r="E60" i="9" s="1"/>
  <c r="C9" i="9"/>
  <c r="D60" i="9" s="1"/>
  <c r="H9" i="9"/>
  <c r="B33" i="17"/>
  <c r="E10" i="9"/>
  <c r="F9" i="9"/>
  <c r="D39" i="9"/>
  <c r="C38" i="4"/>
  <c r="E19" i="9"/>
  <c r="E69" i="9" s="1"/>
  <c r="B35" i="4"/>
  <c r="C19" i="9"/>
  <c r="C69" i="9" s="1"/>
  <c r="E39" i="9"/>
  <c r="H35" i="4"/>
  <c r="C43" i="9"/>
  <c r="C93" i="9" s="1"/>
  <c r="I19" i="9"/>
  <c r="I69" i="9" s="1"/>
  <c r="G27" i="9"/>
  <c r="G77" i="9" s="1"/>
  <c r="G47" i="9"/>
  <c r="E47" i="9"/>
  <c r="E97" i="9" s="1"/>
  <c r="C47" i="9"/>
  <c r="C97" i="9" s="1"/>
  <c r="I35" i="4"/>
  <c r="C39" i="9"/>
  <c r="C89" i="9" s="1"/>
  <c r="G35" i="4"/>
  <c r="G19" i="9"/>
  <c r="G69" i="9" s="1"/>
  <c r="J14" i="4"/>
  <c r="F39" i="9"/>
  <c r="F89" i="9" s="1"/>
  <c r="F47" i="9"/>
  <c r="F97" i="9" s="1"/>
  <c r="C39" i="4"/>
  <c r="G23" i="9"/>
  <c r="G73" i="9" s="1"/>
  <c r="C40" i="4"/>
  <c r="J15" i="4"/>
  <c r="C41" i="4"/>
  <c r="I23" i="9"/>
  <c r="I73" i="9" s="1"/>
  <c r="J17" i="4"/>
  <c r="J23" i="9"/>
  <c r="K17" i="7"/>
  <c r="J15" i="9"/>
  <c r="E43" i="9"/>
  <c r="E35" i="4"/>
  <c r="F43" i="9"/>
  <c r="J13" i="4"/>
  <c r="C36" i="4"/>
  <c r="C23" i="9"/>
  <c r="C73" i="9" s="1"/>
  <c r="J10" i="4"/>
  <c r="C35" i="4"/>
  <c r="D43" i="9"/>
  <c r="J11" i="4"/>
  <c r="E27" i="9"/>
  <c r="E77" i="9" s="1"/>
  <c r="C37" i="4"/>
  <c r="E23" i="9"/>
  <c r="E73" i="9" s="1"/>
  <c r="J12" i="4"/>
  <c r="J16" i="4"/>
  <c r="B27" i="17" l="1"/>
  <c r="B50" i="17" s="1"/>
  <c r="J26" i="17"/>
  <c r="C34" i="17"/>
  <c r="C51" i="17" s="1"/>
  <c r="G34" i="17"/>
  <c r="G51" i="17" s="1"/>
  <c r="D34" i="17"/>
  <c r="D51" i="17" s="1"/>
  <c r="H34" i="17"/>
  <c r="H51" i="17" s="1"/>
  <c r="E34" i="17"/>
  <c r="E51" i="17" s="1"/>
  <c r="I34" i="17"/>
  <c r="I51" i="17" s="1"/>
  <c r="F34" i="17"/>
  <c r="F51" i="17" s="1"/>
  <c r="K18" i="7"/>
  <c r="K19" i="7" s="1"/>
  <c r="K20" i="7" s="1"/>
  <c r="I20" i="7" s="1"/>
  <c r="P21" i="7" s="1"/>
  <c r="C45" i="4"/>
  <c r="E89" i="9"/>
  <c r="J69" i="9"/>
  <c r="D77" i="9"/>
  <c r="D93" i="9"/>
  <c r="G97" i="9"/>
  <c r="I60" i="9"/>
  <c r="F93" i="9"/>
  <c r="D102" i="9"/>
  <c r="E27" i="17"/>
  <c r="E50" i="17" s="1"/>
  <c r="I27" i="17"/>
  <c r="I50" i="17" s="1"/>
  <c r="F27" i="17"/>
  <c r="F50" i="17" s="1"/>
  <c r="C27" i="17"/>
  <c r="C50" i="17" s="1"/>
  <c r="G27" i="17"/>
  <c r="G50" i="17" s="1"/>
  <c r="D27" i="17"/>
  <c r="D50" i="17" s="1"/>
  <c r="H27" i="17"/>
  <c r="H50" i="17" s="1"/>
  <c r="B34" i="17"/>
  <c r="B51" i="17" s="1"/>
  <c r="I102" i="9"/>
  <c r="G93" i="9"/>
  <c r="F77" i="9"/>
  <c r="C101" i="9"/>
  <c r="D89" i="9"/>
  <c r="E93" i="9"/>
  <c r="E101" i="9" s="1"/>
  <c r="H60" i="9"/>
  <c r="F69" i="9"/>
  <c r="G89" i="9"/>
  <c r="H73" i="9"/>
  <c r="H97" i="9"/>
  <c r="J55" i="9"/>
  <c r="K65" i="9"/>
  <c r="K105" i="9" s="1"/>
  <c r="H77" i="9"/>
  <c r="D97" i="9"/>
  <c r="F73" i="9"/>
  <c r="H69" i="9"/>
  <c r="J51" i="9"/>
  <c r="J73" i="9"/>
  <c r="J101" i="9" s="1"/>
  <c r="K73" i="9"/>
  <c r="K101" i="9" s="1"/>
  <c r="I101" i="9"/>
  <c r="D69" i="9"/>
  <c r="I103" i="9"/>
  <c r="D73" i="9"/>
  <c r="G12" i="9"/>
  <c r="G13" i="9" s="1"/>
  <c r="G61" i="9"/>
  <c r="G63" i="9" s="1"/>
  <c r="C12" i="9"/>
  <c r="C13" i="9" s="1"/>
  <c r="C61" i="9"/>
  <c r="C63" i="9" s="1"/>
  <c r="F60" i="9"/>
  <c r="F12" i="9"/>
  <c r="F13" i="9" s="1"/>
  <c r="F61" i="9"/>
  <c r="F63" i="9" s="1"/>
  <c r="J60" i="9"/>
  <c r="K60" i="9"/>
  <c r="E12" i="9"/>
  <c r="E13" i="9" s="1"/>
  <c r="C60" i="9"/>
  <c r="G60" i="9"/>
  <c r="H12" i="9"/>
  <c r="H13" i="9" s="1"/>
  <c r="H61" i="9"/>
  <c r="H63" i="9" s="1"/>
  <c r="I12" i="9"/>
  <c r="I13" i="9" s="1"/>
  <c r="I61" i="9"/>
  <c r="I63" i="9" s="1"/>
  <c r="G10" i="25"/>
  <c r="G11" i="25" s="1"/>
  <c r="G12" i="25" s="1"/>
  <c r="G13" i="25" s="1"/>
  <c r="G14" i="25" s="1"/>
  <c r="G15" i="25" s="1"/>
  <c r="F51" i="9"/>
  <c r="D51" i="9"/>
  <c r="E51" i="9"/>
  <c r="I51" i="9"/>
  <c r="C51" i="9"/>
  <c r="G51" i="9"/>
  <c r="I15" i="9"/>
  <c r="F15" i="9"/>
  <c r="J9" i="7"/>
  <c r="K9" i="7" s="1"/>
  <c r="H15" i="9"/>
  <c r="C15" i="9"/>
  <c r="D15" i="9"/>
  <c r="E15" i="9"/>
  <c r="G15" i="9"/>
  <c r="L16" i="25"/>
  <c r="L17" i="25" s="1"/>
  <c r="A42" i="25"/>
  <c r="A43" i="25" s="1"/>
  <c r="A44" i="25" s="1"/>
  <c r="A45" i="25" s="1"/>
  <c r="D41" i="17"/>
  <c r="D61" i="5" s="1"/>
  <c r="B41" i="17"/>
  <c r="D10" i="9"/>
  <c r="E61" i="9" s="1"/>
  <c r="E63" i="9" s="1"/>
  <c r="J10" i="9"/>
  <c r="D9" i="7"/>
  <c r="E9" i="7" s="1"/>
  <c r="B13" i="9"/>
  <c r="F44" i="5"/>
  <c r="B55" i="9"/>
  <c r="F53" i="4"/>
  <c r="G48" i="4"/>
  <c r="H48" i="4"/>
  <c r="C52" i="17" l="1"/>
  <c r="B52" i="17"/>
  <c r="E52" i="17"/>
  <c r="G52" i="17"/>
  <c r="F52" i="17"/>
  <c r="D52" i="17"/>
  <c r="H52" i="17"/>
  <c r="I52" i="17"/>
  <c r="I19" i="7"/>
  <c r="C16" i="19"/>
  <c r="D15" i="29" s="1"/>
  <c r="F15" i="29" s="1"/>
  <c r="F61" i="4"/>
  <c r="G101" i="9"/>
  <c r="F101" i="9"/>
  <c r="D55" i="9"/>
  <c r="D65" i="9"/>
  <c r="D105" i="9" s="1"/>
  <c r="I55" i="9"/>
  <c r="I65" i="9"/>
  <c r="I105" i="9" s="1"/>
  <c r="G55" i="9"/>
  <c r="G65" i="9"/>
  <c r="G105" i="9" s="1"/>
  <c r="H55" i="9"/>
  <c r="H65" i="9"/>
  <c r="H105" i="9" s="1"/>
  <c r="E55" i="9"/>
  <c r="E65" i="9"/>
  <c r="E105" i="9" s="1"/>
  <c r="J65" i="9"/>
  <c r="J105" i="9" s="1"/>
  <c r="F55" i="9"/>
  <c r="F65" i="9"/>
  <c r="F105" i="9" s="1"/>
  <c r="C55" i="9"/>
  <c r="C65" i="9"/>
  <c r="C105" i="9" s="1"/>
  <c r="H101" i="9"/>
  <c r="D101" i="9"/>
  <c r="J12" i="9"/>
  <c r="J13" i="9" s="1"/>
  <c r="J61" i="9"/>
  <c r="J63" i="9" s="1"/>
  <c r="K61" i="9"/>
  <c r="K63" i="9" s="1"/>
  <c r="D12" i="9"/>
  <c r="D13" i="9" s="1"/>
  <c r="D61" i="9"/>
  <c r="D63" i="9" s="1"/>
  <c r="C48" i="4"/>
  <c r="C54" i="4" s="1"/>
  <c r="C31" i="19"/>
  <c r="L35" i="9"/>
  <c r="L85" i="9" s="1"/>
  <c r="G16" i="25"/>
  <c r="A46" i="25"/>
  <c r="A47" i="25" s="1"/>
  <c r="A48" i="25" s="1"/>
  <c r="A49" i="25" s="1"/>
  <c r="A50" i="25" s="1"/>
  <c r="A51" i="25" s="1"/>
  <c r="A52" i="25" s="1"/>
  <c r="A53" i="25" s="1"/>
  <c r="A54" i="25" s="1"/>
  <c r="A55" i="25" s="1"/>
  <c r="A56" i="25" s="1"/>
  <c r="L18" i="25"/>
  <c r="H54" i="4"/>
  <c r="H58" i="4"/>
  <c r="D54" i="4"/>
  <c r="D58" i="4"/>
  <c r="G54" i="4"/>
  <c r="G58" i="4"/>
  <c r="D46" i="17"/>
  <c r="D62" i="5" s="1"/>
  <c r="J40" i="17"/>
  <c r="C41" i="17"/>
  <c r="C61" i="5" s="1"/>
  <c r="E46" i="5"/>
  <c r="H53" i="4"/>
  <c r="B44" i="5"/>
  <c r="G44" i="5"/>
  <c r="G47" i="5" s="1"/>
  <c r="G51" i="5" s="1"/>
  <c r="F48" i="4"/>
  <c r="F46" i="5"/>
  <c r="F50" i="5" s="1"/>
  <c r="H44" i="5"/>
  <c r="H47" i="5" s="1"/>
  <c r="D53" i="4"/>
  <c r="G53" i="4"/>
  <c r="I44" i="5"/>
  <c r="C53" i="4"/>
  <c r="I48" i="4"/>
  <c r="I53" i="4"/>
  <c r="B53" i="4"/>
  <c r="B48" i="4"/>
  <c r="B61" i="5"/>
  <c r="E48" i="4"/>
  <c r="E53" i="4"/>
  <c r="J47" i="4"/>
  <c r="J52" i="17" l="1"/>
  <c r="D62" i="4"/>
  <c r="C14" i="19"/>
  <c r="D13" i="29" s="1"/>
  <c r="F13" i="29" s="1"/>
  <c r="E61" i="4"/>
  <c r="C10" i="19"/>
  <c r="D10" i="29" s="1"/>
  <c r="F10" i="29" s="1"/>
  <c r="B61" i="4"/>
  <c r="C18" i="19"/>
  <c r="D17" i="29" s="1"/>
  <c r="F17" i="29" s="1"/>
  <c r="H61" i="4"/>
  <c r="C19" i="19"/>
  <c r="C34" i="19" s="1"/>
  <c r="I61" i="4"/>
  <c r="C17" i="19"/>
  <c r="D16" i="29" s="1"/>
  <c r="F16" i="29" s="1"/>
  <c r="G61" i="4"/>
  <c r="C27" i="19"/>
  <c r="D61" i="4"/>
  <c r="F17" i="19"/>
  <c r="F32" i="19" s="1"/>
  <c r="G62" i="4"/>
  <c r="F18" i="19"/>
  <c r="F33" i="19" s="1"/>
  <c r="H62" i="4"/>
  <c r="C11" i="19"/>
  <c r="C61" i="4"/>
  <c r="C62" i="4"/>
  <c r="C58" i="4"/>
  <c r="M39" i="9"/>
  <c r="M23" i="9"/>
  <c r="F11" i="19"/>
  <c r="M27" i="9"/>
  <c r="F27" i="19"/>
  <c r="L39" i="9"/>
  <c r="L89" i="9" s="1"/>
  <c r="M43" i="9"/>
  <c r="G17" i="25"/>
  <c r="A57" i="25"/>
  <c r="A58" i="25" s="1"/>
  <c r="A59" i="25" s="1"/>
  <c r="A60" i="25" s="1"/>
  <c r="A61" i="25" s="1"/>
  <c r="A62" i="25" s="1"/>
  <c r="A63" i="25" s="1"/>
  <c r="A64" i="25" s="1"/>
  <c r="I54" i="4"/>
  <c r="I58" i="4"/>
  <c r="M31" i="9"/>
  <c r="M81" i="9" s="1"/>
  <c r="E58" i="4"/>
  <c r="F54" i="4"/>
  <c r="F58" i="4"/>
  <c r="B54" i="4"/>
  <c r="B62" i="4" s="1"/>
  <c r="B58" i="4"/>
  <c r="L43" i="9"/>
  <c r="L93" i="9" s="1"/>
  <c r="L27" i="9"/>
  <c r="L77" i="9" s="1"/>
  <c r="L23" i="9"/>
  <c r="L73" i="9" s="1"/>
  <c r="L19" i="9"/>
  <c r="L69" i="9" s="1"/>
  <c r="J41" i="17"/>
  <c r="J61" i="5"/>
  <c r="B46" i="17"/>
  <c r="B62" i="5" s="1"/>
  <c r="J44" i="17"/>
  <c r="D55" i="11"/>
  <c r="D50" i="11"/>
  <c r="D51" i="11"/>
  <c r="E44" i="5"/>
  <c r="E47" i="5" s="1"/>
  <c r="C51" i="11"/>
  <c r="D59" i="11"/>
  <c r="C48" i="11"/>
  <c r="E48" i="11" s="1"/>
  <c r="C42" i="11"/>
  <c r="E42" i="11" s="1"/>
  <c r="C71" i="11"/>
  <c r="C72" i="11" s="1"/>
  <c r="C46" i="11"/>
  <c r="E46" i="11" s="1"/>
  <c r="D54" i="11"/>
  <c r="B78" i="11"/>
  <c r="B79" i="11" s="1"/>
  <c r="C79" i="11" s="1"/>
  <c r="D60" i="11"/>
  <c r="C49" i="11"/>
  <c r="E49" i="11" s="1"/>
  <c r="D57" i="11"/>
  <c r="C44" i="11"/>
  <c r="E44" i="11" s="1"/>
  <c r="D52" i="11"/>
  <c r="C43" i="11"/>
  <c r="E43" i="11" s="1"/>
  <c r="C53" i="11"/>
  <c r="D56" i="11"/>
  <c r="D53" i="11"/>
  <c r="D30" i="14"/>
  <c r="D46" i="5"/>
  <c r="C52" i="11"/>
  <c r="D58" i="11"/>
  <c r="C47" i="11"/>
  <c r="E47" i="11" s="1"/>
  <c r="C45" i="11"/>
  <c r="E45" i="11" s="1"/>
  <c r="C50" i="11"/>
  <c r="H46" i="5"/>
  <c r="H50" i="5" s="1"/>
  <c r="B46" i="5"/>
  <c r="F47" i="5"/>
  <c r="F51" i="5" s="1"/>
  <c r="G46" i="5"/>
  <c r="G50" i="5" s="1"/>
  <c r="I47" i="5"/>
  <c r="I51" i="5" s="1"/>
  <c r="I46" i="5"/>
  <c r="I50" i="5" s="1"/>
  <c r="L47" i="9"/>
  <c r="L97" i="9" s="1"/>
  <c r="B47" i="5"/>
  <c r="M47" i="9"/>
  <c r="J45" i="17"/>
  <c r="C46" i="17"/>
  <c r="J53" i="4"/>
  <c r="J61" i="4" s="1"/>
  <c r="E54" i="4"/>
  <c r="J48" i="4"/>
  <c r="J58" i="4" s="1"/>
  <c r="C44" i="5"/>
  <c r="C47" i="5" s="1"/>
  <c r="C46" i="5"/>
  <c r="H51" i="5"/>
  <c r="E50" i="5"/>
  <c r="C29" i="19" l="1"/>
  <c r="C33" i="19"/>
  <c r="D51" i="29"/>
  <c r="F51" i="29" s="1"/>
  <c r="D52" i="29"/>
  <c r="F52" i="29" s="1"/>
  <c r="D18" i="29"/>
  <c r="F18" i="29" s="1"/>
  <c r="C20" i="19"/>
  <c r="C25" i="19"/>
  <c r="C26" i="19"/>
  <c r="C32" i="19"/>
  <c r="D11" i="29"/>
  <c r="F11" i="29" s="1"/>
  <c r="M93" i="9"/>
  <c r="F14" i="19"/>
  <c r="D48" i="29" s="1"/>
  <c r="F48" i="29" s="1"/>
  <c r="E62" i="4"/>
  <c r="F16" i="19"/>
  <c r="F31" i="19" s="1"/>
  <c r="F62" i="4"/>
  <c r="F19" i="19"/>
  <c r="D53" i="29" s="1"/>
  <c r="F53" i="29" s="1"/>
  <c r="I62" i="4"/>
  <c r="L11" i="9"/>
  <c r="L62" i="9" s="1"/>
  <c r="L63" i="9" s="1"/>
  <c r="M97" i="9"/>
  <c r="L101" i="9"/>
  <c r="M77" i="9"/>
  <c r="M73" i="9"/>
  <c r="M89" i="9"/>
  <c r="F26" i="19"/>
  <c r="D46" i="29"/>
  <c r="F46" i="29" s="1"/>
  <c r="I33" i="25"/>
  <c r="K33" i="25" s="1"/>
  <c r="M33" i="25" s="1"/>
  <c r="D28" i="19"/>
  <c r="F24" i="25"/>
  <c r="H24" i="25" s="1"/>
  <c r="M19" i="9"/>
  <c r="M69" i="9" s="1"/>
  <c r="F10" i="19"/>
  <c r="D45" i="29" s="1"/>
  <c r="F45" i="29" s="1"/>
  <c r="L51" i="9"/>
  <c r="M35" i="9"/>
  <c r="M85" i="9" s="1"/>
  <c r="K12" i="9"/>
  <c r="K13" i="9" s="1"/>
  <c r="D67" i="5"/>
  <c r="J67" i="5" s="1"/>
  <c r="G18" i="25"/>
  <c r="D33" i="25"/>
  <c r="F33" i="25" s="1"/>
  <c r="H33" i="25" s="1"/>
  <c r="E51" i="11"/>
  <c r="C78" i="11"/>
  <c r="D44" i="5"/>
  <c r="D47" i="5" s="1"/>
  <c r="J47" i="5" s="1"/>
  <c r="J56" i="5" s="1"/>
  <c r="E52" i="11"/>
  <c r="D31" i="14"/>
  <c r="D65" i="11"/>
  <c r="E53" i="11"/>
  <c r="D61" i="11"/>
  <c r="D64" i="11"/>
  <c r="C59" i="11"/>
  <c r="E59" i="11" s="1"/>
  <c r="D49" i="14"/>
  <c r="E28" i="19" s="1"/>
  <c r="D46" i="25" s="1"/>
  <c r="D57" i="25" s="1"/>
  <c r="F57" i="25" s="1"/>
  <c r="H57" i="25" s="1"/>
  <c r="C58" i="11"/>
  <c r="E58" i="11" s="1"/>
  <c r="J30" i="14"/>
  <c r="C63" i="11"/>
  <c r="C55" i="11"/>
  <c r="E55" i="11" s="1"/>
  <c r="C60" i="11"/>
  <c r="E60" i="11" s="1"/>
  <c r="C54" i="11"/>
  <c r="E54" i="11" s="1"/>
  <c r="C56" i="11"/>
  <c r="E56" i="11" s="1"/>
  <c r="D63" i="11"/>
  <c r="D62" i="11"/>
  <c r="E50" i="11"/>
  <c r="C64" i="11"/>
  <c r="C65" i="11"/>
  <c r="C62" i="11"/>
  <c r="C61" i="11"/>
  <c r="C57" i="11"/>
  <c r="E57" i="11" s="1"/>
  <c r="D32" i="25"/>
  <c r="F32" i="25" s="1"/>
  <c r="H32" i="25" s="1"/>
  <c r="C62" i="5"/>
  <c r="J62" i="5" s="1"/>
  <c r="J46" i="17"/>
  <c r="D50" i="5"/>
  <c r="J54" i="4"/>
  <c r="J62" i="4" s="1"/>
  <c r="E51" i="5"/>
  <c r="J46" i="5"/>
  <c r="J54" i="5" s="1"/>
  <c r="F19" i="29" l="1"/>
  <c r="F34" i="19"/>
  <c r="F29" i="19"/>
  <c r="C35" i="19"/>
  <c r="L12" i="9"/>
  <c r="D50" i="29"/>
  <c r="F50" i="29" s="1"/>
  <c r="M11" i="9"/>
  <c r="M12" i="9" s="1"/>
  <c r="M101" i="9"/>
  <c r="M51" i="9"/>
  <c r="G28" i="19"/>
  <c r="K24" i="25"/>
  <c r="M24" i="25" s="1"/>
  <c r="F20" i="19"/>
  <c r="F25" i="19"/>
  <c r="K13" i="25"/>
  <c r="M13" i="25" s="1"/>
  <c r="J49" i="14"/>
  <c r="F46" i="25"/>
  <c r="H46" i="25" s="1"/>
  <c r="I32" i="25"/>
  <c r="K32" i="25" s="1"/>
  <c r="M32" i="25" s="1"/>
  <c r="M41" i="25" s="1"/>
  <c r="E62" i="11"/>
  <c r="H41" i="25"/>
  <c r="F13" i="25"/>
  <c r="H13" i="25" s="1"/>
  <c r="D51" i="5"/>
  <c r="E65" i="11"/>
  <c r="D50" i="14"/>
  <c r="H28" i="19" s="1"/>
  <c r="I46" i="25" s="1"/>
  <c r="D68" i="5"/>
  <c r="J68" i="5" s="1"/>
  <c r="J31" i="14"/>
  <c r="D36" i="8"/>
  <c r="L36" i="8" s="1"/>
  <c r="E71" i="11"/>
  <c r="E63" i="11"/>
  <c r="E61" i="11"/>
  <c r="E64" i="11"/>
  <c r="F35" i="19" l="1"/>
  <c r="M62" i="9"/>
  <c r="M63" i="9" s="1"/>
  <c r="K46" i="25"/>
  <c r="M46" i="25" s="1"/>
  <c r="I57" i="25"/>
  <c r="K57" i="25" s="1"/>
  <c r="M57" i="25" s="1"/>
  <c r="D54" i="29"/>
  <c r="F54" i="29"/>
  <c r="D37" i="8"/>
  <c r="L37" i="8" s="1"/>
  <c r="J50" i="14"/>
  <c r="E72" i="11"/>
  <c r="B51" i="5" l="1"/>
  <c r="B50" i="5"/>
  <c r="C50" i="5" l="1"/>
  <c r="C51" i="5"/>
  <c r="J51" i="5" s="1"/>
  <c r="B55" i="5" s="1"/>
  <c r="B56" i="5" l="1"/>
  <c r="B59" i="5" s="1"/>
  <c r="B65" i="5" s="1"/>
  <c r="H55" i="5"/>
  <c r="H56" i="5" s="1"/>
  <c r="H59" i="5" s="1"/>
  <c r="H65" i="5" s="1"/>
  <c r="F55" i="5"/>
  <c r="F56" i="5" s="1"/>
  <c r="F59" i="5" s="1"/>
  <c r="F65" i="5" s="1"/>
  <c r="E55" i="5"/>
  <c r="E56" i="5" s="1"/>
  <c r="E59" i="5" s="1"/>
  <c r="G55" i="5"/>
  <c r="G56" i="5" s="1"/>
  <c r="G59" i="5" s="1"/>
  <c r="G65" i="5" s="1"/>
  <c r="D55" i="5"/>
  <c r="D56" i="5" s="1"/>
  <c r="D59" i="5" s="1"/>
  <c r="D65" i="5" s="1"/>
  <c r="G12" i="19" s="1"/>
  <c r="I55" i="5"/>
  <c r="I56" i="5" s="1"/>
  <c r="I59" i="5" s="1"/>
  <c r="I65" i="5" s="1"/>
  <c r="C55" i="5"/>
  <c r="C56" i="5" s="1"/>
  <c r="C59" i="5" s="1"/>
  <c r="C65" i="5" s="1"/>
  <c r="J50" i="5"/>
  <c r="E71" i="5" l="1"/>
  <c r="E65" i="5"/>
  <c r="J65" i="5" s="1"/>
  <c r="F71" i="5"/>
  <c r="H34" i="8"/>
  <c r="H40" i="8" s="1"/>
  <c r="H16" i="19" s="1"/>
  <c r="G53" i="5"/>
  <c r="G54" i="5" s="1"/>
  <c r="G58" i="5" s="1"/>
  <c r="G64" i="5" s="1"/>
  <c r="F53" i="5"/>
  <c r="F54" i="5" s="1"/>
  <c r="F58" i="5" s="1"/>
  <c r="F64" i="5" s="1"/>
  <c r="D53" i="5"/>
  <c r="D54" i="5" s="1"/>
  <c r="D58" i="5" s="1"/>
  <c r="D64" i="5" s="1"/>
  <c r="D12" i="19" s="1"/>
  <c r="I53" i="5"/>
  <c r="I54" i="5" s="1"/>
  <c r="I58" i="5" s="1"/>
  <c r="I64" i="5" s="1"/>
  <c r="E53" i="5"/>
  <c r="E54" i="5" s="1"/>
  <c r="E58" i="5" s="1"/>
  <c r="H53" i="5"/>
  <c r="H54" i="5" s="1"/>
  <c r="H58" i="5" s="1"/>
  <c r="H64" i="5" s="1"/>
  <c r="B53" i="5"/>
  <c r="D71" i="5"/>
  <c r="D34" i="8"/>
  <c r="H71" i="5"/>
  <c r="J34" i="8"/>
  <c r="J40" i="8" s="1"/>
  <c r="I71" i="5"/>
  <c r="K34" i="8"/>
  <c r="K40" i="8" s="1"/>
  <c r="M99" i="9" s="1"/>
  <c r="C53" i="5"/>
  <c r="C54" i="5" s="1"/>
  <c r="C58" i="5" s="1"/>
  <c r="C64" i="5" s="1"/>
  <c r="G71" i="5"/>
  <c r="I34" i="8"/>
  <c r="I40" i="8" s="1"/>
  <c r="B34" i="8"/>
  <c r="B71" i="5"/>
  <c r="J59" i="5"/>
  <c r="K62" i="5" s="1"/>
  <c r="C71" i="5"/>
  <c r="C34" i="8"/>
  <c r="C40" i="8" s="1"/>
  <c r="H11" i="19" s="1"/>
  <c r="H26" i="19" s="1"/>
  <c r="J55" i="5"/>
  <c r="K55" i="9"/>
  <c r="G14" i="19" l="1"/>
  <c r="M32" i="9"/>
  <c r="L34" i="8"/>
  <c r="D40" i="8"/>
  <c r="D34" i="32" s="1"/>
  <c r="H12" i="19"/>
  <c r="E70" i="5"/>
  <c r="E64" i="5"/>
  <c r="C33" i="8"/>
  <c r="C39" i="8" s="1"/>
  <c r="E11" i="19" s="1"/>
  <c r="E26" i="19" s="1"/>
  <c r="C70" i="5"/>
  <c r="C74" i="5" s="1"/>
  <c r="C34" i="32" s="1"/>
  <c r="C37" i="32" s="1"/>
  <c r="H70" i="5"/>
  <c r="J33" i="8"/>
  <c r="J39" i="8" s="1"/>
  <c r="B40" i="8"/>
  <c r="L40" i="8" s="1"/>
  <c r="H19" i="19"/>
  <c r="M49" i="9"/>
  <c r="I33" i="8"/>
  <c r="I39" i="8" s="1"/>
  <c r="G70" i="5"/>
  <c r="G17" i="19"/>
  <c r="M40" i="9"/>
  <c r="G10" i="19"/>
  <c r="M20" i="9"/>
  <c r="J71" i="5"/>
  <c r="G18" i="19"/>
  <c r="M44" i="9"/>
  <c r="F70" i="5"/>
  <c r="H33" i="8"/>
  <c r="H39" i="8" s="1"/>
  <c r="E16" i="19" s="1"/>
  <c r="D48" i="25" s="1"/>
  <c r="G11" i="19"/>
  <c r="M24" i="9"/>
  <c r="H17" i="19"/>
  <c r="H32" i="19" s="1"/>
  <c r="I49" i="25" s="1"/>
  <c r="M41" i="9"/>
  <c r="G19" i="19"/>
  <c r="M48" i="9"/>
  <c r="M28" i="9"/>
  <c r="I70" i="5"/>
  <c r="I74" i="5" s="1"/>
  <c r="K34" i="32" s="1"/>
  <c r="K33" i="8"/>
  <c r="K39" i="8" s="1"/>
  <c r="K99" i="9" s="1"/>
  <c r="K103" i="9" s="1"/>
  <c r="H31" i="19"/>
  <c r="I48" i="25" s="1"/>
  <c r="M37" i="9"/>
  <c r="H18" i="19"/>
  <c r="M45" i="9"/>
  <c r="B54" i="5"/>
  <c r="B58" i="5" s="1"/>
  <c r="B64" i="5" s="1"/>
  <c r="J53" i="5"/>
  <c r="D70" i="5"/>
  <c r="D73" i="5" s="1"/>
  <c r="D33" i="8"/>
  <c r="G16" i="19"/>
  <c r="M36" i="9"/>
  <c r="C39" i="32" l="1"/>
  <c r="C40" i="32"/>
  <c r="I14" i="25"/>
  <c r="I25" i="25" s="1"/>
  <c r="K25" i="25" s="1"/>
  <c r="M25" i="25" s="1"/>
  <c r="G30" i="19"/>
  <c r="G29" i="19"/>
  <c r="K37" i="32"/>
  <c r="F73" i="5"/>
  <c r="H33" i="32" s="1"/>
  <c r="H73" i="5"/>
  <c r="J33" i="32" s="1"/>
  <c r="D14" i="19"/>
  <c r="E73" i="5"/>
  <c r="C73" i="5"/>
  <c r="C36" i="32" s="1"/>
  <c r="E74" i="5"/>
  <c r="F74" i="5"/>
  <c r="H34" i="32" s="1"/>
  <c r="G73" i="5"/>
  <c r="I33" i="32" s="1"/>
  <c r="I73" i="5"/>
  <c r="K36" i="32" s="1"/>
  <c r="M15" i="9"/>
  <c r="H74" i="5"/>
  <c r="J34" i="32" s="1"/>
  <c r="G74" i="5"/>
  <c r="I34" i="32" s="1"/>
  <c r="D74" i="5"/>
  <c r="J64" i="5"/>
  <c r="D26" i="29"/>
  <c r="F26" i="29" s="1"/>
  <c r="D59" i="25"/>
  <c r="F59" i="25" s="1"/>
  <c r="H59" i="25" s="1"/>
  <c r="D62" i="29"/>
  <c r="F62" i="29" s="1"/>
  <c r="K49" i="25"/>
  <c r="M49" i="25" s="1"/>
  <c r="I60" i="25"/>
  <c r="K60" i="25" s="1"/>
  <c r="M60" i="25" s="1"/>
  <c r="L32" i="9"/>
  <c r="L82" i="9" s="1"/>
  <c r="D61" i="29"/>
  <c r="F61" i="29" s="1"/>
  <c r="K48" i="25"/>
  <c r="M48" i="25" s="1"/>
  <c r="I59" i="25"/>
  <c r="K59" i="25" s="1"/>
  <c r="M59" i="25" s="1"/>
  <c r="L34" i="32"/>
  <c r="D37" i="32"/>
  <c r="D43" i="32" s="1"/>
  <c r="L43" i="32" s="1"/>
  <c r="D39" i="8"/>
  <c r="D33" i="32" s="1"/>
  <c r="E12" i="19"/>
  <c r="M29" i="9"/>
  <c r="L28" i="9"/>
  <c r="L78" i="9" s="1"/>
  <c r="H33" i="19"/>
  <c r="I50" i="25" s="1"/>
  <c r="E18" i="19"/>
  <c r="D50" i="25" s="1"/>
  <c r="L45" i="9"/>
  <c r="L95" i="9" s="1"/>
  <c r="D19" i="19"/>
  <c r="L48" i="9"/>
  <c r="L98" i="9" s="1"/>
  <c r="G26" i="19"/>
  <c r="I44" i="25"/>
  <c r="I22" i="25"/>
  <c r="K22" i="25" s="1"/>
  <c r="M22" i="25" s="1"/>
  <c r="I11" i="25"/>
  <c r="K11" i="25" s="1"/>
  <c r="M11" i="25" s="1"/>
  <c r="G33" i="19"/>
  <c r="I17" i="25"/>
  <c r="K17" i="25" s="1"/>
  <c r="M17" i="25" s="1"/>
  <c r="I28" i="25"/>
  <c r="K28" i="25" s="1"/>
  <c r="M28" i="25" s="1"/>
  <c r="G32" i="19"/>
  <c r="I27" i="25"/>
  <c r="K27" i="25" s="1"/>
  <c r="M27" i="25" s="1"/>
  <c r="I16" i="25"/>
  <c r="K16" i="25" s="1"/>
  <c r="M16" i="25" s="1"/>
  <c r="H34" i="19"/>
  <c r="D18" i="19"/>
  <c r="L44" i="9"/>
  <c r="L94" i="9" s="1"/>
  <c r="G31" i="19"/>
  <c r="I15" i="25"/>
  <c r="B33" i="8"/>
  <c r="L33" i="8" s="1"/>
  <c r="J58" i="5"/>
  <c r="K61" i="5" s="1"/>
  <c r="B70" i="5"/>
  <c r="E31" i="19"/>
  <c r="F48" i="25"/>
  <c r="H48" i="25" s="1"/>
  <c r="L37" i="9"/>
  <c r="L87" i="9" s="1"/>
  <c r="D17" i="19"/>
  <c r="L40" i="9"/>
  <c r="L90" i="9" s="1"/>
  <c r="H10" i="19"/>
  <c r="L24" i="9"/>
  <c r="L74" i="9" s="1"/>
  <c r="D11" i="19"/>
  <c r="E19" i="19"/>
  <c r="K49" i="9"/>
  <c r="K53" i="9" s="1"/>
  <c r="G20" i="19"/>
  <c r="I43" i="25"/>
  <c r="G25" i="19"/>
  <c r="I10" i="25"/>
  <c r="I21" i="25"/>
  <c r="G34" i="19"/>
  <c r="I51" i="25" s="1"/>
  <c r="I29" i="25"/>
  <c r="K29" i="25" s="1"/>
  <c r="M29" i="25" s="1"/>
  <c r="I18" i="25"/>
  <c r="K18" i="25" s="1"/>
  <c r="M18" i="25" s="1"/>
  <c r="G27" i="19"/>
  <c r="I23" i="25"/>
  <c r="K23" i="25" s="1"/>
  <c r="M23" i="25" s="1"/>
  <c r="I12" i="25"/>
  <c r="K12" i="25" s="1"/>
  <c r="M12" i="25" s="1"/>
  <c r="D16" i="19"/>
  <c r="L36" i="9"/>
  <c r="L86" i="9" s="1"/>
  <c r="M52" i="9"/>
  <c r="E17" i="19"/>
  <c r="L41" i="9"/>
  <c r="L91" i="9" s="1"/>
  <c r="H27" i="19"/>
  <c r="I45" i="25" s="1"/>
  <c r="K14" i="25" l="1"/>
  <c r="M14" i="25" s="1"/>
  <c r="C42" i="32"/>
  <c r="C43" i="32"/>
  <c r="K40" i="32"/>
  <c r="K39" i="32"/>
  <c r="D14" i="25"/>
  <c r="F14" i="25" s="1"/>
  <c r="H14" i="25" s="1"/>
  <c r="D29" i="19"/>
  <c r="D30" i="19"/>
  <c r="D25" i="25"/>
  <c r="F25" i="25" s="1"/>
  <c r="H25" i="25" s="1"/>
  <c r="K33" i="32"/>
  <c r="C33" i="32"/>
  <c r="M55" i="9"/>
  <c r="H36" i="32"/>
  <c r="H37" i="32"/>
  <c r="J37" i="32"/>
  <c r="J36" i="32"/>
  <c r="B73" i="5"/>
  <c r="B33" i="32" s="1"/>
  <c r="B74" i="5"/>
  <c r="B34" i="32" s="1"/>
  <c r="I37" i="32"/>
  <c r="I36" i="32"/>
  <c r="M74" i="9"/>
  <c r="M98" i="9"/>
  <c r="M78" i="9"/>
  <c r="M91" i="9"/>
  <c r="M82" i="9"/>
  <c r="M87" i="9"/>
  <c r="M95" i="9"/>
  <c r="M94" i="9"/>
  <c r="M90" i="9"/>
  <c r="M86" i="9"/>
  <c r="M53" i="9"/>
  <c r="D63" i="29"/>
  <c r="F63" i="29" s="1"/>
  <c r="K50" i="25"/>
  <c r="M50" i="25" s="1"/>
  <c r="I61" i="25"/>
  <c r="K61" i="25" s="1"/>
  <c r="M61" i="25" s="1"/>
  <c r="L33" i="32"/>
  <c r="D36" i="32"/>
  <c r="D42" i="32" s="1"/>
  <c r="L42" i="32" s="1"/>
  <c r="E32" i="19"/>
  <c r="D49" i="25"/>
  <c r="F49" i="25" s="1"/>
  <c r="H49" i="25" s="1"/>
  <c r="L29" i="9"/>
  <c r="D64" i="29"/>
  <c r="F64" i="29" s="1"/>
  <c r="I62" i="25"/>
  <c r="K62" i="25" s="1"/>
  <c r="M62" i="25" s="1"/>
  <c r="I54" i="25"/>
  <c r="K54" i="25" s="1"/>
  <c r="M54" i="25" s="1"/>
  <c r="D56" i="29"/>
  <c r="F56" i="29" s="1"/>
  <c r="D69" i="29"/>
  <c r="F69" i="29" s="1"/>
  <c r="F76" i="29" s="1"/>
  <c r="L37" i="32"/>
  <c r="K21" i="25"/>
  <c r="M21" i="25" s="1"/>
  <c r="D57" i="29"/>
  <c r="F57" i="29" s="1"/>
  <c r="I55" i="25"/>
  <c r="K55" i="25" s="1"/>
  <c r="M55" i="25" s="1"/>
  <c r="D58" i="29"/>
  <c r="F58" i="29" s="1"/>
  <c r="I56" i="25"/>
  <c r="K56" i="25" s="1"/>
  <c r="M56" i="25" s="1"/>
  <c r="K10" i="25"/>
  <c r="M10" i="25" s="1"/>
  <c r="I19" i="25"/>
  <c r="D28" i="29"/>
  <c r="F28" i="29" s="1"/>
  <c r="D61" i="25"/>
  <c r="F61" i="25" s="1"/>
  <c r="H61" i="25" s="1"/>
  <c r="K43" i="25"/>
  <c r="M43" i="25" s="1"/>
  <c r="D31" i="19"/>
  <c r="D26" i="25"/>
  <c r="F26" i="25" s="1"/>
  <c r="H26" i="25" s="1"/>
  <c r="D15" i="25"/>
  <c r="F15" i="25" s="1"/>
  <c r="H15" i="25" s="1"/>
  <c r="E27" i="19"/>
  <c r="D45" i="25" s="1"/>
  <c r="E33" i="19"/>
  <c r="D32" i="19"/>
  <c r="D16" i="25"/>
  <c r="F16" i="25" s="1"/>
  <c r="H16" i="25" s="1"/>
  <c r="D27" i="25"/>
  <c r="F27" i="25" s="1"/>
  <c r="H27" i="25" s="1"/>
  <c r="B39" i="8"/>
  <c r="L39" i="8" s="1"/>
  <c r="K44" i="25"/>
  <c r="M44" i="25" s="1"/>
  <c r="D34" i="19"/>
  <c r="D51" i="25"/>
  <c r="D29" i="25"/>
  <c r="F29" i="25" s="1"/>
  <c r="H29" i="25" s="1"/>
  <c r="D18" i="25"/>
  <c r="F18" i="25" s="1"/>
  <c r="H18" i="25" s="1"/>
  <c r="D26" i="19"/>
  <c r="D22" i="25"/>
  <c r="F22" i="25" s="1"/>
  <c r="H22" i="25" s="1"/>
  <c r="D11" i="25"/>
  <c r="F11" i="25" s="1"/>
  <c r="H11" i="25" s="1"/>
  <c r="D44" i="25"/>
  <c r="L20" i="9"/>
  <c r="J70" i="5"/>
  <c r="D10" i="19"/>
  <c r="K51" i="25"/>
  <c r="M51" i="25" s="1"/>
  <c r="K45" i="25"/>
  <c r="M45" i="25" s="1"/>
  <c r="G35" i="19"/>
  <c r="E34" i="19"/>
  <c r="H25" i="19"/>
  <c r="H35" i="19" s="1"/>
  <c r="H20" i="19"/>
  <c r="K15" i="25"/>
  <c r="M15" i="25" s="1"/>
  <c r="I26" i="25"/>
  <c r="K26" i="25" s="1"/>
  <c r="M26" i="25" s="1"/>
  <c r="D33" i="19"/>
  <c r="D17" i="25"/>
  <c r="F17" i="25" s="1"/>
  <c r="H17" i="25" s="1"/>
  <c r="F50" i="25"/>
  <c r="H50" i="25" s="1"/>
  <c r="D28" i="25"/>
  <c r="F28" i="25" s="1"/>
  <c r="H28" i="25" s="1"/>
  <c r="D27" i="19"/>
  <c r="D12" i="25"/>
  <c r="F12" i="25" s="1"/>
  <c r="H12" i="25" s="1"/>
  <c r="D23" i="25"/>
  <c r="F23" i="25" s="1"/>
  <c r="H23" i="25" s="1"/>
  <c r="I39" i="32" l="1"/>
  <c r="I40" i="32"/>
  <c r="J39" i="32"/>
  <c r="J40" i="32"/>
  <c r="H39" i="32"/>
  <c r="H40" i="32"/>
  <c r="K42" i="32"/>
  <c r="K43" i="32"/>
  <c r="L15" i="9"/>
  <c r="L65" i="9" s="1"/>
  <c r="J73" i="5"/>
  <c r="J74" i="5"/>
  <c r="B37" i="32"/>
  <c r="B36" i="32"/>
  <c r="L53" i="9"/>
  <c r="L79" i="9"/>
  <c r="L103" i="9" s="1"/>
  <c r="L52" i="9"/>
  <c r="L70" i="9"/>
  <c r="L102" i="9" s="1"/>
  <c r="M70" i="9"/>
  <c r="M102" i="9" s="1"/>
  <c r="M79" i="9"/>
  <c r="M103" i="9" s="1"/>
  <c r="M30" i="25"/>
  <c r="F65" i="29"/>
  <c r="F77" i="29" s="1"/>
  <c r="M19" i="25"/>
  <c r="F51" i="25"/>
  <c r="H51" i="25" s="1"/>
  <c r="D29" i="29"/>
  <c r="F29" i="29" s="1"/>
  <c r="D62" i="25"/>
  <c r="F62" i="25" s="1"/>
  <c r="H62" i="25" s="1"/>
  <c r="F44" i="25"/>
  <c r="H44" i="25" s="1"/>
  <c r="D22" i="29"/>
  <c r="F22" i="29" s="1"/>
  <c r="D55" i="25"/>
  <c r="F55" i="25" s="1"/>
  <c r="H55" i="25" s="1"/>
  <c r="D27" i="29"/>
  <c r="F27" i="29" s="1"/>
  <c r="D60" i="25"/>
  <c r="F60" i="25" s="1"/>
  <c r="H60" i="25" s="1"/>
  <c r="I30" i="25"/>
  <c r="D23" i="29"/>
  <c r="F23" i="29" s="1"/>
  <c r="D56" i="25"/>
  <c r="F56" i="25" s="1"/>
  <c r="H56" i="25" s="1"/>
  <c r="F45" i="25"/>
  <c r="H45" i="25" s="1"/>
  <c r="L36" i="32"/>
  <c r="D34" i="29"/>
  <c r="F34" i="29" s="1"/>
  <c r="F41" i="29" s="1"/>
  <c r="M63" i="25"/>
  <c r="M52" i="25"/>
  <c r="D43" i="25"/>
  <c r="D21" i="25"/>
  <c r="D25" i="19"/>
  <c r="D35" i="19" s="1"/>
  <c r="D10" i="25"/>
  <c r="D20" i="19"/>
  <c r="E10" i="19"/>
  <c r="H42" i="32" l="1"/>
  <c r="H43" i="32"/>
  <c r="I43" i="32"/>
  <c r="I42" i="32"/>
  <c r="B39" i="32"/>
  <c r="B40" i="32"/>
  <c r="J43" i="32"/>
  <c r="J42" i="32"/>
  <c r="M65" i="9"/>
  <c r="M105" i="9" s="1"/>
  <c r="L55" i="9"/>
  <c r="L105" i="9"/>
  <c r="M64" i="25"/>
  <c r="F21" i="25"/>
  <c r="H21" i="25" s="1"/>
  <c r="H30" i="25" s="1"/>
  <c r="D30" i="25"/>
  <c r="F43" i="25"/>
  <c r="H43" i="25" s="1"/>
  <c r="H52" i="25" s="1"/>
  <c r="D21" i="29"/>
  <c r="F21" i="29" s="1"/>
  <c r="F30" i="29" s="1"/>
  <c r="F42" i="29" s="1"/>
  <c r="D54" i="25"/>
  <c r="F54" i="25" s="1"/>
  <c r="H54" i="25" s="1"/>
  <c r="H63" i="25" s="1"/>
  <c r="F10" i="25"/>
  <c r="H10" i="25" s="1"/>
  <c r="H19" i="25" s="1"/>
  <c r="D19" i="25"/>
  <c r="E25" i="19"/>
  <c r="E35" i="19" s="1"/>
  <c r="E20" i="19"/>
  <c r="B43" i="32" l="1"/>
  <c r="B42" i="32"/>
  <c r="H64" i="25"/>
</calcChain>
</file>

<file path=xl/sharedStrings.xml><?xml version="1.0" encoding="utf-8"?>
<sst xmlns="http://schemas.openxmlformats.org/spreadsheetml/2006/main" count="803" uniqueCount="266">
  <si>
    <t xml:space="preserve">Entegrus Powerlines Inc. </t>
  </si>
  <si>
    <t>2016 Cost of Service Load Forecast</t>
  </si>
  <si>
    <t>Residential</t>
  </si>
  <si>
    <t>General Service &lt; 50 kW</t>
  </si>
  <si>
    <t>General Service &gt; 50 kW</t>
  </si>
  <si>
    <t>Large Use</t>
  </si>
  <si>
    <t>Unmetered Scattered Load</t>
  </si>
  <si>
    <t>Street Lighting</t>
  </si>
  <si>
    <t>Sentinel Lighting</t>
  </si>
  <si>
    <t>Total</t>
  </si>
  <si>
    <t>Year</t>
  </si>
  <si>
    <t>Customer Growth Rate</t>
  </si>
  <si>
    <t>Forecast Number of Customer/Connections</t>
  </si>
  <si>
    <t>Month</t>
  </si>
  <si>
    <t>kWh</t>
  </si>
  <si>
    <t>Actual Purchases</t>
  </si>
  <si>
    <t>Modeled Purchases</t>
  </si>
  <si>
    <t>Difference</t>
  </si>
  <si>
    <t>Difference %</t>
  </si>
  <si>
    <t>Forecast Accuracy</t>
  </si>
  <si>
    <t>Determination of Loss Factor</t>
  </si>
  <si>
    <t>Total Billed</t>
  </si>
  <si>
    <t>Percentage of kW to kWh</t>
  </si>
  <si>
    <t>Description</t>
  </si>
  <si>
    <t>Actual kWh Purchases</t>
  </si>
  <si>
    <t>Predicted Purchases</t>
  </si>
  <si>
    <t>Adjusted Predicted Purchases</t>
  </si>
  <si>
    <t>Percent Difference from Actual</t>
  </si>
  <si>
    <t>Billed kWh</t>
  </si>
  <si>
    <t>2006
Actual</t>
  </si>
  <si>
    <t>2007
Actual</t>
  </si>
  <si>
    <t>2008
Actual</t>
  </si>
  <si>
    <t>2009
Actual</t>
  </si>
  <si>
    <t>2010
Actual</t>
  </si>
  <si>
    <t>2011
Actual</t>
  </si>
  <si>
    <t>2012
Actual</t>
  </si>
  <si>
    <t>2013
Actual</t>
  </si>
  <si>
    <t>2014
Actual</t>
  </si>
  <si>
    <t>2016
Forecasted</t>
  </si>
  <si>
    <t>Billed kWh by Rate Class</t>
  </si>
  <si>
    <t>Customers</t>
  </si>
  <si>
    <t>kW</t>
  </si>
  <si>
    <t>USL</t>
  </si>
  <si>
    <t>TOTAL</t>
  </si>
  <si>
    <t>Connections</t>
  </si>
  <si>
    <t>Reconciliation of Purchases</t>
  </si>
  <si>
    <t>Check</t>
  </si>
  <si>
    <t>Losses</t>
  </si>
  <si>
    <t>Loss Factor</t>
  </si>
  <si>
    <t>Average Growth per Customer</t>
  </si>
  <si>
    <t>Average Consumption per Customer (kWh)</t>
  </si>
  <si>
    <t>Forecasted Average Consumption per Customer (kWh)</t>
  </si>
  <si>
    <t>Calculated Consumption Non-Weather Adjusted (kWh)</t>
  </si>
  <si>
    <t>Forecast Consumption by Rate Class (kWh)</t>
  </si>
  <si>
    <t>Notes:</t>
  </si>
  <si>
    <t>Forecast Demand by Rate Class (kW)</t>
  </si>
  <si>
    <t>January</t>
  </si>
  <si>
    <t>February</t>
  </si>
  <si>
    <t>March</t>
  </si>
  <si>
    <t>April</t>
  </si>
  <si>
    <t>May</t>
  </si>
  <si>
    <t>June</t>
  </si>
  <si>
    <t>July</t>
  </si>
  <si>
    <t>August</t>
  </si>
  <si>
    <t>September</t>
  </si>
  <si>
    <t>October</t>
  </si>
  <si>
    <t>November</t>
  </si>
  <si>
    <t>December</t>
  </si>
  <si>
    <t>may</t>
  </si>
  <si>
    <t>Calculation of Weather Sensitive Load</t>
  </si>
  <si>
    <t>% of Load</t>
  </si>
  <si>
    <t>Percent</t>
  </si>
  <si>
    <t>Allocation of Weather Adjustment</t>
  </si>
  <si>
    <t>TOTAL NORMALIZED LOAD FORECAST</t>
  </si>
  <si>
    <t>Customer A</t>
  </si>
  <si>
    <t>Customer B</t>
  </si>
  <si>
    <t>% kWh/kW</t>
  </si>
  <si>
    <t>Historical kWh</t>
  </si>
  <si>
    <t>Forecasted kWh</t>
  </si>
  <si>
    <t>Historical kW</t>
  </si>
  <si>
    <t>Percentage kW/kWh</t>
  </si>
  <si>
    <t>Total kW Forecast</t>
  </si>
  <si>
    <t>Calculation of CDM Adjustment for the Load Forecast</t>
  </si>
  <si>
    <t>2015 Programs</t>
  </si>
  <si>
    <t>2016 Programs</t>
  </si>
  <si>
    <t>2017 Programs</t>
  </si>
  <si>
    <t>2018 Programs</t>
  </si>
  <si>
    <t>2019 Programs</t>
  </si>
  <si>
    <t>2020 Programs</t>
  </si>
  <si>
    <t>% Allocator</t>
  </si>
  <si>
    <t>2016 Load Forecast Adjustment</t>
  </si>
  <si>
    <t>2016 Programs (50%)</t>
  </si>
  <si>
    <t>Total Planned Programs</t>
  </si>
  <si>
    <t>Allocated Tasked Savings</t>
  </si>
  <si>
    <t>2016 Planned Savings</t>
  </si>
  <si>
    <t>2016 Tasked Savings</t>
  </si>
  <si>
    <t>Allocation of Tasked Savings by Year</t>
  </si>
  <si>
    <t>Planned Program Savings by Year</t>
  </si>
  <si>
    <t>Annual % of Planned</t>
  </si>
  <si>
    <t>Calculation of Load Forecast Adjustment by Rate Class</t>
  </si>
  <si>
    <t>Historical and Weather Normalized Load Forecast</t>
  </si>
  <si>
    <t>Line No.</t>
  </si>
  <si>
    <t>Rate Class</t>
  </si>
  <si>
    <t>Cust/Conn</t>
  </si>
  <si>
    <t>Sentinel Lights</t>
  </si>
  <si>
    <t>Street Lights</t>
  </si>
  <si>
    <t>Billing Determinant</t>
  </si>
  <si>
    <t>Rate</t>
  </si>
  <si>
    <t>Amount</t>
  </si>
  <si>
    <t>Commodity</t>
  </si>
  <si>
    <t>Wholesale Market Services &amp; Rural Rate Assistance</t>
  </si>
  <si>
    <t>General Service &lt;50</t>
  </si>
  <si>
    <t>General Service &gt;50</t>
  </si>
  <si>
    <t>Market Participant</t>
  </si>
  <si>
    <t>Umetered Scatter Load</t>
  </si>
  <si>
    <t>Smart Metering Entiry</t>
  </si>
  <si>
    <t>Cust</t>
  </si>
  <si>
    <t>Transmission - Network</t>
  </si>
  <si>
    <t>Transmission - Connection</t>
  </si>
  <si>
    <t>GRAND TOTAL</t>
  </si>
  <si>
    <t>RPP</t>
  </si>
  <si>
    <t>Non-RPP</t>
  </si>
  <si>
    <t>Forecast Wholesale Electricity Price</t>
  </si>
  <si>
    <t>Load-Weighted Price for RPP Consumers</t>
  </si>
  <si>
    <t>Impact of Global Adjustment</t>
  </si>
  <si>
    <t>Adjustment to Address Bias Towards Unfavourable Variance</t>
  </si>
  <si>
    <t>Adjustment to Clear Existing Variance</t>
  </si>
  <si>
    <t>Total Supply Cost ($/MWh)</t>
  </si>
  <si>
    <t>Total
 kWh</t>
  </si>
  <si>
    <t>Standby</t>
  </si>
  <si>
    <t>Allocation %</t>
  </si>
  <si>
    <t>Commodty Rate ($/kWh)</t>
  </si>
  <si>
    <t>Weighted Average Rate ($/kWh)</t>
  </si>
  <si>
    <t>2016 Proposed</t>
  </si>
  <si>
    <t>RTSR - Network</t>
  </si>
  <si>
    <t>RTSR - Connection</t>
  </si>
  <si>
    <t>Cost of Power Estimates</t>
  </si>
  <si>
    <t>Unmetered Scattered Load (Conn)</t>
  </si>
  <si>
    <t>Sentinel Lighting (Conn)</t>
  </si>
  <si>
    <t>Street Lighting (Conn)</t>
  </si>
  <si>
    <t>Total Sec &lt;5</t>
  </si>
  <si>
    <t>Total Sec &gt;5</t>
  </si>
  <si>
    <t>Total Pri &lt;5</t>
  </si>
  <si>
    <t>Total Pri &gt;5</t>
  </si>
  <si>
    <t>Unit</t>
  </si>
  <si>
    <t>Load Forecast</t>
  </si>
  <si>
    <t>Cost of Power Rates Utilized</t>
  </si>
  <si>
    <t>Year End Customer/Connections</t>
  </si>
  <si>
    <t>Forecasted Customers/Connections</t>
  </si>
  <si>
    <t>CDM ADJUSTMENT</t>
  </si>
  <si>
    <t>WMP ADJUSTMENT</t>
  </si>
  <si>
    <t>TOTAL ADJUSTED WEATHER NORMALIZED LOAD FORECAST</t>
  </si>
  <si>
    <t>Allocation of 2016 Tasked Savings</t>
  </si>
  <si>
    <t>Calculation of Wholesale Market Participant</t>
  </si>
  <si>
    <t>WMP Adjustment</t>
  </si>
  <si>
    <t>Add: WMP</t>
  </si>
  <si>
    <t>Total Adjusted Demand (kW)</t>
  </si>
  <si>
    <t>Total Demand Forecast (kW)</t>
  </si>
  <si>
    <t xml:space="preserve">GS &lt; 50 kW </t>
  </si>
  <si>
    <t>GS &gt; 50 - 4,999 kW</t>
  </si>
  <si>
    <t xml:space="preserve">Line No. </t>
  </si>
  <si>
    <t>Distribution Revenue</t>
  </si>
  <si>
    <t>FIXED REVENUE</t>
  </si>
  <si>
    <t>VOLUMETRIC REVENUE</t>
  </si>
  <si>
    <t>Conn</t>
  </si>
  <si>
    <t>Type</t>
  </si>
  <si>
    <t>Weather Normalized Load Forecast by Rate Class</t>
  </si>
  <si>
    <t>Weather Normalized Load Forecast by Rate Class - Used for Cost Allocation and Distribution Rate Design</t>
  </si>
  <si>
    <t>Summary of Weather Normalized Load Forecast</t>
  </si>
  <si>
    <t>London Hydro</t>
  </si>
  <si>
    <t>Utility Name</t>
  </si>
  <si>
    <t>OEB Case Number</t>
  </si>
  <si>
    <t xml:space="preserve">Subject </t>
  </si>
  <si>
    <t>2017 Load Forecast</t>
  </si>
  <si>
    <t xml:space="preserve"> </t>
  </si>
  <si>
    <t>2017 Load Forecast Accuracy &amp; Loss Factor</t>
  </si>
  <si>
    <t>Average Annual Customers/Connections</t>
  </si>
  <si>
    <t>Co-Gen</t>
  </si>
  <si>
    <t xml:space="preserve">WSkWh </t>
  </si>
  <si>
    <t>% Change</t>
  </si>
  <si>
    <t>Consumption (kWh)</t>
  </si>
  <si>
    <t>Demand (kW)</t>
  </si>
  <si>
    <t>2015
Actual</t>
  </si>
  <si>
    <t>2017
Forecasted</t>
  </si>
  <si>
    <t>1) Average Loss Factor utilized for 2016 and 2017 Total Billed calculation is the average of 2007 to 2015 actual loss factors.</t>
  </si>
  <si>
    <t>Total Forecasted Customers/Connections</t>
  </si>
  <si>
    <t>Co-Gen
Stand-by</t>
  </si>
  <si>
    <t>Co-Gen
Total</t>
  </si>
  <si>
    <t>Co-Gen
Non Stand-by</t>
  </si>
  <si>
    <t>2017 Load Forecast Adjustment</t>
  </si>
  <si>
    <t>2017 Programs (50%)</t>
  </si>
  <si>
    <t>Allocation of 2016 &amp; 2017 Tasked Savings by Rate Class</t>
  </si>
  <si>
    <t>Allocation of 2017 Tasked Savings</t>
  </si>
  <si>
    <t>2017 Planned Savings</t>
  </si>
  <si>
    <t>2017 Tasked Savings</t>
  </si>
  <si>
    <t>2015 Persistence</t>
  </si>
  <si>
    <t>2016 Persistence</t>
  </si>
  <si>
    <t>2015 Persistence (50%)</t>
  </si>
  <si>
    <t>EB-2016-0091</t>
  </si>
  <si>
    <t xml:space="preserve">CDM Adjustment </t>
  </si>
  <si>
    <t>Change Customers/Connections</t>
  </si>
  <si>
    <t>Loss Factors:</t>
  </si>
  <si>
    <t>OEB RPP Link</t>
  </si>
  <si>
    <t>Supply Cost ($/MWh)
For the period from May 1, 2016 to April 30, 2017</t>
  </si>
  <si>
    <t>2015 RPP 
kWh</t>
  </si>
  <si>
    <t>2015 Non- RPP kWh</t>
  </si>
  <si>
    <t>2017 Proposed</t>
  </si>
  <si>
    <t>CoGeneration</t>
  </si>
  <si>
    <t>Co-Generation</t>
  </si>
  <si>
    <t>Approved 2016 Rates</t>
  </si>
  <si>
    <t>WMSR</t>
  </si>
  <si>
    <t>RRRP</t>
  </si>
  <si>
    <t>OESP</t>
  </si>
  <si>
    <t>Smart Meter Entity</t>
  </si>
  <si>
    <t>Historical Customers</t>
  </si>
  <si>
    <t>Forecasted Customers</t>
  </si>
  <si>
    <t>Wholesale Market Participant</t>
  </si>
  <si>
    <t>Per RRR Filing</t>
  </si>
  <si>
    <t>Lost Load kWh</t>
  </si>
  <si>
    <t>WSkWh</t>
  </si>
  <si>
    <t>Diff</t>
  </si>
  <si>
    <t>Annual OEB RRR vs. Used WSkWh</t>
  </si>
  <si>
    <t>OEB RRR</t>
  </si>
  <si>
    <t>Lost LU Load</t>
  </si>
  <si>
    <t>Adjusted RRR</t>
  </si>
  <si>
    <t>Adjusted Large User</t>
  </si>
  <si>
    <t>Adjusted General Service &gt; 50 kW</t>
  </si>
  <si>
    <t>Adjusted Large Use</t>
  </si>
  <si>
    <t>ADJUSTED LRAMVA BASELINE</t>
  </si>
  <si>
    <t>TOTAL NORMALIZED LOAD FORECAST WITH CDM</t>
  </si>
  <si>
    <t>CoGeneration StandBy</t>
  </si>
  <si>
    <t>Transformer Allowance</t>
  </si>
  <si>
    <t>KW</t>
  </si>
  <si>
    <t>Forecast Transformer Allowance by Rate Class (kW)</t>
  </si>
  <si>
    <t>Transformer Allowance (kW)</t>
  </si>
  <si>
    <t>Percentage Transformer Allowance To Demand (kW)</t>
  </si>
  <si>
    <t>Transformer Allowance Forecast (kW)</t>
  </si>
  <si>
    <t>Revenue at Old Rates</t>
  </si>
  <si>
    <t>RPP_Price_Report_May 2016</t>
  </si>
  <si>
    <t>WMP in RRR</t>
  </si>
  <si>
    <t>Customer/Connection Change</t>
  </si>
  <si>
    <t>Average (2012 to 2015)</t>
  </si>
  <si>
    <t>Geomean (2012 to 2015)</t>
  </si>
  <si>
    <t>Average  (2012 to 2015)</t>
  </si>
  <si>
    <t>Change</t>
  </si>
  <si>
    <t>% Change Customers/Connections</t>
  </si>
  <si>
    <t>% CHANGE TOTAL ADJUSTED WEATHER NORMALIZED LOAD FORECAST</t>
  </si>
  <si>
    <t>Geometric Mean  (2012 to 2015)</t>
  </si>
  <si>
    <t>Average    (2012 to 2015)</t>
  </si>
  <si>
    <t>Transfer Large Use Customer</t>
  </si>
  <si>
    <t>Final Transformer Allowance Forecast (kW)</t>
  </si>
  <si>
    <t>Calculation of Generation Customers</t>
  </si>
  <si>
    <t>Residential
microFIT</t>
  </si>
  <si>
    <t>Net Metered</t>
  </si>
  <si>
    <t>microFIT</t>
  </si>
  <si>
    <t>FIT</t>
  </si>
  <si>
    <t>RESOP</t>
  </si>
  <si>
    <t>CoGen</t>
  </si>
  <si>
    <t>Geomean (2012 to 2016)</t>
  </si>
  <si>
    <t>Average (2012 to 2016)</t>
  </si>
  <si>
    <t>2016 Persistence (100%)</t>
  </si>
  <si>
    <t>WMP</t>
  </si>
  <si>
    <t xml:space="preserve">Predicted Value </t>
  </si>
  <si>
    <t>Geometric Mean  (2012 to 2015) GS&gt;50 Class</t>
  </si>
  <si>
    <t>Annual Actual vs. Predicted WSkWh</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</si>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</sst>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_(&quot;$&quot;* \(#,##0.00\);_(&quot;$&quot;* &quot;-&quot;??_);_(@_)"/>
    <numFmt numFmtId="43" formatCode="_(* #,##0.00_);_(* \(#,##0.00\);_(* &quot;-&quot;??_);_(@_)"/>
    <numFmt numFmtId="164" formatCode="_-* #,##0.00_-;\-* #,##0.00_-;_-* &quot;-&quot;??_-;_-@_-"/>
    <numFmt numFmtId="165" formatCode="_(* #,##0_);_(* \(#,##0\);_(* &quot;-&quot;??_);_(@_)"/>
    <numFmt numFmtId="166" formatCode="_(* #,##0.0000_);_(* \(#,##0.0000\);_(* &quot;-&quot;??_);_(@_)"/>
    <numFmt numFmtId="167" formatCode="0.0%"/>
    <numFmt numFmtId="168" formatCode="0.000%"/>
    <numFmt numFmtId="169" formatCode="_-* #,##0_-;\-* #,##0_-;_-* &quot;-&quot;??_-;_-@_-"/>
    <numFmt numFmtId="170" formatCode="&quot;$&quot;#,##0.0000"/>
    <numFmt numFmtId="171" formatCode="&quot;$&quot;#,##0"/>
    <numFmt numFmtId="172" formatCode="&quot;$&quot;#,##0.00"/>
    <numFmt numFmtId="173" formatCode="_(&quot;$&quot;* #,##0_);_(&quot;$&quot;* \(#,##0\);_(&quot;$&quot;* &quot;-&quot;??_);_(@_)"/>
    <numFmt numFmtId="174" formatCode="_-* #,##0.0000_-;\-* #,##0.0000_-;_-* &quot;-&quot;??_-;_-@_-"/>
    <numFmt numFmtId="175" formatCode="#,##0_ ;[Red]\-#,##0\ "/>
    <numFmt numFmtId="176" formatCode="0.0000"/>
  </numFmts>
  <fonts count="26"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4"/>
      <color theme="1"/>
      <name val="Calibri"/>
      <family val="2"/>
    </font>
    <font>
      <sz val="11"/>
      <color theme="1"/>
      <name val="Calibri"/>
      <family val="2"/>
      <scheme val="minor"/>
    </font>
    <font>
      <b/>
      <sz val="12"/>
      <color theme="1"/>
      <name val="Calibri"/>
      <family val="2"/>
    </font>
    <font>
      <sz val="11"/>
      <color theme="9"/>
      <name val="Calibri"/>
      <family val="2"/>
    </font>
    <font>
      <b/>
      <sz val="11"/>
      <color theme="0"/>
      <name val="Calibri"/>
      <family val="2"/>
    </font>
    <font>
      <b/>
      <sz val="11"/>
      <color theme="1"/>
      <name val="Calibri"/>
      <family val="2"/>
      <scheme val="minor"/>
    </font>
    <font>
      <sz val="11"/>
      <color rgb="FF006100"/>
      <name val="Calibri"/>
      <family val="2"/>
      <scheme val="minor"/>
    </font>
    <font>
      <b/>
      <sz val="14"/>
      <color theme="1"/>
      <name val="Calibri"/>
      <family val="2"/>
      <scheme val="minor"/>
    </font>
    <font>
      <sz val="10"/>
      <name val="Arial"/>
      <family val="2"/>
    </font>
    <font>
      <sz val="11"/>
      <name val="Calibri"/>
      <family val="2"/>
      <scheme val="minor"/>
    </font>
    <font>
      <b/>
      <sz val="11"/>
      <name val="Calibri"/>
      <family val="2"/>
      <scheme val="minor"/>
    </font>
    <font>
      <b/>
      <sz val="11"/>
      <name val="Calibri"/>
      <family val="2"/>
    </font>
    <font>
      <b/>
      <sz val="8"/>
      <color theme="1"/>
      <name val="Calibri"/>
      <family val="2"/>
    </font>
    <font>
      <sz val="9"/>
      <color theme="1"/>
      <name val="Calibri"/>
      <family val="2"/>
    </font>
    <font>
      <b/>
      <sz val="9"/>
      <color theme="1"/>
      <name val="Calibri"/>
      <family val="2"/>
    </font>
    <font>
      <b/>
      <sz val="24"/>
      <color theme="0"/>
      <name val="Calibri"/>
      <family val="2"/>
    </font>
    <font>
      <u/>
      <sz val="11"/>
      <color theme="10"/>
      <name val="Calibri"/>
      <family val="2"/>
    </font>
    <font>
      <sz val="11"/>
      <color rgb="FFFF0000"/>
      <name val="Calibri"/>
      <family val="2"/>
      <scheme val="minor"/>
    </font>
    <font>
      <b/>
      <i/>
      <sz val="11"/>
      <color theme="1"/>
      <name val="Calibri"/>
      <family val="2"/>
      <scheme val="minor"/>
    </font>
    <font>
      <sz val="8"/>
      <color theme="1"/>
      <name val="Calibri"/>
      <family val="2"/>
    </font>
  </fonts>
  <fills count="12">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6EFCE"/>
      </patternFill>
    </fill>
    <fill>
      <patternFill patternType="solid">
        <fgColor theme="8" tint="0.59999389629810485"/>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00"/>
        <bgColor indexed="64"/>
      </patternFill>
    </fill>
  </fills>
  <borders count="5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right/>
      <top/>
      <bottom style="medium">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indexed="64"/>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indexed="64"/>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theme="0" tint="-0.249977111117893"/>
      </bottom>
      <diagonal/>
    </border>
    <border>
      <left/>
      <right style="thin">
        <color indexed="64"/>
      </right>
      <top style="thin">
        <color theme="0" tint="-0.249977111117893"/>
      </top>
      <bottom style="thin">
        <color theme="0" tint="-0.249977111117893"/>
      </bottom>
      <diagonal/>
    </border>
    <border>
      <left/>
      <right style="thin">
        <color indexed="64"/>
      </right>
      <top style="thin">
        <color theme="0" tint="-0.249977111117893"/>
      </top>
      <bottom/>
      <diagonal/>
    </border>
    <border>
      <left/>
      <right style="thin">
        <color indexed="64"/>
      </right>
      <top style="thin">
        <color indexed="64"/>
      </top>
      <bottom style="thin">
        <color theme="0" tint="-0.249977111117893"/>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right style="thin">
        <color indexed="64"/>
      </right>
      <top style="thin">
        <color theme="0" tint="-0.249977111117893"/>
      </top>
      <bottom style="thin">
        <color indexed="64"/>
      </bottom>
      <diagonal/>
    </border>
    <border>
      <left/>
      <right/>
      <top style="thin">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top style="thin">
        <color indexed="64"/>
      </top>
      <bottom style="thin">
        <color theme="0" tint="-0.249977111117893"/>
      </bottom>
      <diagonal/>
    </border>
    <border>
      <left style="thin">
        <color theme="0" tint="-0.249977111117893"/>
      </left>
      <right style="thin">
        <color indexed="64"/>
      </right>
      <top/>
      <bottom style="thin">
        <color indexed="64"/>
      </bottom>
      <diagonal/>
    </border>
    <border>
      <left style="thin">
        <color theme="0" tint="-0.249977111117893"/>
      </left>
      <right/>
      <top style="thin">
        <color indexed="64"/>
      </top>
      <bottom/>
      <diagonal/>
    </border>
    <border>
      <left style="thin">
        <color theme="0" tint="-0.249977111117893"/>
      </left>
      <right/>
      <top/>
      <bottom style="thin">
        <color indexed="64"/>
      </bottom>
      <diagonal/>
    </border>
    <border>
      <left style="thin">
        <color theme="0" tint="-0.249977111117893"/>
      </left>
      <right/>
      <top/>
      <bottom/>
      <diagonal/>
    </border>
    <border>
      <left style="thin">
        <color indexed="64"/>
      </left>
      <right style="thin">
        <color indexed="64"/>
      </right>
      <top style="thin">
        <color indexed="64"/>
      </top>
      <bottom style="thin">
        <color indexed="64"/>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249977111117893"/>
      </bottom>
      <diagonal/>
    </border>
    <border>
      <left/>
      <right style="thin">
        <color theme="0" tint="-0.249977111117893"/>
      </right>
      <top/>
      <bottom style="thin">
        <color theme="0" tint="-0.249977111117893"/>
      </bottom>
      <diagonal/>
    </border>
  </borders>
  <cellStyleXfs count="11">
    <xf numFmtId="0" fontId="0" fillId="0" borderId="0"/>
    <xf numFmtId="43" fontId="4" fillId="0" borderId="0" applyFont="0" applyFill="0" applyBorder="0" applyAlignment="0" applyProtection="0"/>
    <xf numFmtId="9" fontId="4" fillId="0" borderId="0" applyFont="0" applyFill="0" applyBorder="0" applyAlignment="0" applyProtection="0"/>
    <xf numFmtId="0" fontId="7" fillId="0" borderId="0"/>
    <xf numFmtId="164" fontId="7" fillId="0" borderId="0" applyFont="0" applyFill="0" applyBorder="0" applyAlignment="0" applyProtection="0"/>
    <xf numFmtId="44" fontId="4"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12" fillId="6" borderId="0" applyNumberFormat="0" applyBorder="0" applyAlignment="0" applyProtection="0"/>
    <xf numFmtId="164" fontId="14" fillId="0" borderId="0" applyFont="0" applyFill="0" applyBorder="0" applyAlignment="0" applyProtection="0"/>
    <xf numFmtId="0" fontId="22" fillId="0" borderId="0" applyNumberFormat="0" applyFill="0" applyBorder="0" applyAlignment="0" applyProtection="0"/>
  </cellStyleXfs>
  <cellXfs count="470">
    <xf numFmtId="0" fontId="0" fillId="0" borderId="0" xfId="0"/>
    <xf numFmtId="165" fontId="0" fillId="0" borderId="0" xfId="1" applyNumberFormat="1" applyFont="1"/>
    <xf numFmtId="165" fontId="0" fillId="0" borderId="0" xfId="0" applyNumberFormat="1"/>
    <xf numFmtId="0" fontId="0" fillId="0" borderId="1" xfId="0" applyBorder="1"/>
    <xf numFmtId="0" fontId="5" fillId="2" borderId="1" xfId="0" applyFont="1" applyFill="1" applyBorder="1"/>
    <xf numFmtId="165" fontId="0" fillId="0" borderId="1" xfId="1" applyNumberFormat="1" applyFont="1" applyBorder="1"/>
    <xf numFmtId="165" fontId="0" fillId="0" borderId="1" xfId="0" applyNumberFormat="1" applyBorder="1"/>
    <xf numFmtId="166" fontId="0" fillId="0" borderId="1" xfId="1" applyNumberFormat="1" applyFont="1" applyBorder="1"/>
    <xf numFmtId="0" fontId="5" fillId="2" borderId="3" xfId="0" applyFont="1" applyFill="1" applyBorder="1" applyAlignment="1">
      <alignment wrapText="1"/>
    </xf>
    <xf numFmtId="165" fontId="0" fillId="0" borderId="3" xfId="0" applyNumberFormat="1" applyBorder="1"/>
    <xf numFmtId="0" fontId="0" fillId="0" borderId="3" xfId="0" applyBorder="1"/>
    <xf numFmtId="0" fontId="0" fillId="0" borderId="7" xfId="0" applyBorder="1"/>
    <xf numFmtId="0" fontId="0" fillId="0" borderId="8" xfId="0" applyBorder="1"/>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165" fontId="0" fillId="0" borderId="3" xfId="1" applyNumberFormat="1" applyFont="1" applyBorder="1"/>
    <xf numFmtId="165" fontId="0" fillId="0" borderId="5" xfId="1" applyNumberFormat="1" applyFont="1" applyBorder="1"/>
    <xf numFmtId="165" fontId="0" fillId="0" borderId="6" xfId="1" applyNumberFormat="1" applyFont="1" applyBorder="1"/>
    <xf numFmtId="0" fontId="0" fillId="0" borderId="15" xfId="0" applyBorder="1"/>
    <xf numFmtId="165" fontId="0" fillId="0" borderId="14" xfId="1" applyNumberFormat="1" applyFont="1" applyBorder="1"/>
    <xf numFmtId="165" fontId="0" fillId="0" borderId="15" xfId="0" applyNumberFormat="1" applyBorder="1"/>
    <xf numFmtId="0" fontId="0" fillId="0" borderId="2" xfId="0" applyBorder="1" applyAlignment="1">
      <alignment horizontal="left"/>
    </xf>
    <xf numFmtId="0" fontId="0" fillId="0" borderId="13" xfId="0" applyBorder="1" applyAlignment="1">
      <alignment horizontal="left"/>
    </xf>
    <xf numFmtId="0" fontId="6" fillId="0" borderId="0" xfId="0" applyFont="1" applyBorder="1"/>
    <xf numFmtId="0" fontId="0" fillId="0" borderId="0" xfId="0" applyBorder="1"/>
    <xf numFmtId="0" fontId="6" fillId="0" borderId="16" xfId="0" applyFont="1" applyBorder="1"/>
    <xf numFmtId="0" fontId="0" fillId="0" borderId="16" xfId="0" applyBorder="1"/>
    <xf numFmtId="0" fontId="0" fillId="0" borderId="0" xfId="0" applyAlignment="1">
      <alignment vertical="center"/>
    </xf>
    <xf numFmtId="167" fontId="0" fillId="0" borderId="1" xfId="2" applyNumberFormat="1" applyFont="1" applyBorder="1"/>
    <xf numFmtId="165" fontId="0" fillId="0" borderId="1" xfId="1" applyNumberFormat="1" applyFont="1" applyFill="1" applyBorder="1"/>
    <xf numFmtId="168" fontId="0" fillId="0" borderId="1" xfId="2" applyNumberFormat="1" applyFont="1" applyBorder="1"/>
    <xf numFmtId="0" fontId="5" fillId="3" borderId="1" xfId="0" applyFont="1" applyFill="1" applyBorder="1"/>
    <xf numFmtId="165" fontId="5" fillId="3" borderId="1" xfId="1" applyNumberFormat="1" applyFont="1" applyFill="1" applyBorder="1"/>
    <xf numFmtId="0" fontId="0" fillId="0" borderId="2" xfId="0" applyBorder="1"/>
    <xf numFmtId="0" fontId="5" fillId="3" borderId="2" xfId="0" applyFont="1" applyFill="1" applyBorder="1"/>
    <xf numFmtId="165" fontId="5" fillId="3" borderId="3" xfId="1" applyNumberFormat="1" applyFont="1" applyFill="1" applyBorder="1"/>
    <xf numFmtId="0" fontId="0" fillId="0" borderId="4" xfId="0" applyBorder="1"/>
    <xf numFmtId="165" fontId="0" fillId="0" borderId="5" xfId="0" applyNumberFormat="1" applyBorder="1"/>
    <xf numFmtId="165" fontId="0" fillId="0" borderId="6" xfId="0" applyNumberFormat="1" applyBorder="1"/>
    <xf numFmtId="165" fontId="0" fillId="0" borderId="8" xfId="1" applyNumberFormat="1" applyFont="1" applyBorder="1"/>
    <xf numFmtId="165" fontId="0" fillId="0" borderId="9" xfId="1" applyNumberFormat="1" applyFont="1" applyBorder="1"/>
    <xf numFmtId="0" fontId="0" fillId="0" borderId="21" xfId="0" applyBorder="1"/>
    <xf numFmtId="0" fontId="5" fillId="3" borderId="10" xfId="0" applyFont="1" applyFill="1" applyBorder="1" applyAlignment="1">
      <alignment horizontal="center" vertical="center" wrapText="1"/>
    </xf>
    <xf numFmtId="165" fontId="0" fillId="0" borderId="2" xfId="1" applyNumberFormat="1" applyFont="1" applyBorder="1"/>
    <xf numFmtId="0" fontId="0" fillId="0" borderId="13" xfId="0" applyBorder="1"/>
    <xf numFmtId="0" fontId="0" fillId="0" borderId="14" xfId="0" applyBorder="1"/>
    <xf numFmtId="165" fontId="0" fillId="0" borderId="15" xfId="1" applyNumberFormat="1" applyFont="1" applyBorder="1"/>
    <xf numFmtId="0" fontId="0" fillId="0" borderId="17" xfId="0" applyBorder="1"/>
    <xf numFmtId="165" fontId="0" fillId="0" borderId="18" xfId="0" applyNumberFormat="1" applyBorder="1"/>
    <xf numFmtId="165" fontId="0" fillId="0" borderId="19" xfId="0" applyNumberFormat="1" applyBorder="1"/>
    <xf numFmtId="166" fontId="0" fillId="0" borderId="3" xfId="1" applyNumberFormat="1" applyFont="1" applyBorder="1"/>
    <xf numFmtId="166" fontId="0" fillId="0" borderId="3" xfId="0" applyNumberFormat="1" applyBorder="1"/>
    <xf numFmtId="0" fontId="0" fillId="0" borderId="5" xfId="0" applyBorder="1"/>
    <xf numFmtId="166" fontId="0" fillId="0" borderId="6" xfId="0" applyNumberFormat="1" applyBorder="1"/>
    <xf numFmtId="165" fontId="0" fillId="0" borderId="8" xfId="0" applyNumberFormat="1" applyBorder="1"/>
    <xf numFmtId="166" fontId="0" fillId="0" borderId="9" xfId="1" applyNumberFormat="1" applyFont="1" applyBorder="1"/>
    <xf numFmtId="0" fontId="6" fillId="2" borderId="2" xfId="0" applyFont="1" applyFill="1" applyBorder="1"/>
    <xf numFmtId="0" fontId="5" fillId="3" borderId="10" xfId="0" applyFont="1" applyFill="1" applyBorder="1" applyAlignment="1">
      <alignment horizontal="left"/>
    </xf>
    <xf numFmtId="165" fontId="5" fillId="3" borderId="11" xfId="0" applyNumberFormat="1" applyFont="1" applyFill="1" applyBorder="1"/>
    <xf numFmtId="166" fontId="5" fillId="3" borderId="11" xfId="1" applyNumberFormat="1" applyFont="1" applyFill="1" applyBorder="1"/>
    <xf numFmtId="0" fontId="5" fillId="3" borderId="12" xfId="0" applyFont="1" applyFill="1" applyBorder="1"/>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165" fontId="0" fillId="0" borderId="0" xfId="1" applyNumberFormat="1" applyFont="1" applyBorder="1"/>
    <xf numFmtId="165" fontId="6" fillId="0" borderId="0" xfId="1" applyNumberFormat="1" applyFont="1" applyBorder="1"/>
    <xf numFmtId="165" fontId="6" fillId="0" borderId="16" xfId="1" applyNumberFormat="1" applyFont="1" applyBorder="1"/>
    <xf numFmtId="165" fontId="0" fillId="0" borderId="16" xfId="1" applyNumberFormat="1" applyFont="1" applyBorder="1"/>
    <xf numFmtId="0" fontId="0" fillId="0" borderId="2" xfId="0" applyFill="1" applyBorder="1" applyAlignment="1">
      <alignment horizontal="left"/>
    </xf>
    <xf numFmtId="0" fontId="0" fillId="0" borderId="13" xfId="0" applyFill="1" applyBorder="1" applyAlignment="1">
      <alignment horizontal="left"/>
    </xf>
    <xf numFmtId="10" fontId="0" fillId="0" borderId="1" xfId="1" applyNumberFormat="1" applyFont="1" applyBorder="1"/>
    <xf numFmtId="165" fontId="9" fillId="0" borderId="1" xfId="1" applyNumberFormat="1" applyFont="1" applyBorder="1"/>
    <xf numFmtId="43" fontId="0" fillId="0" borderId="1" xfId="1" applyNumberFormat="1" applyFont="1" applyBorder="1"/>
    <xf numFmtId="0" fontId="8" fillId="3" borderId="1" xfId="0" applyFont="1" applyFill="1" applyBorder="1" applyAlignment="1">
      <alignment horizontal="center" vertical="center"/>
    </xf>
    <xf numFmtId="165" fontId="8" fillId="3" borderId="1" xfId="1" applyNumberFormat="1" applyFont="1" applyFill="1" applyBorder="1" applyAlignment="1">
      <alignment horizontal="center" vertical="center"/>
    </xf>
    <xf numFmtId="165" fontId="0" fillId="0" borderId="1" xfId="0" applyNumberFormat="1" applyFill="1" applyBorder="1" applyAlignment="1">
      <alignment vertical="center"/>
    </xf>
    <xf numFmtId="43" fontId="0" fillId="0" borderId="0" xfId="0" applyNumberFormat="1"/>
    <xf numFmtId="10" fontId="0" fillId="0" borderId="1" xfId="2" applyNumberFormat="1" applyFont="1" applyBorder="1"/>
    <xf numFmtId="165" fontId="5" fillId="3" borderId="1" xfId="1" applyNumberFormat="1" applyFont="1" applyFill="1" applyBorder="1" applyAlignment="1">
      <alignment horizontal="center" vertical="center"/>
    </xf>
    <xf numFmtId="10" fontId="0" fillId="0" borderId="1" xfId="0" applyNumberFormat="1" applyBorder="1"/>
    <xf numFmtId="0" fontId="0" fillId="0" borderId="7"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7" xfId="0" applyBorder="1" applyAlignment="1">
      <alignment horizontal="left"/>
    </xf>
    <xf numFmtId="165" fontId="0" fillId="0" borderId="3" xfId="1" applyNumberFormat="1" applyFont="1" applyFill="1" applyBorder="1"/>
    <xf numFmtId="0" fontId="0" fillId="0" borderId="0" xfId="0" applyFill="1"/>
    <xf numFmtId="0" fontId="0" fillId="0" borderId="4" xfId="0" applyFill="1" applyBorder="1" applyAlignment="1">
      <alignment horizontal="left"/>
    </xf>
    <xf numFmtId="165" fontId="0" fillId="0" borderId="5" xfId="1" applyNumberFormat="1" applyFont="1" applyFill="1" applyBorder="1"/>
    <xf numFmtId="165" fontId="0" fillId="0" borderId="6" xfId="1" applyNumberFormat="1" applyFont="1" applyFill="1" applyBorder="1"/>
    <xf numFmtId="167" fontId="0" fillId="0" borderId="3" xfId="0" applyNumberFormat="1" applyBorder="1"/>
    <xf numFmtId="165" fontId="0" fillId="0" borderId="5" xfId="0" applyNumberFormat="1" applyFill="1" applyBorder="1" applyAlignment="1">
      <alignment vertical="center"/>
    </xf>
    <xf numFmtId="165" fontId="0" fillId="0" borderId="6" xfId="0" applyNumberFormat="1" applyFill="1" applyBorder="1" applyAlignment="1">
      <alignment vertical="center"/>
    </xf>
    <xf numFmtId="165" fontId="0" fillId="0" borderId="18" xfId="1" applyNumberFormat="1" applyFont="1" applyBorder="1"/>
    <xf numFmtId="0" fontId="5" fillId="3" borderId="10" xfId="0" applyFont="1" applyFill="1" applyBorder="1"/>
    <xf numFmtId="10" fontId="5" fillId="3" borderId="11" xfId="1" applyNumberFormat="1" applyFont="1" applyFill="1" applyBorder="1"/>
    <xf numFmtId="165" fontId="0" fillId="0" borderId="9" xfId="0" applyNumberFormat="1" applyBorder="1"/>
    <xf numFmtId="0" fontId="0" fillId="0" borderId="17" xfId="0" applyBorder="1" applyAlignment="1">
      <alignment horizontal="left" vertical="center"/>
    </xf>
    <xf numFmtId="167" fontId="0" fillId="0" borderId="18" xfId="2" applyNumberFormat="1" applyFont="1" applyBorder="1"/>
    <xf numFmtId="167" fontId="0" fillId="0" borderId="19" xfId="0" applyNumberFormat="1" applyBorder="1"/>
    <xf numFmtId="0" fontId="0" fillId="0" borderId="4" xfId="0" applyBorder="1" applyAlignment="1">
      <alignment horizontal="left" vertical="center"/>
    </xf>
    <xf numFmtId="165" fontId="0" fillId="0" borderId="18" xfId="1" applyNumberFormat="1" applyFont="1" applyBorder="1" applyAlignment="1">
      <alignment vertical="center"/>
    </xf>
    <xf numFmtId="165" fontId="0" fillId="0" borderId="19" xfId="1" applyNumberFormat="1" applyFont="1" applyBorder="1" applyAlignment="1">
      <alignment vertical="center"/>
    </xf>
    <xf numFmtId="165" fontId="0" fillId="0" borderId="5" xfId="1" applyNumberFormat="1" applyFont="1" applyBorder="1" applyAlignment="1">
      <alignment vertical="center"/>
    </xf>
    <xf numFmtId="165" fontId="0" fillId="0" borderId="6" xfId="1" applyNumberFormat="1" applyFont="1" applyBorder="1" applyAlignment="1">
      <alignment vertical="center"/>
    </xf>
    <xf numFmtId="165" fontId="0" fillId="0" borderId="19" xfId="1" applyNumberFormat="1" applyFont="1" applyBorder="1"/>
    <xf numFmtId="165" fontId="0" fillId="0" borderId="18" xfId="0" applyNumberFormat="1" applyFill="1" applyBorder="1" applyAlignment="1">
      <alignment vertical="center"/>
    </xf>
    <xf numFmtId="165" fontId="0" fillId="0" borderId="19" xfId="0" applyNumberFormat="1" applyFill="1" applyBorder="1" applyAlignment="1">
      <alignment vertical="center"/>
    </xf>
    <xf numFmtId="0" fontId="7" fillId="0" borderId="0" xfId="3"/>
    <xf numFmtId="0" fontId="13" fillId="0" borderId="0" xfId="3" applyFont="1" applyBorder="1"/>
    <xf numFmtId="0" fontId="13" fillId="0" borderId="16" xfId="3" applyFont="1" applyBorder="1"/>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2" xfId="3" applyFont="1" applyFill="1" applyBorder="1" applyAlignment="1">
      <alignment horizontal="center" vertical="center"/>
    </xf>
    <xf numFmtId="0" fontId="11" fillId="3" borderId="30" xfId="3" applyFont="1" applyFill="1" applyBorder="1" applyAlignment="1">
      <alignment horizontal="center" vertical="center"/>
    </xf>
    <xf numFmtId="0" fontId="7" fillId="0" borderId="7" xfId="3" applyBorder="1" applyAlignment="1">
      <alignment horizontal="left"/>
    </xf>
    <xf numFmtId="0" fontId="7" fillId="0" borderId="31" xfId="3" applyBorder="1"/>
    <xf numFmtId="169" fontId="0" fillId="0" borderId="0" xfId="9" applyNumberFormat="1" applyFont="1"/>
    <xf numFmtId="0" fontId="7" fillId="0" borderId="2" xfId="3" applyBorder="1" applyAlignment="1">
      <alignment horizontal="left"/>
    </xf>
    <xf numFmtId="169" fontId="0" fillId="0" borderId="1" xfId="9" applyNumberFormat="1" applyFont="1" applyBorder="1"/>
    <xf numFmtId="0" fontId="7" fillId="0" borderId="32" xfId="3" applyBorder="1"/>
    <xf numFmtId="0" fontId="7" fillId="0" borderId="13" xfId="3" applyBorder="1" applyAlignment="1">
      <alignment horizontal="left"/>
    </xf>
    <xf numFmtId="0" fontId="7" fillId="0" borderId="33" xfId="3" applyBorder="1"/>
    <xf numFmtId="0" fontId="11" fillId="0" borderId="24" xfId="3" applyFont="1" applyBorder="1"/>
    <xf numFmtId="10" fontId="11" fillId="0" borderId="25" xfId="6" applyNumberFormat="1" applyFont="1" applyBorder="1"/>
    <xf numFmtId="10" fontId="11" fillId="0" borderId="26" xfId="6" applyNumberFormat="1" applyFont="1" applyBorder="1"/>
    <xf numFmtId="10" fontId="7" fillId="0" borderId="33" xfId="3" applyNumberFormat="1" applyBorder="1"/>
    <xf numFmtId="169" fontId="7" fillId="0" borderId="0" xfId="3" applyNumberFormat="1"/>
    <xf numFmtId="0" fontId="5" fillId="3" borderId="10" xfId="3" applyFont="1" applyFill="1" applyBorder="1" applyAlignment="1">
      <alignment horizontal="center" vertical="center"/>
    </xf>
    <xf numFmtId="0" fontId="5" fillId="3" borderId="12" xfId="3" applyFont="1" applyFill="1" applyBorder="1" applyAlignment="1">
      <alignment horizontal="center" vertical="center" wrapText="1"/>
    </xf>
    <xf numFmtId="3" fontId="7" fillId="0" borderId="1" xfId="3" applyNumberFormat="1" applyBorder="1"/>
    <xf numFmtId="3" fontId="7" fillId="0" borderId="3" xfId="3" applyNumberFormat="1" applyBorder="1"/>
    <xf numFmtId="0" fontId="7" fillId="0" borderId="14" xfId="3" applyBorder="1"/>
    <xf numFmtId="3" fontId="7" fillId="0" borderId="15" xfId="3" applyNumberFormat="1" applyBorder="1"/>
    <xf numFmtId="0" fontId="11" fillId="3" borderId="17" xfId="3" applyFont="1" applyFill="1" applyBorder="1"/>
    <xf numFmtId="169" fontId="11" fillId="3" borderId="18" xfId="9" applyNumberFormat="1" applyFont="1" applyFill="1" applyBorder="1"/>
    <xf numFmtId="169" fontId="11" fillId="3" borderId="19" xfId="9" applyNumberFormat="1" applyFont="1" applyFill="1" applyBorder="1"/>
    <xf numFmtId="0" fontId="7" fillId="0" borderId="13" xfId="3" applyBorder="1"/>
    <xf numFmtId="167" fontId="0" fillId="0" borderId="14" xfId="6" applyNumberFormat="1" applyFont="1" applyBorder="1"/>
    <xf numFmtId="169" fontId="7" fillId="0" borderId="15" xfId="3" applyNumberFormat="1" applyBorder="1"/>
    <xf numFmtId="10" fontId="0" fillId="0" borderId="14" xfId="6" applyNumberFormat="1" applyFont="1" applyBorder="1"/>
    <xf numFmtId="0" fontId="7" fillId="0" borderId="15" xfId="3" applyBorder="1"/>
    <xf numFmtId="169" fontId="7" fillId="0" borderId="3" xfId="3" applyNumberFormat="1" applyBorder="1"/>
    <xf numFmtId="0" fontId="15" fillId="0" borderId="13" xfId="3" applyFont="1" applyBorder="1"/>
    <xf numFmtId="169" fontId="15" fillId="0" borderId="14" xfId="9" applyNumberFormat="1" applyFont="1" applyBorder="1"/>
    <xf numFmtId="169" fontId="15" fillId="0" borderId="15" xfId="3" applyNumberFormat="1" applyFont="1" applyBorder="1"/>
    <xf numFmtId="0" fontId="11" fillId="4" borderId="10" xfId="3" applyFont="1" applyFill="1" applyBorder="1"/>
    <xf numFmtId="169" fontId="11" fillId="4" borderId="11" xfId="9" applyNumberFormat="1" applyFont="1" applyFill="1" applyBorder="1"/>
    <xf numFmtId="169" fontId="11" fillId="4" borderId="12" xfId="9" applyNumberFormat="1" applyFont="1" applyFill="1" applyBorder="1"/>
    <xf numFmtId="169" fontId="11" fillId="4" borderId="30" xfId="9" applyNumberFormat="1" applyFont="1" applyFill="1" applyBorder="1"/>
    <xf numFmtId="0" fontId="11" fillId="4" borderId="17" xfId="3" applyFont="1" applyFill="1" applyBorder="1"/>
    <xf numFmtId="0" fontId="11" fillId="4" borderId="18" xfId="3" applyFont="1" applyFill="1" applyBorder="1"/>
    <xf numFmtId="169" fontId="11" fillId="4" borderId="18" xfId="9" applyNumberFormat="1" applyFont="1" applyFill="1" applyBorder="1"/>
    <xf numFmtId="0" fontId="11" fillId="4" borderId="19" xfId="3" applyFont="1" applyFill="1" applyBorder="1"/>
    <xf numFmtId="0" fontId="11" fillId="4" borderId="7" xfId="3" applyFont="1" applyFill="1" applyBorder="1"/>
    <xf numFmtId="0" fontId="11" fillId="4" borderId="8" xfId="3" applyFont="1" applyFill="1" applyBorder="1"/>
    <xf numFmtId="169" fontId="11" fillId="4" borderId="8" xfId="9" applyNumberFormat="1" applyFont="1" applyFill="1" applyBorder="1"/>
    <xf numFmtId="0" fontId="11" fillId="4" borderId="9" xfId="3" applyFont="1" applyFill="1" applyBorder="1"/>
    <xf numFmtId="0" fontId="7" fillId="0" borderId="0" xfId="3" applyFont="1"/>
    <xf numFmtId="170" fontId="0" fillId="0" borderId="1" xfId="0" applyNumberFormat="1" applyBorder="1"/>
    <xf numFmtId="171" fontId="0" fillId="0" borderId="3" xfId="0" applyNumberFormat="1" applyBorder="1"/>
    <xf numFmtId="170" fontId="0" fillId="0" borderId="14" xfId="0" applyNumberFormat="1" applyBorder="1"/>
    <xf numFmtId="165" fontId="5" fillId="0" borderId="11" xfId="1" applyNumberFormat="1" applyFont="1" applyBorder="1"/>
    <xf numFmtId="171" fontId="0" fillId="0" borderId="0" xfId="0" applyNumberFormat="1"/>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xf numFmtId="0" fontId="0" fillId="3" borderId="10" xfId="0" applyFill="1" applyBorder="1" applyAlignment="1">
      <alignment horizontal="center" vertical="center" wrapText="1"/>
    </xf>
    <xf numFmtId="0" fontId="5" fillId="3" borderId="11" xfId="0" applyFont="1" applyFill="1" applyBorder="1"/>
    <xf numFmtId="165" fontId="5" fillId="3" borderId="11" xfId="1" applyNumberFormat="1" applyFont="1" applyFill="1" applyBorder="1"/>
    <xf numFmtId="165" fontId="5" fillId="3" borderId="12" xfId="1" applyNumberFormat="1" applyFont="1" applyFill="1" applyBorder="1"/>
    <xf numFmtId="0" fontId="0" fillId="0" borderId="8" xfId="0" applyFont="1" applyBorder="1"/>
    <xf numFmtId="10" fontId="4" fillId="0" borderId="8" xfId="2" applyNumberFormat="1" applyFont="1" applyBorder="1"/>
    <xf numFmtId="10" fontId="4" fillId="0" borderId="9" xfId="2" applyNumberFormat="1" applyFont="1" applyBorder="1"/>
    <xf numFmtId="0" fontId="0" fillId="0" borderId="14" xfId="0" applyFill="1" applyBorder="1"/>
    <xf numFmtId="170" fontId="0" fillId="0" borderId="15" xfId="0" applyNumberFormat="1" applyBorder="1"/>
    <xf numFmtId="170" fontId="5" fillId="5" borderId="11" xfId="0" applyNumberFormat="1" applyFont="1" applyFill="1" applyBorder="1"/>
    <xf numFmtId="170" fontId="5" fillId="5" borderId="12" xfId="0" applyNumberFormat="1" applyFont="1" applyFill="1" applyBorder="1"/>
    <xf numFmtId="0" fontId="0" fillId="0" borderId="8" xfId="0" applyBorder="1" applyAlignment="1">
      <alignment vertical="center" wrapText="1"/>
    </xf>
    <xf numFmtId="172" fontId="0" fillId="0" borderId="8" xfId="0" applyNumberFormat="1" applyBorder="1" applyAlignment="1">
      <alignment vertical="center"/>
    </xf>
    <xf numFmtId="172" fontId="0" fillId="0" borderId="9" xfId="0" applyNumberFormat="1" applyBorder="1" applyAlignment="1">
      <alignment vertical="center"/>
    </xf>
    <xf numFmtId="0" fontId="0" fillId="0" borderId="1" xfId="0" applyBorder="1" applyAlignment="1">
      <alignment vertical="center" wrapText="1"/>
    </xf>
    <xf numFmtId="172" fontId="0" fillId="0" borderId="1" xfId="0" applyNumberFormat="1" applyBorder="1" applyAlignment="1">
      <alignment vertical="center"/>
    </xf>
    <xf numFmtId="172" fontId="0" fillId="0" borderId="3" xfId="0" applyNumberFormat="1" applyBorder="1" applyAlignment="1">
      <alignment vertical="center"/>
    </xf>
    <xf numFmtId="0" fontId="0" fillId="0" borderId="14" xfId="0" applyBorder="1" applyAlignment="1">
      <alignment vertical="center" wrapText="1"/>
    </xf>
    <xf numFmtId="172" fontId="0" fillId="0" borderId="14" xfId="0" applyNumberFormat="1" applyBorder="1" applyAlignment="1">
      <alignment vertical="center"/>
    </xf>
    <xf numFmtId="172" fontId="0" fillId="0" borderId="15" xfId="0" applyNumberFormat="1" applyBorder="1" applyAlignment="1">
      <alignment vertical="center"/>
    </xf>
    <xf numFmtId="0" fontId="5" fillId="5" borderId="11" xfId="0" applyFont="1" applyFill="1" applyBorder="1" applyAlignment="1">
      <alignment vertical="center"/>
    </xf>
    <xf numFmtId="172" fontId="5" fillId="5" borderId="11" xfId="0" applyNumberFormat="1" applyFont="1" applyFill="1" applyBorder="1" applyAlignment="1">
      <alignment vertical="center"/>
    </xf>
    <xf numFmtId="172" fontId="5" fillId="5" borderId="12" xfId="0" applyNumberFormat="1" applyFont="1" applyFill="1" applyBorder="1" applyAlignment="1">
      <alignment vertical="center"/>
    </xf>
    <xf numFmtId="0" fontId="0" fillId="0" borderId="0" xfId="0" applyAlignment="1">
      <alignment horizontal="center"/>
    </xf>
    <xf numFmtId="0" fontId="0" fillId="0" borderId="1" xfId="0" applyBorder="1" applyAlignment="1">
      <alignment horizontal="left" indent="2"/>
    </xf>
    <xf numFmtId="0" fontId="0" fillId="2" borderId="17" xfId="0" applyFill="1" applyBorder="1" applyAlignment="1">
      <alignment horizontal="center"/>
    </xf>
    <xf numFmtId="0" fontId="17" fillId="2" borderId="18" xfId="0" applyFont="1" applyFill="1" applyBorder="1"/>
    <xf numFmtId="0" fontId="0" fillId="2" borderId="18" xfId="0" applyFill="1" applyBorder="1"/>
    <xf numFmtId="0" fontId="0" fillId="2" borderId="19" xfId="0" applyFill="1" applyBorder="1"/>
    <xf numFmtId="0" fontId="5" fillId="0" borderId="10" xfId="0" applyFont="1" applyBorder="1" applyAlignment="1">
      <alignment horizontal="center"/>
    </xf>
    <xf numFmtId="0" fontId="5" fillId="3" borderId="10" xfId="0" applyFont="1" applyFill="1" applyBorder="1" applyAlignment="1">
      <alignment horizontal="center"/>
    </xf>
    <xf numFmtId="171" fontId="5" fillId="3" borderId="12" xfId="0" applyNumberFormat="1" applyFont="1" applyFill="1" applyBorder="1"/>
    <xf numFmtId="165" fontId="5" fillId="3" borderId="5" xfId="1"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170" fontId="5" fillId="3" borderId="5" xfId="0" applyNumberFormat="1" applyFont="1" applyFill="1" applyBorder="1" applyAlignment="1">
      <alignment horizontal="center" vertical="center" wrapText="1"/>
    </xf>
    <xf numFmtId="171" fontId="5" fillId="3" borderId="6" xfId="0" applyNumberFormat="1" applyFont="1" applyFill="1" applyBorder="1" applyAlignment="1">
      <alignment horizontal="center" vertical="center" wrapText="1"/>
    </xf>
    <xf numFmtId="0" fontId="10" fillId="2" borderId="23" xfId="0" applyFont="1" applyFill="1" applyBorder="1"/>
    <xf numFmtId="0" fontId="5" fillId="3" borderId="20" xfId="0" applyFont="1" applyFill="1" applyBorder="1"/>
    <xf numFmtId="165" fontId="5" fillId="3" borderId="4" xfId="1" applyNumberFormat="1" applyFont="1" applyFill="1" applyBorder="1" applyAlignment="1">
      <alignment horizontal="center" vertical="center" wrapText="1"/>
    </xf>
    <xf numFmtId="165" fontId="0" fillId="2" borderId="17" xfId="1" applyNumberFormat="1" applyFont="1" applyFill="1" applyBorder="1"/>
    <xf numFmtId="165" fontId="5" fillId="3" borderId="10" xfId="1" applyNumberFormat="1" applyFont="1" applyFill="1" applyBorder="1"/>
    <xf numFmtId="0" fontId="5" fillId="3" borderId="4" xfId="0" applyFont="1" applyFill="1" applyBorder="1" applyAlignment="1">
      <alignment horizontal="center" vertical="center" wrapText="1"/>
    </xf>
    <xf numFmtId="0" fontId="0" fillId="2" borderId="17" xfId="0" applyFill="1" applyBorder="1"/>
    <xf numFmtId="0" fontId="8" fillId="7" borderId="10" xfId="0" applyFont="1" applyFill="1" applyBorder="1" applyAlignment="1">
      <alignment horizontal="center"/>
    </xf>
    <xf numFmtId="0" fontId="8" fillId="7" borderId="11" xfId="0" applyFont="1" applyFill="1" applyBorder="1"/>
    <xf numFmtId="165" fontId="8" fillId="7" borderId="11" xfId="1" applyNumberFormat="1" applyFont="1" applyFill="1" applyBorder="1"/>
    <xf numFmtId="171" fontId="8" fillId="7" borderId="11" xfId="0" applyNumberFormat="1" applyFont="1" applyFill="1" applyBorder="1"/>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170" fontId="0" fillId="0" borderId="5" xfId="0" applyNumberFormat="1" applyBorder="1"/>
    <xf numFmtId="170" fontId="0" fillId="0" borderId="6" xfId="0" applyNumberFormat="1" applyBorder="1"/>
    <xf numFmtId="170" fontId="0" fillId="0" borderId="8" xfId="0" applyNumberFormat="1" applyBorder="1"/>
    <xf numFmtId="170" fontId="0" fillId="0" borderId="9" xfId="0" applyNumberFormat="1" applyBorder="1"/>
    <xf numFmtId="0" fontId="5" fillId="3" borderId="5" xfId="0" applyFont="1" applyFill="1" applyBorder="1" applyAlignment="1">
      <alignment horizontal="center" vertical="center"/>
    </xf>
    <xf numFmtId="166" fontId="0" fillId="0" borderId="8" xfId="1" applyNumberFormat="1" applyFont="1" applyBorder="1"/>
    <xf numFmtId="166" fontId="0" fillId="0" borderId="5" xfId="1" applyNumberFormat="1" applyFont="1" applyBorder="1"/>
    <xf numFmtId="166" fontId="0" fillId="0" borderId="6" xfId="1" applyNumberFormat="1" applyFont="1" applyBorder="1"/>
    <xf numFmtId="165" fontId="5" fillId="0" borderId="12" xfId="1" applyNumberFormat="1" applyFont="1" applyBorder="1"/>
    <xf numFmtId="0" fontId="5" fillId="3" borderId="6" xfId="0" applyFont="1" applyFill="1" applyBorder="1" applyAlignment="1">
      <alignment horizontal="center" vertical="center"/>
    </xf>
    <xf numFmtId="173" fontId="0" fillId="0" borderId="0" xfId="5" applyNumberFormat="1" applyFont="1"/>
    <xf numFmtId="0" fontId="18" fillId="3" borderId="10" xfId="0" applyFont="1" applyFill="1" applyBorder="1"/>
    <xf numFmtId="0" fontId="0" fillId="0" borderId="17" xfId="0" applyBorder="1" applyAlignment="1">
      <alignment horizontal="left" vertical="center" wrapText="1"/>
    </xf>
    <xf numFmtId="167" fontId="0" fillId="0" borderId="18" xfId="2" applyNumberFormat="1" applyFont="1" applyBorder="1" applyAlignment="1">
      <alignment vertical="center"/>
    </xf>
    <xf numFmtId="167" fontId="0" fillId="0" borderId="18" xfId="2" applyNumberFormat="1" applyFont="1" applyFill="1" applyBorder="1" applyAlignment="1">
      <alignment vertical="center"/>
    </xf>
    <xf numFmtId="167" fontId="0" fillId="0" borderId="19" xfId="0" applyNumberFormat="1" applyBorder="1" applyAlignment="1">
      <alignment vertical="center"/>
    </xf>
    <xf numFmtId="0" fontId="19" fillId="0" borderId="17" xfId="0" applyFont="1" applyBorder="1" applyAlignment="1">
      <alignment vertical="center"/>
    </xf>
    <xf numFmtId="0" fontId="0" fillId="0" borderId="2" xfId="0" applyFill="1" applyBorder="1" applyAlignment="1">
      <alignment horizontal="left" vertical="center"/>
    </xf>
    <xf numFmtId="165" fontId="0" fillId="0" borderId="3" xfId="0" applyNumberFormat="1" applyFill="1" applyBorder="1" applyAlignment="1">
      <alignment vertical="center"/>
    </xf>
    <xf numFmtId="0" fontId="0" fillId="0" borderId="4" xfId="0" applyFill="1" applyBorder="1" applyAlignment="1">
      <alignment horizontal="left" vertical="center"/>
    </xf>
    <xf numFmtId="0" fontId="5" fillId="2" borderId="18" xfId="0" applyFont="1" applyFill="1" applyBorder="1"/>
    <xf numFmtId="168" fontId="5" fillId="3" borderId="11" xfId="2" applyNumberFormat="1" applyFont="1" applyFill="1" applyBorder="1"/>
    <xf numFmtId="0" fontId="5" fillId="3" borderId="5" xfId="0" applyFont="1" applyFill="1" applyBorder="1" applyAlignment="1">
      <alignment horizontal="center" vertical="center"/>
    </xf>
    <xf numFmtId="0" fontId="5" fillId="0" borderId="20" xfId="0" applyFont="1" applyBorder="1"/>
    <xf numFmtId="0" fontId="5" fillId="3" borderId="38" xfId="0" applyFont="1" applyFill="1" applyBorder="1" applyAlignment="1">
      <alignment horizontal="center" vertical="center"/>
    </xf>
    <xf numFmtId="165" fontId="0" fillId="0" borderId="43" xfId="1" applyNumberFormat="1" applyFont="1" applyBorder="1"/>
    <xf numFmtId="165" fontId="5" fillId="0" borderId="44" xfId="1" applyNumberFormat="1" applyFont="1" applyBorder="1"/>
    <xf numFmtId="0" fontId="5" fillId="3" borderId="4" xfId="0" applyFont="1" applyFill="1" applyBorder="1" applyAlignment="1">
      <alignment horizontal="center" vertical="center"/>
    </xf>
    <xf numFmtId="165" fontId="5" fillId="0" borderId="10" xfId="1" applyNumberFormat="1" applyFont="1" applyBorder="1"/>
    <xf numFmtId="0" fontId="5" fillId="2" borderId="19" xfId="0" applyFont="1" applyFill="1" applyBorder="1"/>
    <xf numFmtId="0" fontId="16" fillId="3" borderId="10" xfId="3" applyFont="1" applyFill="1" applyBorder="1"/>
    <xf numFmtId="169" fontId="16" fillId="3" borderId="11" xfId="9" applyNumberFormat="1" applyFont="1" applyFill="1" applyBorder="1"/>
    <xf numFmtId="169" fontId="16" fillId="3" borderId="12" xfId="3" applyNumberFormat="1" applyFont="1" applyFill="1" applyBorder="1"/>
    <xf numFmtId="0" fontId="11" fillId="2" borderId="18" xfId="3" applyFont="1" applyFill="1" applyBorder="1"/>
    <xf numFmtId="0" fontId="20" fillId="3" borderId="10" xfId="0" applyFont="1" applyFill="1" applyBorder="1" applyAlignment="1">
      <alignment horizontal="left"/>
    </xf>
    <xf numFmtId="172" fontId="0" fillId="0" borderId="0" xfId="0" applyNumberFormat="1"/>
    <xf numFmtId="0" fontId="5" fillId="2" borderId="17" xfId="0" applyFont="1" applyFill="1" applyBorder="1" applyAlignment="1">
      <alignment horizontal="center"/>
    </xf>
    <xf numFmtId="0" fontId="11" fillId="3" borderId="11" xfId="3" applyFont="1" applyFill="1" applyBorder="1"/>
    <xf numFmtId="0" fontId="5" fillId="4" borderId="39" xfId="0" applyFont="1" applyFill="1" applyBorder="1" applyAlignment="1">
      <alignment horizontal="center" vertical="center"/>
    </xf>
    <xf numFmtId="0" fontId="5" fillId="4" borderId="40" xfId="0" applyFont="1" applyFill="1" applyBorder="1" applyAlignment="1">
      <alignment vertical="center"/>
    </xf>
    <xf numFmtId="165" fontId="5" fillId="4" borderId="40" xfId="1" applyNumberFormat="1" applyFont="1" applyFill="1" applyBorder="1" applyAlignment="1">
      <alignment vertical="center"/>
    </xf>
    <xf numFmtId="165" fontId="5" fillId="2" borderId="18" xfId="1" applyNumberFormat="1" applyFont="1" applyFill="1" applyBorder="1"/>
    <xf numFmtId="0" fontId="5" fillId="2" borderId="23" xfId="0" applyFont="1" applyFill="1" applyBorder="1"/>
    <xf numFmtId="0" fontId="11" fillId="3" borderId="20" xfId="3" applyFont="1" applyFill="1" applyBorder="1"/>
    <xf numFmtId="0" fontId="11" fillId="2" borderId="23" xfId="3" applyFont="1" applyFill="1" applyBorder="1"/>
    <xf numFmtId="0" fontId="5" fillId="4" borderId="48" xfId="0" applyFont="1" applyFill="1" applyBorder="1" applyAlignment="1">
      <alignment vertical="center"/>
    </xf>
    <xf numFmtId="0" fontId="5" fillId="2" borderId="17" xfId="0" applyFont="1" applyFill="1" applyBorder="1"/>
    <xf numFmtId="165" fontId="5" fillId="2" borderId="17" xfId="1" applyNumberFormat="1" applyFont="1" applyFill="1" applyBorder="1"/>
    <xf numFmtId="165" fontId="5" fillId="2" borderId="19" xfId="1" applyNumberFormat="1" applyFont="1" applyFill="1" applyBorder="1"/>
    <xf numFmtId="165" fontId="5" fillId="4" borderId="39" xfId="1" applyNumberFormat="1" applyFont="1" applyFill="1" applyBorder="1" applyAlignment="1">
      <alignment vertical="center"/>
    </xf>
    <xf numFmtId="165" fontId="5" fillId="4" borderId="46" xfId="1" applyNumberFormat="1" applyFont="1" applyFill="1" applyBorder="1" applyAlignment="1">
      <alignment vertical="center"/>
    </xf>
    <xf numFmtId="0" fontId="6" fillId="0" borderId="16" xfId="0" applyFont="1" applyBorder="1" applyAlignment="1">
      <alignment horizontal="left"/>
    </xf>
    <xf numFmtId="0" fontId="10" fillId="8" borderId="27" xfId="0" applyFont="1" applyFill="1" applyBorder="1" applyAlignment="1">
      <alignment horizontal="center" vertical="center"/>
    </xf>
    <xf numFmtId="0" fontId="10" fillId="8" borderId="49" xfId="0" applyFont="1" applyFill="1" applyBorder="1" applyAlignment="1">
      <alignment vertical="center"/>
    </xf>
    <xf numFmtId="165" fontId="10" fillId="8" borderId="27" xfId="1" applyNumberFormat="1" applyFont="1" applyFill="1" applyBorder="1" applyAlignment="1">
      <alignment vertical="center"/>
    </xf>
    <xf numFmtId="165" fontId="10" fillId="8" borderId="28" xfId="1" applyNumberFormat="1" applyFont="1" applyFill="1" applyBorder="1" applyAlignment="1">
      <alignment vertical="center"/>
    </xf>
    <xf numFmtId="165" fontId="10" fillId="8" borderId="29" xfId="1" applyNumberFormat="1" applyFont="1" applyFill="1" applyBorder="1" applyAlignment="1">
      <alignment vertical="center"/>
    </xf>
    <xf numFmtId="0" fontId="21" fillId="8" borderId="28" xfId="0" applyFont="1" applyFill="1" applyBorder="1" applyAlignment="1">
      <alignment horizontal="left" vertical="center"/>
    </xf>
    <xf numFmtId="174" fontId="7" fillId="0" borderId="0" xfId="3" applyNumberFormat="1"/>
    <xf numFmtId="0" fontId="22" fillId="0" borderId="0" xfId="10"/>
    <xf numFmtId="0" fontId="5" fillId="3" borderId="4" xfId="0" applyFont="1" applyFill="1" applyBorder="1" applyAlignment="1">
      <alignment horizontal="center" vertical="center"/>
    </xf>
    <xf numFmtId="0" fontId="0" fillId="0" borderId="51" xfId="0" applyBorder="1" applyAlignment="1">
      <alignment horizontal="center"/>
    </xf>
    <xf numFmtId="0" fontId="5" fillId="0" borderId="36" xfId="0" applyFont="1" applyBorder="1" applyAlignment="1">
      <alignment horizontal="center"/>
    </xf>
    <xf numFmtId="0" fontId="5" fillId="0" borderId="50" xfId="0" applyFont="1" applyBorder="1"/>
    <xf numFmtId="169" fontId="0" fillId="0" borderId="1" xfId="9" applyNumberFormat="1" applyFont="1" applyFill="1" applyBorder="1"/>
    <xf numFmtId="0" fontId="0" fillId="0" borderId="0" xfId="0" applyAlignment="1">
      <alignment horizontal="left"/>
    </xf>
    <xf numFmtId="0" fontId="0" fillId="9" borderId="0" xfId="0" applyFill="1"/>
    <xf numFmtId="165" fontId="0" fillId="0" borderId="28" xfId="0" applyNumberFormat="1" applyBorder="1"/>
    <xf numFmtId="166" fontId="0" fillId="0" borderId="15" xfId="0" applyNumberFormat="1" applyBorder="1"/>
    <xf numFmtId="165" fontId="0" fillId="0" borderId="14" xfId="0" applyNumberFormat="1" applyBorder="1"/>
    <xf numFmtId="0" fontId="24" fillId="0" borderId="0" xfId="0" applyFont="1"/>
    <xf numFmtId="10" fontId="0" fillId="0" borderId="9" xfId="2" applyNumberFormat="1" applyFont="1" applyBorder="1"/>
    <xf numFmtId="0" fontId="0" fillId="0" borderId="0" xfId="0" applyBorder="1" applyAlignment="1">
      <alignment horizontal="left"/>
    </xf>
    <xf numFmtId="165" fontId="0" fillId="0" borderId="0" xfId="0" applyNumberFormat="1" applyBorder="1"/>
    <xf numFmtId="0" fontId="0" fillId="0" borderId="29" xfId="0" applyBorder="1"/>
    <xf numFmtId="165" fontId="0" fillId="0" borderId="53" xfId="1" applyNumberFormat="1" applyFont="1" applyBorder="1"/>
    <xf numFmtId="165" fontId="0" fillId="0" borderId="52" xfId="1" applyNumberFormat="1" applyFont="1" applyBorder="1"/>
    <xf numFmtId="0" fontId="0" fillId="0" borderId="52" xfId="0" applyBorder="1"/>
    <xf numFmtId="165" fontId="0" fillId="0" borderId="52" xfId="0" applyNumberFormat="1" applyBorder="1"/>
    <xf numFmtId="165" fontId="5" fillId="3" borderId="52" xfId="1" applyNumberFormat="1" applyFont="1" applyFill="1" applyBorder="1"/>
    <xf numFmtId="0" fontId="0" fillId="0" borderId="17" xfId="0" applyBorder="1" applyAlignment="1">
      <alignment horizontal="center"/>
    </xf>
    <xf numFmtId="10" fontId="0" fillId="0" borderId="19" xfId="2" applyNumberFormat="1" applyFont="1" applyBorder="1"/>
    <xf numFmtId="165" fontId="0" fillId="0" borderId="40" xfId="1" applyNumberFormat="1" applyFont="1" applyBorder="1"/>
    <xf numFmtId="0" fontId="6" fillId="10" borderId="24" xfId="0" applyFont="1" applyFill="1" applyBorder="1"/>
    <xf numFmtId="0" fontId="0" fillId="10" borderId="25" xfId="0" applyFill="1" applyBorder="1"/>
    <xf numFmtId="0" fontId="0" fillId="10" borderId="26" xfId="0" applyFill="1" applyBorder="1"/>
    <xf numFmtId="0" fontId="6" fillId="10" borderId="2" xfId="0" applyFont="1" applyFill="1" applyBorder="1"/>
    <xf numFmtId="0" fontId="5" fillId="10" borderId="1" xfId="0" applyFont="1" applyFill="1" applyBorder="1"/>
    <xf numFmtId="0" fontId="5" fillId="10" borderId="3" xfId="0" applyFont="1" applyFill="1" applyBorder="1" applyAlignment="1">
      <alignment wrapText="1"/>
    </xf>
    <xf numFmtId="0" fontId="6" fillId="10" borderId="7" xfId="0" applyFont="1" applyFill="1" applyBorder="1" applyAlignment="1">
      <alignment horizontal="left"/>
    </xf>
    <xf numFmtId="0" fontId="5" fillId="10" borderId="8" xfId="0" applyFont="1" applyFill="1" applyBorder="1"/>
    <xf numFmtId="0" fontId="5" fillId="10" borderId="9" xfId="0" applyFont="1" applyFill="1" applyBorder="1"/>
    <xf numFmtId="0" fontId="6" fillId="10" borderId="10" xfId="0" applyFont="1" applyFill="1" applyBorder="1" applyAlignment="1">
      <alignment horizontal="left"/>
    </xf>
    <xf numFmtId="0" fontId="5" fillId="10" borderId="11" xfId="0" applyFont="1" applyFill="1" applyBorder="1"/>
    <xf numFmtId="0" fontId="5" fillId="10" borderId="12" xfId="0" applyFont="1" applyFill="1" applyBorder="1"/>
    <xf numFmtId="0" fontId="5" fillId="10" borderId="10" xfId="0" applyFont="1" applyFill="1" applyBorder="1" applyAlignment="1">
      <alignment horizontal="center" vertical="center" wrapText="1"/>
    </xf>
    <xf numFmtId="0" fontId="5" fillId="10" borderId="50" xfId="0" applyFont="1" applyFill="1" applyBorder="1" applyAlignment="1">
      <alignment horizontal="center" vertical="center" wrapText="1"/>
    </xf>
    <xf numFmtId="0" fontId="0" fillId="0" borderId="50" xfId="0" applyBorder="1" applyAlignment="1">
      <alignment horizontal="center"/>
    </xf>
    <xf numFmtId="175" fontId="0" fillId="0" borderId="50" xfId="0" applyNumberFormat="1" applyBorder="1" applyAlignment="1">
      <alignment horizontal="center"/>
    </xf>
    <xf numFmtId="167" fontId="0" fillId="0" borderId="50" xfId="2" applyNumberFormat="1" applyFont="1" applyBorder="1" applyAlignment="1">
      <alignment horizontal="center"/>
    </xf>
    <xf numFmtId="0" fontId="23" fillId="0" borderId="50" xfId="0" applyFont="1" applyBorder="1" applyAlignment="1">
      <alignment horizontal="center"/>
    </xf>
    <xf numFmtId="175" fontId="23" fillId="0" borderId="50" xfId="0" applyNumberFormat="1" applyFont="1" applyBorder="1" applyAlignment="1">
      <alignment horizontal="center"/>
    </xf>
    <xf numFmtId="167" fontId="23" fillId="0" borderId="50" xfId="2" applyNumberFormat="1" applyFont="1" applyBorder="1" applyAlignment="1">
      <alignment horizontal="center"/>
    </xf>
    <xf numFmtId="0" fontId="13" fillId="4" borderId="24" xfId="3" applyFont="1" applyFill="1" applyBorder="1"/>
    <xf numFmtId="0" fontId="13" fillId="4" borderId="25" xfId="3" applyFont="1" applyFill="1" applyBorder="1"/>
    <xf numFmtId="0" fontId="13" fillId="4" borderId="26" xfId="3" applyFont="1" applyFill="1" applyBorder="1"/>
    <xf numFmtId="0" fontId="5" fillId="4" borderId="18" xfId="0" applyFont="1" applyFill="1" applyBorder="1"/>
    <xf numFmtId="0" fontId="6" fillId="4" borderId="27" xfId="0" applyFont="1" applyFill="1" applyBorder="1" applyAlignment="1">
      <alignment horizontal="left"/>
    </xf>
    <xf numFmtId="0" fontId="5" fillId="4" borderId="28" xfId="0" applyFont="1" applyFill="1" applyBorder="1"/>
    <xf numFmtId="43" fontId="5" fillId="4" borderId="28" xfId="0" applyNumberFormat="1" applyFont="1" applyFill="1" applyBorder="1"/>
    <xf numFmtId="0" fontId="5" fillId="4" borderId="29" xfId="0" applyFont="1" applyFill="1" applyBorder="1"/>
    <xf numFmtId="0" fontId="6" fillId="4" borderId="7" xfId="0" applyFont="1" applyFill="1" applyBorder="1" applyAlignment="1">
      <alignment horizontal="left"/>
    </xf>
    <xf numFmtId="0" fontId="5" fillId="4" borderId="8" xfId="0" applyFont="1" applyFill="1" applyBorder="1"/>
    <xf numFmtId="0" fontId="5" fillId="4" borderId="9" xfId="0" applyFont="1" applyFill="1" applyBorder="1"/>
    <xf numFmtId="0" fontId="6" fillId="4" borderId="17" xfId="0" applyFont="1" applyFill="1" applyBorder="1" applyAlignment="1">
      <alignment horizontal="left"/>
    </xf>
    <xf numFmtId="0" fontId="5" fillId="4" borderId="19" xfId="0" applyFont="1" applyFill="1" applyBorder="1"/>
    <xf numFmtId="0" fontId="13" fillId="4" borderId="36" xfId="3" applyFont="1" applyFill="1" applyBorder="1"/>
    <xf numFmtId="0" fontId="7" fillId="4" borderId="37" xfId="3" applyFill="1" applyBorder="1"/>
    <xf numFmtId="169" fontId="0" fillId="4" borderId="37" xfId="9" applyNumberFormat="1" applyFont="1" applyFill="1" applyBorder="1"/>
    <xf numFmtId="0" fontId="7" fillId="4" borderId="30" xfId="3" applyFill="1" applyBorder="1"/>
    <xf numFmtId="0" fontId="11" fillId="4" borderId="27" xfId="3" applyFont="1" applyFill="1" applyBorder="1" applyAlignment="1">
      <alignment horizontal="left" vertical="center"/>
    </xf>
    <xf numFmtId="0" fontId="11" fillId="4" borderId="28" xfId="3" applyFont="1" applyFill="1" applyBorder="1" applyAlignment="1">
      <alignment horizontal="center" vertical="center"/>
    </xf>
    <xf numFmtId="0" fontId="11" fillId="4" borderId="29" xfId="3" applyFont="1" applyFill="1" applyBorder="1" applyAlignment="1">
      <alignment horizontal="center" vertical="center"/>
    </xf>
    <xf numFmtId="0" fontId="11" fillId="4" borderId="35" xfId="3" applyFont="1" applyFill="1" applyBorder="1" applyAlignment="1">
      <alignment horizontal="center" vertical="center"/>
    </xf>
    <xf numFmtId="169" fontId="11" fillId="4" borderId="12" xfId="3" applyNumberFormat="1" applyFont="1" applyFill="1" applyBorder="1"/>
    <xf numFmtId="0" fontId="6" fillId="4" borderId="7" xfId="0" applyFont="1" applyFill="1" applyBorder="1"/>
    <xf numFmtId="0" fontId="6" fillId="4" borderId="8" xfId="0" applyFont="1" applyFill="1" applyBorder="1"/>
    <xf numFmtId="0" fontId="6" fillId="4" borderId="9" xfId="0" applyFont="1" applyFill="1" applyBorder="1"/>
    <xf numFmtId="0" fontId="6" fillId="4" borderId="2" xfId="0" applyFont="1" applyFill="1" applyBorder="1"/>
    <xf numFmtId="0" fontId="6" fillId="4" borderId="1" xfId="0" applyFont="1" applyFill="1" applyBorder="1"/>
    <xf numFmtId="0" fontId="6" fillId="4" borderId="3" xfId="0" applyFont="1" applyFill="1" applyBorder="1"/>
    <xf numFmtId="0" fontId="5" fillId="4" borderId="2" xfId="0" applyFont="1" applyFill="1" applyBorder="1"/>
    <xf numFmtId="0" fontId="5" fillId="4" borderId="1" xfId="0" applyFont="1" applyFill="1" applyBorder="1"/>
    <xf numFmtId="0" fontId="5" fillId="4" borderId="52" xfId="0" applyFont="1" applyFill="1" applyBorder="1"/>
    <xf numFmtId="0" fontId="5" fillId="4" borderId="3" xfId="0" applyFont="1" applyFill="1" applyBorder="1"/>
    <xf numFmtId="165" fontId="5" fillId="4" borderId="1" xfId="1" applyNumberFormat="1" applyFont="1" applyFill="1" applyBorder="1"/>
    <xf numFmtId="165" fontId="5" fillId="4" borderId="52" xfId="1" applyNumberFormat="1" applyFont="1" applyFill="1" applyBorder="1"/>
    <xf numFmtId="165" fontId="5" fillId="4" borderId="3" xfId="1" applyNumberFormat="1" applyFont="1" applyFill="1" applyBorder="1"/>
    <xf numFmtId="0" fontId="8" fillId="4" borderId="36" xfId="0" applyFont="1" applyFill="1" applyBorder="1"/>
    <xf numFmtId="0" fontId="0" fillId="4" borderId="37" xfId="0" applyFill="1" applyBorder="1"/>
    <xf numFmtId="0" fontId="0" fillId="4" borderId="30" xfId="0" applyFill="1" applyBorder="1"/>
    <xf numFmtId="165" fontId="0" fillId="0" borderId="0" xfId="1" applyNumberFormat="1" applyFont="1" applyAlignment="1">
      <alignment vertical="center"/>
    </xf>
    <xf numFmtId="165" fontId="0" fillId="0" borderId="0" xfId="0" applyNumberFormat="1" applyAlignment="1">
      <alignment vertical="center"/>
    </xf>
    <xf numFmtId="0" fontId="3" fillId="0" borderId="13" xfId="3" applyFont="1" applyBorder="1"/>
    <xf numFmtId="169" fontId="7" fillId="4" borderId="34" xfId="3" applyNumberFormat="1" applyFill="1" applyBorder="1"/>
    <xf numFmtId="0" fontId="7" fillId="0" borderId="8" xfId="3" applyBorder="1"/>
    <xf numFmtId="0" fontId="2" fillId="0" borderId="2" xfId="3" applyFont="1" applyBorder="1" applyAlignment="1">
      <alignment horizontal="left"/>
    </xf>
    <xf numFmtId="0" fontId="2" fillId="0" borderId="7" xfId="3" applyFont="1" applyBorder="1" applyAlignment="1">
      <alignment horizontal="left"/>
    </xf>
    <xf numFmtId="0" fontId="2" fillId="0" borderId="2" xfId="3" applyFont="1" applyBorder="1"/>
    <xf numFmtId="168" fontId="0" fillId="0" borderId="3" xfId="2" applyNumberFormat="1" applyFont="1" applyBorder="1"/>
    <xf numFmtId="165" fontId="0" fillId="0" borderId="32" xfId="1" applyNumberFormat="1" applyFont="1" applyBorder="1"/>
    <xf numFmtId="0" fontId="5" fillId="3" borderId="18" xfId="0" applyFont="1" applyFill="1" applyBorder="1" applyAlignment="1">
      <alignment horizontal="center" vertical="center" wrapText="1"/>
    </xf>
    <xf numFmtId="0" fontId="6" fillId="10" borderId="17" xfId="0" applyFont="1" applyFill="1" applyBorder="1" applyAlignment="1">
      <alignment horizontal="left"/>
    </xf>
    <xf numFmtId="0" fontId="5" fillId="10" borderId="18" xfId="0" applyFont="1" applyFill="1" applyBorder="1"/>
    <xf numFmtId="0" fontId="5" fillId="10" borderId="19" xfId="0" applyFont="1" applyFill="1" applyBorder="1"/>
    <xf numFmtId="166" fontId="0" fillId="0" borderId="19" xfId="1" applyNumberFormat="1" applyFont="1" applyBorder="1"/>
    <xf numFmtId="176" fontId="0" fillId="0" borderId="1" xfId="0" applyNumberFormat="1" applyBorder="1"/>
    <xf numFmtId="170" fontId="0" fillId="0" borderId="18" xfId="0" applyNumberFormat="1" applyBorder="1"/>
    <xf numFmtId="170" fontId="0" fillId="0" borderId="40" xfId="0" applyNumberFormat="1" applyBorder="1"/>
    <xf numFmtId="170" fontId="0" fillId="0" borderId="19" xfId="0" applyNumberFormat="1" applyBorder="1"/>
    <xf numFmtId="170" fontId="0" fillId="0" borderId="46" xfId="0" applyNumberFormat="1" applyBorder="1"/>
    <xf numFmtId="0" fontId="0" fillId="0" borderId="6" xfId="0" applyBorder="1"/>
    <xf numFmtId="0" fontId="0" fillId="0" borderId="41" xfId="0" applyBorder="1"/>
    <xf numFmtId="0" fontId="0" fillId="0" borderId="21" xfId="0" applyBorder="1" applyAlignment="1">
      <alignment horizontal="left" indent="2"/>
    </xf>
    <xf numFmtId="0" fontId="5" fillId="10" borderId="0" xfId="0" applyFont="1" applyFill="1" applyBorder="1" applyAlignment="1">
      <alignment horizontal="center" vertical="center" wrapText="1"/>
    </xf>
    <xf numFmtId="0" fontId="2" fillId="0" borderId="7" xfId="3" applyFont="1" applyBorder="1"/>
    <xf numFmtId="169" fontId="0" fillId="0" borderId="8" xfId="9" applyNumberFormat="1" applyFont="1" applyFill="1" applyBorder="1"/>
    <xf numFmtId="169" fontId="0" fillId="0" borderId="9" xfId="9" applyNumberFormat="1" applyFont="1" applyFill="1" applyBorder="1"/>
    <xf numFmtId="0" fontId="11" fillId="4" borderId="10" xfId="3" applyFont="1" applyFill="1" applyBorder="1" applyAlignment="1">
      <alignment horizontal="center" vertical="center" wrapText="1"/>
    </xf>
    <xf numFmtId="0" fontId="11" fillId="4" borderId="50" xfId="3" applyFont="1" applyFill="1" applyBorder="1" applyAlignment="1">
      <alignment horizontal="center" vertical="center" wrapText="1"/>
    </xf>
    <xf numFmtId="0" fontId="5" fillId="3" borderId="45"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47" xfId="0" applyFont="1" applyFill="1" applyBorder="1" applyAlignment="1">
      <alignment horizontal="center" vertical="center" wrapText="1"/>
    </xf>
    <xf numFmtId="165" fontId="5" fillId="3" borderId="10" xfId="0" applyNumberFormat="1" applyFont="1" applyFill="1" applyBorder="1"/>
    <xf numFmtId="0" fontId="5" fillId="3" borderId="24" xfId="0" applyFont="1" applyFill="1" applyBorder="1" applyAlignment="1">
      <alignment vertical="center" wrapText="1"/>
    </xf>
    <xf numFmtId="0" fontId="7" fillId="0" borderId="3" xfId="3" applyBorder="1"/>
    <xf numFmtId="43" fontId="0" fillId="0" borderId="43" xfId="1" applyNumberFormat="1" applyFont="1" applyBorder="1"/>
    <xf numFmtId="0" fontId="5" fillId="2" borderId="24" xfId="0" applyFont="1" applyFill="1" applyBorder="1"/>
    <xf numFmtId="0" fontId="7" fillId="0" borderId="6" xfId="3" applyBorder="1"/>
    <xf numFmtId="0" fontId="5" fillId="3" borderId="56" xfId="0" applyFont="1" applyFill="1" applyBorder="1" applyAlignment="1">
      <alignment horizontal="center" vertical="center"/>
    </xf>
    <xf numFmtId="166" fontId="0" fillId="0" borderId="43" xfId="1" applyNumberFormat="1" applyFont="1" applyBorder="1"/>
    <xf numFmtId="0" fontId="0" fillId="0" borderId="3" xfId="0" applyFill="1" applyBorder="1"/>
    <xf numFmtId="0" fontId="0" fillId="0" borderId="6" xfId="0" applyFill="1" applyBorder="1"/>
    <xf numFmtId="165" fontId="5" fillId="2" borderId="24" xfId="1" applyNumberFormat="1" applyFont="1" applyFill="1" applyBorder="1"/>
    <xf numFmtId="165" fontId="0" fillId="0" borderId="57" xfId="1" applyNumberFormat="1" applyFont="1" applyBorder="1"/>
    <xf numFmtId="9" fontId="0" fillId="0" borderId="1" xfId="2" applyFont="1" applyBorder="1"/>
    <xf numFmtId="9" fontId="5" fillId="3" borderId="11" xfId="2" applyFont="1" applyFill="1" applyBorder="1"/>
    <xf numFmtId="165" fontId="5" fillId="3" borderId="12" xfId="0" applyNumberFormat="1" applyFont="1" applyFill="1" applyBorder="1"/>
    <xf numFmtId="169" fontId="0" fillId="0" borderId="1" xfId="0" applyNumberFormat="1" applyFill="1" applyBorder="1" applyAlignment="1">
      <alignment vertical="center"/>
    </xf>
    <xf numFmtId="169" fontId="0" fillId="0" borderId="5" xfId="0" applyNumberFormat="1" applyFill="1" applyBorder="1" applyAlignment="1">
      <alignment vertical="center"/>
    </xf>
    <xf numFmtId="10" fontId="0" fillId="0" borderId="0" xfId="2" applyNumberFormat="1" applyFont="1"/>
    <xf numFmtId="4" fontId="0" fillId="0" borderId="0" xfId="0" applyNumberFormat="1"/>
    <xf numFmtId="0" fontId="0" fillId="4" borderId="2" xfId="0" applyFill="1" applyBorder="1" applyAlignment="1">
      <alignment horizontal="left"/>
    </xf>
    <xf numFmtId="165" fontId="0" fillId="4" borderId="1" xfId="1" applyNumberFormat="1" applyFont="1" applyFill="1" applyBorder="1"/>
    <xf numFmtId="165" fontId="0" fillId="4" borderId="3" xfId="0" applyNumberFormat="1" applyFill="1" applyBorder="1"/>
    <xf numFmtId="0" fontId="0" fillId="4" borderId="3" xfId="0" applyFill="1" applyBorder="1"/>
    <xf numFmtId="165" fontId="0" fillId="4" borderId="3" xfId="1" applyNumberFormat="1" applyFont="1" applyFill="1" applyBorder="1"/>
    <xf numFmtId="166" fontId="0" fillId="4" borderId="1" xfId="1" applyNumberFormat="1" applyFont="1" applyFill="1" applyBorder="1"/>
    <xf numFmtId="169" fontId="0" fillId="4" borderId="0" xfId="0" applyNumberFormat="1" applyFill="1"/>
    <xf numFmtId="0" fontId="0" fillId="4" borderId="17" xfId="0" applyFill="1" applyBorder="1" applyAlignment="1">
      <alignment horizontal="left"/>
    </xf>
    <xf numFmtId="165" fontId="0" fillId="4" borderId="19" xfId="1" applyNumberFormat="1" applyFont="1" applyFill="1" applyBorder="1"/>
    <xf numFmtId="10" fontId="0" fillId="4" borderId="18" xfId="1" applyNumberFormat="1" applyFont="1" applyFill="1" applyBorder="1"/>
    <xf numFmtId="0" fontId="0" fillId="4" borderId="19" xfId="0" applyFill="1" applyBorder="1"/>
    <xf numFmtId="10" fontId="0" fillId="4" borderId="1" xfId="1" applyNumberFormat="1" applyFont="1" applyFill="1" applyBorder="1"/>
    <xf numFmtId="0" fontId="0" fillId="0" borderId="2" xfId="0" applyBorder="1" applyAlignment="1">
      <alignment horizontal="left" vertical="center"/>
    </xf>
    <xf numFmtId="0" fontId="19" fillId="0" borderId="2" xfId="0" applyFont="1" applyBorder="1" applyAlignment="1">
      <alignment horizontal="left" vertical="center"/>
    </xf>
    <xf numFmtId="0" fontId="0" fillId="0" borderId="13" xfId="0" applyBorder="1" applyAlignment="1">
      <alignment horizontal="left" vertical="center"/>
    </xf>
    <xf numFmtId="168" fontId="0" fillId="4" borderId="18" xfId="2" applyNumberFormat="1" applyFont="1" applyFill="1" applyBorder="1"/>
    <xf numFmtId="168" fontId="0" fillId="4" borderId="1" xfId="2" applyNumberFormat="1" applyFont="1" applyFill="1" applyBorder="1"/>
    <xf numFmtId="0" fontId="6" fillId="10" borderId="17" xfId="0" applyFont="1" applyFill="1" applyBorder="1"/>
    <xf numFmtId="0" fontId="5" fillId="10" borderId="19" xfId="0" applyFont="1" applyFill="1" applyBorder="1" applyAlignment="1">
      <alignment wrapText="1"/>
    </xf>
    <xf numFmtId="10" fontId="0" fillId="0" borderId="1" xfId="2" applyNumberFormat="1" applyFont="1" applyFill="1" applyBorder="1"/>
    <xf numFmtId="10" fontId="0" fillId="0" borderId="5" xfId="2" applyNumberFormat="1" applyFont="1" applyFill="1" applyBorder="1"/>
    <xf numFmtId="10" fontId="0" fillId="0" borderId="3" xfId="2" applyNumberFormat="1" applyFont="1" applyFill="1" applyBorder="1"/>
    <xf numFmtId="10" fontId="0" fillId="0" borderId="6" xfId="2" applyNumberFormat="1" applyFont="1" applyFill="1" applyBorder="1"/>
    <xf numFmtId="10" fontId="0" fillId="0" borderId="18" xfId="2" applyNumberFormat="1" applyFont="1" applyFill="1" applyBorder="1" applyAlignment="1">
      <alignment vertical="center"/>
    </xf>
    <xf numFmtId="10" fontId="0" fillId="0" borderId="5" xfId="2" applyNumberFormat="1" applyFont="1" applyFill="1" applyBorder="1" applyAlignment="1">
      <alignment vertical="center"/>
    </xf>
    <xf numFmtId="10" fontId="0" fillId="0" borderId="19" xfId="2" applyNumberFormat="1" applyFont="1" applyFill="1" applyBorder="1" applyAlignment="1">
      <alignment vertical="center"/>
    </xf>
    <xf numFmtId="10" fontId="0" fillId="0" borderId="6" xfId="2" applyNumberFormat="1" applyFont="1" applyFill="1" applyBorder="1" applyAlignment="1">
      <alignment vertical="center"/>
    </xf>
    <xf numFmtId="169" fontId="0" fillId="0" borderId="19" xfId="9" applyNumberFormat="1" applyFont="1" applyFill="1" applyBorder="1"/>
    <xf numFmtId="167" fontId="25" fillId="0" borderId="0" xfId="2" applyNumberFormat="1" applyFont="1"/>
    <xf numFmtId="10" fontId="0" fillId="4" borderId="1" xfId="2" applyNumberFormat="1" applyFont="1" applyFill="1" applyBorder="1"/>
    <xf numFmtId="175" fontId="23" fillId="11" borderId="50" xfId="0" applyNumberFormat="1" applyFont="1" applyFill="1" applyBorder="1" applyAlignment="1">
      <alignment horizontal="center"/>
    </xf>
    <xf numFmtId="0" fontId="1" fillId="0" borderId="2" xfId="3" applyFont="1" applyBorder="1"/>
    <xf numFmtId="0" fontId="0" fillId="0" borderId="0" xfId="0" applyAlignment="1">
      <alignment horizontal="left" vertical="top" wrapText="1"/>
    </xf>
    <xf numFmtId="0" fontId="5" fillId="3" borderId="23"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17"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45"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54"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5" fillId="3" borderId="54" xfId="0" applyFont="1" applyFill="1" applyBorder="1" applyAlignment="1">
      <alignment horizontal="center" vertical="center"/>
    </xf>
    <xf numFmtId="0" fontId="5" fillId="3" borderId="55" xfId="0" applyFont="1" applyFill="1" applyBorder="1" applyAlignment="1">
      <alignment horizontal="center" vertical="center"/>
    </xf>
    <xf numFmtId="0" fontId="5" fillId="3" borderId="22" xfId="0" applyFont="1" applyFill="1" applyBorder="1" applyAlignment="1">
      <alignment horizontal="center"/>
    </xf>
    <xf numFmtId="0" fontId="5" fillId="3" borderId="41" xfId="0" applyFont="1" applyFill="1" applyBorder="1" applyAlignment="1">
      <alignment horizontal="center"/>
    </xf>
    <xf numFmtId="0" fontId="5" fillId="3" borderId="24"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25"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38" xfId="0" applyFont="1" applyFill="1" applyBorder="1" applyAlignment="1">
      <alignment horizontal="center"/>
    </xf>
    <xf numFmtId="0" fontId="6" fillId="3" borderId="17" xfId="0" applyFont="1" applyFill="1" applyBorder="1" applyAlignment="1">
      <alignment horizontal="center"/>
    </xf>
    <xf numFmtId="0" fontId="6" fillId="3" borderId="18" xfId="0" applyFont="1" applyFill="1" applyBorder="1" applyAlignment="1">
      <alignment horizontal="center"/>
    </xf>
    <xf numFmtId="0" fontId="6" fillId="3" borderId="19" xfId="0" applyFont="1" applyFill="1" applyBorder="1" applyAlignment="1">
      <alignment horizontal="center"/>
    </xf>
    <xf numFmtId="0" fontId="5" fillId="3" borderId="18"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2" xfId="0" applyFont="1" applyFill="1" applyBorder="1" applyAlignment="1">
      <alignment horizontal="center" vertical="center" wrapText="1"/>
    </xf>
    <xf numFmtId="165" fontId="5" fillId="11" borderId="11" xfId="0" applyNumberFormat="1" applyFont="1" applyFill="1" applyBorder="1"/>
  </cellXfs>
  <cellStyles count="11">
    <cellStyle name="Comma" xfId="1" builtinId="3"/>
    <cellStyle name="Comma 2" xfId="4"/>
    <cellStyle name="Comma 3" xfId="7"/>
    <cellStyle name="Comma 4" xfId="9"/>
    <cellStyle name="Currency" xfId="5" builtinId="4"/>
    <cellStyle name="Good 2" xfId="8"/>
    <cellStyle name="Hyperlink" xfId="10" builtinId="8"/>
    <cellStyle name="Normal" xfId="0" builtinId="0"/>
    <cellStyle name="Normal 2" xfId="3"/>
    <cellStyle name="Percent" xfId="2" builtinId="5"/>
    <cellStyle name="Percent 2" xfId="6"/>
  </cellStyles>
  <dxfs count="0"/>
  <tableStyles count="0" defaultTableStyle="TableStyleMedium2" defaultPivotStyle="PivotStyleLight16"/>
  <colors>
    <mruColors>
      <color rgb="FF007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17</xdr:col>
      <xdr:colOff>232834</xdr:colOff>
      <xdr:row>6</xdr:row>
      <xdr:rowOff>68680</xdr:rowOff>
    </xdr:from>
    <xdr:to>
      <xdr:col>27</xdr:col>
      <xdr:colOff>573264</xdr:colOff>
      <xdr:row>75</xdr:row>
      <xdr:rowOff>104321</xdr:rowOff>
    </xdr:to>
    <xdr:pic>
      <xdr:nvPicPr>
        <xdr:cNvPr id="2" name="Picture 1"/>
        <xdr:cNvPicPr>
          <a:picLocks noChangeAspect="1"/>
        </xdr:cNvPicPr>
      </xdr:nvPicPr>
      <xdr:blipFill>
        <a:blip xmlns:r="http://schemas.openxmlformats.org/officeDocument/2006/relationships" r:embed="rId1"/>
        <a:stretch>
          <a:fillRect/>
        </a:stretch>
      </xdr:blipFill>
      <xdr:spPr>
        <a:xfrm>
          <a:off x="14425084" y="1476263"/>
          <a:ext cx="6870347" cy="2205225"/>
        </a:xfrm>
        <a:prstGeom prst="rect">
          <a:avLst/>
        </a:prstGeom>
      </xdr:spPr>
    </xdr:pic>
    <xdr:clientData/>
  </xdr:twoCellAnchor>
  <xdr:twoCellAnchor editAs="oneCell">
    <xdr:from>
      <xdr:col>17</xdr:col>
      <xdr:colOff>285750</xdr:colOff>
      <xdr:row>16</xdr:row>
      <xdr:rowOff>129752</xdr:rowOff>
    </xdr:from>
    <xdr:to>
      <xdr:col>27</xdr:col>
      <xdr:colOff>554215</xdr:colOff>
      <xdr:row>78</xdr:row>
      <xdr:rowOff>79332</xdr:rowOff>
    </xdr:to>
    <xdr:pic>
      <xdr:nvPicPr>
        <xdr:cNvPr id="4" name="Picture 3"/>
        <xdr:cNvPicPr>
          <a:picLocks noChangeAspect="1"/>
        </xdr:cNvPicPr>
      </xdr:nvPicPr>
      <xdr:blipFill>
        <a:blip xmlns:r="http://schemas.openxmlformats.org/officeDocument/2006/relationships" r:embed="rId2"/>
        <a:stretch>
          <a:fillRect/>
        </a:stretch>
      </xdr:blipFill>
      <xdr:spPr>
        <a:xfrm>
          <a:off x="14478000" y="3876252"/>
          <a:ext cx="6798382" cy="2248916"/>
        </a:xfrm>
        <a:prstGeom prst="rect">
          <a:avLst/>
        </a:prstGeom>
      </xdr:spPr>
    </xdr:pic>
    <xdr:clientData/>
  </xdr:twoCellAnchor>
  <xdr:twoCellAnchor editAs="oneCell">
    <xdr:from>
      <xdr:col>17</xdr:col>
      <xdr:colOff>210168</xdr:colOff>
      <xdr:row>29</xdr:row>
      <xdr:rowOff>63499</xdr:rowOff>
    </xdr:from>
    <xdr:to>
      <xdr:col>28</xdr:col>
      <xdr:colOff>41975</xdr:colOff>
      <xdr:row>78</xdr:row>
      <xdr:rowOff>71511</xdr:rowOff>
    </xdr:to>
    <xdr:pic>
      <xdr:nvPicPr>
        <xdr:cNvPr id="6" name="Picture 5"/>
        <xdr:cNvPicPr>
          <a:picLocks noChangeAspect="1"/>
        </xdr:cNvPicPr>
      </xdr:nvPicPr>
      <xdr:blipFill>
        <a:blip xmlns:r="http://schemas.openxmlformats.org/officeDocument/2006/relationships" r:embed="rId3"/>
        <a:stretch>
          <a:fillRect/>
        </a:stretch>
      </xdr:blipFill>
      <xdr:spPr>
        <a:xfrm>
          <a:off x="14402418" y="6339416"/>
          <a:ext cx="6975557" cy="2241095"/>
        </a:xfrm>
        <a:prstGeom prst="rect">
          <a:avLst/>
        </a:prstGeom>
      </xdr:spPr>
    </xdr:pic>
    <xdr:clientData/>
  </xdr:twoCellAnchor>
  <xdr:twoCellAnchor editAs="oneCell">
    <xdr:from>
      <xdr:col>17</xdr:col>
      <xdr:colOff>476249</xdr:colOff>
      <xdr:row>41</xdr:row>
      <xdr:rowOff>100690</xdr:rowOff>
    </xdr:from>
    <xdr:to>
      <xdr:col>27</xdr:col>
      <xdr:colOff>500215</xdr:colOff>
      <xdr:row>76</xdr:row>
      <xdr:rowOff>53381</xdr:rowOff>
    </xdr:to>
    <xdr:pic>
      <xdr:nvPicPr>
        <xdr:cNvPr id="7" name="Picture 6"/>
        <xdr:cNvPicPr>
          <a:picLocks noChangeAspect="1"/>
        </xdr:cNvPicPr>
      </xdr:nvPicPr>
      <xdr:blipFill>
        <a:blip xmlns:r="http://schemas.openxmlformats.org/officeDocument/2006/relationships" r:embed="rId4"/>
        <a:stretch>
          <a:fillRect/>
        </a:stretch>
      </xdr:blipFill>
      <xdr:spPr>
        <a:xfrm>
          <a:off x="14668499" y="8715523"/>
          <a:ext cx="6553883" cy="2032465"/>
        </a:xfrm>
        <a:prstGeom prst="rect">
          <a:avLst/>
        </a:prstGeom>
      </xdr:spPr>
    </xdr:pic>
    <xdr:clientData/>
  </xdr:twoCellAnchor>
  <xdr:twoCellAnchor editAs="oneCell">
    <xdr:from>
      <xdr:col>17</xdr:col>
      <xdr:colOff>476250</xdr:colOff>
      <xdr:row>50</xdr:row>
      <xdr:rowOff>154580</xdr:rowOff>
    </xdr:from>
    <xdr:to>
      <xdr:col>27</xdr:col>
      <xdr:colOff>170025</xdr:colOff>
      <xdr:row>77</xdr:row>
      <xdr:rowOff>98943</xdr:rowOff>
    </xdr:to>
    <xdr:pic>
      <xdr:nvPicPr>
        <xdr:cNvPr id="8" name="Picture 7"/>
        <xdr:cNvPicPr>
          <a:picLocks noChangeAspect="1"/>
        </xdr:cNvPicPr>
      </xdr:nvPicPr>
      <xdr:blipFill>
        <a:blip xmlns:r="http://schemas.openxmlformats.org/officeDocument/2006/relationships" r:embed="rId5"/>
        <a:stretch>
          <a:fillRect/>
        </a:stretch>
      </xdr:blipFill>
      <xdr:spPr>
        <a:xfrm>
          <a:off x="14668500" y="10833163"/>
          <a:ext cx="6223692" cy="2078027"/>
        </a:xfrm>
        <a:prstGeom prst="rect">
          <a:avLst/>
        </a:prstGeom>
      </xdr:spPr>
    </xdr:pic>
    <xdr:clientData/>
  </xdr:twoCellAnchor>
  <xdr:twoCellAnchor editAs="oneCell">
    <xdr:from>
      <xdr:col>17</xdr:col>
      <xdr:colOff>518583</xdr:colOff>
      <xdr:row>80</xdr:row>
      <xdr:rowOff>32020</xdr:rowOff>
    </xdr:from>
    <xdr:to>
      <xdr:col>31</xdr:col>
      <xdr:colOff>81142</xdr:colOff>
      <xdr:row>91</xdr:row>
      <xdr:rowOff>40930</xdr:rowOff>
    </xdr:to>
    <xdr:pic>
      <xdr:nvPicPr>
        <xdr:cNvPr id="10" name="Picture 9"/>
        <xdr:cNvPicPr>
          <a:picLocks noChangeAspect="1"/>
        </xdr:cNvPicPr>
      </xdr:nvPicPr>
      <xdr:blipFill>
        <a:blip xmlns:r="http://schemas.openxmlformats.org/officeDocument/2006/relationships" r:embed="rId6"/>
        <a:stretch>
          <a:fillRect/>
        </a:stretch>
      </xdr:blipFill>
      <xdr:spPr>
        <a:xfrm>
          <a:off x="14795500" y="17060603"/>
          <a:ext cx="8547809" cy="2104410"/>
        </a:xfrm>
        <a:prstGeom prst="rect">
          <a:avLst/>
        </a:prstGeom>
      </xdr:spPr>
    </xdr:pic>
    <xdr:clientData/>
  </xdr:twoCellAnchor>
  <xdr:twoCellAnchor editAs="oneCell">
    <xdr:from>
      <xdr:col>17</xdr:col>
      <xdr:colOff>550333</xdr:colOff>
      <xdr:row>70</xdr:row>
      <xdr:rowOff>204816</xdr:rowOff>
    </xdr:from>
    <xdr:to>
      <xdr:col>28</xdr:col>
      <xdr:colOff>417703</xdr:colOff>
      <xdr:row>79</xdr:row>
      <xdr:rowOff>82191</xdr:rowOff>
    </xdr:to>
    <xdr:pic>
      <xdr:nvPicPr>
        <xdr:cNvPr id="12" name="Picture 11"/>
        <xdr:cNvPicPr>
          <a:picLocks noChangeAspect="1"/>
        </xdr:cNvPicPr>
      </xdr:nvPicPr>
      <xdr:blipFill>
        <a:blip xmlns:r="http://schemas.openxmlformats.org/officeDocument/2006/relationships" r:embed="rId7"/>
        <a:stretch>
          <a:fillRect/>
        </a:stretch>
      </xdr:blipFill>
      <xdr:spPr>
        <a:xfrm>
          <a:off x="14827250" y="15116733"/>
          <a:ext cx="7011120" cy="1803542"/>
        </a:xfrm>
        <a:prstGeom prst="rect">
          <a:avLst/>
        </a:prstGeom>
      </xdr:spPr>
    </xdr:pic>
    <xdr:clientData/>
  </xdr:twoCellAnchor>
  <xdr:twoCellAnchor editAs="oneCell">
    <xdr:from>
      <xdr:col>17</xdr:col>
      <xdr:colOff>539748</xdr:colOff>
      <xdr:row>92</xdr:row>
      <xdr:rowOff>63502</xdr:rowOff>
    </xdr:from>
    <xdr:to>
      <xdr:col>35</xdr:col>
      <xdr:colOff>365831</xdr:colOff>
      <xdr:row>106</xdr:row>
      <xdr:rowOff>167931</xdr:rowOff>
    </xdr:to>
    <xdr:pic>
      <xdr:nvPicPr>
        <xdr:cNvPr id="13" name="Picture 12"/>
        <xdr:cNvPicPr>
          <a:picLocks noChangeAspect="1"/>
        </xdr:cNvPicPr>
      </xdr:nvPicPr>
      <xdr:blipFill>
        <a:blip xmlns:r="http://schemas.openxmlformats.org/officeDocument/2006/relationships" r:embed="rId8"/>
        <a:stretch>
          <a:fillRect/>
        </a:stretch>
      </xdr:blipFill>
      <xdr:spPr>
        <a:xfrm>
          <a:off x="14816665" y="19378085"/>
          <a:ext cx="11266667" cy="2771429"/>
        </a:xfrm>
        <a:prstGeom prst="rect">
          <a:avLst/>
        </a:prstGeom>
      </xdr:spPr>
    </xdr:pic>
    <xdr:clientData/>
  </xdr:twoCellAnchor>
  <xdr:twoCellAnchor editAs="oneCell">
    <xdr:from>
      <xdr:col>17</xdr:col>
      <xdr:colOff>444500</xdr:colOff>
      <xdr:row>60</xdr:row>
      <xdr:rowOff>158752</xdr:rowOff>
    </xdr:from>
    <xdr:to>
      <xdr:col>29</xdr:col>
      <xdr:colOff>45155</xdr:colOff>
      <xdr:row>77</xdr:row>
      <xdr:rowOff>74522</xdr:rowOff>
    </xdr:to>
    <xdr:pic>
      <xdr:nvPicPr>
        <xdr:cNvPr id="3" name="Picture 2"/>
        <xdr:cNvPicPr>
          <a:picLocks noChangeAspect="1"/>
        </xdr:cNvPicPr>
      </xdr:nvPicPr>
      <xdr:blipFill>
        <a:blip xmlns:r="http://schemas.openxmlformats.org/officeDocument/2006/relationships" r:embed="rId9"/>
        <a:stretch>
          <a:fillRect/>
        </a:stretch>
      </xdr:blipFill>
      <xdr:spPr>
        <a:xfrm>
          <a:off x="14721417" y="12954002"/>
          <a:ext cx="7358239" cy="2053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12</xdr:row>
      <xdr:rowOff>66675</xdr:rowOff>
    </xdr:from>
    <xdr:to>
      <xdr:col>4</xdr:col>
      <xdr:colOff>380502</xdr:colOff>
      <xdr:row>20</xdr:row>
      <xdr:rowOff>76200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2600325"/>
          <a:ext cx="5114426" cy="1533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Calhoun\Local%20Settings\Temporary%20Internet%20Files\Content.Outlook\EIW673TU\Documents%20and%20Settings\dferraro\Local%20Settings\Temporary%20Internet%20Files\OLKB\Dummy%20Fi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nance/Regulatory%20files/Rate%20Applications/Year%202017%20Future%20Year%20Rate%20Application/Load%20Forecast/2017%20COS%20Load%20Forecast/Application%20Filer/Report/Report%202/RP02T03S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ory\2016%20Cost%20of%20Service%20Prep\3_Operating%20Revenue\Load%20Forecast\CDM\2015_Filing_Requirements_Chapter2_Appendic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egulatory\2016%20Cost%20of%20Service%20Prep\2_RateBase\Cost%20of%20Power\Cost%20of%20Power%202015-16%20Forecast%20v0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 - 2020 CDM Timing"/>
      <sheetName val="Sheet2"/>
      <sheetName val="Sheet3"/>
    </sheetNames>
    <sheetDataSet>
      <sheetData sheetId="0">
        <row r="22">
          <cell r="G22">
            <v>4407000</v>
          </cell>
        </row>
        <row r="23">
          <cell r="G23">
            <v>13716666.666666668</v>
          </cell>
        </row>
        <row r="24">
          <cell r="G24">
            <v>2053000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26">
          <cell r="E26"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sheetData sheetId="56"/>
      <sheetData sheetId="5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odity Price"/>
      <sheetName val="Regulatory Rates"/>
      <sheetName val="Rates"/>
      <sheetName val="2015 Forecast"/>
      <sheetName val="2016 Forecast"/>
    </sheetNames>
    <sheetDataSet>
      <sheetData sheetId="0"/>
      <sheetData sheetId="1">
        <row r="5">
          <cell r="D5">
            <v>4.4000000000000003E-3</v>
          </cell>
        </row>
        <row r="6">
          <cell r="D6">
            <v>1.2999999999999999E-3</v>
          </cell>
        </row>
        <row r="7">
          <cell r="D7">
            <v>0.79</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ontarioenergyboard.ca/oeb/_Documents/EB-2004-0205/RPP_Price_Report_May2016.pdf" TargetMode="External"/><Relationship Id="rId1" Type="http://schemas.openxmlformats.org/officeDocument/2006/relationships/hyperlink" Target="http://www.ontarioenergyboard.ca/oeb/Industry/Regulatory%20Proceedings/Policy%20Initiatives%20and%20Consultations/Regulated%20Price%20Plan" TargetMode="External"/><Relationship Id="rId4"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B7"/>
  <sheetViews>
    <sheetView workbookViewId="0">
      <selection activeCell="E13" sqref="E13"/>
    </sheetView>
  </sheetViews>
  <sheetFormatPr defaultRowHeight="15" x14ac:dyDescent="0.25"/>
  <cols>
    <col min="1" max="1" width="32.42578125" customWidth="1"/>
    <col min="2" max="2" width="33.140625" customWidth="1"/>
  </cols>
  <sheetData>
    <row r="3" spans="1:2" x14ac:dyDescent="0.25">
      <c r="A3" t="s">
        <v>170</v>
      </c>
      <c r="B3" s="285" t="s">
        <v>169</v>
      </c>
    </row>
    <row r="5" spans="1:2" x14ac:dyDescent="0.25">
      <c r="A5" t="s">
        <v>171</v>
      </c>
      <c r="B5" s="285" t="s">
        <v>198</v>
      </c>
    </row>
    <row r="7" spans="1:2" x14ac:dyDescent="0.25">
      <c r="A7" t="s">
        <v>172</v>
      </c>
      <c r="B7" s="285" t="s">
        <v>173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3"/>
  <sheetViews>
    <sheetView topLeftCell="A19" workbookViewId="0">
      <selection activeCell="F53" sqref="F53"/>
    </sheetView>
  </sheetViews>
  <sheetFormatPr defaultColWidth="11.140625" defaultRowHeight="15" x14ac:dyDescent="0.25"/>
  <cols>
    <col min="1" max="1" width="18.7109375" customWidth="1"/>
    <col min="4" max="4" width="18" bestFit="1" customWidth="1"/>
    <col min="5" max="5" width="15.28515625" bestFit="1" customWidth="1"/>
    <col min="6" max="6" width="14.28515625" bestFit="1" customWidth="1"/>
    <col min="7" max="7" width="15.28515625" bestFit="1" customWidth="1"/>
    <col min="8" max="8" width="9.5703125" bestFit="1" customWidth="1"/>
    <col min="9" max="9" width="8" bestFit="1" customWidth="1"/>
    <col min="10" max="10" width="8.42578125" bestFit="1" customWidth="1"/>
    <col min="11" max="11" width="11.28515625" bestFit="1" customWidth="1"/>
    <col min="12" max="12" width="18" bestFit="1" customWidth="1"/>
  </cols>
  <sheetData>
    <row r="1" spans="1:12" ht="18.75" x14ac:dyDescent="0.3">
      <c r="A1" s="24" t="str">
        <f>Admin!B3</f>
        <v>London Hydro</v>
      </c>
      <c r="B1" s="25"/>
      <c r="C1" s="25"/>
      <c r="D1" s="25"/>
      <c r="E1" s="25"/>
      <c r="F1" s="25"/>
      <c r="G1" s="25"/>
      <c r="H1" s="25"/>
      <c r="I1" s="25"/>
      <c r="J1" s="25"/>
      <c r="K1" s="25"/>
      <c r="L1" s="25"/>
    </row>
    <row r="2" spans="1:12" ht="18.75" x14ac:dyDescent="0.3">
      <c r="A2" s="24" t="str">
        <f>Admin!B5</f>
        <v>EB-2016-0091</v>
      </c>
      <c r="B2" s="25"/>
      <c r="C2" s="25"/>
      <c r="D2" s="25"/>
      <c r="E2" s="25"/>
      <c r="F2" s="25"/>
      <c r="G2" s="25"/>
      <c r="H2" s="25"/>
      <c r="I2" s="25"/>
      <c r="J2" s="25"/>
      <c r="K2" s="25"/>
      <c r="L2" s="25"/>
    </row>
    <row r="3" spans="1:12" ht="18.75" x14ac:dyDescent="0.3">
      <c r="A3" s="24" t="str">
        <f>Admin!B7</f>
        <v>2017 Load Forecast</v>
      </c>
      <c r="B3" s="25"/>
      <c r="C3" s="25"/>
      <c r="D3" s="25"/>
      <c r="E3" s="25"/>
      <c r="F3" s="25"/>
      <c r="G3" s="25"/>
      <c r="H3" s="25"/>
      <c r="I3" s="25"/>
      <c r="J3" s="25"/>
      <c r="K3" s="25"/>
      <c r="L3" s="25"/>
    </row>
    <row r="4" spans="1:12" ht="18.75" x14ac:dyDescent="0.3">
      <c r="A4" s="24"/>
      <c r="B4" s="25"/>
      <c r="C4" s="25"/>
      <c r="D4" s="25"/>
      <c r="E4" s="25"/>
      <c r="F4" s="25"/>
      <c r="G4" s="25"/>
      <c r="H4" s="25"/>
      <c r="I4" s="25"/>
      <c r="J4" s="25"/>
      <c r="K4" s="25"/>
      <c r="L4" s="25"/>
    </row>
    <row r="5" spans="1:12" ht="19.5" thickBot="1" x14ac:dyDescent="0.35">
      <c r="A5" s="26" t="s">
        <v>233</v>
      </c>
      <c r="B5" s="27"/>
      <c r="C5" s="27"/>
      <c r="D5" s="27"/>
      <c r="E5" s="27"/>
      <c r="F5" s="27"/>
      <c r="G5" s="27"/>
      <c r="H5" s="27"/>
      <c r="I5" s="27"/>
      <c r="J5" s="27"/>
      <c r="K5" s="27"/>
      <c r="L5" s="27"/>
    </row>
    <row r="7" spans="1:12" ht="60" x14ac:dyDescent="0.25">
      <c r="A7" s="13" t="s">
        <v>10</v>
      </c>
      <c r="B7" s="14" t="s">
        <v>2</v>
      </c>
      <c r="C7" s="14" t="s">
        <v>3</v>
      </c>
      <c r="D7" s="14" t="s">
        <v>226</v>
      </c>
      <c r="E7" s="14" t="s">
        <v>186</v>
      </c>
      <c r="F7" s="14" t="s">
        <v>188</v>
      </c>
      <c r="G7" s="14" t="s">
        <v>187</v>
      </c>
      <c r="H7" s="14" t="s">
        <v>227</v>
      </c>
      <c r="I7" s="14" t="s">
        <v>139</v>
      </c>
      <c r="J7" s="14" t="s">
        <v>138</v>
      </c>
      <c r="K7" s="14" t="s">
        <v>137</v>
      </c>
      <c r="L7" s="15" t="s">
        <v>9</v>
      </c>
    </row>
    <row r="8" spans="1:12" ht="18.75" x14ac:dyDescent="0.3">
      <c r="A8" s="428" t="s">
        <v>181</v>
      </c>
      <c r="B8" s="372"/>
      <c r="C8" s="372"/>
      <c r="D8" s="372"/>
      <c r="E8" s="372"/>
      <c r="F8" s="372"/>
      <c r="G8" s="372"/>
      <c r="H8" s="372"/>
      <c r="I8" s="372"/>
      <c r="J8" s="372"/>
      <c r="K8" s="372"/>
      <c r="L8" s="429"/>
    </row>
    <row r="9" spans="1:12" x14ac:dyDescent="0.25">
      <c r="A9" s="411">
        <v>2010</v>
      </c>
      <c r="B9" s="412">
        <v>0</v>
      </c>
      <c r="C9" s="412">
        <v>0</v>
      </c>
      <c r="D9" s="412">
        <f>'Rate Class Demand Model'!D13</f>
        <v>4011620.997838547</v>
      </c>
      <c r="E9" s="412">
        <v>154800</v>
      </c>
      <c r="F9" s="412">
        <v>36304.800516069037</v>
      </c>
      <c r="G9" s="412">
        <f t="shared" ref="G9:G14" si="0">SUM(E9:F9)</f>
        <v>191104.80051606905</v>
      </c>
      <c r="H9" s="412">
        <v>0</v>
      </c>
      <c r="I9" s="412">
        <v>0</v>
      </c>
      <c r="J9" s="412">
        <v>0</v>
      </c>
      <c r="K9" s="412">
        <v>0</v>
      </c>
      <c r="L9" s="413">
        <f t="shared" ref="L9:L14" si="1">SUM(D9:F9)</f>
        <v>4202725.7983546164</v>
      </c>
    </row>
    <row r="10" spans="1:12" x14ac:dyDescent="0.25">
      <c r="A10" s="411">
        <v>2011</v>
      </c>
      <c r="B10" s="412">
        <v>0</v>
      </c>
      <c r="C10" s="412">
        <v>0</v>
      </c>
      <c r="D10" s="412">
        <f>'Rate Class Demand Model'!D14</f>
        <v>3888174.4338051002</v>
      </c>
      <c r="E10" s="412">
        <v>154800</v>
      </c>
      <c r="F10" s="412">
        <v>48043.695118751864</v>
      </c>
      <c r="G10" s="412">
        <f t="shared" si="0"/>
        <v>202843.69511875187</v>
      </c>
      <c r="H10" s="412">
        <v>0</v>
      </c>
      <c r="I10" s="412">
        <v>0</v>
      </c>
      <c r="J10" s="412">
        <v>0</v>
      </c>
      <c r="K10" s="412">
        <v>0</v>
      </c>
      <c r="L10" s="413">
        <f t="shared" si="1"/>
        <v>4091018.128923852</v>
      </c>
    </row>
    <row r="11" spans="1:12" x14ac:dyDescent="0.25">
      <c r="A11" s="22">
        <v>2012</v>
      </c>
      <c r="B11" s="5">
        <v>0</v>
      </c>
      <c r="C11" s="5">
        <v>0</v>
      </c>
      <c r="D11" s="412">
        <f>'Rate Class Demand Model'!D15</f>
        <v>3888895.42631</v>
      </c>
      <c r="E11" s="5">
        <v>154800</v>
      </c>
      <c r="F11" s="5">
        <v>46415</v>
      </c>
      <c r="G11" s="5">
        <f t="shared" si="0"/>
        <v>201215</v>
      </c>
      <c r="H11" s="5">
        <v>0</v>
      </c>
      <c r="I11" s="5">
        <v>0</v>
      </c>
      <c r="J11" s="5">
        <v>0</v>
      </c>
      <c r="K11" s="5">
        <v>0</v>
      </c>
      <c r="L11" s="9">
        <f t="shared" si="1"/>
        <v>4090110.42631</v>
      </c>
    </row>
    <row r="12" spans="1:12" x14ac:dyDescent="0.25">
      <c r="A12" s="22">
        <v>2013</v>
      </c>
      <c r="B12" s="5">
        <v>0</v>
      </c>
      <c r="C12" s="5">
        <v>0</v>
      </c>
      <c r="D12" s="412">
        <f>'Rate Class Demand Model'!D16</f>
        <v>3840562.51443</v>
      </c>
      <c r="E12" s="5">
        <v>154800</v>
      </c>
      <c r="F12" s="5">
        <v>68938</v>
      </c>
      <c r="G12" s="5">
        <f t="shared" si="0"/>
        <v>223738</v>
      </c>
      <c r="H12" s="5">
        <v>0</v>
      </c>
      <c r="I12" s="5">
        <v>0</v>
      </c>
      <c r="J12" s="5">
        <v>0</v>
      </c>
      <c r="K12" s="5">
        <v>0</v>
      </c>
      <c r="L12" s="9">
        <f t="shared" si="1"/>
        <v>4064300.51443</v>
      </c>
    </row>
    <row r="13" spans="1:12" x14ac:dyDescent="0.25">
      <c r="A13" s="22">
        <v>2014</v>
      </c>
      <c r="B13" s="5">
        <v>0</v>
      </c>
      <c r="C13" s="5">
        <v>0</v>
      </c>
      <c r="D13" s="412">
        <f>'Rate Class Demand Model'!D17</f>
        <v>3810876.3573599998</v>
      </c>
      <c r="E13" s="5">
        <v>154800</v>
      </c>
      <c r="F13" s="5">
        <v>72831</v>
      </c>
      <c r="G13" s="5">
        <f t="shared" si="0"/>
        <v>227631</v>
      </c>
      <c r="H13" s="5">
        <v>0</v>
      </c>
      <c r="I13" s="5">
        <v>0</v>
      </c>
      <c r="J13" s="5">
        <v>0</v>
      </c>
      <c r="K13" s="5">
        <v>0</v>
      </c>
      <c r="L13" s="9">
        <f t="shared" si="1"/>
        <v>4038507.3573599998</v>
      </c>
    </row>
    <row r="14" spans="1:12" x14ac:dyDescent="0.25">
      <c r="A14" s="22">
        <v>2015</v>
      </c>
      <c r="B14" s="5">
        <v>0</v>
      </c>
      <c r="C14" s="5">
        <v>0</v>
      </c>
      <c r="D14" s="412">
        <f>'Rate Class Demand Model'!D18</f>
        <v>3784947.2853999999</v>
      </c>
      <c r="E14" s="5">
        <v>154800</v>
      </c>
      <c r="F14" s="5">
        <v>75191.731958650635</v>
      </c>
      <c r="G14" s="5">
        <f t="shared" si="0"/>
        <v>229991.73195865063</v>
      </c>
      <c r="H14" s="5">
        <v>0</v>
      </c>
      <c r="I14" s="5">
        <v>0</v>
      </c>
      <c r="J14" s="5">
        <v>0</v>
      </c>
      <c r="K14" s="5">
        <v>0</v>
      </c>
      <c r="L14" s="9">
        <f t="shared" si="1"/>
        <v>4014939.0173586505</v>
      </c>
    </row>
    <row r="15" spans="1:12" x14ac:dyDescent="0.25">
      <c r="A15" s="253" t="s">
        <v>243</v>
      </c>
      <c r="B15" s="59">
        <f>AVERAGE(B9:B14)</f>
        <v>0</v>
      </c>
      <c r="C15" s="59">
        <f>AVERAGE(C9:C14)</f>
        <v>0</v>
      </c>
      <c r="D15" s="59">
        <f>AVERAGE(D11:D14)</f>
        <v>3831320.3958749999</v>
      </c>
      <c r="E15" s="59">
        <f t="shared" ref="E15:L15" si="2">AVERAGE(E11:E14)</f>
        <v>154800</v>
      </c>
      <c r="F15" s="59">
        <f t="shared" si="2"/>
        <v>65843.932989662659</v>
      </c>
      <c r="G15" s="59">
        <f t="shared" si="2"/>
        <v>220643.93298966266</v>
      </c>
      <c r="H15" s="59">
        <f t="shared" si="2"/>
        <v>0</v>
      </c>
      <c r="I15" s="59">
        <f t="shared" si="2"/>
        <v>0</v>
      </c>
      <c r="J15" s="59">
        <f t="shared" si="2"/>
        <v>0</v>
      </c>
      <c r="K15" s="59">
        <f t="shared" si="2"/>
        <v>0</v>
      </c>
      <c r="L15" s="59">
        <f t="shared" si="2"/>
        <v>4051964.3288646629</v>
      </c>
    </row>
    <row r="16" spans="1:12" ht="18.75" x14ac:dyDescent="0.3">
      <c r="A16" s="428" t="s">
        <v>234</v>
      </c>
      <c r="B16" s="372"/>
      <c r="C16" s="372"/>
      <c r="D16" s="372"/>
      <c r="E16" s="372"/>
      <c r="F16" s="372"/>
      <c r="G16" s="372"/>
      <c r="H16" s="372"/>
      <c r="I16" s="372"/>
      <c r="J16" s="372"/>
      <c r="K16" s="372"/>
      <c r="L16" s="429"/>
    </row>
    <row r="17" spans="1:12" x14ac:dyDescent="0.25">
      <c r="A17" s="411">
        <v>2010</v>
      </c>
      <c r="B17" s="412">
        <v>0</v>
      </c>
      <c r="C17" s="412">
        <v>0</v>
      </c>
      <c r="D17" s="412">
        <v>1196788.2333333334</v>
      </c>
      <c r="E17" s="412">
        <v>154800</v>
      </c>
      <c r="F17" s="412">
        <v>36304.800516069037</v>
      </c>
      <c r="G17" s="412">
        <f t="shared" ref="G17:G22" si="3">SUM(E17:F17)</f>
        <v>191104.80051606905</v>
      </c>
      <c r="H17" s="412">
        <v>0</v>
      </c>
      <c r="I17" s="412">
        <v>0</v>
      </c>
      <c r="J17" s="412">
        <v>0</v>
      </c>
      <c r="K17" s="412">
        <v>0</v>
      </c>
      <c r="L17" s="413">
        <f t="shared" ref="L17:L22" si="4">SUM(D17:F17)</f>
        <v>1387893.0338494023</v>
      </c>
    </row>
    <row r="18" spans="1:12" x14ac:dyDescent="0.25">
      <c r="A18" s="411">
        <v>2011</v>
      </c>
      <c r="B18" s="412">
        <v>0</v>
      </c>
      <c r="C18" s="412">
        <v>0</v>
      </c>
      <c r="D18" s="412">
        <v>1143086.24</v>
      </c>
      <c r="E18" s="412">
        <v>154800</v>
      </c>
      <c r="F18" s="412">
        <v>48043.695118751864</v>
      </c>
      <c r="G18" s="412">
        <f t="shared" si="3"/>
        <v>202843.69511875187</v>
      </c>
      <c r="H18" s="412">
        <v>0</v>
      </c>
      <c r="I18" s="412">
        <v>0</v>
      </c>
      <c r="J18" s="412">
        <v>0</v>
      </c>
      <c r="K18" s="412">
        <v>0</v>
      </c>
      <c r="L18" s="413">
        <f t="shared" si="4"/>
        <v>1345929.9351187518</v>
      </c>
    </row>
    <row r="19" spans="1:12" x14ac:dyDescent="0.25">
      <c r="A19" s="22">
        <v>2012</v>
      </c>
      <c r="B19" s="5">
        <v>0</v>
      </c>
      <c r="C19" s="5">
        <v>0</v>
      </c>
      <c r="D19" s="5">
        <v>1090858.0166666668</v>
      </c>
      <c r="E19" s="5">
        <v>154800</v>
      </c>
      <c r="F19" s="5">
        <v>46415</v>
      </c>
      <c r="G19" s="5">
        <f t="shared" si="3"/>
        <v>201215</v>
      </c>
      <c r="H19" s="5">
        <v>0</v>
      </c>
      <c r="I19" s="5">
        <v>0</v>
      </c>
      <c r="J19" s="5">
        <v>0</v>
      </c>
      <c r="K19" s="5">
        <v>0</v>
      </c>
      <c r="L19" s="9">
        <f t="shared" si="4"/>
        <v>1292073.0166666668</v>
      </c>
    </row>
    <row r="20" spans="1:12" x14ac:dyDescent="0.25">
      <c r="A20" s="22">
        <v>2013</v>
      </c>
      <c r="B20" s="5">
        <v>0</v>
      </c>
      <c r="C20" s="5">
        <v>0</v>
      </c>
      <c r="D20" s="5">
        <v>1072431.1833333301</v>
      </c>
      <c r="E20" s="5">
        <v>154800</v>
      </c>
      <c r="F20" s="5">
        <v>68938</v>
      </c>
      <c r="G20" s="5">
        <f t="shared" si="3"/>
        <v>223738</v>
      </c>
      <c r="H20" s="5">
        <v>0</v>
      </c>
      <c r="I20" s="5">
        <v>0</v>
      </c>
      <c r="J20" s="5">
        <v>0</v>
      </c>
      <c r="K20" s="5">
        <v>0</v>
      </c>
      <c r="L20" s="9">
        <f t="shared" si="4"/>
        <v>1296169.1833333301</v>
      </c>
    </row>
    <row r="21" spans="1:12" x14ac:dyDescent="0.25">
      <c r="A21" s="22">
        <v>2014</v>
      </c>
      <c r="B21" s="5">
        <v>0</v>
      </c>
      <c r="C21" s="5">
        <v>0</v>
      </c>
      <c r="D21" s="5">
        <v>1039823.2333333334</v>
      </c>
      <c r="E21" s="5">
        <v>154800</v>
      </c>
      <c r="F21" s="5">
        <v>72831</v>
      </c>
      <c r="G21" s="5">
        <f t="shared" si="3"/>
        <v>227631</v>
      </c>
      <c r="H21" s="5">
        <v>0</v>
      </c>
      <c r="I21" s="5">
        <v>0</v>
      </c>
      <c r="J21" s="5">
        <v>0</v>
      </c>
      <c r="K21" s="5">
        <v>0</v>
      </c>
      <c r="L21" s="9">
        <f t="shared" si="4"/>
        <v>1267454.2333333334</v>
      </c>
    </row>
    <row r="22" spans="1:12" x14ac:dyDescent="0.25">
      <c r="A22" s="22">
        <v>2015</v>
      </c>
      <c r="B22" s="5">
        <v>0</v>
      </c>
      <c r="C22" s="5">
        <v>0</v>
      </c>
      <c r="D22" s="5">
        <v>1012925.9500000001</v>
      </c>
      <c r="E22" s="5">
        <v>154800</v>
      </c>
      <c r="F22" s="5">
        <v>75191.731958650635</v>
      </c>
      <c r="G22" s="5">
        <f t="shared" si="3"/>
        <v>229991.73195865063</v>
      </c>
      <c r="H22" s="5">
        <v>0</v>
      </c>
      <c r="I22" s="5">
        <v>0</v>
      </c>
      <c r="J22" s="5">
        <v>0</v>
      </c>
      <c r="K22" s="5">
        <v>0</v>
      </c>
      <c r="L22" s="9">
        <f t="shared" si="4"/>
        <v>1242917.6819586507</v>
      </c>
    </row>
    <row r="23" spans="1:12" x14ac:dyDescent="0.25">
      <c r="A23" s="253" t="s">
        <v>241</v>
      </c>
      <c r="B23" s="59">
        <f>AVERAGE(B17:B22)</f>
        <v>0</v>
      </c>
      <c r="C23" s="59">
        <f>AVERAGE(C17:C22)</f>
        <v>0</v>
      </c>
      <c r="D23" s="59">
        <f>AVERAGE(D19:D22)</f>
        <v>1054009.5958333325</v>
      </c>
      <c r="E23" s="59">
        <f t="shared" ref="E23:L23" si="5">AVERAGE(E19:E22)</f>
        <v>154800</v>
      </c>
      <c r="F23" s="59">
        <f t="shared" si="5"/>
        <v>65843.932989662659</v>
      </c>
      <c r="G23" s="59">
        <f t="shared" si="5"/>
        <v>220643.93298966266</v>
      </c>
      <c r="H23" s="59">
        <f t="shared" si="5"/>
        <v>0</v>
      </c>
      <c r="I23" s="59">
        <f t="shared" si="5"/>
        <v>0</v>
      </c>
      <c r="J23" s="59">
        <f t="shared" si="5"/>
        <v>0</v>
      </c>
      <c r="K23" s="59">
        <f t="shared" si="5"/>
        <v>0</v>
      </c>
      <c r="L23" s="59">
        <f t="shared" si="5"/>
        <v>1274653.5288229953</v>
      </c>
    </row>
    <row r="24" spans="1:12" ht="18.75" x14ac:dyDescent="0.3">
      <c r="A24" s="428" t="s">
        <v>235</v>
      </c>
      <c r="B24" s="372"/>
      <c r="C24" s="372"/>
      <c r="D24" s="372"/>
      <c r="E24" s="372"/>
      <c r="F24" s="372"/>
      <c r="G24" s="372"/>
      <c r="H24" s="372"/>
      <c r="I24" s="372"/>
      <c r="J24" s="372"/>
      <c r="K24" s="372"/>
      <c r="L24" s="429"/>
    </row>
    <row r="25" spans="1:12" x14ac:dyDescent="0.25">
      <c r="A25" s="22">
        <v>2010</v>
      </c>
      <c r="B25" s="5">
        <v>0</v>
      </c>
      <c r="C25" s="5">
        <v>0</v>
      </c>
      <c r="D25" s="404">
        <f t="shared" ref="D25:G30" si="6">D17/D9</f>
        <v>0.29833033429084166</v>
      </c>
      <c r="E25" s="404">
        <f t="shared" si="6"/>
        <v>1</v>
      </c>
      <c r="F25" s="404">
        <f t="shared" si="6"/>
        <v>1</v>
      </c>
      <c r="G25" s="404">
        <f t="shared" si="6"/>
        <v>1</v>
      </c>
      <c r="H25" s="5">
        <v>0</v>
      </c>
      <c r="I25" s="5">
        <v>0</v>
      </c>
      <c r="J25" s="5">
        <v>0</v>
      </c>
      <c r="K25" s="5">
        <v>0</v>
      </c>
      <c r="L25" s="9"/>
    </row>
    <row r="26" spans="1:12" x14ac:dyDescent="0.25">
      <c r="A26" s="22">
        <v>2011</v>
      </c>
      <c r="B26" s="5">
        <v>0</v>
      </c>
      <c r="C26" s="5">
        <v>0</v>
      </c>
      <c r="D26" s="404">
        <f t="shared" si="6"/>
        <v>0.29399047276830553</v>
      </c>
      <c r="E26" s="404">
        <f t="shared" si="6"/>
        <v>1</v>
      </c>
      <c r="F26" s="404">
        <f t="shared" si="6"/>
        <v>1</v>
      </c>
      <c r="G26" s="404">
        <f t="shared" si="6"/>
        <v>1</v>
      </c>
      <c r="H26" s="5">
        <v>0</v>
      </c>
      <c r="I26" s="5">
        <v>0</v>
      </c>
      <c r="J26" s="5">
        <v>0</v>
      </c>
      <c r="K26" s="5">
        <v>0</v>
      </c>
      <c r="L26" s="9"/>
    </row>
    <row r="27" spans="1:12" x14ac:dyDescent="0.25">
      <c r="A27" s="22">
        <v>2012</v>
      </c>
      <c r="B27" s="5">
        <v>0</v>
      </c>
      <c r="C27" s="5">
        <v>0</v>
      </c>
      <c r="D27" s="404">
        <f t="shared" si="6"/>
        <v>0.28050587559813445</v>
      </c>
      <c r="E27" s="404">
        <f t="shared" si="6"/>
        <v>1</v>
      </c>
      <c r="F27" s="404">
        <f t="shared" si="6"/>
        <v>1</v>
      </c>
      <c r="G27" s="404">
        <f t="shared" si="6"/>
        <v>1</v>
      </c>
      <c r="H27" s="5">
        <v>0</v>
      </c>
      <c r="I27" s="5">
        <v>0</v>
      </c>
      <c r="J27" s="5">
        <v>0</v>
      </c>
      <c r="K27" s="5">
        <v>0</v>
      </c>
      <c r="L27" s="9"/>
    </row>
    <row r="28" spans="1:12" x14ac:dyDescent="0.25">
      <c r="A28" s="22">
        <v>2013</v>
      </c>
      <c r="B28" s="5">
        <v>0</v>
      </c>
      <c r="C28" s="5">
        <v>0</v>
      </c>
      <c r="D28" s="404">
        <f t="shared" si="6"/>
        <v>0.27923804893265636</v>
      </c>
      <c r="E28" s="404">
        <f t="shared" si="6"/>
        <v>1</v>
      </c>
      <c r="F28" s="404">
        <f t="shared" si="6"/>
        <v>1</v>
      </c>
      <c r="G28" s="404">
        <f t="shared" si="6"/>
        <v>1</v>
      </c>
      <c r="H28" s="5">
        <v>0</v>
      </c>
      <c r="I28" s="5">
        <v>0</v>
      </c>
      <c r="J28" s="5">
        <v>0</v>
      </c>
      <c r="K28" s="5">
        <v>0</v>
      </c>
      <c r="L28" s="9"/>
    </row>
    <row r="29" spans="1:12" x14ac:dyDescent="0.25">
      <c r="A29" s="22">
        <v>2014</v>
      </c>
      <c r="B29" s="5">
        <v>0</v>
      </c>
      <c r="C29" s="5">
        <v>0</v>
      </c>
      <c r="D29" s="404">
        <f t="shared" si="6"/>
        <v>0.27285672266042116</v>
      </c>
      <c r="E29" s="404">
        <f t="shared" si="6"/>
        <v>1</v>
      </c>
      <c r="F29" s="404">
        <f t="shared" si="6"/>
        <v>1</v>
      </c>
      <c r="G29" s="404">
        <f t="shared" si="6"/>
        <v>1</v>
      </c>
      <c r="H29" s="5">
        <v>0</v>
      </c>
      <c r="I29" s="5">
        <v>0</v>
      </c>
      <c r="J29" s="5">
        <v>0</v>
      </c>
      <c r="K29" s="5">
        <v>0</v>
      </c>
      <c r="L29" s="9"/>
    </row>
    <row r="30" spans="1:12" x14ac:dyDescent="0.25">
      <c r="A30" s="22">
        <v>2015</v>
      </c>
      <c r="B30" s="5">
        <v>0</v>
      </c>
      <c r="C30" s="5">
        <v>0</v>
      </c>
      <c r="D30" s="404">
        <f t="shared" si="6"/>
        <v>0.26761956603920106</v>
      </c>
      <c r="E30" s="404">
        <f t="shared" si="6"/>
        <v>1</v>
      </c>
      <c r="F30" s="404">
        <f t="shared" si="6"/>
        <v>1</v>
      </c>
      <c r="G30" s="404">
        <f t="shared" si="6"/>
        <v>1</v>
      </c>
      <c r="H30" s="5">
        <v>0</v>
      </c>
      <c r="I30" s="5">
        <v>0</v>
      </c>
      <c r="J30" s="5">
        <v>0</v>
      </c>
      <c r="K30" s="5">
        <v>0</v>
      </c>
      <c r="L30" s="9"/>
    </row>
    <row r="31" spans="1:12" x14ac:dyDescent="0.25">
      <c r="A31" s="253" t="s">
        <v>241</v>
      </c>
      <c r="B31" s="59">
        <f>AVERAGE(B25:B30)</f>
        <v>0</v>
      </c>
      <c r="C31" s="59">
        <f>AVERAGE(C25:C30)</f>
        <v>0</v>
      </c>
      <c r="D31" s="405">
        <f>AVERAGE(D27:D30)</f>
        <v>0.27505505330760327</v>
      </c>
      <c r="E31" s="405">
        <f t="shared" ref="E31:K31" si="7">AVERAGE(E27:E30)</f>
        <v>1</v>
      </c>
      <c r="F31" s="405">
        <f t="shared" si="7"/>
        <v>1</v>
      </c>
      <c r="G31" s="405">
        <f t="shared" si="7"/>
        <v>1</v>
      </c>
      <c r="H31" s="59">
        <f t="shared" si="7"/>
        <v>0</v>
      </c>
      <c r="I31" s="59">
        <f t="shared" si="7"/>
        <v>0</v>
      </c>
      <c r="J31" s="59">
        <f t="shared" si="7"/>
        <v>0</v>
      </c>
      <c r="K31" s="59">
        <f t="shared" si="7"/>
        <v>0</v>
      </c>
      <c r="L31" s="406"/>
    </row>
    <row r="32" spans="1:12" ht="18.75" x14ac:dyDescent="0.3">
      <c r="A32" s="308" t="s">
        <v>157</v>
      </c>
      <c r="B32" s="309"/>
      <c r="C32" s="309"/>
      <c r="D32" s="309"/>
      <c r="E32" s="309"/>
      <c r="F32" s="309"/>
      <c r="G32" s="309"/>
      <c r="H32" s="309"/>
      <c r="I32" s="309"/>
      <c r="J32" s="309"/>
      <c r="K32" s="309"/>
      <c r="L32" s="310"/>
    </row>
    <row r="33" spans="1:12" x14ac:dyDescent="0.25">
      <c r="A33" s="236">
        <v>2016</v>
      </c>
      <c r="B33" s="75">
        <f>ROUND(B31*('Rate Class Energy Model'!B70+'Rate Class Energy Model'!B73),0)</f>
        <v>0</v>
      </c>
      <c r="C33" s="75">
        <f>ROUND(C31*('Rate Class Energy Model'!C70+'Rate Class Energy Model'!C73),0)</f>
        <v>0</v>
      </c>
      <c r="D33" s="75">
        <f>'Rate Class Demand Model'!D39</f>
        <v>3850882.9826046336</v>
      </c>
      <c r="E33" s="75">
        <f>'Rate Class Demand Model'!E39</f>
        <v>154800</v>
      </c>
      <c r="F33" s="75">
        <f>'Rate Class Demand Model'!F39</f>
        <v>72320.243986216883</v>
      </c>
      <c r="G33" s="75">
        <f>'Rate Class Demand Model'!G39</f>
        <v>227120.2439862169</v>
      </c>
      <c r="H33" s="75">
        <f>ROUND(H31*('Rate Class Energy Model'!F70+'Rate Class Energy Model'!F73),0)</f>
        <v>0</v>
      </c>
      <c r="I33" s="75">
        <f>ROUND(I31*('Rate Class Energy Model'!G70+'Rate Class Energy Model'!G73),0)</f>
        <v>0</v>
      </c>
      <c r="J33" s="75">
        <f>ROUND(J31*('Rate Class Energy Model'!H70+'Rate Class Energy Model'!H73),0)</f>
        <v>0</v>
      </c>
      <c r="K33" s="75">
        <f>ROUND(K31*('Rate Class Energy Model'!I70+'Rate Class Energy Model'!I73),0)</f>
        <v>0</v>
      </c>
      <c r="L33" s="237">
        <f>SUM(D33:F33)</f>
        <v>4078003.2265908504</v>
      </c>
    </row>
    <row r="34" spans="1:12" x14ac:dyDescent="0.25">
      <c r="A34" s="238">
        <v>2017</v>
      </c>
      <c r="B34" s="90">
        <f>ROUND(B31*('Rate Class Energy Model'!B71+'Rate Class Energy Model'!B74),0)</f>
        <v>0</v>
      </c>
      <c r="C34" s="90">
        <f>ROUND(C31*('Rate Class Energy Model'!C71+'Rate Class Energy Model'!C74),0)</f>
        <v>0</v>
      </c>
      <c r="D34" s="90">
        <f>'Rate Class Demand Model'!D40</f>
        <v>3783118.2186331437</v>
      </c>
      <c r="E34" s="90">
        <f>'Rate Class Demand Model'!E40</f>
        <v>154800</v>
      </c>
      <c r="F34" s="90">
        <f>'Rate Class Demand Model'!F40</f>
        <v>72320.243986216883</v>
      </c>
      <c r="G34" s="90">
        <f>'Rate Class Demand Model'!G40</f>
        <v>227120.2439862169</v>
      </c>
      <c r="H34" s="90">
        <f>ROUND(H31*('Rate Class Energy Model'!F71+'Rate Class Energy Model'!F74),0)</f>
        <v>0</v>
      </c>
      <c r="I34" s="90">
        <f>ROUND(I31*('Rate Class Energy Model'!G71+'Rate Class Energy Model'!G74),0)</f>
        <v>0</v>
      </c>
      <c r="J34" s="90">
        <f>ROUND(J31*('Rate Class Energy Model'!H71+'Rate Class Energy Model'!H74),0)</f>
        <v>0</v>
      </c>
      <c r="K34" s="90">
        <f>ROUND(K31*('Rate Class Energy Model'!I71+'Rate Class Energy Model'!I74),0)</f>
        <v>0</v>
      </c>
      <c r="L34" s="91">
        <f>SUM(D34:F34)</f>
        <v>4010238.4626193605</v>
      </c>
    </row>
    <row r="35" spans="1:12" ht="18.75" x14ac:dyDescent="0.3">
      <c r="A35" s="308" t="s">
        <v>236</v>
      </c>
      <c r="B35" s="309"/>
      <c r="C35" s="309"/>
      <c r="D35" s="309"/>
      <c r="E35" s="309"/>
      <c r="F35" s="309"/>
      <c r="G35" s="309"/>
      <c r="H35" s="309"/>
      <c r="I35" s="309"/>
      <c r="J35" s="309"/>
      <c r="K35" s="309"/>
      <c r="L35" s="310"/>
    </row>
    <row r="36" spans="1:12" x14ac:dyDescent="0.25">
      <c r="A36" s="236">
        <v>2016</v>
      </c>
      <c r="B36" s="75">
        <f>ROUND(B34*('Rate Class Energy Model'!B73+'Rate Class Energy Model'!B76),0)</f>
        <v>0</v>
      </c>
      <c r="C36" s="75">
        <f>ROUND(C34*('Rate Class Energy Model'!C73+'Rate Class Energy Model'!C76),0)</f>
        <v>0</v>
      </c>
      <c r="D36" s="407">
        <f>D31*D33</f>
        <v>1059204.8240616599</v>
      </c>
      <c r="E36" s="407">
        <f t="shared" ref="E36:G36" si="8">E31*E33</f>
        <v>154800</v>
      </c>
      <c r="F36" s="407">
        <f t="shared" si="8"/>
        <v>72320.243986216883</v>
      </c>
      <c r="G36" s="407">
        <f t="shared" si="8"/>
        <v>227120.2439862169</v>
      </c>
      <c r="H36" s="75">
        <f>ROUND(H34*('Rate Class Energy Model'!F73+'Rate Class Energy Model'!F76),0)</f>
        <v>0</v>
      </c>
      <c r="I36" s="75">
        <f>ROUND(I34*('Rate Class Energy Model'!G73+'Rate Class Energy Model'!G76),0)</f>
        <v>0</v>
      </c>
      <c r="J36" s="75">
        <f>ROUND(J34*('Rate Class Energy Model'!H73+'Rate Class Energy Model'!H76),0)</f>
        <v>0</v>
      </c>
      <c r="K36" s="75">
        <f>ROUND(K34*('Rate Class Energy Model'!I73+'Rate Class Energy Model'!I76),0)</f>
        <v>0</v>
      </c>
      <c r="L36" s="237">
        <f>SUM(D36:F36)</f>
        <v>1286325.0680478767</v>
      </c>
    </row>
    <row r="37" spans="1:12" x14ac:dyDescent="0.25">
      <c r="A37" s="238">
        <v>2017</v>
      </c>
      <c r="B37" s="90">
        <f>ROUND(B34*('Rate Class Energy Model'!B74+'Rate Class Energy Model'!B77),0)</f>
        <v>0</v>
      </c>
      <c r="C37" s="90">
        <f>ROUND(C34*('Rate Class Energy Model'!C74+'Rate Class Energy Model'!C77),0)</f>
        <v>0</v>
      </c>
      <c r="D37" s="408">
        <f>D31*D34</f>
        <v>1040565.7832951045</v>
      </c>
      <c r="E37" s="408">
        <f t="shared" ref="E37:G37" si="9">E31*E34</f>
        <v>154800</v>
      </c>
      <c r="F37" s="408">
        <f t="shared" si="9"/>
        <v>72320.243986216883</v>
      </c>
      <c r="G37" s="408">
        <f t="shared" si="9"/>
        <v>227120.2439862169</v>
      </c>
      <c r="H37" s="90">
        <f>ROUND(H34*('Rate Class Energy Model'!F74+'Rate Class Energy Model'!F77),0)</f>
        <v>0</v>
      </c>
      <c r="I37" s="90">
        <f>ROUND(I34*('Rate Class Energy Model'!G74+'Rate Class Energy Model'!G77),0)</f>
        <v>0</v>
      </c>
      <c r="J37" s="90">
        <f>ROUND(J34*('Rate Class Energy Model'!H74+'Rate Class Energy Model'!H77),0)</f>
        <v>0</v>
      </c>
      <c r="K37" s="90">
        <f>ROUND(K34*('Rate Class Energy Model'!I74+'Rate Class Energy Model'!I77),0)</f>
        <v>0</v>
      </c>
      <c r="L37" s="91">
        <f>SUM(D37:F37)</f>
        <v>1267686.0272813214</v>
      </c>
    </row>
    <row r="38" spans="1:12" ht="18.75" x14ac:dyDescent="0.3">
      <c r="A38" s="308" t="s">
        <v>249</v>
      </c>
      <c r="B38" s="309"/>
      <c r="C38" s="309"/>
      <c r="D38" s="309"/>
      <c r="E38" s="309"/>
      <c r="F38" s="309"/>
      <c r="G38" s="309"/>
      <c r="H38" s="309"/>
      <c r="I38" s="309"/>
      <c r="J38" s="309"/>
      <c r="K38" s="309"/>
      <c r="L38" s="310"/>
    </row>
    <row r="39" spans="1:12" x14ac:dyDescent="0.25">
      <c r="A39" s="236">
        <v>2016</v>
      </c>
      <c r="B39" s="75">
        <f>ROUND(B37*('Rate Class Energy Model'!B76+'Rate Class Energy Model'!B79),0)</f>
        <v>0</v>
      </c>
      <c r="C39" s="75">
        <f>ROUND(C37*('Rate Class Energy Model'!C76+'Rate Class Energy Model'!C79),0)</f>
        <v>0</v>
      </c>
      <c r="D39" s="407">
        <v>60000</v>
      </c>
      <c r="E39" s="407">
        <v>0</v>
      </c>
      <c r="F39" s="407">
        <v>0</v>
      </c>
      <c r="G39" s="407">
        <v>0</v>
      </c>
      <c r="H39" s="75">
        <f>ROUND(H37*('Rate Class Energy Model'!F76+'Rate Class Energy Model'!F79),0)</f>
        <v>0</v>
      </c>
      <c r="I39" s="75">
        <f>ROUND(I37*('Rate Class Energy Model'!G76+'Rate Class Energy Model'!G79),0)</f>
        <v>0</v>
      </c>
      <c r="J39" s="75">
        <f>ROUND(J37*('Rate Class Energy Model'!H76+'Rate Class Energy Model'!H79),0)</f>
        <v>0</v>
      </c>
      <c r="K39" s="75">
        <f>ROUND(K37*('Rate Class Energy Model'!I76+'Rate Class Energy Model'!I79),0)</f>
        <v>0</v>
      </c>
      <c r="L39" s="237">
        <f>SUM(D39:F39)</f>
        <v>60000</v>
      </c>
    </row>
    <row r="40" spans="1:12" x14ac:dyDescent="0.25">
      <c r="A40" s="238">
        <v>2017</v>
      </c>
      <c r="B40" s="90">
        <f>ROUND(B37*('Rate Class Energy Model'!B77+'Rate Class Energy Model'!B80),0)</f>
        <v>0</v>
      </c>
      <c r="C40" s="90">
        <f>ROUND(C37*('Rate Class Energy Model'!C77+'Rate Class Energy Model'!C80),0)</f>
        <v>0</v>
      </c>
      <c r="D40" s="408">
        <f>D39</f>
        <v>60000</v>
      </c>
      <c r="E40" s="408">
        <v>0</v>
      </c>
      <c r="F40" s="408">
        <v>0</v>
      </c>
      <c r="G40" s="408">
        <v>0</v>
      </c>
      <c r="H40" s="90">
        <f>ROUND(H37*('Rate Class Energy Model'!F77+'Rate Class Energy Model'!F80),0)</f>
        <v>0</v>
      </c>
      <c r="I40" s="90">
        <f>ROUND(I37*('Rate Class Energy Model'!G77+'Rate Class Energy Model'!G80),0)</f>
        <v>0</v>
      </c>
      <c r="J40" s="90">
        <f>ROUND(J37*('Rate Class Energy Model'!H77+'Rate Class Energy Model'!H80),0)</f>
        <v>0</v>
      </c>
      <c r="K40" s="90">
        <f>ROUND(K37*('Rate Class Energy Model'!I77+'Rate Class Energy Model'!I80),0)</f>
        <v>0</v>
      </c>
      <c r="L40" s="91">
        <f>SUM(D40:F40)</f>
        <v>60000</v>
      </c>
    </row>
    <row r="41" spans="1:12" ht="18.75" x14ac:dyDescent="0.3">
      <c r="A41" s="308" t="s">
        <v>250</v>
      </c>
      <c r="B41" s="309"/>
      <c r="C41" s="309"/>
      <c r="D41" s="309"/>
      <c r="E41" s="309"/>
      <c r="F41" s="309"/>
      <c r="G41" s="309"/>
      <c r="H41" s="309"/>
      <c r="I41" s="309"/>
      <c r="J41" s="309"/>
      <c r="K41" s="309"/>
      <c r="L41" s="310"/>
    </row>
    <row r="42" spans="1:12" x14ac:dyDescent="0.25">
      <c r="A42" s="236">
        <v>2016</v>
      </c>
      <c r="B42" s="75">
        <f>ROUND(B40*('Rate Class Energy Model'!B79+'Rate Class Energy Model'!B82),0)</f>
        <v>0</v>
      </c>
      <c r="C42" s="75">
        <f>ROUND(C40*('Rate Class Energy Model'!C79+'Rate Class Energy Model'!C82),0)</f>
        <v>0</v>
      </c>
      <c r="D42" s="407">
        <f>D36+D39</f>
        <v>1119204.8240616599</v>
      </c>
      <c r="E42" s="407">
        <f t="shared" ref="E42:G42" si="10">E36+E39</f>
        <v>154800</v>
      </c>
      <c r="F42" s="407">
        <f t="shared" si="10"/>
        <v>72320.243986216883</v>
      </c>
      <c r="G42" s="407">
        <f t="shared" si="10"/>
        <v>227120.2439862169</v>
      </c>
      <c r="H42" s="75">
        <f>ROUND(H40*('Rate Class Energy Model'!F79+'Rate Class Energy Model'!F82),0)</f>
        <v>0</v>
      </c>
      <c r="I42" s="75">
        <f>ROUND(I40*('Rate Class Energy Model'!G79+'Rate Class Energy Model'!G82),0)</f>
        <v>0</v>
      </c>
      <c r="J42" s="75">
        <f>ROUND(J40*('Rate Class Energy Model'!H79+'Rate Class Energy Model'!H82),0)</f>
        <v>0</v>
      </c>
      <c r="K42" s="75">
        <f>ROUND(K40*('Rate Class Energy Model'!I79+'Rate Class Energy Model'!I82),0)</f>
        <v>0</v>
      </c>
      <c r="L42" s="237">
        <f>SUM(D42:F42)</f>
        <v>1346325.0680478767</v>
      </c>
    </row>
    <row r="43" spans="1:12" x14ac:dyDescent="0.25">
      <c r="A43" s="238">
        <v>2017</v>
      </c>
      <c r="B43" s="90">
        <f>ROUND(B40*('Rate Class Energy Model'!B80+'Rate Class Energy Model'!B83),0)</f>
        <v>0</v>
      </c>
      <c r="C43" s="90">
        <f>ROUND(C40*('Rate Class Energy Model'!C80+'Rate Class Energy Model'!C83),0)</f>
        <v>0</v>
      </c>
      <c r="D43" s="90">
        <f>D37+D40</f>
        <v>1100565.7832951045</v>
      </c>
      <c r="E43" s="90">
        <f t="shared" ref="E43:G43" si="11">E37+E40</f>
        <v>154800</v>
      </c>
      <c r="F43" s="90">
        <f t="shared" si="11"/>
        <v>72320.243986216883</v>
      </c>
      <c r="G43" s="90">
        <f t="shared" si="11"/>
        <v>227120.2439862169</v>
      </c>
      <c r="H43" s="90">
        <f>ROUND(H40*('Rate Class Energy Model'!F80+'Rate Class Energy Model'!F83),0)</f>
        <v>0</v>
      </c>
      <c r="I43" s="90">
        <f>ROUND(I40*('Rate Class Energy Model'!G80+'Rate Class Energy Model'!G83),0)</f>
        <v>0</v>
      </c>
      <c r="J43" s="90">
        <f>ROUND(J40*('Rate Class Energy Model'!H80+'Rate Class Energy Model'!H83),0)</f>
        <v>0</v>
      </c>
      <c r="K43" s="90">
        <f>ROUND(K40*('Rate Class Energy Model'!I80+'Rate Class Energy Model'!I83),0)</f>
        <v>0</v>
      </c>
      <c r="L43" s="91">
        <f>SUM(D43:F43)</f>
        <v>1327686.0272813214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pageSetUpPr fitToPage="1"/>
  </sheetPr>
  <dimension ref="A1:M105"/>
  <sheetViews>
    <sheetView zoomScaleNormal="100" workbookViewId="0">
      <pane xSplit="1" ySplit="7" topLeftCell="C32" activePane="bottomRight" state="frozen"/>
      <selection activeCell="A2" sqref="A2"/>
      <selection pane="topRight" activeCell="A2" sqref="A2"/>
      <selection pane="bottomLeft" activeCell="A2" sqref="A2"/>
      <selection pane="bottomRight" activeCell="C10" sqref="C10"/>
    </sheetView>
  </sheetViews>
  <sheetFormatPr defaultRowHeight="15" x14ac:dyDescent="0.25"/>
  <cols>
    <col min="1" max="1" width="60.85546875" bestFit="1" customWidth="1"/>
    <col min="2" max="3" width="14.28515625" bestFit="1" customWidth="1"/>
    <col min="4" max="4" width="14.28515625" customWidth="1"/>
    <col min="5" max="11" width="14.28515625" bestFit="1" customWidth="1"/>
    <col min="12" max="12" width="14.28515625" customWidth="1"/>
    <col min="13" max="13" width="14.28515625" bestFit="1" customWidth="1"/>
  </cols>
  <sheetData>
    <row r="1" spans="1:13" ht="18.75" x14ac:dyDescent="0.3">
      <c r="A1" s="24" t="str">
        <f>Admin!B3</f>
        <v>London Hydro</v>
      </c>
      <c r="B1" s="25"/>
      <c r="C1" s="25"/>
      <c r="D1" s="25"/>
      <c r="E1" s="25"/>
      <c r="F1" s="25"/>
      <c r="G1" s="25"/>
      <c r="H1" s="25"/>
      <c r="I1" s="25"/>
      <c r="J1" s="25"/>
      <c r="K1" s="25"/>
      <c r="L1" s="25"/>
      <c r="M1" s="25"/>
    </row>
    <row r="2" spans="1:13" ht="18.75" x14ac:dyDescent="0.3">
      <c r="A2" s="24" t="str">
        <f>Admin!B5</f>
        <v>EB-2016-0091</v>
      </c>
      <c r="B2" s="25"/>
      <c r="C2" s="25"/>
      <c r="D2" s="25"/>
      <c r="E2" s="25"/>
      <c r="F2" s="25"/>
      <c r="G2" s="25"/>
      <c r="H2" s="25"/>
      <c r="I2" s="25"/>
      <c r="J2" s="25"/>
      <c r="K2" s="25"/>
      <c r="L2" s="25"/>
      <c r="M2" s="25"/>
    </row>
    <row r="3" spans="1:13" ht="18.75" x14ac:dyDescent="0.3">
      <c r="A3" s="24" t="str">
        <f>Admin!B7</f>
        <v>2017 Load Forecast</v>
      </c>
      <c r="B3" s="25"/>
      <c r="C3" s="25"/>
      <c r="D3" s="25"/>
      <c r="E3" s="25"/>
      <c r="F3" s="25"/>
      <c r="G3" s="25"/>
      <c r="H3" s="25"/>
      <c r="I3" s="25"/>
      <c r="J3" s="25"/>
      <c r="K3" s="25"/>
      <c r="L3" s="25"/>
      <c r="M3" s="25"/>
    </row>
    <row r="4" spans="1:13" ht="18.75" x14ac:dyDescent="0.3">
      <c r="A4" s="24"/>
      <c r="B4" s="25"/>
      <c r="C4" s="25"/>
      <c r="D4" s="25"/>
      <c r="E4" s="25"/>
      <c r="F4" s="25"/>
      <c r="G4" s="25"/>
      <c r="H4" s="25"/>
      <c r="I4" s="25"/>
      <c r="J4" s="25"/>
      <c r="K4" s="25"/>
      <c r="L4" s="25"/>
      <c r="M4" s="25"/>
    </row>
    <row r="5" spans="1:13" ht="19.5" thickBot="1" x14ac:dyDescent="0.35">
      <c r="A5" s="26" t="s">
        <v>100</v>
      </c>
      <c r="B5" s="27"/>
      <c r="C5" s="27"/>
      <c r="D5" s="27"/>
      <c r="E5" s="27"/>
      <c r="F5" s="27"/>
      <c r="G5" s="27"/>
      <c r="H5" s="27"/>
      <c r="I5" s="27"/>
      <c r="J5" s="27"/>
      <c r="K5" s="27"/>
      <c r="L5" s="27"/>
      <c r="M5" s="27"/>
    </row>
    <row r="7" spans="1:13" ht="30" x14ac:dyDescent="0.25">
      <c r="A7" s="13" t="s">
        <v>23</v>
      </c>
      <c r="B7" s="14" t="s">
        <v>29</v>
      </c>
      <c r="C7" s="14" t="s">
        <v>30</v>
      </c>
      <c r="D7" s="14" t="s">
        <v>31</v>
      </c>
      <c r="E7" s="14" t="s">
        <v>32</v>
      </c>
      <c r="F7" s="14" t="s">
        <v>33</v>
      </c>
      <c r="G7" s="14" t="s">
        <v>34</v>
      </c>
      <c r="H7" s="14" t="s">
        <v>35</v>
      </c>
      <c r="I7" s="14" t="s">
        <v>36</v>
      </c>
      <c r="J7" s="14" t="s">
        <v>37</v>
      </c>
      <c r="K7" s="14" t="s">
        <v>182</v>
      </c>
      <c r="L7" s="15" t="s">
        <v>38</v>
      </c>
      <c r="M7" s="15" t="s">
        <v>183</v>
      </c>
    </row>
    <row r="8" spans="1:13" x14ac:dyDescent="0.25">
      <c r="A8" s="350" t="s">
        <v>45</v>
      </c>
      <c r="B8" s="351"/>
      <c r="C8" s="351"/>
      <c r="D8" s="351"/>
      <c r="E8" s="351"/>
      <c r="F8" s="351"/>
      <c r="G8" s="351"/>
      <c r="H8" s="351"/>
      <c r="I8" s="351"/>
      <c r="J8" s="351"/>
      <c r="K8" s="351"/>
      <c r="L8" s="352"/>
      <c r="M8" s="353"/>
    </row>
    <row r="9" spans="1:13" x14ac:dyDescent="0.25">
      <c r="A9" s="11" t="s">
        <v>24</v>
      </c>
      <c r="B9" s="40">
        <f>'Forecast Accuracy'!$B$9</f>
        <v>3381396098.6554003</v>
      </c>
      <c r="C9" s="40">
        <f>'Forecast Accuracy'!$B$10</f>
        <v>3437253458.2235703</v>
      </c>
      <c r="D9" s="40">
        <f>'Forecast Accuracy'!$B$11</f>
        <v>3370084709.6114292</v>
      </c>
      <c r="E9" s="40">
        <f>'Forecast Accuracy'!$B$12</f>
        <v>3245166642.8919578</v>
      </c>
      <c r="F9" s="40">
        <f>'Forecast Accuracy'!$B$13</f>
        <v>3353468834.5121541</v>
      </c>
      <c r="G9" s="40">
        <f>'Forecast Accuracy'!$B$14</f>
        <v>3337714644.460043</v>
      </c>
      <c r="H9" s="40">
        <f>'Forecast Accuracy'!$B$15</f>
        <v>3302327427.2050533</v>
      </c>
      <c r="I9" s="40">
        <f>'Forecast Accuracy'!$B$16</f>
        <v>3306067867.81322</v>
      </c>
      <c r="J9" s="40">
        <f>'Forecast Accuracy'!$B$17</f>
        <v>3248466267.3010745</v>
      </c>
      <c r="K9" s="40">
        <f>'Forecast Accuracy'!$B$18</f>
        <v>3247167562.4024882</v>
      </c>
      <c r="L9" s="294"/>
      <c r="M9" s="16"/>
    </row>
    <row r="10" spans="1:13" x14ac:dyDescent="0.25">
      <c r="A10" s="34" t="s">
        <v>25</v>
      </c>
      <c r="B10" s="5">
        <f>'Forecast Accuracy'!$C$9</f>
        <v>3391887821.4432597</v>
      </c>
      <c r="C10" s="5">
        <f>'Forecast Accuracy'!$C$10</f>
        <v>3420290348.5405598</v>
      </c>
      <c r="D10" s="5">
        <f>'Forecast Accuracy'!$C$11</f>
        <v>3355008827.1199918</v>
      </c>
      <c r="E10" s="5">
        <f>'Forecast Accuracy'!$C$12</f>
        <v>3257754032.0184965</v>
      </c>
      <c r="F10" s="5">
        <f>'Forecast Accuracy'!$C$13</f>
        <v>3370122661.184032</v>
      </c>
      <c r="G10" s="5">
        <f>'Forecast Accuracy'!$C$14</f>
        <v>3328632116.3325319</v>
      </c>
      <c r="H10" s="5">
        <f>'Forecast Accuracy'!$C$15</f>
        <v>3329610055.4615049</v>
      </c>
      <c r="I10" s="5">
        <f>'Forecast Accuracy'!$C$16</f>
        <v>3288078432.1785402</v>
      </c>
      <c r="J10" s="5">
        <f>'Forecast Accuracy'!$C$17</f>
        <v>3238572906.4181786</v>
      </c>
      <c r="K10" s="5">
        <f>'Forecast Accuracy'!$C$18</f>
        <v>3237527853.9670334</v>
      </c>
      <c r="L10" s="5">
        <f>'Forecast Accuracy'!$C$19</f>
        <v>3291466109.268167</v>
      </c>
      <c r="M10" s="16">
        <f>'Forecast Accuracy'!C20</f>
        <v>3226441829.9669929</v>
      </c>
    </row>
    <row r="11" spans="1:13" x14ac:dyDescent="0.25">
      <c r="A11" s="45" t="s">
        <v>199</v>
      </c>
      <c r="B11" s="46"/>
      <c r="C11" s="46"/>
      <c r="D11" s="46"/>
      <c r="E11" s="46"/>
      <c r="F11" s="46"/>
      <c r="G11" s="46"/>
      <c r="H11" s="46"/>
      <c r="I11" s="46"/>
      <c r="J11" s="46"/>
      <c r="K11" s="46"/>
      <c r="L11" s="5">
        <f>'Rate Class Energy Model'!J61</f>
        <v>-34719332.666666672</v>
      </c>
      <c r="M11" s="47">
        <f>'Rate Class Energy Model'!J62</f>
        <v>-69362666</v>
      </c>
    </row>
    <row r="12" spans="1:13" x14ac:dyDescent="0.25">
      <c r="A12" s="48" t="s">
        <v>26</v>
      </c>
      <c r="B12" s="49">
        <f>SUM(B10:B11)</f>
        <v>3391887821.4432597</v>
      </c>
      <c r="C12" s="49">
        <f t="shared" ref="C12:J12" si="0">SUM(C10:C11)</f>
        <v>3420290348.5405598</v>
      </c>
      <c r="D12" s="49">
        <f t="shared" si="0"/>
        <v>3355008827.1199918</v>
      </c>
      <c r="E12" s="49">
        <f t="shared" si="0"/>
        <v>3257754032.0184965</v>
      </c>
      <c r="F12" s="49">
        <f t="shared" si="0"/>
        <v>3370122661.184032</v>
      </c>
      <c r="G12" s="49">
        <f t="shared" si="0"/>
        <v>3328632116.3325319</v>
      </c>
      <c r="H12" s="49">
        <f t="shared" si="0"/>
        <v>3329610055.4615049</v>
      </c>
      <c r="I12" s="49">
        <f t="shared" si="0"/>
        <v>3288078432.1785402</v>
      </c>
      <c r="J12" s="49">
        <f t="shared" si="0"/>
        <v>3238572906.4181786</v>
      </c>
      <c r="K12" s="49">
        <f>SUM(K10:K11)</f>
        <v>3237527853.9670334</v>
      </c>
      <c r="L12" s="49">
        <f t="shared" ref="L12:M12" si="1">SUM(L10:L11)</f>
        <v>3256746776.6015005</v>
      </c>
      <c r="M12" s="50">
        <f t="shared" si="1"/>
        <v>3157079163.9669929</v>
      </c>
    </row>
    <row r="13" spans="1:13" x14ac:dyDescent="0.25">
      <c r="A13" s="34" t="s">
        <v>27</v>
      </c>
      <c r="B13" s="31">
        <f>(B9-B12)/B9</f>
        <v>-3.1027784032847954E-3</v>
      </c>
      <c r="C13" s="31">
        <f t="shared" ref="C13:K13" si="2">(C9-C12)/C9</f>
        <v>4.935076766721007E-3</v>
      </c>
      <c r="D13" s="31">
        <f t="shared" si="2"/>
        <v>4.4734431892590864E-3</v>
      </c>
      <c r="E13" s="31">
        <f t="shared" si="2"/>
        <v>-3.8788113251778636E-3</v>
      </c>
      <c r="F13" s="31">
        <f t="shared" si="2"/>
        <v>-4.9661492304581313E-3</v>
      </c>
      <c r="G13" s="31">
        <f t="shared" si="2"/>
        <v>2.7211817351091576E-3</v>
      </c>
      <c r="H13" s="31">
        <f t="shared" si="2"/>
        <v>-8.2616363331186812E-3</v>
      </c>
      <c r="I13" s="31">
        <f t="shared" si="2"/>
        <v>5.4413388817026332E-3</v>
      </c>
      <c r="J13" s="31">
        <f t="shared" si="2"/>
        <v>3.045548289197922E-3</v>
      </c>
      <c r="K13" s="31">
        <f t="shared" si="2"/>
        <v>2.9686513708343082E-3</v>
      </c>
      <c r="L13" s="31"/>
      <c r="M13" s="368"/>
    </row>
    <row r="14" spans="1:13" x14ac:dyDescent="0.25">
      <c r="A14" s="34"/>
      <c r="B14" s="3"/>
      <c r="C14" s="3"/>
      <c r="D14" s="3"/>
      <c r="E14" s="3"/>
      <c r="F14" s="3"/>
      <c r="G14" s="3"/>
      <c r="H14" s="3"/>
      <c r="I14" s="3"/>
      <c r="J14" s="3"/>
      <c r="K14" s="3"/>
      <c r="L14" s="296"/>
      <c r="M14" s="10"/>
    </row>
    <row r="15" spans="1:13" x14ac:dyDescent="0.25">
      <c r="A15" s="34" t="s">
        <v>28</v>
      </c>
      <c r="B15" s="5">
        <f>'Forecast Accuracy'!$I$9</f>
        <v>3275701579.0000005</v>
      </c>
      <c r="C15" s="5">
        <f>'Forecast Accuracy'!$I$10</f>
        <v>3312382011.7307029</v>
      </c>
      <c r="D15" s="5">
        <f>'Forecast Accuracy'!$I$11</f>
        <v>3262420181.5844727</v>
      </c>
      <c r="E15" s="5">
        <f>'Forecast Accuracy'!$I$12</f>
        <v>3081157255.4700007</v>
      </c>
      <c r="F15" s="5">
        <f>'Forecast Accuracy'!$I$13</f>
        <v>3303100983.9384837</v>
      </c>
      <c r="G15" s="5">
        <f>'Forecast Accuracy'!$I$14</f>
        <v>3247125847.7483082</v>
      </c>
      <c r="H15" s="5">
        <f>'Forecast Accuracy'!$I$15</f>
        <v>3203200496.7921538</v>
      </c>
      <c r="I15" s="5">
        <f>'Forecast Accuracy'!$I$16</f>
        <v>3172182383.9385242</v>
      </c>
      <c r="J15" s="5">
        <f>'Forecast Accuracy'!$I$17</f>
        <v>3185717215.0767031</v>
      </c>
      <c r="K15" s="5">
        <f>'Forecast Accuracy'!$I$18</f>
        <v>3149997453.3533196</v>
      </c>
      <c r="L15" s="16">
        <f>'Rate Class Energy Model'!J70</f>
        <v>3174360138.7526822</v>
      </c>
      <c r="M15" s="16">
        <f>'Rate Class Energy Model'!J71</f>
        <v>3076670356.975378</v>
      </c>
    </row>
    <row r="16" spans="1:13" x14ac:dyDescent="0.25">
      <c r="A16" s="34"/>
      <c r="B16" s="31"/>
      <c r="C16" s="3"/>
      <c r="D16" s="3"/>
      <c r="E16" s="3"/>
      <c r="F16" s="3"/>
      <c r="G16" s="3"/>
      <c r="H16" s="3"/>
      <c r="I16" s="3"/>
      <c r="J16" s="3"/>
      <c r="K16" s="3"/>
      <c r="L16" s="297"/>
      <c r="M16" s="9"/>
    </row>
    <row r="17" spans="1:13" x14ac:dyDescent="0.25">
      <c r="A17" s="350" t="s">
        <v>39</v>
      </c>
      <c r="B17" s="351"/>
      <c r="C17" s="351"/>
      <c r="D17" s="351"/>
      <c r="E17" s="351"/>
      <c r="F17" s="351"/>
      <c r="G17" s="351"/>
      <c r="H17" s="351"/>
      <c r="I17" s="351"/>
      <c r="J17" s="351"/>
      <c r="K17" s="351"/>
      <c r="L17" s="352"/>
      <c r="M17" s="353"/>
    </row>
    <row r="18" spans="1:13" x14ac:dyDescent="0.25">
      <c r="A18" s="35" t="s">
        <v>2</v>
      </c>
      <c r="B18" s="32"/>
      <c r="C18" s="33"/>
      <c r="D18" s="33"/>
      <c r="E18" s="33"/>
      <c r="F18" s="33"/>
      <c r="G18" s="33"/>
      <c r="H18" s="33"/>
      <c r="I18" s="33"/>
      <c r="J18" s="33"/>
      <c r="K18" s="33"/>
      <c r="L18" s="298"/>
      <c r="M18" s="36"/>
    </row>
    <row r="19" spans="1:13" x14ac:dyDescent="0.25">
      <c r="A19" s="34" t="s">
        <v>40</v>
      </c>
      <c r="B19" s="5">
        <f>'Rate Class Customer Model'!$B$9</f>
        <v>124977.63311194847</v>
      </c>
      <c r="C19" s="5">
        <f>'Rate Class Customer Model'!$B$10</f>
        <v>127034.86939534695</v>
      </c>
      <c r="D19" s="5">
        <f>'Rate Class Customer Model'!$B$11</f>
        <v>129174.35299740307</v>
      </c>
      <c r="E19" s="5">
        <f>'Rate Class Customer Model'!$B$12</f>
        <v>129621.28154399365</v>
      </c>
      <c r="F19" s="5">
        <f>'Rate Class Customer Model'!$B$13</f>
        <v>132014.32180859643</v>
      </c>
      <c r="G19" s="5">
        <f>'Rate Class Customer Model'!$B$14</f>
        <v>134171</v>
      </c>
      <c r="H19" s="5">
        <f>'Rate Class Customer Model'!$B$15</f>
        <v>135321</v>
      </c>
      <c r="I19" s="5">
        <f>'Rate Class Customer Model'!$B$16</f>
        <v>136540</v>
      </c>
      <c r="J19" s="5">
        <f>'Rate Class Customer Model'!$B$17</f>
        <v>137835</v>
      </c>
      <c r="K19" s="5">
        <f>'Rate Class Customer Model'!$B$18</f>
        <v>139223</v>
      </c>
      <c r="L19" s="295">
        <f>'Rate Class Customer Model'!B53</f>
        <v>140655</v>
      </c>
      <c r="M19" s="16">
        <f>'Rate Class Customer Model'!$B$54</f>
        <v>141991</v>
      </c>
    </row>
    <row r="20" spans="1:13" x14ac:dyDescent="0.25">
      <c r="A20" s="34" t="s">
        <v>14</v>
      </c>
      <c r="B20" s="5">
        <f>'Rate Class Energy Model'!$B$9</f>
        <v>1088755114</v>
      </c>
      <c r="C20" s="5">
        <f>'Rate Class Energy Model'!$B$10</f>
        <v>1117283048</v>
      </c>
      <c r="D20" s="5">
        <f>'Rate Class Energy Model'!$B$11</f>
        <v>1119770671</v>
      </c>
      <c r="E20" s="5">
        <f>'Rate Class Energy Model'!$B$12</f>
        <v>1067984894</v>
      </c>
      <c r="F20" s="5">
        <f>'Rate Class Energy Model'!$B$13</f>
        <v>1146514255</v>
      </c>
      <c r="G20" s="5">
        <f>'Rate Class Energy Model'!$B$14</f>
        <v>1128889459</v>
      </c>
      <c r="H20" s="5">
        <f>'Rate Class Energy Model'!$B$15</f>
        <v>1103889962</v>
      </c>
      <c r="I20" s="5">
        <f>'Rate Class Energy Model'!$B$16</f>
        <v>1091107756.5</v>
      </c>
      <c r="J20" s="5">
        <f>'Rate Class Energy Model'!$B$17</f>
        <v>1096195854</v>
      </c>
      <c r="K20" s="5">
        <f>'Rate Class Energy Model'!$B$18</f>
        <v>1084665542.4000001</v>
      </c>
      <c r="L20" s="16">
        <f>'Rate Class Energy Model'!$B$70</f>
        <v>1099003026.8440735</v>
      </c>
      <c r="M20" s="16">
        <f>'Rate Class Energy Model'!$B$71</f>
        <v>1069466425.5335112</v>
      </c>
    </row>
    <row r="21" spans="1:13" x14ac:dyDescent="0.25">
      <c r="A21" s="34" t="s">
        <v>41</v>
      </c>
      <c r="B21" s="5"/>
      <c r="C21" s="5"/>
      <c r="D21" s="5"/>
      <c r="E21" s="5"/>
      <c r="F21" s="5"/>
      <c r="G21" s="5"/>
      <c r="H21" s="5"/>
      <c r="I21" s="5"/>
      <c r="J21" s="5"/>
      <c r="K21" s="5"/>
      <c r="L21" s="295"/>
      <c r="M21" s="16"/>
    </row>
    <row r="22" spans="1:13" x14ac:dyDescent="0.25">
      <c r="A22" s="35" t="s">
        <v>3</v>
      </c>
      <c r="B22" s="32"/>
      <c r="C22" s="33"/>
      <c r="D22" s="33"/>
      <c r="E22" s="33"/>
      <c r="F22" s="33"/>
      <c r="G22" s="33"/>
      <c r="H22" s="33"/>
      <c r="I22" s="33"/>
      <c r="J22" s="33"/>
      <c r="K22" s="33"/>
      <c r="L22" s="298"/>
      <c r="M22" s="36"/>
    </row>
    <row r="23" spans="1:13" x14ac:dyDescent="0.25">
      <c r="A23" s="34" t="s">
        <v>40</v>
      </c>
      <c r="B23" s="5">
        <f>'Rate Class Customer Model'!$C$9</f>
        <v>11845.9599805296</v>
      </c>
      <c r="C23" s="5">
        <f>'Rate Class Customer Model'!$C$10</f>
        <v>11878.478398637601</v>
      </c>
      <c r="D23" s="5">
        <f>'Rate Class Customer Model'!$C$11</f>
        <v>11975.7865646465</v>
      </c>
      <c r="E23" s="5">
        <f>'Rate Class Customer Model'!$C$12</f>
        <v>11897.743413513501</v>
      </c>
      <c r="F23" s="5">
        <f>'Rate Class Customer Model'!$C$13</f>
        <v>11938.9399203623</v>
      </c>
      <c r="G23" s="5">
        <f>'Rate Class Customer Model'!$C$14</f>
        <v>11915</v>
      </c>
      <c r="H23" s="5">
        <f>'Rate Class Customer Model'!$C$15</f>
        <v>12011</v>
      </c>
      <c r="I23" s="5">
        <f>'Rate Class Customer Model'!$C$16</f>
        <v>12098</v>
      </c>
      <c r="J23" s="5">
        <f>'Rate Class Customer Model'!$C$17</f>
        <v>12243</v>
      </c>
      <c r="K23" s="5">
        <f>'Rate Class Customer Model'!$C$18</f>
        <v>12461</v>
      </c>
      <c r="L23" s="5">
        <f>'Rate Class Customer Model'!$C$53</f>
        <v>12563</v>
      </c>
      <c r="M23" s="16">
        <f>'Rate Class Customer Model'!$C$54</f>
        <v>12703</v>
      </c>
    </row>
    <row r="24" spans="1:13" x14ac:dyDescent="0.25">
      <c r="A24" s="34" t="s">
        <v>14</v>
      </c>
      <c r="B24" s="5">
        <f>'Rate Class Energy Model'!$C$9</f>
        <v>410108836.32520872</v>
      </c>
      <c r="C24" s="5">
        <f>'Rate Class Energy Model'!$C$10</f>
        <v>417026808</v>
      </c>
      <c r="D24" s="5">
        <f>'Rate Class Energy Model'!$C$11</f>
        <v>418620282.19268787</v>
      </c>
      <c r="E24" s="5">
        <f>'Rate Class Energy Model'!$C$12</f>
        <v>392901741</v>
      </c>
      <c r="F24" s="5">
        <f>'Rate Class Energy Model'!$C$13</f>
        <v>407620994</v>
      </c>
      <c r="G24" s="5">
        <f>'Rate Class Energy Model'!$C$14</f>
        <v>407986442</v>
      </c>
      <c r="H24" s="5">
        <f>'Rate Class Energy Model'!$C$15</f>
        <v>400003533</v>
      </c>
      <c r="I24" s="5">
        <f>'Rate Class Energy Model'!$C$16</f>
        <v>400291647</v>
      </c>
      <c r="J24" s="5">
        <f>'Rate Class Energy Model'!$C$17</f>
        <v>405335151</v>
      </c>
      <c r="K24" s="5">
        <f>'Rate Class Energy Model'!$C$18</f>
        <v>399647917.89999998</v>
      </c>
      <c r="L24" s="5">
        <f>'Rate Class Energy Model'!$C$70</f>
        <v>390919009.81433868</v>
      </c>
      <c r="M24" s="16">
        <f>'Rate Class Energy Model'!$C$71</f>
        <v>369565608.88457942</v>
      </c>
    </row>
    <row r="25" spans="1:13" x14ac:dyDescent="0.25">
      <c r="A25" s="34" t="s">
        <v>41</v>
      </c>
      <c r="B25" s="5"/>
      <c r="C25" s="5"/>
      <c r="D25" s="5"/>
      <c r="E25" s="5"/>
      <c r="F25" s="5"/>
      <c r="G25" s="5"/>
      <c r="H25" s="5"/>
      <c r="I25" s="5"/>
      <c r="J25" s="5"/>
      <c r="K25" s="5"/>
      <c r="L25" s="295"/>
      <c r="M25" s="16"/>
    </row>
    <row r="26" spans="1:13" x14ac:dyDescent="0.25">
      <c r="A26" s="35" t="s">
        <v>4</v>
      </c>
      <c r="B26" s="32"/>
      <c r="C26" s="33"/>
      <c r="D26" s="33"/>
      <c r="E26" s="33"/>
      <c r="F26" s="33"/>
      <c r="G26" s="33"/>
      <c r="H26" s="33"/>
      <c r="I26" s="33"/>
      <c r="J26" s="33"/>
      <c r="K26" s="33"/>
      <c r="L26" s="298"/>
      <c r="M26" s="36"/>
    </row>
    <row r="27" spans="1:13" x14ac:dyDescent="0.25">
      <c r="A27" s="34" t="s">
        <v>40</v>
      </c>
      <c r="B27" s="5">
        <f>'Rate Class Customer Model'!$D$9</f>
        <v>1561.51881405069</v>
      </c>
      <c r="C27" s="5">
        <f>'Rate Class Customer Model'!$D$10</f>
        <v>1581.61289494219</v>
      </c>
      <c r="D27" s="5">
        <f>'Rate Class Customer Model'!$D$11</f>
        <v>1588.72039694771</v>
      </c>
      <c r="E27" s="5">
        <f>'Rate Class Customer Model'!$D$12</f>
        <v>1591.5427792226899</v>
      </c>
      <c r="F27" s="5">
        <f>'Rate Class Customer Model'!$D$13</f>
        <v>1618.5607511447899</v>
      </c>
      <c r="G27" s="5">
        <f>'Rate Class Customer Model'!$D$14</f>
        <v>1615</v>
      </c>
      <c r="H27" s="5">
        <f>'Rate Class Customer Model'!$D$15</f>
        <v>1627</v>
      </c>
      <c r="I27" s="5">
        <f>'Rate Class Customer Model'!$D$16</f>
        <v>1615</v>
      </c>
      <c r="J27" s="5">
        <f>'Rate Class Customer Model'!$D$17</f>
        <v>1599.5</v>
      </c>
      <c r="K27" s="5">
        <f>'Rate Class Customer Model'!$D$18</f>
        <v>1578</v>
      </c>
      <c r="L27" s="5">
        <f>'Rate Class Customer Model'!$D$53</f>
        <v>1566</v>
      </c>
      <c r="M27" s="16">
        <f>'Rate Class Customer Model'!$D$54</f>
        <v>1556</v>
      </c>
    </row>
    <row r="28" spans="1:13" x14ac:dyDescent="0.25">
      <c r="A28" s="34" t="s">
        <v>14</v>
      </c>
      <c r="B28" s="5">
        <f>'Rate Class Energy Model'!$D$9</f>
        <v>1608473485.1762016</v>
      </c>
      <c r="C28" s="5">
        <f>'Rate Class Energy Model'!$D$10</f>
        <v>1595425677.54</v>
      </c>
      <c r="D28" s="5">
        <f>'Rate Class Energy Model'!$D$11</f>
        <v>1541096157.558687</v>
      </c>
      <c r="E28" s="5">
        <f>'Rate Class Energy Model'!$D$12</f>
        <v>1426537473.96</v>
      </c>
      <c r="F28" s="5">
        <f>'Rate Class Energy Model'!$D$13</f>
        <v>1550511760.7697754</v>
      </c>
      <c r="G28" s="5">
        <f>'Rate Class Energy Model'!$D$14</f>
        <v>1518936150.5995092</v>
      </c>
      <c r="H28" s="5">
        <f>'Rate Class Energy Model'!$D$15</f>
        <v>1508216004.4635518</v>
      </c>
      <c r="I28" s="5">
        <f>'Rate Class Energy Model'!$D$16</f>
        <v>1485615093.2081921</v>
      </c>
      <c r="J28" s="5">
        <f>'Rate Class Energy Model'!$D$17</f>
        <v>1499515192.7853625</v>
      </c>
      <c r="K28" s="5">
        <f>'Rate Class Energy Model'!$D$18</f>
        <v>1484614973.0699999</v>
      </c>
      <c r="L28" s="5">
        <f>'Rate Class Energy Model'!$D$70</f>
        <v>1515242843.5272627</v>
      </c>
      <c r="M28" s="16">
        <f>'Rate Class Energy Model'!$D$71</f>
        <v>1488668997.8097899</v>
      </c>
    </row>
    <row r="29" spans="1:13" x14ac:dyDescent="0.25">
      <c r="A29" s="34" t="s">
        <v>41</v>
      </c>
      <c r="B29" s="5">
        <f>'Rate Class Demand Model'!$D$9</f>
        <v>3915477.1695291498</v>
      </c>
      <c r="C29" s="5">
        <f>'Rate Class Demand Model'!$D$10</f>
        <v>4060703.5904890802</v>
      </c>
      <c r="D29" s="5">
        <f>'Rate Class Demand Model'!$D$11</f>
        <v>3931362.2139175613</v>
      </c>
      <c r="E29" s="5">
        <f>'Rate Class Demand Model'!$D$12</f>
        <v>3753528.8894009311</v>
      </c>
      <c r="F29" s="5">
        <f>'Rate Class Demand Model'!$D$13</f>
        <v>4011620.997838547</v>
      </c>
      <c r="G29" s="5">
        <f>'Rate Class Demand Model'!$D$14</f>
        <v>3888174.4338051002</v>
      </c>
      <c r="H29" s="5">
        <f>'Rate Class Demand Model'!$D$15</f>
        <v>3888895.42631</v>
      </c>
      <c r="I29" s="5">
        <f>'Rate Class Demand Model'!$D$16</f>
        <v>3840562.51443</v>
      </c>
      <c r="J29" s="5">
        <f>'Rate Class Demand Model'!$D$17</f>
        <v>3810876.3573599998</v>
      </c>
      <c r="K29" s="5">
        <f>'Rate Class Demand Model'!$D$18</f>
        <v>3784947.2853999999</v>
      </c>
      <c r="L29" s="5">
        <f>'Rate Class Demand Model'!$D$39</f>
        <v>3850882.9826046336</v>
      </c>
      <c r="M29" s="16">
        <f>'Rate Class Demand Model'!$D$40</f>
        <v>3783118.2186331437</v>
      </c>
    </row>
    <row r="30" spans="1:13" x14ac:dyDescent="0.25">
      <c r="A30" s="35" t="s">
        <v>177</v>
      </c>
      <c r="B30" s="32"/>
      <c r="C30" s="33"/>
      <c r="D30" s="33"/>
      <c r="E30" s="33"/>
      <c r="F30" s="33"/>
      <c r="G30" s="33"/>
      <c r="H30" s="33"/>
      <c r="I30" s="33"/>
      <c r="J30" s="33"/>
      <c r="K30" s="33"/>
      <c r="L30" s="298"/>
      <c r="M30" s="36"/>
    </row>
    <row r="31" spans="1:13" x14ac:dyDescent="0.25">
      <c r="A31" s="34" t="s">
        <v>40</v>
      </c>
      <c r="B31" s="5">
        <f>'Rate Class Customer Model'!$E$9</f>
        <v>3.0833012843479297</v>
      </c>
      <c r="C31" s="5">
        <f>'Rate Class Customer Model'!$E$10</f>
        <v>2.9999857730208062</v>
      </c>
      <c r="D31" s="5">
        <f>'Rate Class Customer Model'!$E$11</f>
        <v>2.9999837575256798</v>
      </c>
      <c r="E31" s="5">
        <f>'Rate Class Customer Model'!$E$12</f>
        <v>3</v>
      </c>
      <c r="F31" s="5">
        <f>'Rate Class Customer Model'!$E$13</f>
        <v>3</v>
      </c>
      <c r="G31" s="5">
        <f>'Rate Class Customer Model'!$E$14</f>
        <v>3</v>
      </c>
      <c r="H31" s="5">
        <f>'Rate Class Customer Model'!$E$15</f>
        <v>3</v>
      </c>
      <c r="I31" s="5">
        <f>'Rate Class Customer Model'!$E$16</f>
        <v>3</v>
      </c>
      <c r="J31" s="5">
        <f>'Rate Class Customer Model'!$E$17</f>
        <v>3.5</v>
      </c>
      <c r="K31" s="5">
        <f>'Rate Class Customer Model'!$E$18</f>
        <v>4</v>
      </c>
      <c r="L31" s="295">
        <f>'Rate Class Customer Model'!E47</f>
        <v>4</v>
      </c>
      <c r="M31" s="369">
        <f>'Rate Class Customer Model'!E48</f>
        <v>4</v>
      </c>
    </row>
    <row r="32" spans="1:13" x14ac:dyDescent="0.25">
      <c r="A32" s="34" t="s">
        <v>14</v>
      </c>
      <c r="B32" s="5">
        <f>'Rate Class Energy Model'!$E$9</f>
        <v>30875410.01379855</v>
      </c>
      <c r="C32" s="5">
        <f>'Rate Class Energy Model'!$E$10</f>
        <v>37213731.519810766</v>
      </c>
      <c r="D32" s="5">
        <f>'Rate Class Energy Model'!$E$11</f>
        <v>39755987.581312835</v>
      </c>
      <c r="E32" s="5">
        <f>'Rate Class Energy Model'!$E$12</f>
        <v>42590885.077863201</v>
      </c>
      <c r="F32" s="5">
        <f>'Rate Class Energy Model'!$E$13</f>
        <v>45965216.448082045</v>
      </c>
      <c r="G32" s="5">
        <f>'Rate Class Energy Model'!$E$14</f>
        <v>37918667.78424219</v>
      </c>
      <c r="H32" s="5">
        <f>'Rate Class Energy Model'!$E$15</f>
        <v>39375740.065082341</v>
      </c>
      <c r="I32" s="5">
        <f>'Rate Class Energy Model'!$E$16</f>
        <v>43072445.71870096</v>
      </c>
      <c r="J32" s="5">
        <f>'Rate Class Energy Model'!$E$17</f>
        <v>36488426.400947116</v>
      </c>
      <c r="K32" s="5">
        <f>'Rate Class Energy Model'!$E$18</f>
        <v>38831480.539999999</v>
      </c>
      <c r="L32" s="295">
        <f>'Rate Class Energy Model'!E70</f>
        <v>36849913.701493345</v>
      </c>
      <c r="M32" s="16">
        <f>'Rate Class Energy Model'!E71</f>
        <v>34273200.023803711</v>
      </c>
    </row>
    <row r="33" spans="1:13" x14ac:dyDescent="0.25">
      <c r="A33" s="34" t="s">
        <v>41</v>
      </c>
      <c r="B33" s="5">
        <f>'Rate Class Demand Model'!$G$9</f>
        <v>187535.8</v>
      </c>
      <c r="C33" s="5">
        <f>'Rate Class Demand Model'!$G$10</f>
        <v>193743.3</v>
      </c>
      <c r="D33" s="5">
        <f>'Rate Class Demand Model'!$G$11</f>
        <v>193224.19914400831</v>
      </c>
      <c r="E33" s="5">
        <f>'Rate Class Demand Model'!$G$12</f>
        <v>192660.90511425084</v>
      </c>
      <c r="F33" s="5">
        <f>'Rate Class Demand Model'!$G$13</f>
        <v>191104.80051606905</v>
      </c>
      <c r="G33" s="5">
        <f>'Rate Class Demand Model'!$G$14</f>
        <v>202843.69511875187</v>
      </c>
      <c r="H33" s="5">
        <f>'Rate Class Demand Model'!$G$15</f>
        <v>201215</v>
      </c>
      <c r="I33" s="5">
        <f>'Rate Class Demand Model'!$G$16</f>
        <v>223738</v>
      </c>
      <c r="J33" s="5">
        <f>'Rate Class Demand Model'!$G$17</f>
        <v>227631</v>
      </c>
      <c r="K33" s="5">
        <f>'Rate Class Demand Model'!$G$18</f>
        <v>229991.73195865063</v>
      </c>
      <c r="L33" s="295">
        <f>SUM('Rate Class Demand Model'!E33:F33)</f>
        <v>227120.2439862169</v>
      </c>
      <c r="M33" s="16">
        <f>SUM('Rate Class Demand Model'!E34:F34)</f>
        <v>227120.2439862169</v>
      </c>
    </row>
    <row r="34" spans="1:13" x14ac:dyDescent="0.25">
      <c r="A34" s="35" t="s">
        <v>5</v>
      </c>
      <c r="B34" s="32"/>
      <c r="C34" s="33"/>
      <c r="D34" s="33"/>
      <c r="E34" s="33"/>
      <c r="F34" s="33"/>
      <c r="G34" s="33"/>
      <c r="H34" s="33"/>
      <c r="I34" s="33"/>
      <c r="J34" s="33"/>
      <c r="K34" s="33"/>
      <c r="L34" s="298"/>
      <c r="M34" s="36"/>
    </row>
    <row r="35" spans="1:13" x14ac:dyDescent="0.25">
      <c r="A35" s="34" t="s">
        <v>40</v>
      </c>
      <c r="B35" s="5">
        <f>'Rate Class Customer Model'!$F$9</f>
        <v>1</v>
      </c>
      <c r="C35" s="5">
        <f>'Rate Class Customer Model'!$F$10</f>
        <v>1</v>
      </c>
      <c r="D35" s="5">
        <f>'Rate Class Customer Model'!$F$11</f>
        <v>1</v>
      </c>
      <c r="E35" s="5">
        <f>'Rate Class Customer Model'!$F$12</f>
        <v>1</v>
      </c>
      <c r="F35" s="5">
        <f>'Rate Class Customer Model'!$F$13</f>
        <v>1</v>
      </c>
      <c r="G35" s="5">
        <f>'Rate Class Customer Model'!$F$14</f>
        <v>1</v>
      </c>
      <c r="H35" s="5">
        <f>'Rate Class Customer Model'!$F$15</f>
        <v>1</v>
      </c>
      <c r="I35" s="5">
        <f>'Rate Class Customer Model'!$F$16</f>
        <v>1</v>
      </c>
      <c r="J35" s="5">
        <f>'Rate Class Customer Model'!$F$17</f>
        <v>1</v>
      </c>
      <c r="K35" s="5">
        <f>'Rate Class Customer Model'!$F$18</f>
        <v>1</v>
      </c>
      <c r="L35" s="295">
        <f>'Rate Class Customer Model'!$F$53</f>
        <v>1</v>
      </c>
      <c r="M35" s="369">
        <f>'Rate Class Customer Model'!$F$54</f>
        <v>1</v>
      </c>
    </row>
    <row r="36" spans="1:13" x14ac:dyDescent="0.25">
      <c r="A36" s="34" t="s">
        <v>14</v>
      </c>
      <c r="B36" s="5">
        <f>'Rate Class Energy Model'!$F$9</f>
        <v>108044053.81000002</v>
      </c>
      <c r="C36" s="5">
        <f>'Rate Class Energy Model'!$F$10</f>
        <v>115273669.97</v>
      </c>
      <c r="D36" s="5">
        <f>'Rate Class Energy Model'!$F$11</f>
        <v>113396329.84999999</v>
      </c>
      <c r="E36" s="5">
        <f>'Rate Class Energy Model'!$F$12</f>
        <v>121341105.29999998</v>
      </c>
      <c r="F36" s="5">
        <f>'Rate Class Energy Model'!$F$13</f>
        <v>122601391.58247705</v>
      </c>
      <c r="G36" s="5">
        <f>'Rate Class Energy Model'!$F$14</f>
        <v>123286320.35898429</v>
      </c>
      <c r="H36" s="5">
        <f>'Rate Class Energy Model'!$F$15</f>
        <v>121512036.05529828</v>
      </c>
      <c r="I36" s="5">
        <f>'Rate Class Energy Model'!$F$16</f>
        <v>121362030.52949455</v>
      </c>
      <c r="J36" s="5">
        <f>'Rate Class Energy Model'!$F$17</f>
        <v>117379515.48242304</v>
      </c>
      <c r="K36" s="5">
        <f>'Rate Class Energy Model'!$F$18</f>
        <v>111335381.79626675</v>
      </c>
      <c r="L36" s="295">
        <f>'Rate Class Energy Model'!$F$70</f>
        <v>104051002.86551414</v>
      </c>
      <c r="M36" s="369">
        <f>'Rate Class Energy Model'!$F$71</f>
        <v>88987424.723693669</v>
      </c>
    </row>
    <row r="37" spans="1:13" x14ac:dyDescent="0.25">
      <c r="A37" s="34" t="s">
        <v>41</v>
      </c>
      <c r="B37" s="5">
        <f>'Rate Class Demand Model'!$H$9</f>
        <v>216900.49879200966</v>
      </c>
      <c r="C37" s="5">
        <f>'Rate Class Demand Model'!$H$10</f>
        <v>225300.0761774955</v>
      </c>
      <c r="D37" s="5">
        <f>'Rate Class Demand Model'!$H$11</f>
        <v>222580.2096733604</v>
      </c>
      <c r="E37" s="5">
        <f>'Rate Class Demand Model'!$H$12</f>
        <v>232523.04275418638</v>
      </c>
      <c r="F37" s="5">
        <f>'Rate Class Demand Model'!$H$13</f>
        <v>233419.94057798028</v>
      </c>
      <c r="G37" s="5">
        <f>'Rate Class Demand Model'!$H$14</f>
        <v>239279.55950333521</v>
      </c>
      <c r="H37" s="5">
        <f>'Rate Class Demand Model'!$H$15</f>
        <v>233476.01368999999</v>
      </c>
      <c r="I37" s="5">
        <f>'Rate Class Demand Model'!$H$16</f>
        <v>234157.16557000001</v>
      </c>
      <c r="J37" s="5">
        <f>'Rate Class Demand Model'!$H$17</f>
        <v>229583.39264000001</v>
      </c>
      <c r="K37" s="5">
        <f>'Rate Class Demand Model'!$H$18</f>
        <v>212175.81603656427</v>
      </c>
      <c r="L37" s="295">
        <f>'Rate Class Demand Model'!$H$39</f>
        <v>200298</v>
      </c>
      <c r="M37" s="369">
        <f>'Rate Class Demand Model'!$H$40</f>
        <v>171301</v>
      </c>
    </row>
    <row r="38" spans="1:13" x14ac:dyDescent="0.25">
      <c r="A38" s="35" t="s">
        <v>7</v>
      </c>
      <c r="B38" s="32"/>
      <c r="C38" s="33"/>
      <c r="D38" s="33"/>
      <c r="E38" s="33"/>
      <c r="F38" s="33"/>
      <c r="G38" s="33"/>
      <c r="H38" s="33"/>
      <c r="I38" s="33"/>
      <c r="J38" s="33"/>
      <c r="K38" s="33"/>
      <c r="L38" s="298"/>
      <c r="M38" s="36"/>
    </row>
    <row r="39" spans="1:13" x14ac:dyDescent="0.25">
      <c r="A39" s="34" t="s">
        <v>44</v>
      </c>
      <c r="B39" s="5">
        <f>'Rate Class Customer Model'!$G$9</f>
        <v>31925.625083333332</v>
      </c>
      <c r="C39" s="5">
        <f>'Rate Class Customer Model'!$G$10</f>
        <v>32610.000041666666</v>
      </c>
      <c r="D39" s="5">
        <f>'Rate Class Customer Model'!$G$11</f>
        <v>33072.083333333328</v>
      </c>
      <c r="E39" s="5">
        <f>'Rate Class Customer Model'!$G$12</f>
        <v>33336.647321428565</v>
      </c>
      <c r="F39" s="5">
        <f>'Rate Class Customer Model'!$G$13</f>
        <v>33625.480654761908</v>
      </c>
      <c r="G39" s="5">
        <f>'Rate Class Customer Model'!$G$14</f>
        <v>34083</v>
      </c>
      <c r="H39" s="5">
        <f>'Rate Class Customer Model'!$G$15</f>
        <v>34410</v>
      </c>
      <c r="I39" s="5">
        <f>'Rate Class Customer Model'!$G$16</f>
        <v>34882</v>
      </c>
      <c r="J39" s="5">
        <f>'Rate Class Customer Model'!$G$17</f>
        <v>35118</v>
      </c>
      <c r="K39" s="5">
        <f>'Rate Class Customer Model'!$G$18</f>
        <v>35327</v>
      </c>
      <c r="L39" s="5">
        <f>'Rate Class Customer Model'!$G$53</f>
        <v>35712</v>
      </c>
      <c r="M39" s="16">
        <f>'Rate Class Customer Model'!$G$54</f>
        <v>36048</v>
      </c>
    </row>
    <row r="40" spans="1:13" x14ac:dyDescent="0.25">
      <c r="A40" s="34" t="s">
        <v>14</v>
      </c>
      <c r="B40" s="5">
        <f>'Rate Class Energy Model'!$G$9</f>
        <v>22245536</v>
      </c>
      <c r="C40" s="5">
        <f>'Rate Class Energy Model'!$G$10</f>
        <v>23071309.404087897</v>
      </c>
      <c r="D40" s="5">
        <f>'Rate Class Energy Model'!$G$11</f>
        <v>23270766.817004129</v>
      </c>
      <c r="E40" s="5">
        <f>'Rate Class Energy Model'!$G$12</f>
        <v>23394430.467325594</v>
      </c>
      <c r="F40" s="5">
        <f>'Rate Class Energy Model'!$G$13</f>
        <v>23532529.042175043</v>
      </c>
      <c r="G40" s="5">
        <f>'Rate Class Energy Model'!$G$14</f>
        <v>23650724.142568935</v>
      </c>
      <c r="H40" s="5">
        <f>'Rate Class Energy Model'!$G$15</f>
        <v>23812742.866749927</v>
      </c>
      <c r="I40" s="5">
        <f>'Rate Class Energy Model'!$G$16</f>
        <v>24330709.773275919</v>
      </c>
      <c r="J40" s="5">
        <f>'Rate Class Energy Model'!$G$17</f>
        <v>24496241.429951698</v>
      </c>
      <c r="K40" s="5">
        <f>'Rate Class Energy Model'!$G$18</f>
        <v>24640359.227053143</v>
      </c>
      <c r="L40" s="5">
        <f>'Rate Class Energy Model'!$G$70</f>
        <v>22126976</v>
      </c>
      <c r="M40" s="16">
        <f>'Rate Class Energy Model'!$G$71</f>
        <v>19597552</v>
      </c>
    </row>
    <row r="41" spans="1:13" x14ac:dyDescent="0.25">
      <c r="A41" s="34" t="s">
        <v>41</v>
      </c>
      <c r="B41" s="5">
        <f>'Rate Class Demand Model'!$I$9</f>
        <v>63698</v>
      </c>
      <c r="C41" s="5">
        <f>'Rate Class Demand Model'!$I$10</f>
        <v>64716.713119124703</v>
      </c>
      <c r="D41" s="5">
        <f>'Rate Class Demand Model'!$I$11</f>
        <v>65067.805784389442</v>
      </c>
      <c r="E41" s="5">
        <f>'Rate Class Demand Model'!$I$12</f>
        <v>65642.927175449338</v>
      </c>
      <c r="F41" s="5">
        <f>'Rate Class Demand Model'!$I$13</f>
        <v>66008.559448739034</v>
      </c>
      <c r="G41" s="5">
        <f>'Rate Class Demand Model'!$I$14</f>
        <v>66345.433038050949</v>
      </c>
      <c r="H41" s="5">
        <f>'Rate Class Demand Model'!$I$15</f>
        <v>66305</v>
      </c>
      <c r="I41" s="5">
        <f>'Rate Class Demand Model'!$I$16</f>
        <v>68984</v>
      </c>
      <c r="J41" s="5">
        <f>'Rate Class Demand Model'!$I$17</f>
        <v>68713</v>
      </c>
      <c r="K41" s="5">
        <f>'Rate Class Demand Model'!$I$18</f>
        <v>69125.657901861196</v>
      </c>
      <c r="L41" s="5">
        <f>'Rate Class Demand Model'!$I$39</f>
        <v>61956</v>
      </c>
      <c r="M41" s="16">
        <f>'Rate Class Demand Model'!$I$40</f>
        <v>54873</v>
      </c>
    </row>
    <row r="42" spans="1:13" x14ac:dyDescent="0.25">
      <c r="A42" s="35" t="s">
        <v>8</v>
      </c>
      <c r="B42" s="32"/>
      <c r="C42" s="33"/>
      <c r="D42" s="33"/>
      <c r="E42" s="33"/>
      <c r="F42" s="33"/>
      <c r="G42" s="33"/>
      <c r="H42" s="33"/>
      <c r="I42" s="33"/>
      <c r="J42" s="33"/>
      <c r="K42" s="33"/>
      <c r="L42" s="298"/>
      <c r="M42" s="36"/>
    </row>
    <row r="43" spans="1:13" x14ac:dyDescent="0.25">
      <c r="A43" s="34" t="s">
        <v>44</v>
      </c>
      <c r="B43" s="5">
        <f>'Rate Class Customer Model'!$H$9</f>
        <v>777.22367488662121</v>
      </c>
      <c r="C43" s="5">
        <f>'Rate Class Customer Model'!$H$10</f>
        <v>761.65071760411479</v>
      </c>
      <c r="D43" s="5">
        <f>'Rate Class Customer Model'!$H$11</f>
        <v>752.375</v>
      </c>
      <c r="E43" s="5">
        <f>'Rate Class Customer Model'!$H$12</f>
        <v>737.93406593406598</v>
      </c>
      <c r="F43" s="5">
        <f>'Rate Class Customer Model'!$H$13</f>
        <v>728.41275911108858</v>
      </c>
      <c r="G43" s="5">
        <f>'Rate Class Customer Model'!$H$14</f>
        <v>716.98612401743162</v>
      </c>
      <c r="H43" s="5">
        <f>'Rate Class Customer Model'!$H$15</f>
        <v>696.9911276771436</v>
      </c>
      <c r="I43" s="5">
        <f>'Rate Class Customer Model'!$H$16</f>
        <v>680.66447999999991</v>
      </c>
      <c r="J43" s="5">
        <f>'Rate Class Customer Model'!$H$17</f>
        <v>666</v>
      </c>
      <c r="K43" s="5">
        <f>'Rate Class Customer Model'!$H$18</f>
        <v>646</v>
      </c>
      <c r="L43" s="5">
        <f>'Rate Class Customer Model'!$H$53</f>
        <v>623</v>
      </c>
      <c r="M43" s="16">
        <f>'Rate Class Customer Model'!$H$54</f>
        <v>606</v>
      </c>
    </row>
    <row r="44" spans="1:13" x14ac:dyDescent="0.25">
      <c r="A44" s="34" t="s">
        <v>14</v>
      </c>
      <c r="B44" s="5">
        <f>'Rate Class Energy Model'!$H$9</f>
        <v>870735</v>
      </c>
      <c r="C44" s="5">
        <f>'Rate Class Energy Model'!$H$10</f>
        <v>872679.14787448419</v>
      </c>
      <c r="D44" s="5">
        <f>'Rate Class Energy Model'!$H$11</f>
        <v>862738.77746857307</v>
      </c>
      <c r="E44" s="5">
        <f>'Rate Class Energy Model'!$H$12</f>
        <v>836232.66481143842</v>
      </c>
      <c r="F44" s="5">
        <f>'Rate Class Energy Model'!$H$13</f>
        <v>831089.09597463743</v>
      </c>
      <c r="G44" s="5">
        <f>'Rate Class Energy Model'!$H$14</f>
        <v>812670</v>
      </c>
      <c r="H44" s="5">
        <f>'Rate Class Energy Model'!$H$15</f>
        <v>790064.34147180326</v>
      </c>
      <c r="I44" s="5">
        <f>'Rate Class Energy Model'!$H$16</f>
        <v>772541.20886106091</v>
      </c>
      <c r="J44" s="5">
        <f>'Rate Class Energy Model'!$H$17</f>
        <v>738784.97801932355</v>
      </c>
      <c r="K44" s="5">
        <f>'Rate Class Energy Model'!$H$18</f>
        <v>738970.52</v>
      </c>
      <c r="L44" s="5">
        <f>'Rate Class Energy Model'!$H$70</f>
        <v>714581</v>
      </c>
      <c r="M44" s="16">
        <f>'Rate Class Energy Model'!$H$71</f>
        <v>696900</v>
      </c>
    </row>
    <row r="45" spans="1:13" x14ac:dyDescent="0.25">
      <c r="A45" s="34" t="s">
        <v>41</v>
      </c>
      <c r="B45" s="5">
        <f>'Rate Class Demand Model'!$J$9</f>
        <v>2347</v>
      </c>
      <c r="C45" s="5">
        <f>'Rate Class Demand Model'!$J$10</f>
        <v>2369.3711848433277</v>
      </c>
      <c r="D45" s="5">
        <f>'Rate Class Demand Model'!$J$11</f>
        <v>2335.4573605049386</v>
      </c>
      <c r="E45" s="5">
        <f>'Rate Class Demand Model'!$J$12</f>
        <v>2277.7238256979945</v>
      </c>
      <c r="F45" s="5">
        <f>'Rate Class Demand Model'!$J$13</f>
        <v>2260.1401630198379</v>
      </c>
      <c r="G45" s="5">
        <f>'Rate Class Demand Model'!$J$14</f>
        <v>2203.1602452836423</v>
      </c>
      <c r="H45" s="5">
        <f>'Rate Class Demand Model'!$J$15</f>
        <v>2146</v>
      </c>
      <c r="I45" s="5">
        <f>'Rate Class Demand Model'!$J$16</f>
        <v>2099</v>
      </c>
      <c r="J45" s="5">
        <f>'Rate Class Demand Model'!$J$17</f>
        <v>2005</v>
      </c>
      <c r="K45" s="5">
        <f>'Rate Class Demand Model'!$J$18</f>
        <v>2009.4252932473785</v>
      </c>
      <c r="L45" s="5">
        <f>'Rate Class Demand Model'!$J$39</f>
        <v>1929</v>
      </c>
      <c r="M45" s="16">
        <f>'Rate Class Demand Model'!$J$40</f>
        <v>1882</v>
      </c>
    </row>
    <row r="46" spans="1:13" x14ac:dyDescent="0.25">
      <c r="A46" s="35" t="s">
        <v>42</v>
      </c>
      <c r="B46" s="32"/>
      <c r="C46" s="33"/>
      <c r="D46" s="33"/>
      <c r="E46" s="33"/>
      <c r="F46" s="33"/>
      <c r="G46" s="33"/>
      <c r="H46" s="33"/>
      <c r="I46" s="33"/>
      <c r="J46" s="33"/>
      <c r="K46" s="33"/>
      <c r="L46" s="298"/>
      <c r="M46" s="36"/>
    </row>
    <row r="47" spans="1:13" x14ac:dyDescent="0.25">
      <c r="A47" s="34" t="s">
        <v>44</v>
      </c>
      <c r="B47" s="5">
        <f>'Rate Class Customer Model'!$I$9</f>
        <v>1594.0795828494001</v>
      </c>
      <c r="C47" s="5">
        <f>'Rate Class Customer Model'!$I$10</f>
        <v>1604.5373112659702</v>
      </c>
      <c r="D47" s="5">
        <f>'Rate Class Customer Model'!$I$11</f>
        <v>1471.1547619047619</v>
      </c>
      <c r="E47" s="5">
        <f>'Rate Class Customer Model'!$I$12</f>
        <v>1516.8083386009271</v>
      </c>
      <c r="F47" s="5">
        <f>'Rate Class Customer Model'!$I$13</f>
        <v>1502.4071304540144</v>
      </c>
      <c r="G47" s="5">
        <f>'Rate Class Customer Model'!$I$14</f>
        <v>1496</v>
      </c>
      <c r="H47" s="5">
        <f>'Rate Class Customer Model'!$I$15</f>
        <v>1503</v>
      </c>
      <c r="I47" s="5">
        <f>'Rate Class Customer Model'!$I$16</f>
        <v>1508</v>
      </c>
      <c r="J47" s="5">
        <f>'Rate Class Customer Model'!$I$17</f>
        <v>1520</v>
      </c>
      <c r="K47" s="5">
        <f>'Rate Class Customer Model'!$I$18</f>
        <v>1525</v>
      </c>
      <c r="L47" s="5">
        <f>'Rate Class Customer Model'!$I$53</f>
        <v>1521</v>
      </c>
      <c r="M47" s="16">
        <f>'Rate Class Customer Model'!$I$54</f>
        <v>1526</v>
      </c>
    </row>
    <row r="48" spans="1:13" x14ac:dyDescent="0.25">
      <c r="A48" s="34" t="s">
        <v>14</v>
      </c>
      <c r="B48" s="5">
        <f>'Rate Class Energy Model'!$I$9</f>
        <v>6328408.6747912867</v>
      </c>
      <c r="C48" s="5">
        <f>'Rate Class Energy Model'!$I$10</f>
        <v>6215088.1489300504</v>
      </c>
      <c r="D48" s="5">
        <f>'Rate Class Energy Model'!$I$11</f>
        <v>5647247.807312157</v>
      </c>
      <c r="E48" s="5">
        <f>'Rate Class Energy Model'!$I$12</f>
        <v>5570493</v>
      </c>
      <c r="F48" s="5">
        <f>'Rate Class Energy Model'!$I$13</f>
        <v>5523748</v>
      </c>
      <c r="G48" s="5">
        <f>'Rate Class Energy Model'!$I$14</f>
        <v>5645413.863003171</v>
      </c>
      <c r="H48" s="5">
        <f>'Rate Class Energy Model'!$I$15</f>
        <v>5600414</v>
      </c>
      <c r="I48" s="5">
        <f>'Rate Class Energy Model'!$I$16</f>
        <v>5630160</v>
      </c>
      <c r="J48" s="5">
        <f>'Rate Class Energy Model'!$I$17</f>
        <v>5568049</v>
      </c>
      <c r="K48" s="5">
        <f>'Rate Class Energy Model'!$I$18</f>
        <v>5522827.9000000004</v>
      </c>
      <c r="L48" s="5">
        <f>'Rate Class Energy Model'!$I$70</f>
        <v>5452785</v>
      </c>
      <c r="M48" s="16">
        <f>'Rate Class Energy Model'!$I$71</f>
        <v>5414248</v>
      </c>
    </row>
    <row r="49" spans="1:13" x14ac:dyDescent="0.25">
      <c r="A49" s="34" t="s">
        <v>41</v>
      </c>
      <c r="B49" s="5">
        <f>'Rate Class Demand Model'!$K$9</f>
        <v>0</v>
      </c>
      <c r="C49" s="5">
        <f>'Rate Class Demand Model'!$K$10</f>
        <v>0</v>
      </c>
      <c r="D49" s="5">
        <f>'Rate Class Demand Model'!$K$11</f>
        <v>0</v>
      </c>
      <c r="E49" s="5">
        <f>'Rate Class Demand Model'!$K$12</f>
        <v>0</v>
      </c>
      <c r="F49" s="5">
        <f>'Rate Class Demand Model'!$K$13</f>
        <v>0</v>
      </c>
      <c r="G49" s="5">
        <f>'Rate Class Demand Model'!$K$14</f>
        <v>0</v>
      </c>
      <c r="H49" s="5">
        <f>'Rate Class Demand Model'!$K$15</f>
        <v>0</v>
      </c>
      <c r="I49" s="5">
        <f>'Rate Class Demand Model'!$K$16</f>
        <v>0</v>
      </c>
      <c r="J49" s="5">
        <f>'Rate Class Demand Model'!$K$18</f>
        <v>0</v>
      </c>
      <c r="K49" s="5">
        <f>'Rate Class Demand Model'!$K$39</f>
        <v>0</v>
      </c>
      <c r="L49" s="295"/>
      <c r="M49" s="16">
        <f>'Rate Class Demand Model'!$K$40</f>
        <v>0</v>
      </c>
    </row>
    <row r="50" spans="1:13" x14ac:dyDescent="0.25">
      <c r="A50" s="350" t="s">
        <v>43</v>
      </c>
      <c r="B50" s="351"/>
      <c r="C50" s="354"/>
      <c r="D50" s="354"/>
      <c r="E50" s="354"/>
      <c r="F50" s="354"/>
      <c r="G50" s="354"/>
      <c r="H50" s="354"/>
      <c r="I50" s="354"/>
      <c r="J50" s="354"/>
      <c r="K50" s="354"/>
      <c r="L50" s="355"/>
      <c r="M50" s="356"/>
    </row>
    <row r="51" spans="1:13" x14ac:dyDescent="0.25">
      <c r="A51" s="34" t="s">
        <v>40</v>
      </c>
      <c r="B51" s="6">
        <f>SUM(B19,B23,B27,B31,B35,B39,B43,B47)</f>
        <v>172686.12354888243</v>
      </c>
      <c r="C51" s="6">
        <f t="shared" ref="C51:M51" si="3">SUM(C19,C23,C27,C31,C35,C39,C43,C47)</f>
        <v>175475.14874523654</v>
      </c>
      <c r="D51" s="6">
        <f t="shared" si="3"/>
        <v>178038.47303799287</v>
      </c>
      <c r="E51" s="6">
        <f t="shared" si="3"/>
        <v>178705.95746269339</v>
      </c>
      <c r="F51" s="6">
        <f t="shared" si="3"/>
        <v>181432.12302443053</v>
      </c>
      <c r="G51" s="6">
        <f t="shared" si="3"/>
        <v>184000.98612401742</v>
      </c>
      <c r="H51" s="6">
        <f t="shared" si="3"/>
        <v>185572.99112767715</v>
      </c>
      <c r="I51" s="6">
        <f t="shared" si="3"/>
        <v>187327.66448000001</v>
      </c>
      <c r="J51" s="6">
        <f t="shared" si="3"/>
        <v>188986</v>
      </c>
      <c r="K51" s="6">
        <f t="shared" si="3"/>
        <v>190765</v>
      </c>
      <c r="L51" s="6">
        <f t="shared" si="3"/>
        <v>192645</v>
      </c>
      <c r="M51" s="9">
        <f t="shared" si="3"/>
        <v>194435</v>
      </c>
    </row>
    <row r="52" spans="1:13" x14ac:dyDescent="0.25">
      <c r="A52" s="34" t="s">
        <v>14</v>
      </c>
      <c r="B52" s="6">
        <f>SUM(B20,B24,B28,B32,B36,B40,B44,B48)</f>
        <v>3275701579.0000005</v>
      </c>
      <c r="C52" s="6">
        <f t="shared" ref="B52:M53" si="4">SUM(C20,C24,C28,C32,C36,C40,C44,C48)</f>
        <v>3312382011.7307029</v>
      </c>
      <c r="D52" s="6">
        <f t="shared" si="4"/>
        <v>3262420181.5844727</v>
      </c>
      <c r="E52" s="6">
        <f t="shared" si="4"/>
        <v>3081157255.4700007</v>
      </c>
      <c r="F52" s="6">
        <f t="shared" si="4"/>
        <v>3303100983.9384837</v>
      </c>
      <c r="G52" s="6">
        <f t="shared" si="4"/>
        <v>3247125847.7483082</v>
      </c>
      <c r="H52" s="6">
        <f t="shared" si="4"/>
        <v>3203200496.7921538</v>
      </c>
      <c r="I52" s="6">
        <f t="shared" si="4"/>
        <v>3172182383.9385242</v>
      </c>
      <c r="J52" s="6">
        <f t="shared" si="4"/>
        <v>3185717215.0767031</v>
      </c>
      <c r="K52" s="6">
        <f t="shared" si="4"/>
        <v>3149997453.3533196</v>
      </c>
      <c r="L52" s="6">
        <f t="shared" si="4"/>
        <v>3174360138.7526822</v>
      </c>
      <c r="M52" s="9">
        <f t="shared" si="4"/>
        <v>3076670356.975378</v>
      </c>
    </row>
    <row r="53" spans="1:13" x14ac:dyDescent="0.25">
      <c r="A53" s="37" t="s">
        <v>41</v>
      </c>
      <c r="B53" s="38">
        <f t="shared" si="4"/>
        <v>4385958.4683211595</v>
      </c>
      <c r="C53" s="38">
        <f t="shared" si="4"/>
        <v>4546833.0509705441</v>
      </c>
      <c r="D53" s="38">
        <f t="shared" si="4"/>
        <v>4414569.8858798239</v>
      </c>
      <c r="E53" s="38">
        <f t="shared" si="4"/>
        <v>4246633.4882705156</v>
      </c>
      <c r="F53" s="38">
        <f t="shared" si="4"/>
        <v>4504414.4385443553</v>
      </c>
      <c r="G53" s="38">
        <f t="shared" si="4"/>
        <v>4398846.2817105222</v>
      </c>
      <c r="H53" s="38">
        <f t="shared" si="4"/>
        <v>4392037.4400000004</v>
      </c>
      <c r="I53" s="38">
        <f t="shared" si="4"/>
        <v>4369540.68</v>
      </c>
      <c r="J53" s="38">
        <f t="shared" si="4"/>
        <v>4338808.75</v>
      </c>
      <c r="K53" s="38">
        <f t="shared" si="4"/>
        <v>4298249.9165903227</v>
      </c>
      <c r="L53" s="38">
        <f t="shared" si="4"/>
        <v>4342186.2265908504</v>
      </c>
      <c r="M53" s="39">
        <f t="shared" si="4"/>
        <v>4238294.4626193605</v>
      </c>
    </row>
    <row r="54" spans="1:13" x14ac:dyDescent="0.25">
      <c r="C54" s="1"/>
      <c r="D54" s="1"/>
      <c r="E54" s="1"/>
      <c r="F54" s="1"/>
      <c r="G54" s="1"/>
      <c r="H54" s="1"/>
      <c r="I54" s="1"/>
      <c r="J54" s="1"/>
      <c r="K54" s="1"/>
      <c r="L54" s="1"/>
      <c r="M54" s="1"/>
    </row>
    <row r="55" spans="1:13" x14ac:dyDescent="0.25">
      <c r="A55" t="s">
        <v>46</v>
      </c>
      <c r="B55" s="2">
        <f t="shared" ref="B55:M55" si="5">B15-B52</f>
        <v>0</v>
      </c>
      <c r="C55" s="2">
        <f t="shared" si="5"/>
        <v>0</v>
      </c>
      <c r="D55" s="2">
        <f t="shared" si="5"/>
        <v>0</v>
      </c>
      <c r="E55" s="2">
        <f t="shared" si="5"/>
        <v>0</v>
      </c>
      <c r="F55" s="2">
        <f t="shared" si="5"/>
        <v>0</v>
      </c>
      <c r="G55" s="2">
        <f t="shared" si="5"/>
        <v>0</v>
      </c>
      <c r="H55" s="2">
        <f t="shared" si="5"/>
        <v>0</v>
      </c>
      <c r="I55" s="2">
        <f t="shared" si="5"/>
        <v>0</v>
      </c>
      <c r="J55" s="2">
        <f t="shared" si="5"/>
        <v>0</v>
      </c>
      <c r="K55" s="2">
        <f t="shared" si="5"/>
        <v>0</v>
      </c>
      <c r="L55" s="2">
        <f t="shared" si="5"/>
        <v>0</v>
      </c>
      <c r="M55" s="2">
        <f t="shared" si="5"/>
        <v>0</v>
      </c>
    </row>
    <row r="56" spans="1:13" x14ac:dyDescent="0.25">
      <c r="B56" s="2"/>
      <c r="C56" s="2"/>
      <c r="D56" s="2"/>
      <c r="E56" s="2"/>
      <c r="F56" s="2"/>
      <c r="G56" s="2"/>
      <c r="H56" s="2"/>
      <c r="I56" s="2"/>
      <c r="J56" s="2"/>
      <c r="K56" s="2"/>
      <c r="L56" s="2"/>
      <c r="M56" s="2"/>
    </row>
    <row r="57" spans="1:13" ht="19.5" thickBot="1" x14ac:dyDescent="0.35">
      <c r="A57" s="26" t="s">
        <v>244</v>
      </c>
    </row>
    <row r="58" spans="1:13" ht="30" x14ac:dyDescent="0.25">
      <c r="A58" s="13" t="s">
        <v>23</v>
      </c>
      <c r="B58" s="14" t="s">
        <v>29</v>
      </c>
      <c r="C58" s="14" t="s">
        <v>30</v>
      </c>
      <c r="D58" s="14" t="s">
        <v>31</v>
      </c>
      <c r="E58" s="14" t="s">
        <v>32</v>
      </c>
      <c r="F58" s="14" t="s">
        <v>33</v>
      </c>
      <c r="G58" s="14" t="s">
        <v>34</v>
      </c>
      <c r="H58" s="14" t="s">
        <v>35</v>
      </c>
      <c r="I58" s="14" t="s">
        <v>36</v>
      </c>
      <c r="J58" s="14" t="s">
        <v>37</v>
      </c>
      <c r="K58" s="14" t="s">
        <v>182</v>
      </c>
      <c r="L58" s="15" t="s">
        <v>38</v>
      </c>
      <c r="M58" s="15" t="s">
        <v>183</v>
      </c>
    </row>
    <row r="59" spans="1:13" x14ac:dyDescent="0.25">
      <c r="A59" s="350" t="s">
        <v>45</v>
      </c>
      <c r="B59" s="351"/>
      <c r="C59" s="351"/>
      <c r="D59" s="351"/>
      <c r="E59" s="351"/>
      <c r="F59" s="351"/>
      <c r="G59" s="351"/>
      <c r="H59" s="351"/>
      <c r="I59" s="351"/>
      <c r="J59" s="351"/>
      <c r="K59" s="351"/>
      <c r="L59" s="352"/>
      <c r="M59" s="353"/>
    </row>
    <row r="60" spans="1:13" x14ac:dyDescent="0.25">
      <c r="A60" s="11" t="s">
        <v>24</v>
      </c>
      <c r="B60" s="40">
        <v>0</v>
      </c>
      <c r="C60" s="40">
        <f t="shared" ref="C60:K60" si="6">C9-B9</f>
        <v>55857359.568170071</v>
      </c>
      <c r="D60" s="40">
        <f t="shared" si="6"/>
        <v>-67168748.612141132</v>
      </c>
      <c r="E60" s="40">
        <f t="shared" si="6"/>
        <v>-124918066.71947145</v>
      </c>
      <c r="F60" s="40">
        <f t="shared" si="6"/>
        <v>108302191.62019634</v>
      </c>
      <c r="G60" s="40">
        <f t="shared" si="6"/>
        <v>-15754190.052111149</v>
      </c>
      <c r="H60" s="40">
        <f t="shared" si="6"/>
        <v>-35387217.254989624</v>
      </c>
      <c r="I60" s="40">
        <f t="shared" si="6"/>
        <v>3740440.6081666946</v>
      </c>
      <c r="J60" s="40">
        <f t="shared" si="6"/>
        <v>-57601600.512145519</v>
      </c>
      <c r="K60" s="40">
        <f t="shared" si="6"/>
        <v>-1298704.8985862732</v>
      </c>
      <c r="L60" s="40"/>
      <c r="M60" s="16"/>
    </row>
    <row r="61" spans="1:13" x14ac:dyDescent="0.25">
      <c r="A61" s="34" t="s">
        <v>25</v>
      </c>
      <c r="B61" s="5">
        <v>0</v>
      </c>
      <c r="C61" s="40">
        <f>C10-B10</f>
        <v>28402527.097300053</v>
      </c>
      <c r="D61" s="40">
        <f t="shared" ref="D61:M61" si="7">D10-C10</f>
        <v>-65281521.420567989</v>
      </c>
      <c r="E61" s="40">
        <f t="shared" si="7"/>
        <v>-97254795.101495266</v>
      </c>
      <c r="F61" s="40">
        <f t="shared" si="7"/>
        <v>112368629.16553545</v>
      </c>
      <c r="G61" s="40">
        <f t="shared" si="7"/>
        <v>-41490544.851500034</v>
      </c>
      <c r="H61" s="40">
        <f t="shared" si="7"/>
        <v>977939.1289730072</v>
      </c>
      <c r="I61" s="40">
        <f t="shared" si="7"/>
        <v>-41531623.282964706</v>
      </c>
      <c r="J61" s="40">
        <f t="shared" si="7"/>
        <v>-49505525.760361671</v>
      </c>
      <c r="K61" s="40">
        <f t="shared" si="7"/>
        <v>-1045052.4511451721</v>
      </c>
      <c r="L61" s="40">
        <f t="shared" si="7"/>
        <v>53938255.301133633</v>
      </c>
      <c r="M61" s="16">
        <f t="shared" si="7"/>
        <v>-65024279.301174164</v>
      </c>
    </row>
    <row r="62" spans="1:13" x14ac:dyDescent="0.25">
      <c r="A62" s="45" t="s">
        <v>199</v>
      </c>
      <c r="B62" s="46"/>
      <c r="C62" s="46"/>
      <c r="D62" s="46"/>
      <c r="E62" s="46"/>
      <c r="F62" s="46"/>
      <c r="G62" s="46"/>
      <c r="H62" s="46"/>
      <c r="I62" s="46"/>
      <c r="J62" s="46"/>
      <c r="K62" s="46"/>
      <c r="L62" s="5">
        <f>L11</f>
        <v>-34719332.666666672</v>
      </c>
      <c r="M62" s="5">
        <f>M11</f>
        <v>-69362666</v>
      </c>
    </row>
    <row r="63" spans="1:13" x14ac:dyDescent="0.25">
      <c r="A63" s="48" t="s">
        <v>26</v>
      </c>
      <c r="B63" s="49">
        <f>SUM(B61:B62)</f>
        <v>0</v>
      </c>
      <c r="C63" s="49">
        <f t="shared" ref="C63:J63" si="8">SUM(C61:C62)</f>
        <v>28402527.097300053</v>
      </c>
      <c r="D63" s="49">
        <f t="shared" si="8"/>
        <v>-65281521.420567989</v>
      </c>
      <c r="E63" s="49">
        <f t="shared" si="8"/>
        <v>-97254795.101495266</v>
      </c>
      <c r="F63" s="49">
        <f t="shared" si="8"/>
        <v>112368629.16553545</v>
      </c>
      <c r="G63" s="49">
        <f t="shared" si="8"/>
        <v>-41490544.851500034</v>
      </c>
      <c r="H63" s="49">
        <f t="shared" si="8"/>
        <v>977939.1289730072</v>
      </c>
      <c r="I63" s="49">
        <f t="shared" si="8"/>
        <v>-41531623.282964706</v>
      </c>
      <c r="J63" s="49">
        <f t="shared" si="8"/>
        <v>-49505525.760361671</v>
      </c>
      <c r="K63" s="49">
        <f>SUM(K61:K62)</f>
        <v>-1045052.4511451721</v>
      </c>
      <c r="L63" s="49">
        <f t="shared" ref="L63:M63" si="9">SUM(L61:L62)</f>
        <v>19218922.634466961</v>
      </c>
      <c r="M63" s="50">
        <f t="shared" si="9"/>
        <v>-134386945.30117416</v>
      </c>
    </row>
    <row r="64" spans="1:13" x14ac:dyDescent="0.25">
      <c r="A64" s="34"/>
      <c r="B64" s="3"/>
      <c r="C64" s="3"/>
      <c r="D64" s="3"/>
      <c r="E64" s="3"/>
      <c r="F64" s="3"/>
      <c r="G64" s="3"/>
      <c r="H64" s="3"/>
      <c r="I64" s="3"/>
      <c r="J64" s="3"/>
      <c r="K64" s="3"/>
      <c r="L64" s="296"/>
      <c r="M64" s="10"/>
    </row>
    <row r="65" spans="1:13" x14ac:dyDescent="0.25">
      <c r="A65" s="34" t="s">
        <v>28</v>
      </c>
      <c r="B65" s="5">
        <v>0</v>
      </c>
      <c r="C65" s="5">
        <f>C15-B15</f>
        <v>36680432.7307024</v>
      </c>
      <c r="D65" s="5">
        <f t="shared" ref="D65:M65" si="10">D15-C15</f>
        <v>-49961830.146230221</v>
      </c>
      <c r="E65" s="5">
        <f t="shared" si="10"/>
        <v>-181262926.11447191</v>
      </c>
      <c r="F65" s="5">
        <f t="shared" si="10"/>
        <v>221943728.46848297</v>
      </c>
      <c r="G65" s="5">
        <f t="shared" si="10"/>
        <v>-55975136.190175533</v>
      </c>
      <c r="H65" s="5">
        <f t="shared" si="10"/>
        <v>-43925350.956154346</v>
      </c>
      <c r="I65" s="5">
        <f t="shared" si="10"/>
        <v>-31018112.853629589</v>
      </c>
      <c r="J65" s="5">
        <f t="shared" si="10"/>
        <v>13534831.138178825</v>
      </c>
      <c r="K65" s="5">
        <f t="shared" si="10"/>
        <v>-35719761.723383427</v>
      </c>
      <c r="L65" s="5">
        <f t="shared" si="10"/>
        <v>24362685.399362564</v>
      </c>
      <c r="M65" s="16">
        <f t="shared" si="10"/>
        <v>-97689781.777304173</v>
      </c>
    </row>
    <row r="66" spans="1:13" x14ac:dyDescent="0.25">
      <c r="A66" s="34"/>
      <c r="B66" s="31"/>
      <c r="C66" s="3"/>
      <c r="D66" s="3"/>
      <c r="E66" s="3"/>
      <c r="F66" s="3"/>
      <c r="G66" s="3"/>
      <c r="H66" s="3"/>
      <c r="I66" s="3"/>
      <c r="J66" s="3"/>
      <c r="K66" s="3"/>
      <c r="L66" s="297"/>
      <c r="M66" s="9"/>
    </row>
    <row r="67" spans="1:13" x14ac:dyDescent="0.25">
      <c r="A67" s="350" t="s">
        <v>39</v>
      </c>
      <c r="B67" s="351"/>
      <c r="C67" s="351"/>
      <c r="D67" s="351"/>
      <c r="E67" s="351"/>
      <c r="F67" s="351"/>
      <c r="G67" s="351"/>
      <c r="H67" s="351"/>
      <c r="I67" s="351"/>
      <c r="J67" s="351"/>
      <c r="K67" s="351"/>
      <c r="L67" s="352"/>
      <c r="M67" s="353"/>
    </row>
    <row r="68" spans="1:13" x14ac:dyDescent="0.25">
      <c r="A68" s="35" t="s">
        <v>2</v>
      </c>
      <c r="B68" s="32"/>
      <c r="C68" s="33"/>
      <c r="D68" s="33"/>
      <c r="E68" s="33"/>
      <c r="F68" s="33"/>
      <c r="G68" s="33"/>
      <c r="H68" s="33"/>
      <c r="I68" s="33"/>
      <c r="J68" s="33"/>
      <c r="K68" s="33"/>
      <c r="L68" s="298"/>
      <c r="M68" s="36"/>
    </row>
    <row r="69" spans="1:13" x14ac:dyDescent="0.25">
      <c r="A69" s="34" t="s">
        <v>40</v>
      </c>
      <c r="B69" s="5">
        <v>0</v>
      </c>
      <c r="C69" s="5">
        <f>C19-B19</f>
        <v>2057.2362833984807</v>
      </c>
      <c r="D69" s="5">
        <f t="shared" ref="D69:M69" si="11">D19-C19</f>
        <v>2139.4836020561197</v>
      </c>
      <c r="E69" s="5">
        <f t="shared" si="11"/>
        <v>446.92854659058503</v>
      </c>
      <c r="F69" s="5">
        <f t="shared" si="11"/>
        <v>2393.0402646027796</v>
      </c>
      <c r="G69" s="5">
        <f t="shared" si="11"/>
        <v>2156.6781914035673</v>
      </c>
      <c r="H69" s="5">
        <f t="shared" si="11"/>
        <v>1150</v>
      </c>
      <c r="I69" s="5">
        <f t="shared" si="11"/>
        <v>1219</v>
      </c>
      <c r="J69" s="5">
        <f t="shared" si="11"/>
        <v>1295</v>
      </c>
      <c r="K69" s="5">
        <f t="shared" si="11"/>
        <v>1388</v>
      </c>
      <c r="L69" s="5">
        <f t="shared" si="11"/>
        <v>1432</v>
      </c>
      <c r="M69" s="16">
        <f t="shared" si="11"/>
        <v>1336</v>
      </c>
    </row>
    <row r="70" spans="1:13" x14ac:dyDescent="0.25">
      <c r="A70" s="34" t="s">
        <v>14</v>
      </c>
      <c r="B70" s="5">
        <v>0</v>
      </c>
      <c r="C70" s="5">
        <f>C20-B20</f>
        <v>28527934</v>
      </c>
      <c r="D70" s="5">
        <f t="shared" ref="D70:M70" si="12">D20-C20</f>
        <v>2487623</v>
      </c>
      <c r="E70" s="5">
        <f t="shared" si="12"/>
        <v>-51785777</v>
      </c>
      <c r="F70" s="5">
        <f t="shared" si="12"/>
        <v>78529361</v>
      </c>
      <c r="G70" s="5">
        <f t="shared" si="12"/>
        <v>-17624796</v>
      </c>
      <c r="H70" s="5">
        <f t="shared" si="12"/>
        <v>-24999497</v>
      </c>
      <c r="I70" s="5">
        <f t="shared" si="12"/>
        <v>-12782205.5</v>
      </c>
      <c r="J70" s="5">
        <f t="shared" si="12"/>
        <v>5088097.5</v>
      </c>
      <c r="K70" s="5">
        <f t="shared" si="12"/>
        <v>-11530311.599999905</v>
      </c>
      <c r="L70" s="5">
        <f t="shared" si="12"/>
        <v>14337484.444073439</v>
      </c>
      <c r="M70" s="16">
        <f t="shared" si="12"/>
        <v>-29536601.310562372</v>
      </c>
    </row>
    <row r="71" spans="1:13" x14ac:dyDescent="0.25">
      <c r="A71" s="34" t="s">
        <v>41</v>
      </c>
      <c r="B71" s="5"/>
      <c r="C71" s="5"/>
      <c r="D71" s="5"/>
      <c r="E71" s="5"/>
      <c r="F71" s="5"/>
      <c r="G71" s="5"/>
      <c r="H71" s="5"/>
      <c r="I71" s="5"/>
      <c r="J71" s="5"/>
      <c r="K71" s="5"/>
      <c r="L71" s="295"/>
      <c r="M71" s="16"/>
    </row>
    <row r="72" spans="1:13" x14ac:dyDescent="0.25">
      <c r="A72" s="35" t="s">
        <v>3</v>
      </c>
      <c r="B72" s="32"/>
      <c r="C72" s="33"/>
      <c r="D72" s="33"/>
      <c r="E72" s="33"/>
      <c r="F72" s="33"/>
      <c r="G72" s="33"/>
      <c r="H72" s="33"/>
      <c r="I72" s="33"/>
      <c r="J72" s="33"/>
      <c r="K72" s="33"/>
      <c r="L72" s="298"/>
      <c r="M72" s="36"/>
    </row>
    <row r="73" spans="1:13" x14ac:dyDescent="0.25">
      <c r="A73" s="34" t="s">
        <v>40</v>
      </c>
      <c r="B73" s="5">
        <v>0</v>
      </c>
      <c r="C73" s="5">
        <f>C23-B23</f>
        <v>32.518418108000333</v>
      </c>
      <c r="D73" s="5">
        <f t="shared" ref="D73:M73" si="13">D23-C23</f>
        <v>97.308166008899207</v>
      </c>
      <c r="E73" s="5">
        <f t="shared" si="13"/>
        <v>-78.043151132998901</v>
      </c>
      <c r="F73" s="5">
        <f t="shared" si="13"/>
        <v>41.19650684879889</v>
      </c>
      <c r="G73" s="5">
        <f t="shared" si="13"/>
        <v>-23.939920362299745</v>
      </c>
      <c r="H73" s="5">
        <f t="shared" si="13"/>
        <v>96</v>
      </c>
      <c r="I73" s="5">
        <f t="shared" si="13"/>
        <v>87</v>
      </c>
      <c r="J73" s="5">
        <f t="shared" si="13"/>
        <v>145</v>
      </c>
      <c r="K73" s="5">
        <f t="shared" si="13"/>
        <v>218</v>
      </c>
      <c r="L73" s="5">
        <f t="shared" si="13"/>
        <v>102</v>
      </c>
      <c r="M73" s="16">
        <f t="shared" si="13"/>
        <v>140</v>
      </c>
    </row>
    <row r="74" spans="1:13" x14ac:dyDescent="0.25">
      <c r="A74" s="34" t="s">
        <v>14</v>
      </c>
      <c r="B74" s="5">
        <v>0</v>
      </c>
      <c r="C74" s="5">
        <f>C24-B24</f>
        <v>6917971.6747912765</v>
      </c>
      <c r="D74" s="5">
        <f t="shared" ref="D74:M74" si="14">D24-C24</f>
        <v>1593474.1926878691</v>
      </c>
      <c r="E74" s="5">
        <f t="shared" si="14"/>
        <v>-25718541.192687869</v>
      </c>
      <c r="F74" s="5">
        <f t="shared" si="14"/>
        <v>14719253</v>
      </c>
      <c r="G74" s="5">
        <f t="shared" si="14"/>
        <v>365448</v>
      </c>
      <c r="H74" s="5">
        <f t="shared" si="14"/>
        <v>-7982909</v>
      </c>
      <c r="I74" s="5">
        <f t="shared" si="14"/>
        <v>288114</v>
      </c>
      <c r="J74" s="5">
        <f t="shared" si="14"/>
        <v>5043504</v>
      </c>
      <c r="K74" s="5">
        <f t="shared" si="14"/>
        <v>-5687233.1000000238</v>
      </c>
      <c r="L74" s="5">
        <f t="shared" si="14"/>
        <v>-8728908.0856612921</v>
      </c>
      <c r="M74" s="16">
        <f t="shared" si="14"/>
        <v>-21353400.929759264</v>
      </c>
    </row>
    <row r="75" spans="1:13" x14ac:dyDescent="0.25">
      <c r="A75" s="34" t="s">
        <v>41</v>
      </c>
      <c r="B75" s="5"/>
      <c r="C75" s="5"/>
      <c r="D75" s="5"/>
      <c r="E75" s="5"/>
      <c r="F75" s="5"/>
      <c r="G75" s="5"/>
      <c r="H75" s="5"/>
      <c r="I75" s="5"/>
      <c r="J75" s="5"/>
      <c r="K75" s="5"/>
      <c r="L75" s="295"/>
      <c r="M75" s="16"/>
    </row>
    <row r="76" spans="1:13" x14ac:dyDescent="0.25">
      <c r="A76" s="35" t="s">
        <v>4</v>
      </c>
      <c r="B76" s="32"/>
      <c r="C76" s="33"/>
      <c r="D76" s="33"/>
      <c r="E76" s="33"/>
      <c r="F76" s="33"/>
      <c r="G76" s="33"/>
      <c r="H76" s="33"/>
      <c r="I76" s="33"/>
      <c r="J76" s="33"/>
      <c r="K76" s="33"/>
      <c r="L76" s="298"/>
      <c r="M76" s="36"/>
    </row>
    <row r="77" spans="1:13" x14ac:dyDescent="0.25">
      <c r="A77" s="34" t="s">
        <v>40</v>
      </c>
      <c r="B77" s="5">
        <v>0</v>
      </c>
      <c r="C77" s="5">
        <f>C27-B27</f>
        <v>20.094080891499971</v>
      </c>
      <c r="D77" s="5">
        <f t="shared" ref="D77:M77" si="15">D27-C27</f>
        <v>7.1075020055200184</v>
      </c>
      <c r="E77" s="5">
        <f t="shared" si="15"/>
        <v>2.8223822749798728</v>
      </c>
      <c r="F77" s="5">
        <f t="shared" si="15"/>
        <v>27.01797192210006</v>
      </c>
      <c r="G77" s="5">
        <f t="shared" si="15"/>
        <v>-3.5607511447899469</v>
      </c>
      <c r="H77" s="5">
        <f t="shared" si="15"/>
        <v>12</v>
      </c>
      <c r="I77" s="5">
        <f t="shared" si="15"/>
        <v>-12</v>
      </c>
      <c r="J77" s="5">
        <f t="shared" si="15"/>
        <v>-15.5</v>
      </c>
      <c r="K77" s="5">
        <f t="shared" si="15"/>
        <v>-21.5</v>
      </c>
      <c r="L77" s="5">
        <f t="shared" si="15"/>
        <v>-12</v>
      </c>
      <c r="M77" s="16">
        <f t="shared" si="15"/>
        <v>-10</v>
      </c>
    </row>
    <row r="78" spans="1:13" x14ac:dyDescent="0.25">
      <c r="A78" s="34" t="s">
        <v>14</v>
      </c>
      <c r="B78" s="5">
        <v>0</v>
      </c>
      <c r="C78" s="5">
        <f>C28-B28</f>
        <v>-13047807.63620162</v>
      </c>
      <c r="D78" s="5">
        <f t="shared" ref="D78:M79" si="16">D28-C28</f>
        <v>-54329519.98131299</v>
      </c>
      <c r="E78" s="5">
        <f t="shared" si="16"/>
        <v>-114558683.59868693</v>
      </c>
      <c r="F78" s="5">
        <f t="shared" si="16"/>
        <v>123974286.80977535</v>
      </c>
      <c r="G78" s="5">
        <f t="shared" si="16"/>
        <v>-31575610.170266151</v>
      </c>
      <c r="H78" s="5">
        <f t="shared" si="16"/>
        <v>-10720146.135957479</v>
      </c>
      <c r="I78" s="5">
        <f t="shared" si="16"/>
        <v>-22600911.25535965</v>
      </c>
      <c r="J78" s="5">
        <f t="shared" si="16"/>
        <v>13900099.577170372</v>
      </c>
      <c r="K78" s="5">
        <f t="shared" si="16"/>
        <v>-14900219.715362549</v>
      </c>
      <c r="L78" s="5">
        <f t="shared" si="16"/>
        <v>30627870.457262754</v>
      </c>
      <c r="M78" s="16">
        <f t="shared" si="16"/>
        <v>-26573845.717472792</v>
      </c>
    </row>
    <row r="79" spans="1:13" x14ac:dyDescent="0.25">
      <c r="A79" s="34" t="s">
        <v>41</v>
      </c>
      <c r="B79" s="5">
        <v>0</v>
      </c>
      <c r="C79" s="5">
        <f>C29-B29</f>
        <v>145226.4209599304</v>
      </c>
      <c r="D79" s="5">
        <f t="shared" si="16"/>
        <v>-129341.37657151883</v>
      </c>
      <c r="E79" s="5">
        <f t="shared" si="16"/>
        <v>-177833.32451663027</v>
      </c>
      <c r="F79" s="5">
        <f t="shared" si="16"/>
        <v>258092.10843761591</v>
      </c>
      <c r="G79" s="5">
        <f t="shared" si="16"/>
        <v>-123446.56403344683</v>
      </c>
      <c r="H79" s="5">
        <f t="shared" si="16"/>
        <v>720.9925048998557</v>
      </c>
      <c r="I79" s="5">
        <f t="shared" si="16"/>
        <v>-48332.911880000029</v>
      </c>
      <c r="J79" s="5">
        <f t="shared" si="16"/>
        <v>-29686.15707000019</v>
      </c>
      <c r="K79" s="5">
        <f t="shared" si="16"/>
        <v>-25929.071959999856</v>
      </c>
      <c r="L79" s="5">
        <f t="shared" si="16"/>
        <v>65935.697204633616</v>
      </c>
      <c r="M79" s="16">
        <f t="shared" si="16"/>
        <v>-67764.763971489854</v>
      </c>
    </row>
    <row r="80" spans="1:13" x14ac:dyDescent="0.25">
      <c r="A80" s="35" t="s">
        <v>177</v>
      </c>
      <c r="B80" s="32"/>
      <c r="C80" s="33"/>
      <c r="D80" s="33"/>
      <c r="E80" s="33"/>
      <c r="F80" s="33"/>
      <c r="G80" s="33"/>
      <c r="H80" s="33"/>
      <c r="I80" s="33"/>
      <c r="J80" s="33"/>
      <c r="K80" s="33"/>
      <c r="L80" s="298"/>
      <c r="M80" s="36"/>
    </row>
    <row r="81" spans="1:13" x14ac:dyDescent="0.25">
      <c r="A81" s="34" t="s">
        <v>40</v>
      </c>
      <c r="B81" s="5">
        <v>0</v>
      </c>
      <c r="C81" s="5">
        <f>C31-B31</f>
        <v>-8.3315511327123559E-2</v>
      </c>
      <c r="D81" s="5">
        <f t="shared" ref="D81:M81" si="17">D31-C31</f>
        <v>-2.015495126350686E-6</v>
      </c>
      <c r="E81" s="5">
        <f t="shared" si="17"/>
        <v>1.6242474320193878E-5</v>
      </c>
      <c r="F81" s="5">
        <f t="shared" si="17"/>
        <v>0</v>
      </c>
      <c r="G81" s="5">
        <f t="shared" si="17"/>
        <v>0</v>
      </c>
      <c r="H81" s="5">
        <f t="shared" si="17"/>
        <v>0</v>
      </c>
      <c r="I81" s="5">
        <f t="shared" si="17"/>
        <v>0</v>
      </c>
      <c r="J81" s="5">
        <f t="shared" si="17"/>
        <v>0.5</v>
      </c>
      <c r="K81" s="5">
        <f t="shared" si="17"/>
        <v>0.5</v>
      </c>
      <c r="L81" s="5">
        <f t="shared" si="17"/>
        <v>0</v>
      </c>
      <c r="M81" s="16">
        <f t="shared" si="17"/>
        <v>0</v>
      </c>
    </row>
    <row r="82" spans="1:13" x14ac:dyDescent="0.25">
      <c r="A82" s="34" t="s">
        <v>14</v>
      </c>
      <c r="B82" s="5">
        <v>0</v>
      </c>
      <c r="C82" s="5">
        <f>C32-B32</f>
        <v>6338321.5060122162</v>
      </c>
      <c r="D82" s="5">
        <f t="shared" ref="D82:M82" si="18">D32-C32</f>
        <v>2542256.0615020692</v>
      </c>
      <c r="E82" s="5">
        <f t="shared" si="18"/>
        <v>2834897.4965503663</v>
      </c>
      <c r="F82" s="5">
        <f t="shared" si="18"/>
        <v>3374331.3702188432</v>
      </c>
      <c r="G82" s="5">
        <f t="shared" si="18"/>
        <v>-8046548.6638398543</v>
      </c>
      <c r="H82" s="5">
        <f t="shared" si="18"/>
        <v>1457072.280840151</v>
      </c>
      <c r="I82" s="5">
        <f t="shared" si="18"/>
        <v>3696705.6536186188</v>
      </c>
      <c r="J82" s="5">
        <f t="shared" si="18"/>
        <v>-6584019.317753844</v>
      </c>
      <c r="K82" s="5">
        <f t="shared" si="18"/>
        <v>2343054.1390528828</v>
      </c>
      <c r="L82" s="5">
        <f t="shared" si="18"/>
        <v>-1981566.8385066539</v>
      </c>
      <c r="M82" s="16">
        <f t="shared" si="18"/>
        <v>-2576713.6776896343</v>
      </c>
    </row>
    <row r="83" spans="1:13" x14ac:dyDescent="0.25">
      <c r="A83" s="34" t="s">
        <v>41</v>
      </c>
      <c r="B83" s="5">
        <v>0</v>
      </c>
      <c r="C83" s="5">
        <f>C33-B33</f>
        <v>6207.5</v>
      </c>
      <c r="D83" s="5">
        <f t="shared" ref="D83:M83" si="19">D33-C33</f>
        <v>-519.10085599168087</v>
      </c>
      <c r="E83" s="5">
        <f t="shared" si="19"/>
        <v>-563.2940297574678</v>
      </c>
      <c r="F83" s="5">
        <f t="shared" si="19"/>
        <v>-1556.1045981817879</v>
      </c>
      <c r="G83" s="5">
        <f t="shared" si="19"/>
        <v>11738.89460268282</v>
      </c>
      <c r="H83" s="5">
        <f t="shared" si="19"/>
        <v>-1628.6951187518716</v>
      </c>
      <c r="I83" s="5">
        <f t="shared" si="19"/>
        <v>22523</v>
      </c>
      <c r="J83" s="5">
        <f t="shared" si="19"/>
        <v>3893</v>
      </c>
      <c r="K83" s="5">
        <f t="shared" si="19"/>
        <v>2360.7319586506346</v>
      </c>
      <c r="L83" s="5">
        <f t="shared" si="19"/>
        <v>-2871.487972433737</v>
      </c>
      <c r="M83" s="16">
        <f t="shared" si="19"/>
        <v>0</v>
      </c>
    </row>
    <row r="84" spans="1:13" x14ac:dyDescent="0.25">
      <c r="A84" s="35" t="s">
        <v>5</v>
      </c>
      <c r="B84" s="32"/>
      <c r="C84" s="33"/>
      <c r="D84" s="33"/>
      <c r="E84" s="33"/>
      <c r="F84" s="33"/>
      <c r="G84" s="33"/>
      <c r="H84" s="33"/>
      <c r="I84" s="33"/>
      <c r="J84" s="33"/>
      <c r="K84" s="33"/>
      <c r="L84" s="298"/>
      <c r="M84" s="36"/>
    </row>
    <row r="85" spans="1:13" x14ac:dyDescent="0.25">
      <c r="A85" s="34" t="s">
        <v>40</v>
      </c>
      <c r="B85" s="5">
        <v>0</v>
      </c>
      <c r="C85" s="5">
        <f>C35-B35</f>
        <v>0</v>
      </c>
      <c r="D85" s="5">
        <f t="shared" ref="D85:M85" si="20">D35-C35</f>
        <v>0</v>
      </c>
      <c r="E85" s="5">
        <f t="shared" si="20"/>
        <v>0</v>
      </c>
      <c r="F85" s="5">
        <f t="shared" si="20"/>
        <v>0</v>
      </c>
      <c r="G85" s="5">
        <f t="shared" si="20"/>
        <v>0</v>
      </c>
      <c r="H85" s="5">
        <f t="shared" si="20"/>
        <v>0</v>
      </c>
      <c r="I85" s="5">
        <f t="shared" si="20"/>
        <v>0</v>
      </c>
      <c r="J85" s="5">
        <f t="shared" si="20"/>
        <v>0</v>
      </c>
      <c r="K85" s="5">
        <f t="shared" si="20"/>
        <v>0</v>
      </c>
      <c r="L85" s="5">
        <f t="shared" si="20"/>
        <v>0</v>
      </c>
      <c r="M85" s="16">
        <f t="shared" si="20"/>
        <v>0</v>
      </c>
    </row>
    <row r="86" spans="1:13" x14ac:dyDescent="0.25">
      <c r="A86" s="34" t="s">
        <v>14</v>
      </c>
      <c r="B86" s="5">
        <v>0</v>
      </c>
      <c r="C86" s="5">
        <f>C36-B36</f>
        <v>7229616.1599999815</v>
      </c>
      <c r="D86" s="5">
        <f t="shared" ref="D86:M86" si="21">D36-C36</f>
        <v>-1877340.1200000048</v>
      </c>
      <c r="E86" s="5">
        <f t="shared" si="21"/>
        <v>7944775.4499999881</v>
      </c>
      <c r="F86" s="5">
        <f t="shared" si="21"/>
        <v>1260286.2824770659</v>
      </c>
      <c r="G86" s="5">
        <f t="shared" si="21"/>
        <v>684928.77650724351</v>
      </c>
      <c r="H86" s="5">
        <f t="shared" si="21"/>
        <v>-1774284.3036860079</v>
      </c>
      <c r="I86" s="5">
        <f t="shared" si="21"/>
        <v>-150005.52580372989</v>
      </c>
      <c r="J86" s="5">
        <f t="shared" si="21"/>
        <v>-3982515.0470715165</v>
      </c>
      <c r="K86" s="5">
        <f t="shared" si="21"/>
        <v>-6044133.6861562878</v>
      </c>
      <c r="L86" s="5">
        <f t="shared" si="21"/>
        <v>-7284378.9307526052</v>
      </c>
      <c r="M86" s="16">
        <f t="shared" si="21"/>
        <v>-15063578.141820475</v>
      </c>
    </row>
    <row r="87" spans="1:13" x14ac:dyDescent="0.25">
      <c r="A87" s="34" t="s">
        <v>41</v>
      </c>
      <c r="B87" s="5">
        <v>0</v>
      </c>
      <c r="C87" s="5">
        <f>C37-B37</f>
        <v>8399.5773854858417</v>
      </c>
      <c r="D87" s="5">
        <f t="shared" ref="D87:M87" si="22">D37-C37</f>
        <v>-2719.8665041351051</v>
      </c>
      <c r="E87" s="5">
        <f t="shared" si="22"/>
        <v>9942.833080825978</v>
      </c>
      <c r="F87" s="5">
        <f t="shared" si="22"/>
        <v>896.8978237939009</v>
      </c>
      <c r="G87" s="5">
        <f t="shared" si="22"/>
        <v>5859.6189253549383</v>
      </c>
      <c r="H87" s="5">
        <f t="shared" si="22"/>
        <v>-5803.5458133352222</v>
      </c>
      <c r="I87" s="5">
        <f t="shared" si="22"/>
        <v>681.15188000001945</v>
      </c>
      <c r="J87" s="5">
        <f t="shared" si="22"/>
        <v>-4573.7729300000065</v>
      </c>
      <c r="K87" s="5">
        <f t="shared" si="22"/>
        <v>-17407.576603435737</v>
      </c>
      <c r="L87" s="5">
        <f t="shared" si="22"/>
        <v>-11877.816036564269</v>
      </c>
      <c r="M87" s="16">
        <f t="shared" si="22"/>
        <v>-28997</v>
      </c>
    </row>
    <row r="88" spans="1:13" x14ac:dyDescent="0.25">
      <c r="A88" s="35" t="s">
        <v>7</v>
      </c>
      <c r="B88" s="32"/>
      <c r="C88" s="33"/>
      <c r="D88" s="33"/>
      <c r="E88" s="33"/>
      <c r="F88" s="33"/>
      <c r="G88" s="33"/>
      <c r="H88" s="33"/>
      <c r="I88" s="33"/>
      <c r="J88" s="33"/>
      <c r="K88" s="33"/>
      <c r="L88" s="298"/>
      <c r="M88" s="36"/>
    </row>
    <row r="89" spans="1:13" x14ac:dyDescent="0.25">
      <c r="A89" s="34" t="s">
        <v>44</v>
      </c>
      <c r="B89" s="5">
        <v>0</v>
      </c>
      <c r="C89" s="5">
        <f>C39-B39</f>
        <v>684.37495833333378</v>
      </c>
      <c r="D89" s="5">
        <f t="shared" ref="D89:M89" si="23">D39-C39</f>
        <v>462.08329166666226</v>
      </c>
      <c r="E89" s="5">
        <f t="shared" si="23"/>
        <v>264.56398809523671</v>
      </c>
      <c r="F89" s="5">
        <f t="shared" si="23"/>
        <v>288.83333333334303</v>
      </c>
      <c r="G89" s="5">
        <f t="shared" si="23"/>
        <v>457.51934523809177</v>
      </c>
      <c r="H89" s="5">
        <f t="shared" si="23"/>
        <v>327</v>
      </c>
      <c r="I89" s="5">
        <f t="shared" si="23"/>
        <v>472</v>
      </c>
      <c r="J89" s="5">
        <f t="shared" si="23"/>
        <v>236</v>
      </c>
      <c r="K89" s="5">
        <f t="shared" si="23"/>
        <v>209</v>
      </c>
      <c r="L89" s="5">
        <f t="shared" si="23"/>
        <v>385</v>
      </c>
      <c r="M89" s="16">
        <f t="shared" si="23"/>
        <v>336</v>
      </c>
    </row>
    <row r="90" spans="1:13" x14ac:dyDescent="0.25">
      <c r="A90" s="34" t="s">
        <v>14</v>
      </c>
      <c r="B90" s="5">
        <v>0</v>
      </c>
      <c r="C90" s="5">
        <f>C40-B40</f>
        <v>825773.40408789739</v>
      </c>
      <c r="D90" s="5">
        <f t="shared" ref="D90:M90" si="24">D40-C40</f>
        <v>199457.4129162319</v>
      </c>
      <c r="E90" s="5">
        <f t="shared" si="24"/>
        <v>123663.65032146499</v>
      </c>
      <c r="F90" s="5">
        <f t="shared" si="24"/>
        <v>138098.5748494491</v>
      </c>
      <c r="G90" s="5">
        <f t="shared" si="24"/>
        <v>118195.10039389133</v>
      </c>
      <c r="H90" s="5">
        <f t="shared" si="24"/>
        <v>162018.72418099269</v>
      </c>
      <c r="I90" s="5">
        <f t="shared" si="24"/>
        <v>517966.90652599186</v>
      </c>
      <c r="J90" s="5">
        <f t="shared" si="24"/>
        <v>165531.65667577833</v>
      </c>
      <c r="K90" s="5">
        <f t="shared" si="24"/>
        <v>144117.7971014455</v>
      </c>
      <c r="L90" s="5">
        <f t="shared" si="24"/>
        <v>-2513383.2270531431</v>
      </c>
      <c r="M90" s="16">
        <f t="shared" si="24"/>
        <v>-2529424</v>
      </c>
    </row>
    <row r="91" spans="1:13" x14ac:dyDescent="0.25">
      <c r="A91" s="34" t="s">
        <v>41</v>
      </c>
      <c r="B91" s="5">
        <v>0</v>
      </c>
      <c r="C91" s="5">
        <f>C41-B41</f>
        <v>1018.7131191247026</v>
      </c>
      <c r="D91" s="5">
        <f t="shared" ref="D91:M91" si="25">D41-C41</f>
        <v>351.09266526473948</v>
      </c>
      <c r="E91" s="5">
        <f t="shared" si="25"/>
        <v>575.12139105989627</v>
      </c>
      <c r="F91" s="5">
        <f t="shared" si="25"/>
        <v>365.63227328969515</v>
      </c>
      <c r="G91" s="5">
        <f t="shared" si="25"/>
        <v>336.87358931191557</v>
      </c>
      <c r="H91" s="5">
        <f t="shared" si="25"/>
        <v>-40.433038050949108</v>
      </c>
      <c r="I91" s="5">
        <f t="shared" si="25"/>
        <v>2679</v>
      </c>
      <c r="J91" s="5">
        <f t="shared" si="25"/>
        <v>-271</v>
      </c>
      <c r="K91" s="5">
        <f t="shared" si="25"/>
        <v>412.65790186119557</v>
      </c>
      <c r="L91" s="5">
        <f t="shared" si="25"/>
        <v>-7169.6579018611956</v>
      </c>
      <c r="M91" s="16">
        <f t="shared" si="25"/>
        <v>-7083</v>
      </c>
    </row>
    <row r="92" spans="1:13" x14ac:dyDescent="0.25">
      <c r="A92" s="35" t="s">
        <v>8</v>
      </c>
      <c r="B92" s="32"/>
      <c r="C92" s="33"/>
      <c r="D92" s="33"/>
      <c r="E92" s="33"/>
      <c r="F92" s="33"/>
      <c r="G92" s="33"/>
      <c r="H92" s="33"/>
      <c r="I92" s="33"/>
      <c r="J92" s="33"/>
      <c r="K92" s="33"/>
      <c r="L92" s="298"/>
      <c r="M92" s="36"/>
    </row>
    <row r="93" spans="1:13" x14ac:dyDescent="0.25">
      <c r="A93" s="34" t="s">
        <v>44</v>
      </c>
      <c r="B93" s="5">
        <v>0</v>
      </c>
      <c r="C93" s="5">
        <f>C43-B43</f>
        <v>-15.572957282506422</v>
      </c>
      <c r="D93" s="5">
        <f t="shared" ref="D93:M93" si="26">D43-C43</f>
        <v>-9.2757176041147886</v>
      </c>
      <c r="E93" s="5">
        <f t="shared" si="26"/>
        <v>-14.440934065934016</v>
      </c>
      <c r="F93" s="5">
        <f t="shared" si="26"/>
        <v>-9.521306822977408</v>
      </c>
      <c r="G93" s="5">
        <f t="shared" si="26"/>
        <v>-11.426635093656955</v>
      </c>
      <c r="H93" s="5">
        <f t="shared" si="26"/>
        <v>-19.994996340288026</v>
      </c>
      <c r="I93" s="5">
        <f t="shared" si="26"/>
        <v>-16.326647677143683</v>
      </c>
      <c r="J93" s="5">
        <f t="shared" si="26"/>
        <v>-14.664479999999912</v>
      </c>
      <c r="K93" s="5">
        <f t="shared" si="26"/>
        <v>-20</v>
      </c>
      <c r="L93" s="5">
        <f t="shared" si="26"/>
        <v>-23</v>
      </c>
      <c r="M93" s="16">
        <f t="shared" si="26"/>
        <v>-17</v>
      </c>
    </row>
    <row r="94" spans="1:13" x14ac:dyDescent="0.25">
      <c r="A94" s="34" t="s">
        <v>14</v>
      </c>
      <c r="B94" s="5">
        <v>0</v>
      </c>
      <c r="C94" s="5">
        <f>C44-B44</f>
        <v>1944.1478744841879</v>
      </c>
      <c r="D94" s="5">
        <f t="shared" ref="D94:M94" si="27">D44-C44</f>
        <v>-9940.3704059111187</v>
      </c>
      <c r="E94" s="5">
        <f t="shared" si="27"/>
        <v>-26506.112657134654</v>
      </c>
      <c r="F94" s="5">
        <f t="shared" si="27"/>
        <v>-5143.5688368009869</v>
      </c>
      <c r="G94" s="5">
        <f t="shared" si="27"/>
        <v>-18419.095974637428</v>
      </c>
      <c r="H94" s="5">
        <f t="shared" si="27"/>
        <v>-22605.658528196742</v>
      </c>
      <c r="I94" s="5">
        <f t="shared" si="27"/>
        <v>-17523.132610742352</v>
      </c>
      <c r="J94" s="5">
        <f t="shared" si="27"/>
        <v>-33756.230841737357</v>
      </c>
      <c r="K94" s="5">
        <f t="shared" si="27"/>
        <v>185.54198067646939</v>
      </c>
      <c r="L94" s="5">
        <f t="shared" si="27"/>
        <v>-24389.520000000019</v>
      </c>
      <c r="M94" s="16">
        <f t="shared" si="27"/>
        <v>-17681</v>
      </c>
    </row>
    <row r="95" spans="1:13" x14ac:dyDescent="0.25">
      <c r="A95" s="34" t="s">
        <v>41</v>
      </c>
      <c r="B95" s="5">
        <v>0</v>
      </c>
      <c r="C95" s="5">
        <f>C45-B45</f>
        <v>22.371184843327683</v>
      </c>
      <c r="D95" s="5">
        <f t="shared" ref="D95:M95" si="28">D45-C45</f>
        <v>-33.913824338389077</v>
      </c>
      <c r="E95" s="5">
        <f t="shared" si="28"/>
        <v>-57.733534806944135</v>
      </c>
      <c r="F95" s="5">
        <f t="shared" si="28"/>
        <v>-17.583662678156543</v>
      </c>
      <c r="G95" s="5">
        <f t="shared" si="28"/>
        <v>-56.979917736195603</v>
      </c>
      <c r="H95" s="5">
        <f t="shared" si="28"/>
        <v>-57.160245283642325</v>
      </c>
      <c r="I95" s="5">
        <f t="shared" si="28"/>
        <v>-47</v>
      </c>
      <c r="J95" s="5">
        <f t="shared" si="28"/>
        <v>-94</v>
      </c>
      <c r="K95" s="5">
        <f t="shared" si="28"/>
        <v>4.4252932473784767</v>
      </c>
      <c r="L95" s="5">
        <f t="shared" si="28"/>
        <v>-80.425293247378477</v>
      </c>
      <c r="M95" s="16">
        <f t="shared" si="28"/>
        <v>-47</v>
      </c>
    </row>
    <row r="96" spans="1:13" x14ac:dyDescent="0.25">
      <c r="A96" s="35" t="s">
        <v>42</v>
      </c>
      <c r="B96" s="32"/>
      <c r="C96" s="33"/>
      <c r="D96" s="33"/>
      <c r="E96" s="33"/>
      <c r="F96" s="33"/>
      <c r="G96" s="33"/>
      <c r="H96" s="33"/>
      <c r="I96" s="33"/>
      <c r="J96" s="33"/>
      <c r="K96" s="33"/>
      <c r="L96" s="298"/>
      <c r="M96" s="36"/>
    </row>
    <row r="97" spans="1:13" x14ac:dyDescent="0.25">
      <c r="A97" s="34" t="s">
        <v>44</v>
      </c>
      <c r="B97" s="5">
        <v>0</v>
      </c>
      <c r="C97" s="5">
        <f>C47-B47</f>
        <v>10.457728416570035</v>
      </c>
      <c r="D97" s="5">
        <f t="shared" ref="D97:M97" si="29">D47-C47</f>
        <v>-133.38254936120825</v>
      </c>
      <c r="E97" s="5">
        <f t="shared" si="29"/>
        <v>45.653576696165146</v>
      </c>
      <c r="F97" s="5">
        <f t="shared" si="29"/>
        <v>-14.401208146912722</v>
      </c>
      <c r="G97" s="5">
        <f t="shared" si="29"/>
        <v>-6.4071304540143501</v>
      </c>
      <c r="H97" s="5">
        <f t="shared" si="29"/>
        <v>7</v>
      </c>
      <c r="I97" s="5">
        <f t="shared" si="29"/>
        <v>5</v>
      </c>
      <c r="J97" s="5">
        <f t="shared" si="29"/>
        <v>12</v>
      </c>
      <c r="K97" s="5">
        <f t="shared" si="29"/>
        <v>5</v>
      </c>
      <c r="L97" s="5">
        <f t="shared" si="29"/>
        <v>-4</v>
      </c>
      <c r="M97" s="16">
        <f t="shared" si="29"/>
        <v>5</v>
      </c>
    </row>
    <row r="98" spans="1:13" x14ac:dyDescent="0.25">
      <c r="A98" s="34" t="s">
        <v>14</v>
      </c>
      <c r="B98" s="5">
        <v>0</v>
      </c>
      <c r="C98" s="5">
        <f>C48-B48</f>
        <v>-113320.52586123627</v>
      </c>
      <c r="D98" s="5">
        <f t="shared" ref="D98:M98" si="30">D48-C48</f>
        <v>-567840.34161789343</v>
      </c>
      <c r="E98" s="5">
        <f t="shared" si="30"/>
        <v>-76754.807312157005</v>
      </c>
      <c r="F98" s="5">
        <f t="shared" si="30"/>
        <v>-46745</v>
      </c>
      <c r="G98" s="5">
        <f t="shared" si="30"/>
        <v>121665.86300317105</v>
      </c>
      <c r="H98" s="5">
        <f t="shared" si="30"/>
        <v>-44999.863003171049</v>
      </c>
      <c r="I98" s="5">
        <f t="shared" si="30"/>
        <v>29746</v>
      </c>
      <c r="J98" s="5">
        <f t="shared" si="30"/>
        <v>-62111</v>
      </c>
      <c r="K98" s="5">
        <f t="shared" si="30"/>
        <v>-45221.099999999627</v>
      </c>
      <c r="L98" s="5">
        <f t="shared" si="30"/>
        <v>-70042.900000000373</v>
      </c>
      <c r="M98" s="16">
        <f t="shared" si="30"/>
        <v>-38537</v>
      </c>
    </row>
    <row r="99" spans="1:13" x14ac:dyDescent="0.25">
      <c r="A99" s="34" t="s">
        <v>41</v>
      </c>
      <c r="B99" s="5">
        <f>'Rate Class Demand Model'!$K$9</f>
        <v>0</v>
      </c>
      <c r="C99" s="5">
        <f>'Rate Class Demand Model'!$K$10</f>
        <v>0</v>
      </c>
      <c r="D99" s="5">
        <f>'Rate Class Demand Model'!$K$11</f>
        <v>0</v>
      </c>
      <c r="E99" s="5">
        <f>'Rate Class Demand Model'!$K$12</f>
        <v>0</v>
      </c>
      <c r="F99" s="5">
        <f>'Rate Class Demand Model'!$K$13</f>
        <v>0</v>
      </c>
      <c r="G99" s="5">
        <f>'Rate Class Demand Model'!$K$14</f>
        <v>0</v>
      </c>
      <c r="H99" s="5">
        <f>'Rate Class Demand Model'!$K$15</f>
        <v>0</v>
      </c>
      <c r="I99" s="5">
        <f>'Rate Class Demand Model'!$K$16</f>
        <v>0</v>
      </c>
      <c r="J99" s="5">
        <f>'Rate Class Demand Model'!$K$18</f>
        <v>0</v>
      </c>
      <c r="K99" s="5">
        <f>'Rate Class Demand Model'!$K$39</f>
        <v>0</v>
      </c>
      <c r="L99" s="295"/>
      <c r="M99" s="16">
        <f>'Rate Class Demand Model'!$K$40</f>
        <v>0</v>
      </c>
    </row>
    <row r="100" spans="1:13" x14ac:dyDescent="0.25">
      <c r="A100" s="350" t="s">
        <v>43</v>
      </c>
      <c r="B100" s="351"/>
      <c r="C100" s="354"/>
      <c r="D100" s="354"/>
      <c r="E100" s="354"/>
      <c r="F100" s="354"/>
      <c r="G100" s="354"/>
      <c r="H100" s="354"/>
      <c r="I100" s="354"/>
      <c r="J100" s="354"/>
      <c r="K100" s="354"/>
      <c r="L100" s="355"/>
      <c r="M100" s="356"/>
    </row>
    <row r="101" spans="1:13" x14ac:dyDescent="0.25">
      <c r="A101" s="34" t="s">
        <v>40</v>
      </c>
      <c r="B101" s="6">
        <f>SUM(B69,B73,B77,B81,B85,B89,B93,B97)</f>
        <v>0</v>
      </c>
      <c r="C101" s="6">
        <f t="shared" ref="C101:M101" si="31">SUM(C69,C73,C77,C81,C85,C89,C93,C97)</f>
        <v>2789.0251963540513</v>
      </c>
      <c r="D101" s="6">
        <f t="shared" si="31"/>
        <v>2563.3242927563824</v>
      </c>
      <c r="E101" s="6">
        <f t="shared" si="31"/>
        <v>667.48442470050816</v>
      </c>
      <c r="F101" s="6">
        <f t="shared" si="31"/>
        <v>2726.1655617371316</v>
      </c>
      <c r="G101" s="6">
        <f t="shared" si="31"/>
        <v>2568.8630995868984</v>
      </c>
      <c r="H101" s="6">
        <f t="shared" si="31"/>
        <v>1572.005003659712</v>
      </c>
      <c r="I101" s="6">
        <f t="shared" si="31"/>
        <v>1754.6733523228563</v>
      </c>
      <c r="J101" s="6">
        <f t="shared" si="31"/>
        <v>1658.3355200000001</v>
      </c>
      <c r="K101" s="6">
        <f t="shared" si="31"/>
        <v>1779</v>
      </c>
      <c r="L101" s="6">
        <f t="shared" si="31"/>
        <v>1880</v>
      </c>
      <c r="M101" s="9">
        <f t="shared" si="31"/>
        <v>1790</v>
      </c>
    </row>
    <row r="102" spans="1:13" x14ac:dyDescent="0.25">
      <c r="A102" s="34" t="s">
        <v>14</v>
      </c>
      <c r="B102" s="6">
        <f>SUM(B70,B74,B78,B82,B86,B90,B94,B98)</f>
        <v>0</v>
      </c>
      <c r="C102" s="6">
        <f t="shared" ref="C102:M102" si="32">SUM(C70,C74,C78,C82,C86,C90,C94,C98)</f>
        <v>36680432.730703004</v>
      </c>
      <c r="D102" s="6">
        <f t="shared" si="32"/>
        <v>-49961830.146230638</v>
      </c>
      <c r="E102" s="6">
        <f t="shared" si="32"/>
        <v>-181262926.11447227</v>
      </c>
      <c r="F102" s="6">
        <f t="shared" si="32"/>
        <v>221943728.4684839</v>
      </c>
      <c r="G102" s="6">
        <f t="shared" si="32"/>
        <v>-55975136.190176338</v>
      </c>
      <c r="H102" s="6">
        <f t="shared" si="32"/>
        <v>-43925350.956153713</v>
      </c>
      <c r="I102" s="6">
        <f t="shared" si="32"/>
        <v>-31018112.853629511</v>
      </c>
      <c r="J102" s="6">
        <f t="shared" si="32"/>
        <v>13534831.138179053</v>
      </c>
      <c r="K102" s="6">
        <f t="shared" si="32"/>
        <v>-35719761.723383762</v>
      </c>
      <c r="L102" s="6">
        <f t="shared" si="32"/>
        <v>24362685.399362497</v>
      </c>
      <c r="M102" s="9">
        <f t="shared" si="32"/>
        <v>-97689781.777304545</v>
      </c>
    </row>
    <row r="103" spans="1:13" x14ac:dyDescent="0.25">
      <c r="A103" s="37" t="s">
        <v>41</v>
      </c>
      <c r="B103" s="38">
        <f t="shared" ref="B103:M103" si="33">SUM(B71,B75,B79,B83,B87,B91,B95,B99)</f>
        <v>0</v>
      </c>
      <c r="C103" s="38">
        <f t="shared" si="33"/>
        <v>160874.58264938428</v>
      </c>
      <c r="D103" s="38">
        <f t="shared" si="33"/>
        <v>-132263.16509071927</v>
      </c>
      <c r="E103" s="38">
        <f t="shared" si="33"/>
        <v>-167936.3976093088</v>
      </c>
      <c r="F103" s="38">
        <f t="shared" si="33"/>
        <v>257780.95027383955</v>
      </c>
      <c r="G103" s="38">
        <f t="shared" si="33"/>
        <v>-105568.15683383336</v>
      </c>
      <c r="H103" s="38">
        <f t="shared" si="33"/>
        <v>-6808.8417105218296</v>
      </c>
      <c r="I103" s="38">
        <f t="shared" si="33"/>
        <v>-22496.760000000009</v>
      </c>
      <c r="J103" s="38">
        <f t="shared" si="33"/>
        <v>-30731.930000000197</v>
      </c>
      <c r="K103" s="38">
        <f t="shared" si="33"/>
        <v>-40558.833409676387</v>
      </c>
      <c r="L103" s="38">
        <f t="shared" si="33"/>
        <v>43936.310000527039</v>
      </c>
      <c r="M103" s="39">
        <f t="shared" si="33"/>
        <v>-103891.76397148985</v>
      </c>
    </row>
    <row r="104" spans="1:13" x14ac:dyDescent="0.25">
      <c r="C104" s="1"/>
      <c r="D104" s="1"/>
      <c r="E104" s="1"/>
      <c r="F104" s="1"/>
      <c r="G104" s="1"/>
      <c r="H104" s="1"/>
      <c r="I104" s="1"/>
      <c r="J104" s="1"/>
      <c r="K104" s="1"/>
      <c r="L104" s="1"/>
      <c r="M104" s="1"/>
    </row>
    <row r="105" spans="1:13" x14ac:dyDescent="0.25">
      <c r="A105" t="s">
        <v>46</v>
      </c>
      <c r="B105" s="2">
        <f t="shared" ref="B105:M105" si="34">B65-B102</f>
        <v>0</v>
      </c>
      <c r="C105" s="2">
        <f t="shared" si="34"/>
        <v>-6.0349702835083008E-7</v>
      </c>
      <c r="D105" s="2">
        <f t="shared" si="34"/>
        <v>4.1723251342773438E-7</v>
      </c>
      <c r="E105" s="2">
        <f t="shared" si="34"/>
        <v>3.5762786865234375E-7</v>
      </c>
      <c r="F105" s="2">
        <f t="shared" si="34"/>
        <v>-9.2387199401855469E-7</v>
      </c>
      <c r="G105" s="2">
        <f t="shared" si="34"/>
        <v>8.0466270446777344E-7</v>
      </c>
      <c r="H105" s="2">
        <f t="shared" si="34"/>
        <v>-6.3329935073852539E-7</v>
      </c>
      <c r="I105" s="2">
        <f t="shared" si="34"/>
        <v>-7.8231096267700195E-8</v>
      </c>
      <c r="J105" s="2">
        <f t="shared" si="34"/>
        <v>-2.2724270820617676E-7</v>
      </c>
      <c r="K105" s="2">
        <f t="shared" si="34"/>
        <v>3.3527612686157227E-7</v>
      </c>
      <c r="L105" s="2">
        <f t="shared" si="34"/>
        <v>6.7055225372314453E-8</v>
      </c>
      <c r="M105" s="2">
        <f t="shared" si="34"/>
        <v>3.7252902984619141E-7</v>
      </c>
    </row>
  </sheetData>
  <pageMargins left="0.3" right="0.3" top="0.3" bottom="0.6" header="0.3" footer="0.3"/>
  <pageSetup scale="71" orientation="landscape" r:id="rId1"/>
  <headerFooter>
    <oddFooter>&amp;R&amp;P/&amp;N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pageSetUpPr fitToPage="1"/>
  </sheetPr>
  <dimension ref="A1:H37"/>
  <sheetViews>
    <sheetView topLeftCell="A6" workbookViewId="0">
      <selection activeCell="A22" sqref="A22:H35"/>
    </sheetView>
  </sheetViews>
  <sheetFormatPr defaultRowHeight="15" x14ac:dyDescent="0.25"/>
  <cols>
    <col min="1" max="1" width="8.7109375" customWidth="1"/>
    <col min="2" max="2" width="29.42578125" customWidth="1"/>
    <col min="3" max="3" width="12.7109375" customWidth="1"/>
    <col min="4" max="4" width="14.28515625" bestFit="1" customWidth="1"/>
    <col min="5" max="6" width="12.7109375" customWidth="1"/>
    <col min="7" max="7" width="14.28515625" bestFit="1" customWidth="1"/>
    <col min="8" max="8" width="12.7109375" customWidth="1"/>
  </cols>
  <sheetData>
    <row r="1" spans="1:8" ht="18.75" x14ac:dyDescent="0.3">
      <c r="A1" s="24" t="str">
        <f>Admin!B3</f>
        <v>London Hydro</v>
      </c>
    </row>
    <row r="2" spans="1:8" ht="18.75" x14ac:dyDescent="0.3">
      <c r="A2" s="24" t="str">
        <f>Admin!B5</f>
        <v>EB-2016-0091</v>
      </c>
    </row>
    <row r="3" spans="1:8" ht="18.75" x14ac:dyDescent="0.3">
      <c r="A3" s="24" t="str">
        <f>Admin!B7</f>
        <v>2017 Load Forecast</v>
      </c>
    </row>
    <row r="4" spans="1:8" ht="18.75" x14ac:dyDescent="0.3">
      <c r="A4" s="24"/>
    </row>
    <row r="5" spans="1:8" ht="19.5" thickBot="1" x14ac:dyDescent="0.35">
      <c r="A5" s="26" t="s">
        <v>168</v>
      </c>
      <c r="B5" s="27"/>
      <c r="C5" s="27"/>
      <c r="D5" s="27"/>
      <c r="E5" s="27"/>
      <c r="F5" s="27"/>
      <c r="G5" s="27"/>
      <c r="H5" s="27"/>
    </row>
    <row r="7" spans="1:8" ht="15.75" x14ac:dyDescent="0.25">
      <c r="A7" s="357" t="s">
        <v>166</v>
      </c>
      <c r="B7" s="358"/>
      <c r="C7" s="358"/>
      <c r="D7" s="358"/>
      <c r="E7" s="358"/>
      <c r="F7" s="358"/>
      <c r="G7" s="358"/>
      <c r="H7" s="359"/>
    </row>
    <row r="8" spans="1:8" x14ac:dyDescent="0.25">
      <c r="A8" s="446" t="s">
        <v>101</v>
      </c>
      <c r="B8" s="444" t="s">
        <v>102</v>
      </c>
      <c r="C8" s="448">
        <v>2016</v>
      </c>
      <c r="D8" s="449"/>
      <c r="E8" s="450"/>
      <c r="F8" s="449">
        <v>2017</v>
      </c>
      <c r="G8" s="449"/>
      <c r="H8" s="450"/>
    </row>
    <row r="9" spans="1:8" x14ac:dyDescent="0.25">
      <c r="A9" s="447"/>
      <c r="B9" s="445"/>
      <c r="C9" s="246" t="s">
        <v>103</v>
      </c>
      <c r="D9" s="241" t="s">
        <v>14</v>
      </c>
      <c r="E9" s="228" t="s">
        <v>41</v>
      </c>
      <c r="F9" s="243" t="s">
        <v>103</v>
      </c>
      <c r="G9" s="223" t="s">
        <v>14</v>
      </c>
      <c r="H9" s="228" t="s">
        <v>41</v>
      </c>
    </row>
    <row r="10" spans="1:8" x14ac:dyDescent="0.25">
      <c r="A10" s="81">
        <v>1</v>
      </c>
      <c r="B10" s="42" t="s">
        <v>2</v>
      </c>
      <c r="C10" s="44">
        <f>'Rate Class Customer Model'!$B$53</f>
        <v>140655</v>
      </c>
      <c r="D10" s="5">
        <f>'Rate Class Energy Model'!$B$70</f>
        <v>1099003026.8440735</v>
      </c>
      <c r="E10" s="16">
        <f>'Rate Class Demand Model'!$B$39</f>
        <v>0</v>
      </c>
      <c r="F10" s="244">
        <f>'Rate Class Customer Model'!$B$54</f>
        <v>141991</v>
      </c>
      <c r="G10" s="5">
        <f>'Rate Class Energy Model'!$B$71</f>
        <v>1069466425.5335112</v>
      </c>
      <c r="H10" s="16">
        <f>'Rate Class Demand Model'!$B$40</f>
        <v>0</v>
      </c>
    </row>
    <row r="11" spans="1:8" x14ac:dyDescent="0.25">
      <c r="A11" s="81">
        <f t="shared" ref="A11:A20" si="0">A10+1</f>
        <v>2</v>
      </c>
      <c r="B11" s="42" t="s">
        <v>158</v>
      </c>
      <c r="C11" s="44">
        <f>'Rate Class Customer Model'!$C$53</f>
        <v>12563</v>
      </c>
      <c r="D11" s="5">
        <f>'Rate Class Energy Model'!$C$70</f>
        <v>390919009.81433868</v>
      </c>
      <c r="E11" s="16">
        <f>'Rate Class Demand Model'!$C$39</f>
        <v>0</v>
      </c>
      <c r="F11" s="244">
        <f>'Rate Class Customer Model'!$C$54</f>
        <v>12703</v>
      </c>
      <c r="G11" s="5">
        <f>'Rate Class Energy Model'!$C$71</f>
        <v>369565608.88457942</v>
      </c>
      <c r="H11" s="16">
        <f>'Rate Class Demand Model'!$C$40</f>
        <v>0</v>
      </c>
    </row>
    <row r="12" spans="1:8" x14ac:dyDescent="0.25">
      <c r="A12" s="81">
        <f t="shared" si="0"/>
        <v>3</v>
      </c>
      <c r="B12" s="42" t="s">
        <v>159</v>
      </c>
      <c r="C12" s="44">
        <f>'Rate Class Customer Model'!D47</f>
        <v>1562</v>
      </c>
      <c r="D12" s="5">
        <f>'Rate Class Energy Model'!D64</f>
        <v>1497575960.8273871</v>
      </c>
      <c r="E12" s="16">
        <f>'Rate Class Demand Model'!D33</f>
        <v>3818819</v>
      </c>
      <c r="F12" s="244">
        <f>'Rate Class Customer Model'!D48</f>
        <v>1552</v>
      </c>
      <c r="G12" s="5">
        <f>'Rate Class Energy Model'!D65</f>
        <v>1471000883.0841274</v>
      </c>
      <c r="H12" s="16">
        <f>'Rate Class Demand Model'!D34</f>
        <v>3751052</v>
      </c>
    </row>
    <row r="13" spans="1:8" x14ac:dyDescent="0.25">
      <c r="A13" s="81">
        <f t="shared" si="0"/>
        <v>4</v>
      </c>
      <c r="B13" s="194" t="s">
        <v>216</v>
      </c>
      <c r="C13" s="44"/>
      <c r="D13" s="5"/>
      <c r="E13" s="16"/>
      <c r="F13" s="244"/>
      <c r="G13" s="5"/>
      <c r="H13" s="16"/>
    </row>
    <row r="14" spans="1:8" x14ac:dyDescent="0.25">
      <c r="A14" s="81">
        <f t="shared" si="0"/>
        <v>5</v>
      </c>
      <c r="B14" s="42" t="s">
        <v>208</v>
      </c>
      <c r="C14" s="44">
        <f>'Rate Class Customer Model'!E53</f>
        <v>4</v>
      </c>
      <c r="D14" s="5">
        <f>'Rate Class Energy Model'!E70</f>
        <v>36849913.701493345</v>
      </c>
      <c r="E14" s="16">
        <f>'Rate Class Demand Model'!F39</f>
        <v>72320.243986216883</v>
      </c>
      <c r="F14" s="244">
        <f>'Rate Class Customer Model'!E54</f>
        <v>4</v>
      </c>
      <c r="G14" s="5">
        <f>'Rate Class Energy Model'!E71</f>
        <v>34273200.023803711</v>
      </c>
      <c r="H14" s="16">
        <f>'Rate Class Demand Model'!F40</f>
        <v>72320.243986216883</v>
      </c>
    </row>
    <row r="15" spans="1:8" x14ac:dyDescent="0.25">
      <c r="A15" s="81"/>
      <c r="B15" s="382" t="s">
        <v>129</v>
      </c>
      <c r="C15" s="44"/>
      <c r="D15" s="5"/>
      <c r="E15" s="16">
        <f>'Rate Class Demand Model'!E39</f>
        <v>154800</v>
      </c>
      <c r="F15" s="244"/>
      <c r="G15" s="5"/>
      <c r="H15" s="16">
        <f>'Rate Class Demand Model'!E40</f>
        <v>154800</v>
      </c>
    </row>
    <row r="16" spans="1:8" x14ac:dyDescent="0.25">
      <c r="A16" s="81">
        <f>A14+1</f>
        <v>6</v>
      </c>
      <c r="B16" s="42" t="s">
        <v>5</v>
      </c>
      <c r="C16" s="44">
        <f>'Rate Class Customer Model'!F53</f>
        <v>1</v>
      </c>
      <c r="D16" s="5">
        <f>'Rate Class Energy Model'!F70</f>
        <v>104051002.86551414</v>
      </c>
      <c r="E16" s="16">
        <f>'Rate Class Demand Model'!$H$39</f>
        <v>200298</v>
      </c>
      <c r="F16" s="244">
        <f>'Rate Class Customer Model'!F54</f>
        <v>1</v>
      </c>
      <c r="G16" s="5">
        <f>'Rate Class Energy Model'!F71</f>
        <v>88987424.723693669</v>
      </c>
      <c r="H16" s="16">
        <f>'Rate Class Demand Model'!$H$40</f>
        <v>171301</v>
      </c>
    </row>
    <row r="17" spans="1:8" x14ac:dyDescent="0.25">
      <c r="A17" s="81">
        <f t="shared" si="0"/>
        <v>7</v>
      </c>
      <c r="B17" s="42" t="s">
        <v>105</v>
      </c>
      <c r="C17" s="44">
        <f>'Rate Class Customer Model'!G53</f>
        <v>35712</v>
      </c>
      <c r="D17" s="5">
        <f>'Rate Class Energy Model'!$G$70</f>
        <v>22126976</v>
      </c>
      <c r="E17" s="16">
        <f>'Rate Class Demand Model'!$I$39</f>
        <v>61956</v>
      </c>
      <c r="F17" s="244">
        <f>'Rate Class Customer Model'!G54</f>
        <v>36048</v>
      </c>
      <c r="G17" s="5">
        <f>'Rate Class Energy Model'!$G$71</f>
        <v>19597552</v>
      </c>
      <c r="H17" s="16">
        <f>'Rate Class Demand Model'!$I$40</f>
        <v>54873</v>
      </c>
    </row>
    <row r="18" spans="1:8" x14ac:dyDescent="0.25">
      <c r="A18" s="81">
        <f t="shared" si="0"/>
        <v>8</v>
      </c>
      <c r="B18" s="42" t="s">
        <v>104</v>
      </c>
      <c r="C18" s="44">
        <f>'Rate Class Customer Model'!H53</f>
        <v>623</v>
      </c>
      <c r="D18" s="5">
        <f>'Rate Class Energy Model'!$H$70</f>
        <v>714581</v>
      </c>
      <c r="E18" s="16">
        <f>'Rate Class Demand Model'!$J$39</f>
        <v>1929</v>
      </c>
      <c r="F18" s="244">
        <f>'Rate Class Customer Model'!$H$54</f>
        <v>606</v>
      </c>
      <c r="G18" s="5">
        <f>'Rate Class Energy Model'!$H$71</f>
        <v>696900</v>
      </c>
      <c r="H18" s="16">
        <f>'Rate Class Demand Model'!$J$40</f>
        <v>1882</v>
      </c>
    </row>
    <row r="19" spans="1:8" x14ac:dyDescent="0.25">
      <c r="A19" s="81">
        <f t="shared" si="0"/>
        <v>9</v>
      </c>
      <c r="B19" s="42" t="s">
        <v>6</v>
      </c>
      <c r="C19" s="44">
        <f>'Rate Class Customer Model'!$I$53</f>
        <v>1521</v>
      </c>
      <c r="D19" s="5">
        <f>'Rate Class Energy Model'!$I$70</f>
        <v>5452785</v>
      </c>
      <c r="E19" s="16">
        <f>'Rate Class Demand Model'!$K$39</f>
        <v>0</v>
      </c>
      <c r="F19" s="244">
        <f>'Rate Class Customer Model'!$I$54</f>
        <v>1526</v>
      </c>
      <c r="G19" s="5">
        <f>'Rate Class Energy Model'!$I$71</f>
        <v>5414248</v>
      </c>
      <c r="H19" s="16">
        <f>'Rate Class Demand Model'!$K$40</f>
        <v>0</v>
      </c>
    </row>
    <row r="20" spans="1:8" x14ac:dyDescent="0.25">
      <c r="A20" s="199">
        <f t="shared" si="0"/>
        <v>10</v>
      </c>
      <c r="B20" s="242" t="s">
        <v>9</v>
      </c>
      <c r="C20" s="247">
        <f t="shared" ref="C20:H20" si="1">SUM(C10:C19)</f>
        <v>192641</v>
      </c>
      <c r="D20" s="161">
        <f t="shared" si="1"/>
        <v>3156693256.0528069</v>
      </c>
      <c r="E20" s="227">
        <f t="shared" si="1"/>
        <v>4310122.2439862173</v>
      </c>
      <c r="F20" s="245">
        <f t="shared" si="1"/>
        <v>194431</v>
      </c>
      <c r="G20" s="161">
        <f t="shared" si="1"/>
        <v>3059002242.2497158</v>
      </c>
      <c r="H20" s="227">
        <f t="shared" si="1"/>
        <v>4206228.2439862173</v>
      </c>
    </row>
    <row r="21" spans="1:8" x14ac:dyDescent="0.25">
      <c r="A21" s="193"/>
    </row>
    <row r="22" spans="1:8" ht="15.75" x14ac:dyDescent="0.25">
      <c r="A22" s="357" t="s">
        <v>167</v>
      </c>
      <c r="B22" s="358"/>
      <c r="C22" s="358"/>
      <c r="D22" s="358"/>
      <c r="E22" s="358"/>
      <c r="F22" s="358"/>
      <c r="G22" s="358"/>
      <c r="H22" s="359"/>
    </row>
    <row r="23" spans="1:8" x14ac:dyDescent="0.25">
      <c r="A23" s="451" t="s">
        <v>101</v>
      </c>
      <c r="B23" s="453" t="s">
        <v>102</v>
      </c>
      <c r="C23" s="448">
        <v>2016</v>
      </c>
      <c r="D23" s="449"/>
      <c r="E23" s="450"/>
      <c r="F23" s="448">
        <v>2017</v>
      </c>
      <c r="G23" s="449"/>
      <c r="H23" s="450"/>
    </row>
    <row r="24" spans="1:8" x14ac:dyDescent="0.25">
      <c r="A24" s="452"/>
      <c r="B24" s="454"/>
      <c r="C24" s="279" t="s">
        <v>103</v>
      </c>
      <c r="D24" s="241" t="s">
        <v>14</v>
      </c>
      <c r="E24" s="228" t="s">
        <v>41</v>
      </c>
      <c r="F24" s="243" t="s">
        <v>103</v>
      </c>
      <c r="G24" s="241" t="s">
        <v>14</v>
      </c>
      <c r="H24" s="228" t="s">
        <v>41</v>
      </c>
    </row>
    <row r="25" spans="1:8" x14ac:dyDescent="0.25">
      <c r="A25" s="280">
        <v>1</v>
      </c>
      <c r="B25" s="42" t="s">
        <v>2</v>
      </c>
      <c r="C25" s="44">
        <f t="shared" ref="C25:H25" si="2">C10</f>
        <v>140655</v>
      </c>
      <c r="D25" s="5">
        <f t="shared" si="2"/>
        <v>1099003026.8440735</v>
      </c>
      <c r="E25" s="16">
        <f t="shared" si="2"/>
        <v>0</v>
      </c>
      <c r="F25" s="244">
        <f t="shared" si="2"/>
        <v>141991</v>
      </c>
      <c r="G25" s="5">
        <f t="shared" si="2"/>
        <v>1069466425.5335112</v>
      </c>
      <c r="H25" s="16">
        <f t="shared" si="2"/>
        <v>0</v>
      </c>
    </row>
    <row r="26" spans="1:8" x14ac:dyDescent="0.25">
      <c r="A26" s="280">
        <f>A25+1</f>
        <v>2</v>
      </c>
      <c r="B26" s="42" t="s">
        <v>158</v>
      </c>
      <c r="C26" s="44">
        <f>C11</f>
        <v>12563</v>
      </c>
      <c r="D26" s="5">
        <f t="shared" ref="D26:H26" si="3">D11</f>
        <v>390919009.81433868</v>
      </c>
      <c r="E26" s="16">
        <f t="shared" si="3"/>
        <v>0</v>
      </c>
      <c r="F26" s="244">
        <f t="shared" si="3"/>
        <v>12703</v>
      </c>
      <c r="G26" s="5">
        <f t="shared" si="3"/>
        <v>369565608.88457942</v>
      </c>
      <c r="H26" s="16">
        <f t="shared" si="3"/>
        <v>0</v>
      </c>
    </row>
    <row r="27" spans="1:8" x14ac:dyDescent="0.25">
      <c r="A27" s="280">
        <f t="shared" ref="A27:A35" si="4">A26+1</f>
        <v>3</v>
      </c>
      <c r="B27" s="42" t="s">
        <v>159</v>
      </c>
      <c r="C27" s="44">
        <f>C12</f>
        <v>1562</v>
      </c>
      <c r="D27" s="5">
        <f t="shared" ref="D27:H27" si="5">D12</f>
        <v>1497575960.8273871</v>
      </c>
      <c r="E27" s="16">
        <f t="shared" si="5"/>
        <v>3818819</v>
      </c>
      <c r="F27" s="244">
        <f t="shared" si="5"/>
        <v>1552</v>
      </c>
      <c r="G27" s="5">
        <f t="shared" si="5"/>
        <v>1471000883.0841274</v>
      </c>
      <c r="H27" s="16">
        <f t="shared" si="5"/>
        <v>3751052</v>
      </c>
    </row>
    <row r="28" spans="1:8" x14ac:dyDescent="0.25">
      <c r="A28" s="280">
        <f t="shared" si="4"/>
        <v>4</v>
      </c>
      <c r="B28" s="194" t="s">
        <v>216</v>
      </c>
      <c r="C28" s="44">
        <f>WMP!D17</f>
        <v>4</v>
      </c>
      <c r="D28" s="5">
        <f>WMP!D30</f>
        <v>17666882.699875668</v>
      </c>
      <c r="E28" s="16">
        <f>WMP!D49</f>
        <v>32063.982604633686</v>
      </c>
      <c r="F28" s="244">
        <f>WMP!D18</f>
        <v>4</v>
      </c>
      <c r="G28" s="5">
        <f>WMP!D31</f>
        <v>17668114.725662455</v>
      </c>
      <c r="H28" s="16">
        <f>WMP!D50</f>
        <v>32066.218633143475</v>
      </c>
    </row>
    <row r="29" spans="1:8" x14ac:dyDescent="0.25">
      <c r="A29" s="280">
        <f t="shared" si="4"/>
        <v>5</v>
      </c>
      <c r="B29" s="42" t="s">
        <v>208</v>
      </c>
      <c r="C29" s="44">
        <f t="shared" ref="C29:H29" si="6">C14</f>
        <v>4</v>
      </c>
      <c r="D29" s="5">
        <f>(D$14/SUM(E$14:E$15))*E14</f>
        <v>11733849.449037947</v>
      </c>
      <c r="E29" s="16">
        <f t="shared" si="6"/>
        <v>72320.243986216883</v>
      </c>
      <c r="F29" s="244">
        <f t="shared" si="6"/>
        <v>4</v>
      </c>
      <c r="G29" s="5">
        <f>(G$14/SUM(H$14:H$15))*H14</f>
        <v>10913365.292352885</v>
      </c>
      <c r="H29" s="16">
        <f t="shared" si="6"/>
        <v>72320.243986216883</v>
      </c>
    </row>
    <row r="30" spans="1:8" x14ac:dyDescent="0.25">
      <c r="A30" s="280"/>
      <c r="B30" s="382" t="s">
        <v>129</v>
      </c>
      <c r="C30" s="44"/>
      <c r="D30" s="5">
        <f>(D$14/SUM(E$14:E$15))*E15</f>
        <v>25116064.252455398</v>
      </c>
      <c r="E30" s="16">
        <f>'Rate Class Demand Model'!E39</f>
        <v>154800</v>
      </c>
      <c r="F30" s="244"/>
      <c r="G30" s="5">
        <f>(G$14/SUM(H$14:H$15))*H15</f>
        <v>23359834.731450822</v>
      </c>
      <c r="H30" s="16">
        <f>'Rate Class Demand Model'!E40</f>
        <v>154800</v>
      </c>
    </row>
    <row r="31" spans="1:8" x14ac:dyDescent="0.25">
      <c r="A31" s="280">
        <f>A29+1</f>
        <v>6</v>
      </c>
      <c r="B31" s="42" t="s">
        <v>5</v>
      </c>
      <c r="C31" s="44">
        <f t="shared" ref="C31:H31" si="7">C16</f>
        <v>1</v>
      </c>
      <c r="D31" s="5">
        <f t="shared" si="7"/>
        <v>104051002.86551414</v>
      </c>
      <c r="E31" s="16">
        <f t="shared" si="7"/>
        <v>200298</v>
      </c>
      <c r="F31" s="244">
        <f t="shared" si="7"/>
        <v>1</v>
      </c>
      <c r="G31" s="5">
        <f t="shared" si="7"/>
        <v>88987424.723693669</v>
      </c>
      <c r="H31" s="16">
        <f t="shared" si="7"/>
        <v>171301</v>
      </c>
    </row>
    <row r="32" spans="1:8" x14ac:dyDescent="0.25">
      <c r="A32" s="280">
        <f t="shared" si="4"/>
        <v>7</v>
      </c>
      <c r="B32" s="42" t="s">
        <v>105</v>
      </c>
      <c r="C32" s="44">
        <f t="shared" ref="C32:H32" si="8">C17</f>
        <v>35712</v>
      </c>
      <c r="D32" s="5">
        <f t="shared" si="8"/>
        <v>22126976</v>
      </c>
      <c r="E32" s="16">
        <f t="shared" si="8"/>
        <v>61956</v>
      </c>
      <c r="F32" s="244">
        <f t="shared" si="8"/>
        <v>36048</v>
      </c>
      <c r="G32" s="5">
        <f t="shared" si="8"/>
        <v>19597552</v>
      </c>
      <c r="H32" s="16">
        <f t="shared" si="8"/>
        <v>54873</v>
      </c>
    </row>
    <row r="33" spans="1:8" x14ac:dyDescent="0.25">
      <c r="A33" s="280">
        <f t="shared" si="4"/>
        <v>8</v>
      </c>
      <c r="B33" s="42" t="s">
        <v>104</v>
      </c>
      <c r="C33" s="44">
        <f t="shared" ref="C33:H33" si="9">C18</f>
        <v>623</v>
      </c>
      <c r="D33" s="5">
        <f t="shared" si="9"/>
        <v>714581</v>
      </c>
      <c r="E33" s="16">
        <f t="shared" si="9"/>
        <v>1929</v>
      </c>
      <c r="F33" s="244">
        <f t="shared" si="9"/>
        <v>606</v>
      </c>
      <c r="G33" s="5">
        <f t="shared" si="9"/>
        <v>696900</v>
      </c>
      <c r="H33" s="16">
        <f t="shared" si="9"/>
        <v>1882</v>
      </c>
    </row>
    <row r="34" spans="1:8" x14ac:dyDescent="0.25">
      <c r="A34" s="280">
        <f t="shared" si="4"/>
        <v>9</v>
      </c>
      <c r="B34" s="42" t="s">
        <v>6</v>
      </c>
      <c r="C34" s="44">
        <f t="shared" ref="C34:H34" si="10">C19</f>
        <v>1521</v>
      </c>
      <c r="D34" s="5">
        <f t="shared" si="10"/>
        <v>5452785</v>
      </c>
      <c r="E34" s="16">
        <f t="shared" si="10"/>
        <v>0</v>
      </c>
      <c r="F34" s="244">
        <f t="shared" si="10"/>
        <v>1526</v>
      </c>
      <c r="G34" s="5">
        <f t="shared" si="10"/>
        <v>5414248</v>
      </c>
      <c r="H34" s="16">
        <f t="shared" si="10"/>
        <v>0</v>
      </c>
    </row>
    <row r="35" spans="1:8" x14ac:dyDescent="0.25">
      <c r="A35" s="281">
        <f t="shared" si="4"/>
        <v>10</v>
      </c>
      <c r="B35" s="282" t="s">
        <v>9</v>
      </c>
      <c r="C35" s="247">
        <f t="shared" ref="C35:H35" si="11">SUM(C25:C34)</f>
        <v>192645</v>
      </c>
      <c r="D35" s="161">
        <f t="shared" si="11"/>
        <v>3174360138.7526827</v>
      </c>
      <c r="E35" s="227">
        <f t="shared" si="11"/>
        <v>4342186.2265908504</v>
      </c>
      <c r="F35" s="245">
        <f t="shared" si="11"/>
        <v>194435</v>
      </c>
      <c r="G35" s="161">
        <f t="shared" si="11"/>
        <v>3076670356.975378</v>
      </c>
      <c r="H35" s="227">
        <f t="shared" si="11"/>
        <v>4238294.4626193605</v>
      </c>
    </row>
    <row r="36" spans="1:8" x14ac:dyDescent="0.25">
      <c r="A36" s="284"/>
    </row>
    <row r="37" spans="1:8" x14ac:dyDescent="0.25">
      <c r="A37" s="193"/>
    </row>
  </sheetData>
  <mergeCells count="8">
    <mergeCell ref="B8:B9"/>
    <mergeCell ref="A8:A9"/>
    <mergeCell ref="C8:E8"/>
    <mergeCell ref="F8:H8"/>
    <mergeCell ref="A23:A24"/>
    <mergeCell ref="B23:B24"/>
    <mergeCell ref="C23:E23"/>
    <mergeCell ref="F23:H23"/>
  </mergeCells>
  <pageMargins left="0.7" right="0.7" top="0.75" bottom="0.75" header="0.3" footer="0.3"/>
  <pageSetup scale="95" orientation="landscape" r:id="rId1"/>
  <headerFooter>
    <oddFooter>&amp;R&amp;P/&amp;N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83"/>
  <sheetViews>
    <sheetView workbookViewId="0">
      <selection activeCell="E34" sqref="E34:E42"/>
    </sheetView>
  </sheetViews>
  <sheetFormatPr defaultRowHeight="15" x14ac:dyDescent="0.25"/>
  <cols>
    <col min="1" max="1" width="6.7109375" customWidth="1"/>
    <col min="2" max="2" width="35.7109375" customWidth="1"/>
    <col min="3" max="5" width="14.28515625" bestFit="1" customWidth="1"/>
    <col min="6" max="8" width="12.7109375" customWidth="1"/>
  </cols>
  <sheetData>
    <row r="1" spans="1:8" ht="18.75" x14ac:dyDescent="0.3">
      <c r="A1" s="24" t="str">
        <f>Admin!B3</f>
        <v>London Hydro</v>
      </c>
    </row>
    <row r="2" spans="1:8" ht="18.75" x14ac:dyDescent="0.3">
      <c r="A2" s="24" t="str">
        <f>Admin!B5</f>
        <v>EB-2016-0091</v>
      </c>
    </row>
    <row r="3" spans="1:8" ht="18.75" x14ac:dyDescent="0.3">
      <c r="A3" s="24" t="str">
        <f>Admin!B7</f>
        <v>2017 Load Forecast</v>
      </c>
    </row>
    <row r="4" spans="1:8" ht="18.75" x14ac:dyDescent="0.3">
      <c r="A4" s="24"/>
    </row>
    <row r="5" spans="1:8" ht="19.5" thickBot="1" x14ac:dyDescent="0.35">
      <c r="A5" s="26" t="s">
        <v>146</v>
      </c>
      <c r="B5" s="27"/>
      <c r="C5" s="27"/>
      <c r="D5" s="27"/>
      <c r="E5" s="27"/>
      <c r="F5" s="27"/>
      <c r="G5" s="27"/>
      <c r="H5" s="27"/>
    </row>
    <row r="7" spans="1:8" x14ac:dyDescent="0.25">
      <c r="B7" s="93" t="s">
        <v>201</v>
      </c>
      <c r="C7" s="171">
        <v>2016</v>
      </c>
      <c r="D7" s="61">
        <v>2017</v>
      </c>
    </row>
    <row r="8" spans="1:8" x14ac:dyDescent="0.25">
      <c r="B8" s="11" t="s">
        <v>140</v>
      </c>
      <c r="C8" s="224">
        <v>1.0349999999999999</v>
      </c>
      <c r="D8" s="374">
        <v>1.0349999999999999</v>
      </c>
    </row>
    <row r="9" spans="1:8" x14ac:dyDescent="0.25">
      <c r="B9" s="34" t="s">
        <v>141</v>
      </c>
      <c r="C9" s="7">
        <v>1.0136000000000001</v>
      </c>
      <c r="D9" s="51">
        <v>1.0136000000000001</v>
      </c>
    </row>
    <row r="10" spans="1:8" x14ac:dyDescent="0.25">
      <c r="B10" s="34" t="s">
        <v>142</v>
      </c>
      <c r="C10" s="7">
        <v>1.0246</v>
      </c>
      <c r="D10" s="51">
        <v>1.0246</v>
      </c>
    </row>
    <row r="11" spans="1:8" x14ac:dyDescent="0.25">
      <c r="B11" s="37" t="s">
        <v>143</v>
      </c>
      <c r="C11" s="225">
        <v>1.0035000000000001</v>
      </c>
      <c r="D11" s="226">
        <v>1.0035000000000001</v>
      </c>
    </row>
    <row r="13" spans="1:8" x14ac:dyDescent="0.25">
      <c r="F13" s="278" t="s">
        <v>202</v>
      </c>
      <c r="G13" s="278" t="s">
        <v>238</v>
      </c>
    </row>
    <row r="24" spans="1:4" ht="45" x14ac:dyDescent="0.25">
      <c r="A24" s="43" t="s">
        <v>101</v>
      </c>
      <c r="B24" s="14" t="s">
        <v>203</v>
      </c>
      <c r="C24" s="163" t="s">
        <v>120</v>
      </c>
      <c r="D24" s="164" t="s">
        <v>121</v>
      </c>
    </row>
    <row r="25" spans="1:4" s="28" customFormat="1" ht="30" customHeight="1" x14ac:dyDescent="0.25">
      <c r="A25" s="165">
        <v>1</v>
      </c>
      <c r="B25" s="181" t="s">
        <v>122</v>
      </c>
      <c r="C25" s="182"/>
      <c r="D25" s="183">
        <v>16.86</v>
      </c>
    </row>
    <row r="26" spans="1:4" s="28" customFormat="1" ht="30" customHeight="1" x14ac:dyDescent="0.25">
      <c r="A26" s="166">
        <f>A25+1</f>
        <v>2</v>
      </c>
      <c r="B26" s="184" t="s">
        <v>123</v>
      </c>
      <c r="C26" s="185">
        <v>18.59</v>
      </c>
      <c r="D26" s="186"/>
    </row>
    <row r="27" spans="1:4" s="28" customFormat="1" ht="30" customHeight="1" x14ac:dyDescent="0.25">
      <c r="A27" s="166">
        <f>A26+1</f>
        <v>3</v>
      </c>
      <c r="B27" s="184" t="s">
        <v>124</v>
      </c>
      <c r="C27" s="185">
        <v>90.86</v>
      </c>
      <c r="D27" s="186">
        <f>C27</f>
        <v>90.86</v>
      </c>
    </row>
    <row r="28" spans="1:4" s="28" customFormat="1" ht="30" customHeight="1" x14ac:dyDescent="0.25">
      <c r="A28" s="166">
        <f>A27+1</f>
        <v>4</v>
      </c>
      <c r="B28" s="184" t="s">
        <v>125</v>
      </c>
      <c r="C28" s="185">
        <v>1</v>
      </c>
      <c r="D28" s="186"/>
    </row>
    <row r="29" spans="1:4" s="28" customFormat="1" ht="30" customHeight="1" x14ac:dyDescent="0.25">
      <c r="A29" s="167">
        <f>A28+1</f>
        <v>5</v>
      </c>
      <c r="B29" s="187" t="s">
        <v>126</v>
      </c>
      <c r="C29" s="188">
        <v>0.97</v>
      </c>
      <c r="D29" s="189"/>
    </row>
    <row r="30" spans="1:4" s="28" customFormat="1" ht="30" customHeight="1" x14ac:dyDescent="0.25">
      <c r="A30" s="168">
        <f>A29+1</f>
        <v>6</v>
      </c>
      <c r="B30" s="190" t="s">
        <v>127</v>
      </c>
      <c r="C30" s="191">
        <f>SUM(C25:C29)</f>
        <v>111.42</v>
      </c>
      <c r="D30" s="192">
        <f>SUM(D25:D29)</f>
        <v>107.72</v>
      </c>
    </row>
    <row r="33" spans="1:7" ht="30" x14ac:dyDescent="0.25">
      <c r="A33" s="43" t="s">
        <v>101</v>
      </c>
      <c r="B33" s="163" t="s">
        <v>102</v>
      </c>
      <c r="C33" s="14" t="s">
        <v>204</v>
      </c>
      <c r="D33" s="14" t="s">
        <v>205</v>
      </c>
      <c r="E33" s="15" t="s">
        <v>128</v>
      </c>
    </row>
    <row r="34" spans="1:7" x14ac:dyDescent="0.25">
      <c r="A34" s="165">
        <v>1</v>
      </c>
      <c r="B34" s="3" t="s">
        <v>2</v>
      </c>
      <c r="C34" s="40">
        <v>1021464633.3</v>
      </c>
      <c r="D34" s="40">
        <v>63200895.369999997</v>
      </c>
      <c r="E34" s="41">
        <f>SUM(C34:D34)</f>
        <v>1084665528.6699998</v>
      </c>
    </row>
    <row r="35" spans="1:7" x14ac:dyDescent="0.25">
      <c r="A35" s="166">
        <f>A34+1</f>
        <v>2</v>
      </c>
      <c r="B35" s="3" t="s">
        <v>111</v>
      </c>
      <c r="C35" s="5">
        <v>332673352.76999998</v>
      </c>
      <c r="D35" s="5">
        <v>66974564.909999996</v>
      </c>
      <c r="E35" s="41">
        <f t="shared" ref="E35:E42" si="0">SUM(C35:D35)</f>
        <v>399647917.67999995</v>
      </c>
    </row>
    <row r="36" spans="1:7" x14ac:dyDescent="0.25">
      <c r="A36" s="166">
        <f t="shared" ref="A36:A46" si="1">A35+1</f>
        <v>3</v>
      </c>
      <c r="B36" s="3" t="s">
        <v>112</v>
      </c>
      <c r="C36" s="5">
        <v>118580113.48</v>
      </c>
      <c r="D36" s="5">
        <v>1346935035</v>
      </c>
      <c r="E36" s="41">
        <f t="shared" si="0"/>
        <v>1465515148.48</v>
      </c>
    </row>
    <row r="37" spans="1:7" x14ac:dyDescent="0.25">
      <c r="A37" s="166">
        <f t="shared" si="1"/>
        <v>4</v>
      </c>
      <c r="B37" s="194" t="s">
        <v>113</v>
      </c>
      <c r="C37" s="5">
        <v>0</v>
      </c>
      <c r="D37" s="5">
        <v>0</v>
      </c>
      <c r="E37" s="41">
        <f t="shared" si="0"/>
        <v>0</v>
      </c>
    </row>
    <row r="38" spans="1:7" x14ac:dyDescent="0.25">
      <c r="A38" s="166">
        <f t="shared" si="1"/>
        <v>5</v>
      </c>
      <c r="B38" s="3" t="s">
        <v>207</v>
      </c>
      <c r="C38" s="5">
        <v>0</v>
      </c>
      <c r="D38" s="5">
        <v>38831480.539999999</v>
      </c>
      <c r="E38" s="41">
        <f t="shared" si="0"/>
        <v>38831480.539999999</v>
      </c>
    </row>
    <row r="39" spans="1:7" x14ac:dyDescent="0.25">
      <c r="A39" s="166">
        <f t="shared" si="1"/>
        <v>6</v>
      </c>
      <c r="B39" s="3" t="s">
        <v>5</v>
      </c>
      <c r="C39" s="5">
        <v>0</v>
      </c>
      <c r="D39" s="5">
        <v>137445054.66999999</v>
      </c>
      <c r="E39" s="41">
        <f t="shared" si="0"/>
        <v>137445054.66999999</v>
      </c>
    </row>
    <row r="40" spans="1:7" x14ac:dyDescent="0.25">
      <c r="A40" s="166">
        <f t="shared" si="1"/>
        <v>7</v>
      </c>
      <c r="B40" s="3" t="s">
        <v>7</v>
      </c>
      <c r="C40" s="5">
        <v>0</v>
      </c>
      <c r="D40" s="5">
        <v>24640359.239999998</v>
      </c>
      <c r="E40" s="41">
        <f t="shared" si="0"/>
        <v>24640359.239999998</v>
      </c>
    </row>
    <row r="41" spans="1:7" x14ac:dyDescent="0.25">
      <c r="A41" s="166">
        <f t="shared" si="1"/>
        <v>8</v>
      </c>
      <c r="B41" s="3" t="s">
        <v>8</v>
      </c>
      <c r="C41" s="5">
        <v>719474.13</v>
      </c>
      <c r="D41" s="5">
        <v>19496.39</v>
      </c>
      <c r="E41" s="41">
        <f t="shared" si="0"/>
        <v>738970.52</v>
      </c>
    </row>
    <row r="42" spans="1:7" x14ac:dyDescent="0.25">
      <c r="A42" s="166">
        <f t="shared" si="1"/>
        <v>9</v>
      </c>
      <c r="B42" s="3" t="s">
        <v>114</v>
      </c>
      <c r="C42" s="5">
        <v>5362345.8099999996</v>
      </c>
      <c r="D42" s="5">
        <v>103473.89</v>
      </c>
      <c r="E42" s="41">
        <f t="shared" si="0"/>
        <v>5465819.6999999993</v>
      </c>
    </row>
    <row r="43" spans="1:7" x14ac:dyDescent="0.25">
      <c r="A43" s="170">
        <f>A42+1</f>
        <v>10</v>
      </c>
      <c r="B43" s="171" t="s">
        <v>9</v>
      </c>
      <c r="C43" s="172">
        <f>SUM(C34:C42)</f>
        <v>1478799919.49</v>
      </c>
      <c r="D43" s="172">
        <f>SUM(D34:D42)</f>
        <v>1678150360.0100002</v>
      </c>
      <c r="E43" s="173">
        <f>SUM(E34:E42)</f>
        <v>3156950279.4999995</v>
      </c>
      <c r="G43" s="229"/>
    </row>
    <row r="44" spans="1:7" x14ac:dyDescent="0.25">
      <c r="A44" s="165">
        <f t="shared" si="1"/>
        <v>11</v>
      </c>
      <c r="B44" s="174" t="s">
        <v>130</v>
      </c>
      <c r="C44" s="175">
        <f>C43/E43</f>
        <v>0.46842673737776241</v>
      </c>
      <c r="D44" s="175">
        <f>D43/E43</f>
        <v>0.53157326262223781</v>
      </c>
      <c r="E44" s="176">
        <f>SUM(C44:D44)</f>
        <v>1.0000000000000002</v>
      </c>
    </row>
    <row r="45" spans="1:7" x14ac:dyDescent="0.25">
      <c r="A45" s="167">
        <f t="shared" si="1"/>
        <v>12</v>
      </c>
      <c r="B45" s="177" t="s">
        <v>131</v>
      </c>
      <c r="C45" s="160">
        <f>C30/1000</f>
        <v>0.11142000000000001</v>
      </c>
      <c r="D45" s="160">
        <f>D30/1000</f>
        <v>0.10772</v>
      </c>
      <c r="E45" s="178"/>
    </row>
    <row r="46" spans="1:7" x14ac:dyDescent="0.25">
      <c r="A46" s="168">
        <f t="shared" si="1"/>
        <v>13</v>
      </c>
      <c r="B46" s="169" t="s">
        <v>132</v>
      </c>
      <c r="C46" s="179">
        <f>C44*C45</f>
        <v>5.2192107078630291E-2</v>
      </c>
      <c r="D46" s="179">
        <f>D44*D45</f>
        <v>5.7261071849667458E-2</v>
      </c>
      <c r="E46" s="180">
        <f>SUM(C46:D46)</f>
        <v>0.10945317892829776</v>
      </c>
    </row>
    <row r="49" spans="1:8" ht="30" x14ac:dyDescent="0.25">
      <c r="A49" s="457" t="s">
        <v>101</v>
      </c>
      <c r="B49" s="459" t="s">
        <v>102</v>
      </c>
      <c r="C49" s="217" t="s">
        <v>133</v>
      </c>
      <c r="D49" s="217" t="s">
        <v>206</v>
      </c>
      <c r="E49" s="217" t="s">
        <v>133</v>
      </c>
      <c r="F49" s="218" t="s">
        <v>206</v>
      </c>
    </row>
    <row r="50" spans="1:8" x14ac:dyDescent="0.25">
      <c r="A50" s="458"/>
      <c r="B50" s="460"/>
      <c r="C50" s="455" t="s">
        <v>134</v>
      </c>
      <c r="D50" s="461"/>
      <c r="E50" s="455" t="s">
        <v>135</v>
      </c>
      <c r="F50" s="456"/>
    </row>
    <row r="51" spans="1:8" x14ac:dyDescent="0.25">
      <c r="A51" s="80">
        <v>1</v>
      </c>
      <c r="B51" s="3" t="s">
        <v>2</v>
      </c>
      <c r="C51" s="221">
        <v>6.8999999999999999E-3</v>
      </c>
      <c r="D51" s="221">
        <v>6.8999999999999999E-3</v>
      </c>
      <c r="E51" s="222">
        <v>5.7999999999999996E-3</v>
      </c>
      <c r="F51" s="222">
        <v>5.7999999999999996E-3</v>
      </c>
    </row>
    <row r="52" spans="1:8" x14ac:dyDescent="0.25">
      <c r="A52" s="81">
        <f>A51+1</f>
        <v>2</v>
      </c>
      <c r="B52" s="3" t="s">
        <v>111</v>
      </c>
      <c r="C52" s="158">
        <v>6.4999999999999997E-3</v>
      </c>
      <c r="D52" s="158">
        <v>6.4999999999999997E-3</v>
      </c>
      <c r="E52" s="222">
        <v>5.1000000000000004E-3</v>
      </c>
      <c r="F52" s="222">
        <v>5.1000000000000004E-3</v>
      </c>
    </row>
    <row r="53" spans="1:8" x14ac:dyDescent="0.25">
      <c r="A53" s="81">
        <f t="shared" ref="A53:A59" si="2">A52+1</f>
        <v>3</v>
      </c>
      <c r="B53" s="3" t="s">
        <v>112</v>
      </c>
      <c r="C53" s="158">
        <v>2.9350999999999998</v>
      </c>
      <c r="D53" s="158">
        <v>2.9350999999999998</v>
      </c>
      <c r="E53" s="222">
        <v>2.5983999999999998</v>
      </c>
      <c r="F53" s="222">
        <v>2.5983999999999998</v>
      </c>
    </row>
    <row r="54" spans="1:8" x14ac:dyDescent="0.25">
      <c r="A54" s="81">
        <f t="shared" si="2"/>
        <v>4</v>
      </c>
      <c r="B54" s="194" t="s">
        <v>113</v>
      </c>
      <c r="C54" s="158">
        <v>2.9350999999999998</v>
      </c>
      <c r="D54" s="158">
        <v>2.9350999999999998</v>
      </c>
      <c r="E54" s="222">
        <v>2.5983999999999998</v>
      </c>
      <c r="F54" s="222">
        <v>2.5983999999999998</v>
      </c>
    </row>
    <row r="55" spans="1:8" x14ac:dyDescent="0.25">
      <c r="A55" s="81">
        <f t="shared" si="2"/>
        <v>5</v>
      </c>
      <c r="B55" s="3" t="s">
        <v>207</v>
      </c>
      <c r="C55" s="158">
        <v>3.3883999999999999</v>
      </c>
      <c r="D55" s="158">
        <v>3.3883999999999999</v>
      </c>
      <c r="E55" s="222">
        <v>2.7484999999999999</v>
      </c>
      <c r="F55" s="222">
        <v>2.7484999999999999</v>
      </c>
    </row>
    <row r="56" spans="1:8" x14ac:dyDescent="0.25">
      <c r="A56" s="81">
        <f t="shared" si="2"/>
        <v>6</v>
      </c>
      <c r="B56" s="3" t="s">
        <v>5</v>
      </c>
      <c r="C56" s="158">
        <v>3.0066000000000002</v>
      </c>
      <c r="D56" s="158">
        <v>3.0066000000000002</v>
      </c>
      <c r="E56" s="222">
        <v>2.5983999999999998</v>
      </c>
      <c r="F56" s="222">
        <v>2.5983999999999998</v>
      </c>
    </row>
    <row r="57" spans="1:8" x14ac:dyDescent="0.25">
      <c r="A57" s="81">
        <f t="shared" si="2"/>
        <v>7</v>
      </c>
      <c r="B57" s="3" t="s">
        <v>7</v>
      </c>
      <c r="C57" s="158">
        <v>2.0152999999999999</v>
      </c>
      <c r="D57" s="158">
        <v>2.0152999999999999</v>
      </c>
      <c r="E57" s="222">
        <v>1.6418999999999999</v>
      </c>
      <c r="F57" s="222">
        <v>1.6418999999999999</v>
      </c>
    </row>
    <row r="58" spans="1:8" x14ac:dyDescent="0.25">
      <c r="A58" s="81">
        <f t="shared" si="2"/>
        <v>8</v>
      </c>
      <c r="B58" s="3" t="s">
        <v>8</v>
      </c>
      <c r="C58" s="158">
        <v>2.0179999999999998</v>
      </c>
      <c r="D58" s="158">
        <v>2.0179999999999998</v>
      </c>
      <c r="E58" s="222">
        <v>1.6440999999999999</v>
      </c>
      <c r="F58" s="222">
        <v>1.6440999999999999</v>
      </c>
    </row>
    <row r="59" spans="1:8" x14ac:dyDescent="0.25">
      <c r="A59" s="82">
        <f t="shared" si="2"/>
        <v>9</v>
      </c>
      <c r="B59" s="53" t="s">
        <v>114</v>
      </c>
      <c r="C59" s="219">
        <v>6.4999999999999997E-3</v>
      </c>
      <c r="D59" s="219">
        <v>6.4999999999999997E-3</v>
      </c>
      <c r="E59" s="220">
        <v>5.1000000000000004E-3</v>
      </c>
      <c r="F59" s="220">
        <v>5.1000000000000004E-3</v>
      </c>
    </row>
    <row r="61" spans="1:8" ht="30" x14ac:dyDescent="0.25">
      <c r="A61" s="457" t="s">
        <v>101</v>
      </c>
      <c r="B61" s="459" t="s">
        <v>102</v>
      </c>
      <c r="C61" s="370" t="s">
        <v>133</v>
      </c>
      <c r="D61" s="370" t="s">
        <v>206</v>
      </c>
      <c r="E61" s="370" t="s">
        <v>133</v>
      </c>
      <c r="F61" s="218" t="s">
        <v>206</v>
      </c>
      <c r="G61" s="370" t="s">
        <v>133</v>
      </c>
      <c r="H61" s="218" t="s">
        <v>206</v>
      </c>
    </row>
    <row r="62" spans="1:8" x14ac:dyDescent="0.25">
      <c r="A62" s="458"/>
      <c r="B62" s="460"/>
      <c r="C62" s="455" t="s">
        <v>210</v>
      </c>
      <c r="D62" s="461"/>
      <c r="E62" s="455" t="s">
        <v>211</v>
      </c>
      <c r="F62" s="456"/>
      <c r="G62" s="455" t="s">
        <v>212</v>
      </c>
      <c r="H62" s="456"/>
    </row>
    <row r="63" spans="1:8" x14ac:dyDescent="0.25">
      <c r="A63" s="80">
        <v>1</v>
      </c>
      <c r="B63" s="3" t="s">
        <v>2</v>
      </c>
      <c r="C63" s="221">
        <v>3.5999999999999999E-3</v>
      </c>
      <c r="D63" s="221">
        <v>3.5999999999999999E-3</v>
      </c>
      <c r="E63" s="376">
        <v>1.2999999999999999E-3</v>
      </c>
      <c r="F63" s="376">
        <v>1.2999999999999999E-3</v>
      </c>
      <c r="G63" s="376">
        <v>1.1000000000000001E-3</v>
      </c>
      <c r="H63" s="378">
        <v>1.1000000000000001E-3</v>
      </c>
    </row>
    <row r="64" spans="1:8" x14ac:dyDescent="0.25">
      <c r="A64" s="81">
        <f>A63+1</f>
        <v>2</v>
      </c>
      <c r="B64" s="3" t="s">
        <v>111</v>
      </c>
      <c r="C64" s="221">
        <v>3.5999999999999999E-3</v>
      </c>
      <c r="D64" s="221">
        <v>3.5999999999999999E-3</v>
      </c>
      <c r="E64" s="221">
        <v>1.2999999999999999E-3</v>
      </c>
      <c r="F64" s="221">
        <v>1.2999999999999999E-3</v>
      </c>
      <c r="G64" s="221">
        <v>1.1000000000000001E-3</v>
      </c>
      <c r="H64" s="222">
        <v>1.1000000000000001E-3</v>
      </c>
    </row>
    <row r="65" spans="1:8" x14ac:dyDescent="0.25">
      <c r="A65" s="81">
        <f t="shared" ref="A65:A71" si="3">A64+1</f>
        <v>3</v>
      </c>
      <c r="B65" s="3" t="s">
        <v>112</v>
      </c>
      <c r="C65" s="221">
        <v>3.5999999999999999E-3</v>
      </c>
      <c r="D65" s="221">
        <v>3.5999999999999999E-3</v>
      </c>
      <c r="E65" s="221">
        <v>1.2999999999999999E-3</v>
      </c>
      <c r="F65" s="221">
        <v>1.2999999999999999E-3</v>
      </c>
      <c r="G65" s="221">
        <v>1.1000000000000001E-3</v>
      </c>
      <c r="H65" s="222">
        <v>1.1000000000000001E-3</v>
      </c>
    </row>
    <row r="66" spans="1:8" x14ac:dyDescent="0.25">
      <c r="A66" s="81">
        <f t="shared" si="3"/>
        <v>4</v>
      </c>
      <c r="B66" s="194" t="s">
        <v>113</v>
      </c>
      <c r="C66" s="221">
        <v>3.5999999999999999E-3</v>
      </c>
      <c r="D66" s="221">
        <v>3.5999999999999999E-3</v>
      </c>
      <c r="E66" s="221">
        <v>1.2999999999999999E-3</v>
      </c>
      <c r="F66" s="221">
        <v>1.2999999999999999E-3</v>
      </c>
      <c r="G66" s="221">
        <v>1.1000000000000001E-3</v>
      </c>
      <c r="H66" s="222">
        <v>1.1000000000000001E-3</v>
      </c>
    </row>
    <row r="67" spans="1:8" x14ac:dyDescent="0.25">
      <c r="A67" s="81">
        <f t="shared" si="3"/>
        <v>5</v>
      </c>
      <c r="B67" s="3" t="s">
        <v>207</v>
      </c>
      <c r="C67" s="221">
        <v>3.5999999999999999E-3</v>
      </c>
      <c r="D67" s="221">
        <v>3.5999999999999999E-3</v>
      </c>
      <c r="E67" s="221">
        <v>1.2999999999999999E-3</v>
      </c>
      <c r="F67" s="221">
        <v>1.2999999999999999E-3</v>
      </c>
      <c r="G67" s="221">
        <v>1.1000000000000001E-3</v>
      </c>
      <c r="H67" s="222">
        <v>1.1000000000000001E-3</v>
      </c>
    </row>
    <row r="68" spans="1:8" x14ac:dyDescent="0.25">
      <c r="A68" s="81">
        <f t="shared" si="3"/>
        <v>6</v>
      </c>
      <c r="B68" s="3" t="s">
        <v>5</v>
      </c>
      <c r="C68" s="221">
        <v>3.5999999999999999E-3</v>
      </c>
      <c r="D68" s="221">
        <v>3.5999999999999999E-3</v>
      </c>
      <c r="E68" s="221">
        <v>1.2999999999999999E-3</v>
      </c>
      <c r="F68" s="221">
        <v>1.2999999999999999E-3</v>
      </c>
      <c r="G68" s="221">
        <v>1.1000000000000001E-3</v>
      </c>
      <c r="H68" s="222">
        <v>1.1000000000000001E-3</v>
      </c>
    </row>
    <row r="69" spans="1:8" x14ac:dyDescent="0.25">
      <c r="A69" s="81">
        <f t="shared" si="3"/>
        <v>7</v>
      </c>
      <c r="B69" s="3" t="s">
        <v>7</v>
      </c>
      <c r="C69" s="221">
        <v>3.5999999999999999E-3</v>
      </c>
      <c r="D69" s="221">
        <v>3.5999999999999999E-3</v>
      </c>
      <c r="E69" s="221">
        <v>1.2999999999999999E-3</v>
      </c>
      <c r="F69" s="221">
        <v>1.2999999999999999E-3</v>
      </c>
      <c r="G69" s="221">
        <v>1.1000000000000001E-3</v>
      </c>
      <c r="H69" s="222">
        <v>1.1000000000000001E-3</v>
      </c>
    </row>
    <row r="70" spans="1:8" x14ac:dyDescent="0.25">
      <c r="A70" s="81">
        <f t="shared" si="3"/>
        <v>8</v>
      </c>
      <c r="B70" s="3" t="s">
        <v>8</v>
      </c>
      <c r="C70" s="221">
        <v>3.5999999999999999E-3</v>
      </c>
      <c r="D70" s="221">
        <v>3.5999999999999999E-3</v>
      </c>
      <c r="E70" s="221">
        <v>1.2999999999999999E-3</v>
      </c>
      <c r="F70" s="221">
        <v>1.2999999999999999E-3</v>
      </c>
      <c r="G70" s="221">
        <v>1.1000000000000001E-3</v>
      </c>
      <c r="H70" s="222">
        <v>1.1000000000000001E-3</v>
      </c>
    </row>
    <row r="71" spans="1:8" x14ac:dyDescent="0.25">
      <c r="A71" s="82">
        <f t="shared" si="3"/>
        <v>9</v>
      </c>
      <c r="B71" s="53" t="s">
        <v>114</v>
      </c>
      <c r="C71" s="219">
        <v>3.5999999999999999E-3</v>
      </c>
      <c r="D71" s="219">
        <v>3.5999999999999999E-3</v>
      </c>
      <c r="E71" s="377">
        <v>1.2999999999999999E-3</v>
      </c>
      <c r="F71" s="377">
        <v>1.2999999999999999E-3</v>
      </c>
      <c r="G71" s="377">
        <v>1.1000000000000001E-3</v>
      </c>
      <c r="H71" s="379">
        <v>1.1000000000000001E-3</v>
      </c>
    </row>
    <row r="73" spans="1:8" x14ac:dyDescent="0.25">
      <c r="A73" s="457" t="s">
        <v>101</v>
      </c>
      <c r="B73" s="459" t="s">
        <v>102</v>
      </c>
      <c r="C73" s="370" t="s">
        <v>133</v>
      </c>
      <c r="D73" s="370" t="s">
        <v>206</v>
      </c>
    </row>
    <row r="74" spans="1:8" x14ac:dyDescent="0.25">
      <c r="A74" s="458"/>
      <c r="B74" s="460"/>
      <c r="C74" s="455" t="s">
        <v>213</v>
      </c>
      <c r="D74" s="461"/>
    </row>
    <row r="75" spans="1:8" x14ac:dyDescent="0.25">
      <c r="A75" s="80">
        <v>1</v>
      </c>
      <c r="B75" s="3" t="s">
        <v>2</v>
      </c>
      <c r="C75" s="221">
        <v>0.79</v>
      </c>
      <c r="D75" s="378">
        <v>0.79</v>
      </c>
    </row>
    <row r="76" spans="1:8" x14ac:dyDescent="0.25">
      <c r="A76" s="81">
        <f>A75+1</f>
        <v>2</v>
      </c>
      <c r="B76" s="3" t="s">
        <v>111</v>
      </c>
      <c r="C76" s="221">
        <v>0.79</v>
      </c>
      <c r="D76" s="222">
        <v>0.79</v>
      </c>
    </row>
    <row r="77" spans="1:8" x14ac:dyDescent="0.25">
      <c r="A77" s="81">
        <f t="shared" ref="A77:A83" si="4">A76+1</f>
        <v>3</v>
      </c>
      <c r="B77" s="3" t="s">
        <v>112</v>
      </c>
      <c r="C77" s="221"/>
      <c r="D77" s="222"/>
    </row>
    <row r="78" spans="1:8" x14ac:dyDescent="0.25">
      <c r="A78" s="81">
        <f t="shared" si="4"/>
        <v>4</v>
      </c>
      <c r="B78" s="194" t="s">
        <v>113</v>
      </c>
      <c r="C78" s="221"/>
      <c r="D78" s="222"/>
    </row>
    <row r="79" spans="1:8" x14ac:dyDescent="0.25">
      <c r="A79" s="81">
        <f t="shared" si="4"/>
        <v>5</v>
      </c>
      <c r="B79" s="3" t="s">
        <v>207</v>
      </c>
      <c r="C79" s="221"/>
      <c r="D79" s="222"/>
    </row>
    <row r="80" spans="1:8" x14ac:dyDescent="0.25">
      <c r="A80" s="81">
        <f t="shared" si="4"/>
        <v>6</v>
      </c>
      <c r="B80" s="3" t="s">
        <v>5</v>
      </c>
      <c r="C80" s="221"/>
      <c r="D80" s="222"/>
    </row>
    <row r="81" spans="1:4" x14ac:dyDescent="0.25">
      <c r="A81" s="81">
        <f t="shared" si="4"/>
        <v>7</v>
      </c>
      <c r="B81" s="3" t="s">
        <v>7</v>
      </c>
      <c r="C81" s="221"/>
      <c r="D81" s="222"/>
    </row>
    <row r="82" spans="1:4" x14ac:dyDescent="0.25">
      <c r="A82" s="81">
        <f t="shared" si="4"/>
        <v>8</v>
      </c>
      <c r="B82" s="3" t="s">
        <v>8</v>
      </c>
      <c r="C82" s="221"/>
      <c r="D82" s="222"/>
    </row>
    <row r="83" spans="1:4" x14ac:dyDescent="0.25">
      <c r="A83" s="82">
        <f t="shared" si="4"/>
        <v>9</v>
      </c>
      <c r="B83" s="53" t="s">
        <v>114</v>
      </c>
      <c r="C83" s="219"/>
      <c r="D83" s="220"/>
    </row>
  </sheetData>
  <mergeCells count="12">
    <mergeCell ref="A73:A74"/>
    <mergeCell ref="B73:B74"/>
    <mergeCell ref="C74:D74"/>
    <mergeCell ref="A61:A62"/>
    <mergeCell ref="B61:B62"/>
    <mergeCell ref="C62:D62"/>
    <mergeCell ref="E62:F62"/>
    <mergeCell ref="G62:H62"/>
    <mergeCell ref="A49:A50"/>
    <mergeCell ref="B49:B50"/>
    <mergeCell ref="C50:D50"/>
    <mergeCell ref="E50:F50"/>
  </mergeCells>
  <hyperlinks>
    <hyperlink ref="F13" r:id="rId1"/>
    <hyperlink ref="G13" r:id="rId2"/>
  </hyperlinks>
  <pageMargins left="0.7" right="0.7" top="0.75" bottom="0.75" header="0.3" footer="0.3"/>
  <pageSetup scale="66" orientation="portrait"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P70"/>
  <sheetViews>
    <sheetView workbookViewId="0">
      <pane ySplit="8" topLeftCell="A9" activePane="bottomLeft" state="frozen"/>
      <selection activeCell="A2" sqref="A2"/>
      <selection pane="bottomLeft" activeCell="S39" sqref="S39"/>
    </sheetView>
  </sheetViews>
  <sheetFormatPr defaultRowHeight="15" x14ac:dyDescent="0.25"/>
  <cols>
    <col min="1" max="1" width="6.7109375" customWidth="1"/>
    <col min="2" max="2" width="24.140625" customWidth="1"/>
    <col min="3" max="3" width="6.42578125" customWidth="1"/>
    <col min="4" max="4" width="14.28515625" style="1" bestFit="1" customWidth="1"/>
    <col min="5" max="5" width="10.7109375" customWidth="1"/>
    <col min="6" max="6" width="14.28515625" bestFit="1" customWidth="1"/>
    <col min="7" max="7" width="10.7109375" customWidth="1"/>
    <col min="8" max="8" width="14.7109375" customWidth="1"/>
    <col min="9" max="9" width="14.28515625" bestFit="1" customWidth="1"/>
    <col min="10" max="10" width="10.7109375" customWidth="1"/>
    <col min="11" max="11" width="14.28515625" bestFit="1" customWidth="1"/>
    <col min="12" max="12" width="7.5703125" bestFit="1" customWidth="1"/>
    <col min="13" max="13" width="14.7109375" customWidth="1"/>
  </cols>
  <sheetData>
    <row r="1" spans="1:13" ht="18.75" x14ac:dyDescent="0.3">
      <c r="A1" s="24" t="str">
        <f>Admin!B3</f>
        <v>London Hydro</v>
      </c>
      <c r="H1" s="24"/>
    </row>
    <row r="2" spans="1:13" ht="18.75" x14ac:dyDescent="0.3">
      <c r="A2" s="24" t="str">
        <f>Admin!B5</f>
        <v>EB-2016-0091</v>
      </c>
      <c r="H2" s="24"/>
    </row>
    <row r="3" spans="1:13" ht="18.75" x14ac:dyDescent="0.3">
      <c r="A3" s="24" t="str">
        <f>Admin!B7</f>
        <v>2017 Load Forecast</v>
      </c>
      <c r="H3" s="24"/>
    </row>
    <row r="4" spans="1:13" ht="18.75" x14ac:dyDescent="0.3">
      <c r="A4" s="24"/>
      <c r="H4" s="24"/>
    </row>
    <row r="5" spans="1:13" ht="19.5" thickBot="1" x14ac:dyDescent="0.35">
      <c r="A5" s="26" t="s">
        <v>136</v>
      </c>
      <c r="B5" s="27"/>
      <c r="C5" s="27"/>
      <c r="D5" s="67"/>
      <c r="E5" s="27"/>
      <c r="F5" s="27"/>
      <c r="G5" s="27"/>
      <c r="H5" s="26"/>
      <c r="I5" s="27"/>
      <c r="J5" s="27"/>
      <c r="K5" s="27"/>
      <c r="L5" s="27"/>
      <c r="M5" s="27"/>
    </row>
    <row r="7" spans="1:13" ht="18.75" x14ac:dyDescent="0.3">
      <c r="A7" s="446" t="s">
        <v>101</v>
      </c>
      <c r="B7" s="465" t="s">
        <v>102</v>
      </c>
      <c r="C7" s="467" t="s">
        <v>144</v>
      </c>
      <c r="D7" s="462">
        <v>2016</v>
      </c>
      <c r="E7" s="463"/>
      <c r="F7" s="463"/>
      <c r="G7" s="463"/>
      <c r="H7" s="464"/>
      <c r="I7" s="462">
        <v>2017</v>
      </c>
      <c r="J7" s="463"/>
      <c r="K7" s="463"/>
      <c r="L7" s="463"/>
      <c r="M7" s="464"/>
    </row>
    <row r="8" spans="1:13" ht="30" x14ac:dyDescent="0.25">
      <c r="A8" s="447"/>
      <c r="B8" s="466"/>
      <c r="C8" s="468"/>
      <c r="D8" s="208" t="s">
        <v>145</v>
      </c>
      <c r="E8" s="203" t="s">
        <v>48</v>
      </c>
      <c r="F8" s="202" t="s">
        <v>106</v>
      </c>
      <c r="G8" s="204" t="s">
        <v>107</v>
      </c>
      <c r="H8" s="205" t="s">
        <v>108</v>
      </c>
      <c r="I8" s="211" t="s">
        <v>145</v>
      </c>
      <c r="J8" s="203" t="s">
        <v>48</v>
      </c>
      <c r="K8" s="202" t="s">
        <v>106</v>
      </c>
      <c r="L8" s="204" t="s">
        <v>107</v>
      </c>
      <c r="M8" s="205" t="s">
        <v>108</v>
      </c>
    </row>
    <row r="9" spans="1:13" x14ac:dyDescent="0.25">
      <c r="A9" s="195">
        <v>1</v>
      </c>
      <c r="B9" s="196" t="s">
        <v>109</v>
      </c>
      <c r="C9" s="206"/>
      <c r="D9" s="209"/>
      <c r="E9" s="197"/>
      <c r="F9" s="197"/>
      <c r="G9" s="197"/>
      <c r="H9" s="198"/>
      <c r="I9" s="212"/>
      <c r="J9" s="197"/>
      <c r="K9" s="197"/>
      <c r="L9" s="197"/>
      <c r="M9" s="198"/>
    </row>
    <row r="10" spans="1:13" x14ac:dyDescent="0.25">
      <c r="A10" s="81">
        <f>A9+1</f>
        <v>2</v>
      </c>
      <c r="B10" s="3" t="s">
        <v>2</v>
      </c>
      <c r="C10" s="42" t="s">
        <v>14</v>
      </c>
      <c r="D10" s="44">
        <f>Summary!$D$10</f>
        <v>1099003026.8440735</v>
      </c>
      <c r="E10" s="375">
        <f>'COP Rates'!$C$8</f>
        <v>1.0349999999999999</v>
      </c>
      <c r="F10" s="5">
        <f>D10*E10</f>
        <v>1137468132.7836161</v>
      </c>
      <c r="G10" s="158">
        <f>'COP Rates'!E46</f>
        <v>0.10945317892829776</v>
      </c>
      <c r="H10" s="159">
        <f>F10*G10</f>
        <v>124499503.06280188</v>
      </c>
      <c r="I10" s="44">
        <f>Summary!$G$10</f>
        <v>1069466425.5335112</v>
      </c>
      <c r="J10" s="375">
        <f>'COP Rates'!$D$8</f>
        <v>1.0349999999999999</v>
      </c>
      <c r="K10" s="5">
        <f>I10*J10</f>
        <v>1106897750.4271839</v>
      </c>
      <c r="L10" s="158">
        <f>'COP Rates'!E46</f>
        <v>0.10945317892829776</v>
      </c>
      <c r="M10" s="159">
        <f>K10*L10</f>
        <v>121153477.53283682</v>
      </c>
    </row>
    <row r="11" spans="1:13" x14ac:dyDescent="0.25">
      <c r="A11" s="81">
        <f t="shared" ref="A11:A64" si="0">A10+1</f>
        <v>3</v>
      </c>
      <c r="B11" s="3" t="s">
        <v>111</v>
      </c>
      <c r="C11" s="42" t="s">
        <v>14</v>
      </c>
      <c r="D11" s="44">
        <f>Summary!$D$11</f>
        <v>390919009.81433868</v>
      </c>
      <c r="E11" s="375">
        <f>'COP Rates'!$C$8</f>
        <v>1.0349999999999999</v>
      </c>
      <c r="F11" s="5">
        <f t="shared" ref="F11:F18" si="1">D11*E11</f>
        <v>404601175.15784049</v>
      </c>
      <c r="G11" s="158">
        <f>G10</f>
        <v>0.10945317892829776</v>
      </c>
      <c r="H11" s="159">
        <f t="shared" ref="H11:H18" si="2">F11*G11</f>
        <v>44284884.819150656</v>
      </c>
      <c r="I11" s="44">
        <f>Summary!$G$11</f>
        <v>369565608.88457942</v>
      </c>
      <c r="J11" s="375">
        <f>'COP Rates'!$D$8</f>
        <v>1.0349999999999999</v>
      </c>
      <c r="K11" s="5">
        <f t="shared" ref="K11:K18" si="3">I11*J11</f>
        <v>382500405.19553965</v>
      </c>
      <c r="L11" s="158">
        <f>L10</f>
        <v>0.10945317892829776</v>
      </c>
      <c r="M11" s="159">
        <f t="shared" ref="M11:M18" si="4">K11*L11</f>
        <v>41865885.290013798</v>
      </c>
    </row>
    <row r="12" spans="1:13" x14ac:dyDescent="0.25">
      <c r="A12" s="81">
        <f t="shared" si="0"/>
        <v>4</v>
      </c>
      <c r="B12" s="3" t="s">
        <v>112</v>
      </c>
      <c r="C12" s="42" t="s">
        <v>14</v>
      </c>
      <c r="D12" s="44">
        <f>Summary!$D$12</f>
        <v>1497575960.8273871</v>
      </c>
      <c r="E12" s="375">
        <f>'COP Rates'!$C$8</f>
        <v>1.0349999999999999</v>
      </c>
      <c r="F12" s="5">
        <f t="shared" si="1"/>
        <v>1549991119.4563456</v>
      </c>
      <c r="G12" s="158">
        <f t="shared" ref="G12:G18" si="5">G11</f>
        <v>0.10945317892829776</v>
      </c>
      <c r="H12" s="159">
        <f t="shared" si="2"/>
        <v>169651455.33512792</v>
      </c>
      <c r="I12" s="44">
        <f>Summary!$G$12</f>
        <v>1471000883.0841274</v>
      </c>
      <c r="J12" s="375">
        <f>'COP Rates'!$D$8</f>
        <v>1.0349999999999999</v>
      </c>
      <c r="K12" s="5">
        <f t="shared" si="3"/>
        <v>1522485913.9920719</v>
      </c>
      <c r="L12" s="158">
        <f t="shared" ref="L12:L18" si="6">L11</f>
        <v>0.10945317892829776</v>
      </c>
      <c r="M12" s="159">
        <f t="shared" si="4"/>
        <v>166640923.15998718</v>
      </c>
    </row>
    <row r="13" spans="1:13" x14ac:dyDescent="0.25">
      <c r="A13" s="81">
        <f t="shared" si="0"/>
        <v>5</v>
      </c>
      <c r="B13" s="194" t="s">
        <v>113</v>
      </c>
      <c r="C13" s="42" t="s">
        <v>14</v>
      </c>
      <c r="D13" s="44"/>
      <c r="E13" s="375">
        <f>'COP Rates'!$C$8</f>
        <v>1.0349999999999999</v>
      </c>
      <c r="F13" s="5">
        <f t="shared" si="1"/>
        <v>0</v>
      </c>
      <c r="G13" s="158">
        <f t="shared" si="5"/>
        <v>0.10945317892829776</v>
      </c>
      <c r="H13" s="159">
        <f t="shared" si="2"/>
        <v>0</v>
      </c>
      <c r="I13" s="44"/>
      <c r="J13" s="375">
        <f>'COP Rates'!$D$8</f>
        <v>1.0349999999999999</v>
      </c>
      <c r="K13" s="5">
        <f t="shared" si="3"/>
        <v>0</v>
      </c>
      <c r="L13" s="158">
        <f t="shared" si="6"/>
        <v>0.10945317892829776</v>
      </c>
      <c r="M13" s="159">
        <f t="shared" si="4"/>
        <v>0</v>
      </c>
    </row>
    <row r="14" spans="1:13" x14ac:dyDescent="0.25">
      <c r="A14" s="81">
        <f t="shared" si="0"/>
        <v>6</v>
      </c>
      <c r="B14" s="3" t="s">
        <v>207</v>
      </c>
      <c r="C14" s="42" t="s">
        <v>14</v>
      </c>
      <c r="D14" s="44">
        <f>Summary!D14</f>
        <v>36849913.701493345</v>
      </c>
      <c r="E14" s="375">
        <f>'COP Rates'!C9</f>
        <v>1.0136000000000001</v>
      </c>
      <c r="F14" s="5">
        <f t="shared" si="1"/>
        <v>37351072.527833655</v>
      </c>
      <c r="G14" s="158">
        <f t="shared" si="5"/>
        <v>0.10945317892829776</v>
      </c>
      <c r="H14" s="159">
        <f t="shared" si="2"/>
        <v>4088193.624552804</v>
      </c>
      <c r="I14" s="44">
        <f>Summary!$G$14</f>
        <v>34273200.023803711</v>
      </c>
      <c r="J14" s="375">
        <f>'COP Rates'!$D$9</f>
        <v>1.0136000000000001</v>
      </c>
      <c r="K14" s="5">
        <f t="shared" si="3"/>
        <v>34739315.544127442</v>
      </c>
      <c r="L14" s="158">
        <f t="shared" si="6"/>
        <v>0.10945317892829776</v>
      </c>
      <c r="M14" s="159">
        <f t="shared" si="4"/>
        <v>3802328.5200979766</v>
      </c>
    </row>
    <row r="15" spans="1:13" x14ac:dyDescent="0.25">
      <c r="A15" s="81">
        <f t="shared" si="0"/>
        <v>7</v>
      </c>
      <c r="B15" s="3" t="s">
        <v>5</v>
      </c>
      <c r="C15" s="42" t="s">
        <v>14</v>
      </c>
      <c r="D15" s="44">
        <f>Summary!D16</f>
        <v>104051002.86551414</v>
      </c>
      <c r="E15" s="375">
        <f>'COP Rates'!$C$9</f>
        <v>1.0136000000000001</v>
      </c>
      <c r="F15" s="5">
        <f t="shared" si="1"/>
        <v>105466096.50448515</v>
      </c>
      <c r="G15" s="158">
        <f t="shared" si="5"/>
        <v>0.10945317892829776</v>
      </c>
      <c r="H15" s="159">
        <f t="shared" si="2"/>
        <v>11543599.531574531</v>
      </c>
      <c r="I15" s="44">
        <f>Summary!$G$16</f>
        <v>88987424.723693669</v>
      </c>
      <c r="J15" s="375">
        <f>'COP Rates'!$D$9</f>
        <v>1.0136000000000001</v>
      </c>
      <c r="K15" s="5">
        <f t="shared" si="3"/>
        <v>90197653.699935913</v>
      </c>
      <c r="L15" s="158">
        <f t="shared" si="6"/>
        <v>0.10945317892829776</v>
      </c>
      <c r="M15" s="159">
        <f t="shared" si="4"/>
        <v>9872419.9293317236</v>
      </c>
    </row>
    <row r="16" spans="1:13" x14ac:dyDescent="0.25">
      <c r="A16" s="81">
        <f t="shared" si="0"/>
        <v>8</v>
      </c>
      <c r="B16" s="3" t="s">
        <v>7</v>
      </c>
      <c r="C16" s="42" t="s">
        <v>14</v>
      </c>
      <c r="D16" s="44">
        <f>Summary!D17</f>
        <v>22126976</v>
      </c>
      <c r="E16" s="375">
        <f>'COP Rates'!$C$8</f>
        <v>1.0349999999999999</v>
      </c>
      <c r="F16" s="5">
        <f t="shared" si="1"/>
        <v>22901420.159999996</v>
      </c>
      <c r="G16" s="158">
        <f t="shared" si="5"/>
        <v>0.10945317892829776</v>
      </c>
      <c r="H16" s="159">
        <f t="shared" si="2"/>
        <v>2506633.2384846052</v>
      </c>
      <c r="I16" s="44">
        <f>Summary!$G$17</f>
        <v>19597552</v>
      </c>
      <c r="J16" s="375">
        <f>'COP Rates'!$D$8</f>
        <v>1.0349999999999999</v>
      </c>
      <c r="K16" s="5">
        <f t="shared" si="3"/>
        <v>20283466.319999997</v>
      </c>
      <c r="L16" s="158">
        <f t="shared" si="6"/>
        <v>0.10945317892829776</v>
      </c>
      <c r="M16" s="159">
        <f t="shared" si="4"/>
        <v>2220089.8684090609</v>
      </c>
    </row>
    <row r="17" spans="1:16" x14ac:dyDescent="0.25">
      <c r="A17" s="81">
        <f t="shared" si="0"/>
        <v>9</v>
      </c>
      <c r="B17" s="3" t="s">
        <v>8</v>
      </c>
      <c r="C17" s="42" t="s">
        <v>14</v>
      </c>
      <c r="D17" s="44">
        <f>Summary!D18</f>
        <v>714581</v>
      </c>
      <c r="E17" s="375">
        <f>'COP Rates'!$C$8</f>
        <v>1.0349999999999999</v>
      </c>
      <c r="F17" s="5">
        <f t="shared" si="1"/>
        <v>739591.33499999996</v>
      </c>
      <c r="G17" s="158">
        <f t="shared" si="5"/>
        <v>0.10945317892829776</v>
      </c>
      <c r="H17" s="159">
        <f t="shared" si="2"/>
        <v>80950.622723573601</v>
      </c>
      <c r="I17" s="44">
        <f>Summary!$G$18</f>
        <v>696900</v>
      </c>
      <c r="J17" s="375">
        <f>'COP Rates'!$D$8</f>
        <v>1.0349999999999999</v>
      </c>
      <c r="K17" s="5">
        <f t="shared" si="3"/>
        <v>721291.5</v>
      </c>
      <c r="L17" s="158">
        <f t="shared" si="6"/>
        <v>0.10945317892829776</v>
      </c>
      <c r="M17" s="159">
        <f t="shared" si="4"/>
        <v>78947.64760896028</v>
      </c>
    </row>
    <row r="18" spans="1:16" x14ac:dyDescent="0.25">
      <c r="A18" s="81">
        <f t="shared" si="0"/>
        <v>10</v>
      </c>
      <c r="B18" s="3" t="s">
        <v>114</v>
      </c>
      <c r="C18" s="42" t="s">
        <v>14</v>
      </c>
      <c r="D18" s="44">
        <f>Summary!D19</f>
        <v>5452785</v>
      </c>
      <c r="E18" s="375">
        <f>'COP Rates'!$C$8</f>
        <v>1.0349999999999999</v>
      </c>
      <c r="F18" s="5">
        <f t="shared" si="1"/>
        <v>5643632.4749999996</v>
      </c>
      <c r="G18" s="158">
        <f t="shared" si="5"/>
        <v>0.10945317892829776</v>
      </c>
      <c r="H18" s="159">
        <f t="shared" si="2"/>
        <v>617713.51509172691</v>
      </c>
      <c r="I18" s="44">
        <f>Summary!$G$19</f>
        <v>5414248</v>
      </c>
      <c r="J18" s="375">
        <f>'COP Rates'!$D$8</f>
        <v>1.0349999999999999</v>
      </c>
      <c r="K18" s="5">
        <f t="shared" si="3"/>
        <v>5603746.6799999997</v>
      </c>
      <c r="L18" s="158">
        <f t="shared" si="6"/>
        <v>0.10945317892829776</v>
      </c>
      <c r="M18" s="159">
        <f t="shared" si="4"/>
        <v>613347.88803489448</v>
      </c>
    </row>
    <row r="19" spans="1:16" x14ac:dyDescent="0.25">
      <c r="A19" s="200">
        <f t="shared" si="0"/>
        <v>11</v>
      </c>
      <c r="B19" s="171" t="s">
        <v>9</v>
      </c>
      <c r="C19" s="207"/>
      <c r="D19" s="210">
        <f>SUM(D10:D18)</f>
        <v>3156693256.0528069</v>
      </c>
      <c r="E19" s="171"/>
      <c r="F19" s="59"/>
      <c r="G19" s="171"/>
      <c r="H19" s="201">
        <f>SUM(H10:H18)</f>
        <v>357272933.74950773</v>
      </c>
      <c r="I19" s="392">
        <f>SUM(I10:I18)</f>
        <v>3059002242.2497158</v>
      </c>
      <c r="J19" s="171"/>
      <c r="K19" s="171"/>
      <c r="L19" s="171"/>
      <c r="M19" s="201">
        <f>SUM(M10:M18)</f>
        <v>346247419.83632034</v>
      </c>
    </row>
    <row r="20" spans="1:16" x14ac:dyDescent="0.25">
      <c r="A20" s="195">
        <f t="shared" si="0"/>
        <v>12</v>
      </c>
      <c r="B20" s="196" t="s">
        <v>110</v>
      </c>
      <c r="C20" s="206"/>
      <c r="D20" s="209"/>
      <c r="E20" s="197"/>
      <c r="F20" s="197"/>
      <c r="G20" s="197"/>
      <c r="H20" s="198"/>
      <c r="I20" s="212"/>
      <c r="J20" s="197"/>
      <c r="K20" s="197"/>
      <c r="L20" s="197"/>
      <c r="M20" s="198"/>
    </row>
    <row r="21" spans="1:16" x14ac:dyDescent="0.25">
      <c r="A21" s="81">
        <f t="shared" si="0"/>
        <v>13</v>
      </c>
      <c r="B21" s="3" t="s">
        <v>2</v>
      </c>
      <c r="C21" s="42" t="s">
        <v>14</v>
      </c>
      <c r="D21" s="44">
        <f>Summary!$D$10</f>
        <v>1099003026.8440735</v>
      </c>
      <c r="E21" s="375">
        <f>E10</f>
        <v>1.0349999999999999</v>
      </c>
      <c r="F21" s="5">
        <f>D21*E21</f>
        <v>1137468132.7836161</v>
      </c>
      <c r="G21" s="158">
        <f>'COP Rates'!C63+'COP Rates'!E63</f>
        <v>4.8999999999999998E-3</v>
      </c>
      <c r="H21" s="159">
        <f>F21*G21</f>
        <v>5573593.8506397186</v>
      </c>
      <c r="I21" s="44">
        <f>Summary!$G$10</f>
        <v>1069466425.5335112</v>
      </c>
      <c r="J21" s="375">
        <f>J10</f>
        <v>1.0349999999999999</v>
      </c>
      <c r="K21" s="5">
        <f>I21*J21</f>
        <v>1106897750.4271839</v>
      </c>
      <c r="L21" s="158">
        <f>'COP Rates'!D63+'COP Rates'!F63</f>
        <v>4.8999999999999998E-3</v>
      </c>
      <c r="M21" s="159">
        <f>K21*L21</f>
        <v>5423798.9770932011</v>
      </c>
      <c r="N21" s="1"/>
      <c r="P21" s="158"/>
    </row>
    <row r="22" spans="1:16" x14ac:dyDescent="0.25">
      <c r="A22" s="81">
        <f t="shared" si="0"/>
        <v>14</v>
      </c>
      <c r="B22" s="3" t="s">
        <v>111</v>
      </c>
      <c r="C22" s="42" t="s">
        <v>14</v>
      </c>
      <c r="D22" s="44">
        <f>Summary!$D$11</f>
        <v>390919009.81433868</v>
      </c>
      <c r="E22" s="375">
        <f t="shared" ref="E22:E29" si="7">E11</f>
        <v>1.0349999999999999</v>
      </c>
      <c r="F22" s="5">
        <f t="shared" ref="F22:F29" si="8">D22*E22</f>
        <v>404601175.15784049</v>
      </c>
      <c r="G22" s="158">
        <f>'COP Rates'!C64+'COP Rates'!E64</f>
        <v>4.8999999999999998E-3</v>
      </c>
      <c r="H22" s="159">
        <f t="shared" ref="H22:H29" si="9">F22*G22</f>
        <v>1982545.7582734183</v>
      </c>
      <c r="I22" s="44">
        <f>Summary!$G$11</f>
        <v>369565608.88457942</v>
      </c>
      <c r="J22" s="375">
        <f t="shared" ref="J22:J29" si="10">J11</f>
        <v>1.0349999999999999</v>
      </c>
      <c r="K22" s="5">
        <f t="shared" ref="K22:K29" si="11">I22*J22</f>
        <v>382500405.19553965</v>
      </c>
      <c r="L22" s="158">
        <f>'COP Rates'!D64+'COP Rates'!F64</f>
        <v>4.8999999999999998E-3</v>
      </c>
      <c r="M22" s="159">
        <f t="shared" ref="M22:M29" si="12">K22*L22</f>
        <v>1874251.9854581442</v>
      </c>
      <c r="N22" s="1"/>
    </row>
    <row r="23" spans="1:16" x14ac:dyDescent="0.25">
      <c r="A23" s="81">
        <f t="shared" si="0"/>
        <v>15</v>
      </c>
      <c r="B23" s="3" t="s">
        <v>112</v>
      </c>
      <c r="C23" s="42" t="s">
        <v>14</v>
      </c>
      <c r="D23" s="44">
        <f>Summary!$D$12</f>
        <v>1497575960.8273871</v>
      </c>
      <c r="E23" s="375">
        <f t="shared" si="7"/>
        <v>1.0349999999999999</v>
      </c>
      <c r="F23" s="5">
        <f t="shared" si="8"/>
        <v>1549991119.4563456</v>
      </c>
      <c r="G23" s="158">
        <f>'COP Rates'!C65+'COP Rates'!E65</f>
        <v>4.8999999999999998E-3</v>
      </c>
      <c r="H23" s="159">
        <f t="shared" si="9"/>
        <v>7594956.4853360932</v>
      </c>
      <c r="I23" s="44">
        <f>Summary!$G$12</f>
        <v>1471000883.0841274</v>
      </c>
      <c r="J23" s="375">
        <f t="shared" si="10"/>
        <v>1.0349999999999999</v>
      </c>
      <c r="K23" s="5">
        <f t="shared" si="11"/>
        <v>1522485913.9920719</v>
      </c>
      <c r="L23" s="158">
        <f>'COP Rates'!D65+'COP Rates'!F65</f>
        <v>4.8999999999999998E-3</v>
      </c>
      <c r="M23" s="159">
        <f t="shared" si="12"/>
        <v>7460180.9785611518</v>
      </c>
      <c r="N23" s="1"/>
    </row>
    <row r="24" spans="1:16" x14ac:dyDescent="0.25">
      <c r="A24" s="81">
        <f t="shared" si="0"/>
        <v>16</v>
      </c>
      <c r="B24" s="194" t="s">
        <v>113</v>
      </c>
      <c r="C24" s="42" t="s">
        <v>14</v>
      </c>
      <c r="D24" s="44"/>
      <c r="E24" s="375">
        <f t="shared" si="7"/>
        <v>1.0349999999999999</v>
      </c>
      <c r="F24" s="5">
        <f t="shared" ref="F24" si="13">D24*E24</f>
        <v>0</v>
      </c>
      <c r="G24" s="158">
        <f>'COP Rates'!C66+'COP Rates'!E66</f>
        <v>4.8999999999999998E-3</v>
      </c>
      <c r="H24" s="159">
        <f t="shared" ref="H24" si="14">F24*G24</f>
        <v>0</v>
      </c>
      <c r="I24" s="44"/>
      <c r="J24" s="375">
        <f t="shared" si="10"/>
        <v>1.0349999999999999</v>
      </c>
      <c r="K24" s="5">
        <f t="shared" ref="K24" si="15">I24*J24</f>
        <v>0</v>
      </c>
      <c r="L24" s="158">
        <f>'COP Rates'!D66+'COP Rates'!F66</f>
        <v>4.8999999999999998E-3</v>
      </c>
      <c r="M24" s="159">
        <f t="shared" ref="M24" si="16">K24*L24</f>
        <v>0</v>
      </c>
      <c r="N24" s="1"/>
    </row>
    <row r="25" spans="1:16" x14ac:dyDescent="0.25">
      <c r="A25" s="81">
        <f t="shared" si="0"/>
        <v>17</v>
      </c>
      <c r="B25" s="3" t="s">
        <v>207</v>
      </c>
      <c r="C25" s="42" t="s">
        <v>14</v>
      </c>
      <c r="D25" s="44">
        <f>Summary!$D$14</f>
        <v>36849913.701493345</v>
      </c>
      <c r="E25" s="375">
        <f t="shared" si="7"/>
        <v>1.0136000000000001</v>
      </c>
      <c r="F25" s="5">
        <f t="shared" si="8"/>
        <v>37351072.527833655</v>
      </c>
      <c r="G25" s="158">
        <f>'COP Rates'!C67+'COP Rates'!E67</f>
        <v>4.8999999999999998E-3</v>
      </c>
      <c r="H25" s="159">
        <f t="shared" si="9"/>
        <v>183020.2553863849</v>
      </c>
      <c r="I25" s="44">
        <f>I14</f>
        <v>34273200.023803711</v>
      </c>
      <c r="J25" s="375">
        <f t="shared" si="10"/>
        <v>1.0136000000000001</v>
      </c>
      <c r="K25" s="5">
        <f t="shared" si="11"/>
        <v>34739315.544127442</v>
      </c>
      <c r="L25" s="158">
        <f>'COP Rates'!D67+'COP Rates'!F67</f>
        <v>4.8999999999999998E-3</v>
      </c>
      <c r="M25" s="159">
        <f t="shared" si="12"/>
        <v>170222.64616622447</v>
      </c>
      <c r="N25" s="1"/>
    </row>
    <row r="26" spans="1:16" x14ac:dyDescent="0.25">
      <c r="A26" s="81">
        <f t="shared" si="0"/>
        <v>18</v>
      </c>
      <c r="B26" s="3" t="s">
        <v>5</v>
      </c>
      <c r="C26" s="42" t="s">
        <v>14</v>
      </c>
      <c r="D26" s="44">
        <f>Summary!$D$16</f>
        <v>104051002.86551414</v>
      </c>
      <c r="E26" s="375">
        <f t="shared" si="7"/>
        <v>1.0136000000000001</v>
      </c>
      <c r="F26" s="5">
        <f t="shared" si="8"/>
        <v>105466096.50448515</v>
      </c>
      <c r="G26" s="158">
        <f>'COP Rates'!C68+'COP Rates'!E68</f>
        <v>4.8999999999999998E-3</v>
      </c>
      <c r="H26" s="159">
        <f t="shared" si="9"/>
        <v>516783.87287197722</v>
      </c>
      <c r="I26" s="44">
        <f>I15</f>
        <v>88987424.723693669</v>
      </c>
      <c r="J26" s="375">
        <f t="shared" si="10"/>
        <v>1.0136000000000001</v>
      </c>
      <c r="K26" s="5">
        <f t="shared" si="11"/>
        <v>90197653.699935913</v>
      </c>
      <c r="L26" s="158">
        <f>'COP Rates'!D68+'COP Rates'!F68</f>
        <v>4.8999999999999998E-3</v>
      </c>
      <c r="M26" s="159">
        <f t="shared" si="12"/>
        <v>441968.50312968594</v>
      </c>
      <c r="N26" s="1"/>
    </row>
    <row r="27" spans="1:16" x14ac:dyDescent="0.25">
      <c r="A27" s="81">
        <f t="shared" si="0"/>
        <v>19</v>
      </c>
      <c r="B27" s="3" t="s">
        <v>7</v>
      </c>
      <c r="C27" s="42" t="s">
        <v>14</v>
      </c>
      <c r="D27" s="44">
        <f>Summary!$D$17</f>
        <v>22126976</v>
      </c>
      <c r="E27" s="375">
        <f t="shared" si="7"/>
        <v>1.0349999999999999</v>
      </c>
      <c r="F27" s="5">
        <f t="shared" si="8"/>
        <v>22901420.159999996</v>
      </c>
      <c r="G27" s="158">
        <f>'COP Rates'!C69+'COP Rates'!E69</f>
        <v>4.8999999999999998E-3</v>
      </c>
      <c r="H27" s="159">
        <f t="shared" si="9"/>
        <v>112216.95878399997</v>
      </c>
      <c r="I27" s="44">
        <f>Summary!$G$17</f>
        <v>19597552</v>
      </c>
      <c r="J27" s="375">
        <f t="shared" si="10"/>
        <v>1.0349999999999999</v>
      </c>
      <c r="K27" s="5">
        <f t="shared" si="11"/>
        <v>20283466.319999997</v>
      </c>
      <c r="L27" s="158">
        <f>'COP Rates'!D69+'COP Rates'!F69</f>
        <v>4.8999999999999998E-3</v>
      </c>
      <c r="M27" s="159">
        <f t="shared" si="12"/>
        <v>99388.984967999975</v>
      </c>
      <c r="N27" s="1"/>
    </row>
    <row r="28" spans="1:16" x14ac:dyDescent="0.25">
      <c r="A28" s="81">
        <f t="shared" si="0"/>
        <v>20</v>
      </c>
      <c r="B28" s="3" t="s">
        <v>8</v>
      </c>
      <c r="C28" s="42" t="s">
        <v>14</v>
      </c>
      <c r="D28" s="44">
        <f>Summary!$D$18</f>
        <v>714581</v>
      </c>
      <c r="E28" s="375">
        <f t="shared" si="7"/>
        <v>1.0349999999999999</v>
      </c>
      <c r="F28" s="5">
        <f t="shared" si="8"/>
        <v>739591.33499999996</v>
      </c>
      <c r="G28" s="158">
        <f>'COP Rates'!C70+'COP Rates'!E70</f>
        <v>4.8999999999999998E-3</v>
      </c>
      <c r="H28" s="159">
        <f t="shared" si="9"/>
        <v>3623.9975414999999</v>
      </c>
      <c r="I28" s="44">
        <f>Summary!$G$18</f>
        <v>696900</v>
      </c>
      <c r="J28" s="375">
        <f t="shared" si="10"/>
        <v>1.0349999999999999</v>
      </c>
      <c r="K28" s="5">
        <f t="shared" si="11"/>
        <v>721291.5</v>
      </c>
      <c r="L28" s="158">
        <f>'COP Rates'!D70+'COP Rates'!F70</f>
        <v>4.8999999999999998E-3</v>
      </c>
      <c r="M28" s="159">
        <f t="shared" si="12"/>
        <v>3534.3283499999998</v>
      </c>
      <c r="N28" s="1"/>
    </row>
    <row r="29" spans="1:16" x14ac:dyDescent="0.25">
      <c r="A29" s="81">
        <f t="shared" si="0"/>
        <v>21</v>
      </c>
      <c r="B29" s="3" t="s">
        <v>114</v>
      </c>
      <c r="C29" s="42" t="s">
        <v>14</v>
      </c>
      <c r="D29" s="44">
        <f>Summary!$D$19</f>
        <v>5452785</v>
      </c>
      <c r="E29" s="375">
        <f t="shared" si="7"/>
        <v>1.0349999999999999</v>
      </c>
      <c r="F29" s="5">
        <f t="shared" si="8"/>
        <v>5643632.4749999996</v>
      </c>
      <c r="G29" s="158">
        <f>'COP Rates'!C71+'COP Rates'!E71</f>
        <v>4.8999999999999998E-3</v>
      </c>
      <c r="H29" s="159">
        <f t="shared" si="9"/>
        <v>27653.799127499999</v>
      </c>
      <c r="I29" s="44">
        <f>Summary!$G$19</f>
        <v>5414248</v>
      </c>
      <c r="J29" s="375">
        <f t="shared" si="10"/>
        <v>1.0349999999999999</v>
      </c>
      <c r="K29" s="5">
        <f t="shared" si="11"/>
        <v>5603746.6799999997</v>
      </c>
      <c r="L29" s="158">
        <f>'COP Rates'!D71+'COP Rates'!F71</f>
        <v>4.8999999999999998E-3</v>
      </c>
      <c r="M29" s="159">
        <f t="shared" si="12"/>
        <v>27458.358731999997</v>
      </c>
      <c r="N29" s="1"/>
    </row>
    <row r="30" spans="1:16" x14ac:dyDescent="0.25">
      <c r="A30" s="200">
        <f t="shared" si="0"/>
        <v>22</v>
      </c>
      <c r="B30" s="171" t="s">
        <v>9</v>
      </c>
      <c r="C30" s="207"/>
      <c r="D30" s="210">
        <f>SUM(D21:D29)</f>
        <v>3156693256.0528069</v>
      </c>
      <c r="E30" s="171"/>
      <c r="F30" s="171"/>
      <c r="G30" s="171"/>
      <c r="H30" s="201">
        <f>SUM(H21:H29)</f>
        <v>15994394.97796059</v>
      </c>
      <c r="I30" s="392">
        <f>SUM(I21:I29)</f>
        <v>3059002242.2497158</v>
      </c>
      <c r="J30" s="171"/>
      <c r="K30" s="171"/>
      <c r="L30" s="171"/>
      <c r="M30" s="201">
        <f>SUM(M21:M29)</f>
        <v>15500804.762458405</v>
      </c>
    </row>
    <row r="31" spans="1:16" x14ac:dyDescent="0.25">
      <c r="A31" s="195">
        <f t="shared" si="0"/>
        <v>23</v>
      </c>
      <c r="B31" s="196" t="s">
        <v>115</v>
      </c>
      <c r="C31" s="206"/>
      <c r="D31" s="209"/>
      <c r="E31" s="197"/>
      <c r="F31" s="197"/>
      <c r="G31" s="197"/>
      <c r="H31" s="198"/>
      <c r="I31" s="212"/>
      <c r="J31" s="197"/>
      <c r="K31" s="197"/>
      <c r="L31" s="197"/>
      <c r="M31" s="198"/>
    </row>
    <row r="32" spans="1:16" x14ac:dyDescent="0.25">
      <c r="A32" s="81">
        <f t="shared" si="0"/>
        <v>24</v>
      </c>
      <c r="B32" s="3" t="s">
        <v>2</v>
      </c>
      <c r="C32" s="42" t="s">
        <v>116</v>
      </c>
      <c r="D32" s="44">
        <f>Summary!C10</f>
        <v>140655</v>
      </c>
      <c r="E32" s="3"/>
      <c r="F32" s="5">
        <f>D32</f>
        <v>140655</v>
      </c>
      <c r="G32" s="158">
        <f>'COP Rates'!C75</f>
        <v>0.79</v>
      </c>
      <c r="H32" s="159">
        <f>F32*G32*12</f>
        <v>1333409.4000000001</v>
      </c>
      <c r="I32" s="44">
        <f>Summary!F10</f>
        <v>141991</v>
      </c>
      <c r="J32" s="3"/>
      <c r="K32" s="5">
        <f>I32</f>
        <v>141991</v>
      </c>
      <c r="L32" s="158">
        <f>'COP Rates'!D75</f>
        <v>0.79</v>
      </c>
      <c r="M32" s="159">
        <f>K32*L32*12</f>
        <v>1346074.68</v>
      </c>
    </row>
    <row r="33" spans="1:13" x14ac:dyDescent="0.25">
      <c r="A33" s="81">
        <f t="shared" si="0"/>
        <v>25</v>
      </c>
      <c r="B33" s="3" t="s">
        <v>111</v>
      </c>
      <c r="C33" s="42" t="s">
        <v>116</v>
      </c>
      <c r="D33" s="44">
        <f>Summary!C11</f>
        <v>12563</v>
      </c>
      <c r="E33" s="3"/>
      <c r="F33" s="5">
        <f>D33</f>
        <v>12563</v>
      </c>
      <c r="G33" s="158">
        <f>'COP Rates'!C76</f>
        <v>0.79</v>
      </c>
      <c r="H33" s="159">
        <f>F33*G33*12</f>
        <v>119097.24</v>
      </c>
      <c r="I33" s="44">
        <f>Summary!F11</f>
        <v>12703</v>
      </c>
      <c r="J33" s="3"/>
      <c r="K33" s="5">
        <f>I33</f>
        <v>12703</v>
      </c>
      <c r="L33" s="158">
        <f>'COP Rates'!D76</f>
        <v>0.79</v>
      </c>
      <c r="M33" s="159">
        <f>K33*L33*12</f>
        <v>120424.44</v>
      </c>
    </row>
    <row r="34" spans="1:13" x14ac:dyDescent="0.25">
      <c r="A34" s="81">
        <f t="shared" si="0"/>
        <v>26</v>
      </c>
      <c r="B34" s="3" t="s">
        <v>112</v>
      </c>
      <c r="C34" s="42"/>
      <c r="D34" s="44"/>
      <c r="E34" s="3"/>
      <c r="F34" s="5"/>
      <c r="G34" s="158"/>
      <c r="H34" s="159"/>
      <c r="I34" s="44"/>
      <c r="J34" s="3"/>
      <c r="K34" s="5"/>
      <c r="L34" s="158"/>
      <c r="M34" s="159"/>
    </row>
    <row r="35" spans="1:13" x14ac:dyDescent="0.25">
      <c r="A35" s="81">
        <f t="shared" si="0"/>
        <v>27</v>
      </c>
      <c r="B35" s="194" t="s">
        <v>113</v>
      </c>
      <c r="C35" s="42"/>
      <c r="D35" s="44"/>
      <c r="E35" s="3"/>
      <c r="F35" s="5"/>
      <c r="G35" s="158"/>
      <c r="H35" s="159"/>
      <c r="I35" s="44"/>
      <c r="J35" s="3"/>
      <c r="K35" s="5"/>
      <c r="L35" s="158"/>
      <c r="M35" s="159"/>
    </row>
    <row r="36" spans="1:13" x14ac:dyDescent="0.25">
      <c r="A36" s="81">
        <f t="shared" si="0"/>
        <v>28</v>
      </c>
      <c r="B36" s="3" t="s">
        <v>207</v>
      </c>
      <c r="C36" s="42"/>
      <c r="D36" s="44"/>
      <c r="E36" s="3"/>
      <c r="F36" s="5"/>
      <c r="G36" s="158"/>
      <c r="H36" s="159"/>
      <c r="I36" s="44"/>
      <c r="J36" s="3"/>
      <c r="K36" s="5"/>
      <c r="L36" s="158"/>
      <c r="M36" s="159"/>
    </row>
    <row r="37" spans="1:13" x14ac:dyDescent="0.25">
      <c r="A37" s="81">
        <f t="shared" si="0"/>
        <v>29</v>
      </c>
      <c r="B37" s="3" t="s">
        <v>5</v>
      </c>
      <c r="C37" s="42"/>
      <c r="D37" s="44"/>
      <c r="E37" s="3"/>
      <c r="F37" s="5"/>
      <c r="G37" s="158"/>
      <c r="H37" s="159"/>
      <c r="I37" s="44"/>
      <c r="J37" s="3"/>
      <c r="K37" s="5"/>
      <c r="L37" s="158"/>
      <c r="M37" s="159"/>
    </row>
    <row r="38" spans="1:13" x14ac:dyDescent="0.25">
      <c r="A38" s="81">
        <f t="shared" si="0"/>
        <v>30</v>
      </c>
      <c r="B38" s="3" t="s">
        <v>7</v>
      </c>
      <c r="C38" s="42"/>
      <c r="D38" s="44"/>
      <c r="E38" s="3"/>
      <c r="F38" s="5"/>
      <c r="G38" s="158"/>
      <c r="H38" s="159"/>
      <c r="I38" s="44"/>
      <c r="J38" s="3"/>
      <c r="K38" s="5"/>
      <c r="L38" s="158"/>
      <c r="M38" s="159"/>
    </row>
    <row r="39" spans="1:13" x14ac:dyDescent="0.25">
      <c r="A39" s="81">
        <f t="shared" si="0"/>
        <v>31</v>
      </c>
      <c r="B39" s="46" t="s">
        <v>8</v>
      </c>
      <c r="C39" s="42"/>
      <c r="D39" s="44"/>
      <c r="E39" s="3"/>
      <c r="F39" s="5"/>
      <c r="G39" s="158"/>
      <c r="H39" s="159"/>
      <c r="I39" s="44"/>
      <c r="J39" s="3"/>
      <c r="K39" s="5"/>
      <c r="L39" s="158"/>
      <c r="M39" s="159"/>
    </row>
    <row r="40" spans="1:13" x14ac:dyDescent="0.25">
      <c r="A40" s="81">
        <f t="shared" si="0"/>
        <v>32</v>
      </c>
      <c r="B40" s="12" t="s">
        <v>114</v>
      </c>
      <c r="C40" s="380"/>
      <c r="H40" s="381"/>
      <c r="M40" s="381"/>
    </row>
    <row r="41" spans="1:13" x14ac:dyDescent="0.25">
      <c r="A41" s="200">
        <f t="shared" si="0"/>
        <v>33</v>
      </c>
      <c r="B41" s="171" t="s">
        <v>9</v>
      </c>
      <c r="C41" s="207"/>
      <c r="D41" s="210"/>
      <c r="E41" s="171"/>
      <c r="F41" s="171"/>
      <c r="G41" s="171"/>
      <c r="H41" s="201">
        <f>SUM(H32:H39)</f>
        <v>1452506.6400000001</v>
      </c>
      <c r="I41" s="93"/>
      <c r="J41" s="171"/>
      <c r="K41" s="171"/>
      <c r="L41" s="171"/>
      <c r="M41" s="201">
        <f>SUM(M32:M39)</f>
        <v>1466499.1199999999</v>
      </c>
    </row>
    <row r="42" spans="1:13" x14ac:dyDescent="0.25">
      <c r="A42" s="195">
        <f>A41+1</f>
        <v>34</v>
      </c>
      <c r="B42" s="196" t="s">
        <v>117</v>
      </c>
      <c r="C42" s="206"/>
      <c r="D42" s="209"/>
      <c r="E42" s="197"/>
      <c r="F42" s="197"/>
      <c r="G42" s="197"/>
      <c r="H42" s="198"/>
      <c r="I42" s="212"/>
      <c r="J42" s="197"/>
      <c r="K42" s="197"/>
      <c r="L42" s="197"/>
      <c r="M42" s="198"/>
    </row>
    <row r="43" spans="1:13" x14ac:dyDescent="0.25">
      <c r="A43" s="81">
        <f t="shared" si="0"/>
        <v>35</v>
      </c>
      <c r="B43" s="3" t="s">
        <v>2</v>
      </c>
      <c r="C43" s="42" t="s">
        <v>14</v>
      </c>
      <c r="D43" s="44">
        <f>Summary!D10</f>
        <v>1099003026.8440735</v>
      </c>
      <c r="E43" s="375">
        <f>'COP Rates'!D8</f>
        <v>1.0349999999999999</v>
      </c>
      <c r="F43" s="5">
        <f t="shared" ref="F43" si="17">IF(C43="kwh",D43*E43,D43)</f>
        <v>1137468132.7836161</v>
      </c>
      <c r="G43" s="158">
        <f>'COP Rates'!C51</f>
        <v>6.8999999999999999E-3</v>
      </c>
      <c r="H43" s="159">
        <f>F43*G43</f>
        <v>7848530.1162069505</v>
      </c>
      <c r="I43" s="44">
        <f>Summary!G10</f>
        <v>1069466425.5335112</v>
      </c>
      <c r="J43" s="3">
        <f>'COP Rates'!D8</f>
        <v>1.0349999999999999</v>
      </c>
      <c r="K43" s="5">
        <f t="shared" ref="K43:K51" si="18">IF(C43="kwh",I43*J43,I43)</f>
        <v>1106897750.4271839</v>
      </c>
      <c r="L43" s="158">
        <f>'COP Rates'!D51</f>
        <v>6.8999999999999999E-3</v>
      </c>
      <c r="M43" s="159">
        <f>K43*L43</f>
        <v>7637594.4779475685</v>
      </c>
    </row>
    <row r="44" spans="1:13" x14ac:dyDescent="0.25">
      <c r="A44" s="81">
        <f t="shared" si="0"/>
        <v>36</v>
      </c>
      <c r="B44" s="3" t="s">
        <v>111</v>
      </c>
      <c r="C44" s="42" t="s">
        <v>14</v>
      </c>
      <c r="D44" s="44">
        <f>Summary!D11</f>
        <v>390919009.81433868</v>
      </c>
      <c r="E44" s="375">
        <f>E43</f>
        <v>1.0349999999999999</v>
      </c>
      <c r="F44" s="5">
        <f t="shared" ref="F44:F51" si="19">IF(C44="kwh",D44*E44,D44)</f>
        <v>404601175.15784049</v>
      </c>
      <c r="G44" s="158">
        <f>'COP Rates'!C52</f>
        <v>6.4999999999999997E-3</v>
      </c>
      <c r="H44" s="159">
        <f t="shared" ref="H44:H51" si="20">F44*G44</f>
        <v>2629907.6385259633</v>
      </c>
      <c r="I44" s="44">
        <f>Summary!G11</f>
        <v>369565608.88457942</v>
      </c>
      <c r="J44" s="3">
        <f>J43</f>
        <v>1.0349999999999999</v>
      </c>
      <c r="K44" s="5">
        <f t="shared" si="18"/>
        <v>382500405.19553965</v>
      </c>
      <c r="L44" s="158">
        <f>'COP Rates'!D52</f>
        <v>6.4999999999999997E-3</v>
      </c>
      <c r="M44" s="159">
        <f t="shared" ref="M44:M51" si="21">K44*L44</f>
        <v>2486252.6337710074</v>
      </c>
    </row>
    <row r="45" spans="1:13" x14ac:dyDescent="0.25">
      <c r="A45" s="81">
        <f t="shared" si="0"/>
        <v>37</v>
      </c>
      <c r="B45" s="3" t="s">
        <v>112</v>
      </c>
      <c r="C45" s="42" t="s">
        <v>41</v>
      </c>
      <c r="D45" s="44">
        <f>Summary!E27</f>
        <v>3818819</v>
      </c>
      <c r="E45" s="375"/>
      <c r="F45" s="5">
        <f t="shared" si="19"/>
        <v>3818819</v>
      </c>
      <c r="G45" s="158">
        <f>'COP Rates'!C53</f>
        <v>2.9350999999999998</v>
      </c>
      <c r="H45" s="159">
        <f t="shared" si="20"/>
        <v>11208615.6469</v>
      </c>
      <c r="I45" s="44">
        <f>Summary!H27</f>
        <v>3751052</v>
      </c>
      <c r="J45" s="3"/>
      <c r="K45" s="5">
        <f t="shared" si="18"/>
        <v>3751052</v>
      </c>
      <c r="L45" s="158">
        <f>'COP Rates'!D53</f>
        <v>2.9350999999999998</v>
      </c>
      <c r="M45" s="159">
        <f t="shared" si="21"/>
        <v>11009712.725199999</v>
      </c>
    </row>
    <row r="46" spans="1:13" x14ac:dyDescent="0.25">
      <c r="A46" s="81">
        <f t="shared" si="0"/>
        <v>38</v>
      </c>
      <c r="B46" s="194" t="s">
        <v>113</v>
      </c>
      <c r="C46" s="10" t="s">
        <v>41</v>
      </c>
      <c r="D46" s="44">
        <f>Summary!E28</f>
        <v>32063.982604633686</v>
      </c>
      <c r="E46" s="375"/>
      <c r="F46" s="5">
        <f t="shared" si="19"/>
        <v>32063.982604633686</v>
      </c>
      <c r="G46" s="158">
        <f>'COP Rates'!C54</f>
        <v>2.9350999999999998</v>
      </c>
      <c r="H46" s="159">
        <f t="shared" si="20"/>
        <v>94110.995342860318</v>
      </c>
      <c r="I46" s="44">
        <f>Summary!H28</f>
        <v>32066.218633143475</v>
      </c>
      <c r="J46" s="3"/>
      <c r="K46" s="5">
        <f t="shared" si="18"/>
        <v>32066.218633143475</v>
      </c>
      <c r="L46" s="158">
        <f>'COP Rates'!D54</f>
        <v>2.9350999999999998</v>
      </c>
      <c r="M46" s="159">
        <f t="shared" si="21"/>
        <v>94117.558310139415</v>
      </c>
    </row>
    <row r="47" spans="1:13" x14ac:dyDescent="0.25">
      <c r="A47" s="81">
        <f t="shared" si="0"/>
        <v>39</v>
      </c>
      <c r="B47" s="3" t="s">
        <v>207</v>
      </c>
      <c r="C47" s="42" t="s">
        <v>41</v>
      </c>
      <c r="D47" s="44">
        <f>Summary!E29</f>
        <v>72320.243986216883</v>
      </c>
      <c r="E47" s="375"/>
      <c r="F47" s="5">
        <f t="shared" si="19"/>
        <v>72320.243986216883</v>
      </c>
      <c r="G47" s="158">
        <f>'COP Rates'!C55</f>
        <v>3.3883999999999999</v>
      </c>
      <c r="H47" s="159">
        <f t="shared" si="20"/>
        <v>245049.91472289729</v>
      </c>
      <c r="I47" s="44">
        <f>Summary!H29</f>
        <v>72320.243986216883</v>
      </c>
      <c r="J47" s="3"/>
      <c r="K47" s="5">
        <f t="shared" si="18"/>
        <v>72320.243986216883</v>
      </c>
      <c r="L47" s="158">
        <f>'COP Rates'!D55</f>
        <v>3.3883999999999999</v>
      </c>
      <c r="M47" s="159">
        <f t="shared" si="21"/>
        <v>245049.91472289729</v>
      </c>
    </row>
    <row r="48" spans="1:13" x14ac:dyDescent="0.25">
      <c r="A48" s="81">
        <f t="shared" si="0"/>
        <v>40</v>
      </c>
      <c r="B48" s="3" t="s">
        <v>5</v>
      </c>
      <c r="C48" s="42" t="s">
        <v>41</v>
      </c>
      <c r="D48" s="44">
        <f>Summary!E16</f>
        <v>200298</v>
      </c>
      <c r="E48" s="375"/>
      <c r="F48" s="5">
        <f t="shared" si="19"/>
        <v>200298</v>
      </c>
      <c r="G48" s="158">
        <f>'COP Rates'!C56</f>
        <v>3.0066000000000002</v>
      </c>
      <c r="H48" s="159">
        <f t="shared" si="20"/>
        <v>602215.96680000005</v>
      </c>
      <c r="I48" s="44">
        <f>Summary!H31</f>
        <v>171301</v>
      </c>
      <c r="J48" s="3"/>
      <c r="K48" s="5">
        <f t="shared" si="18"/>
        <v>171301</v>
      </c>
      <c r="L48" s="158">
        <f>'COP Rates'!D56</f>
        <v>3.0066000000000002</v>
      </c>
      <c r="M48" s="159">
        <f t="shared" si="21"/>
        <v>515033.58660000004</v>
      </c>
    </row>
    <row r="49" spans="1:13" x14ac:dyDescent="0.25">
      <c r="A49" s="81">
        <f t="shared" si="0"/>
        <v>41</v>
      </c>
      <c r="B49" s="3" t="s">
        <v>7</v>
      </c>
      <c r="C49" s="42" t="s">
        <v>41</v>
      </c>
      <c r="D49" s="44">
        <f>Summary!E17</f>
        <v>61956</v>
      </c>
      <c r="E49" s="375"/>
      <c r="F49" s="5">
        <f t="shared" si="19"/>
        <v>61956</v>
      </c>
      <c r="G49" s="158">
        <f>'COP Rates'!C57</f>
        <v>2.0152999999999999</v>
      </c>
      <c r="H49" s="159">
        <f t="shared" si="20"/>
        <v>124859.92679999999</v>
      </c>
      <c r="I49" s="44">
        <f>Summary!H32</f>
        <v>54873</v>
      </c>
      <c r="J49" s="3"/>
      <c r="K49" s="5">
        <f t="shared" si="18"/>
        <v>54873</v>
      </c>
      <c r="L49" s="158">
        <f>'COP Rates'!D57</f>
        <v>2.0152999999999999</v>
      </c>
      <c r="M49" s="159">
        <f t="shared" si="21"/>
        <v>110585.5569</v>
      </c>
    </row>
    <row r="50" spans="1:13" x14ac:dyDescent="0.25">
      <c r="A50" s="81">
        <f t="shared" si="0"/>
        <v>42</v>
      </c>
      <c r="B50" s="3" t="s">
        <v>8</v>
      </c>
      <c r="C50" s="42" t="s">
        <v>41</v>
      </c>
      <c r="D50" s="44">
        <f>Summary!E18</f>
        <v>1929</v>
      </c>
      <c r="E50" s="375"/>
      <c r="F50" s="5">
        <f t="shared" si="19"/>
        <v>1929</v>
      </c>
      <c r="G50" s="158">
        <f>'COP Rates'!C58</f>
        <v>2.0179999999999998</v>
      </c>
      <c r="H50" s="159">
        <f t="shared" si="20"/>
        <v>3892.7219999999998</v>
      </c>
      <c r="I50" s="44">
        <f>Summary!H33</f>
        <v>1882</v>
      </c>
      <c r="J50" s="3"/>
      <c r="K50" s="5">
        <f t="shared" si="18"/>
        <v>1882</v>
      </c>
      <c r="L50" s="158">
        <f>'COP Rates'!D58</f>
        <v>2.0179999999999998</v>
      </c>
      <c r="M50" s="159">
        <f t="shared" si="21"/>
        <v>3797.8759999999997</v>
      </c>
    </row>
    <row r="51" spans="1:13" x14ac:dyDescent="0.25">
      <c r="A51" s="81">
        <f t="shared" si="0"/>
        <v>43</v>
      </c>
      <c r="B51" s="3" t="s">
        <v>114</v>
      </c>
      <c r="C51" s="42" t="s">
        <v>14</v>
      </c>
      <c r="D51" s="44">
        <f>Summary!D19</f>
        <v>5452785</v>
      </c>
      <c r="E51" s="375">
        <f>E43</f>
        <v>1.0349999999999999</v>
      </c>
      <c r="F51" s="5">
        <f t="shared" si="19"/>
        <v>5643632.4749999996</v>
      </c>
      <c r="G51" s="158">
        <f>'COP Rates'!C59</f>
        <v>6.4999999999999997E-3</v>
      </c>
      <c r="H51" s="159">
        <f t="shared" si="20"/>
        <v>36683.611087499994</v>
      </c>
      <c r="I51" s="44">
        <f>Summary!G34</f>
        <v>5414248</v>
      </c>
      <c r="J51" s="3">
        <f>J43</f>
        <v>1.0349999999999999</v>
      </c>
      <c r="K51" s="5">
        <f t="shared" si="18"/>
        <v>5603746.6799999997</v>
      </c>
      <c r="L51" s="158">
        <f>'COP Rates'!D59</f>
        <v>6.4999999999999997E-3</v>
      </c>
      <c r="M51" s="159">
        <f t="shared" si="21"/>
        <v>36424.353419999999</v>
      </c>
    </row>
    <row r="52" spans="1:13" x14ac:dyDescent="0.25">
      <c r="A52" s="200">
        <f t="shared" si="0"/>
        <v>44</v>
      </c>
      <c r="B52" s="171" t="s">
        <v>9</v>
      </c>
      <c r="C52" s="207"/>
      <c r="D52" s="210"/>
      <c r="E52" s="171"/>
      <c r="F52" s="171"/>
      <c r="G52" s="171"/>
      <c r="H52" s="201">
        <f>SUM(H43:H51)</f>
        <v>22793866.538386174</v>
      </c>
      <c r="I52" s="93"/>
      <c r="J52" s="171"/>
      <c r="K52" s="171"/>
      <c r="L52" s="171"/>
      <c r="M52" s="201">
        <f>SUM(M43:M51)</f>
        <v>22138568.682871614</v>
      </c>
    </row>
    <row r="53" spans="1:13" x14ac:dyDescent="0.25">
      <c r="A53" s="195">
        <f t="shared" si="0"/>
        <v>45</v>
      </c>
      <c r="B53" s="196" t="s">
        <v>118</v>
      </c>
      <c r="C53" s="206"/>
      <c r="D53" s="209"/>
      <c r="E53" s="197"/>
      <c r="F53" s="197"/>
      <c r="G53" s="197"/>
      <c r="H53" s="198"/>
      <c r="I53" s="212"/>
      <c r="J53" s="197"/>
      <c r="K53" s="197"/>
      <c r="L53" s="197"/>
      <c r="M53" s="198"/>
    </row>
    <row r="54" spans="1:13" x14ac:dyDescent="0.25">
      <c r="A54" s="81">
        <f t="shared" si="0"/>
        <v>46</v>
      </c>
      <c r="B54" s="3" t="s">
        <v>2</v>
      </c>
      <c r="C54" s="42" t="s">
        <v>14</v>
      </c>
      <c r="D54" s="44">
        <f>D43</f>
        <v>1099003026.8440735</v>
      </c>
      <c r="E54" s="375">
        <f>E43</f>
        <v>1.0349999999999999</v>
      </c>
      <c r="F54" s="5">
        <f>IF(C54="kwh",D54*E54,D54)</f>
        <v>1137468132.7836161</v>
      </c>
      <c r="G54" s="158">
        <f>'COP Rates'!E51</f>
        <v>5.7999999999999996E-3</v>
      </c>
      <c r="H54" s="159">
        <f>F54*G54</f>
        <v>6597315.1701449724</v>
      </c>
      <c r="I54" s="44">
        <f t="shared" ref="I54:J55" si="22">I43</f>
        <v>1069466425.5335112</v>
      </c>
      <c r="J54" s="3">
        <f t="shared" si="22"/>
        <v>1.0349999999999999</v>
      </c>
      <c r="K54" s="5">
        <f>IF(C54="kwh",I54*J54,I54)</f>
        <v>1106897750.4271839</v>
      </c>
      <c r="L54" s="158">
        <f>'COP Rates'!F51</f>
        <v>5.7999999999999996E-3</v>
      </c>
      <c r="M54" s="159">
        <f>K54*L54</f>
        <v>6420006.9524776656</v>
      </c>
    </row>
    <row r="55" spans="1:13" x14ac:dyDescent="0.25">
      <c r="A55" s="81">
        <f t="shared" si="0"/>
        <v>47</v>
      </c>
      <c r="B55" s="3" t="s">
        <v>111</v>
      </c>
      <c r="C55" s="42" t="s">
        <v>14</v>
      </c>
      <c r="D55" s="44">
        <f t="shared" ref="D55:D62" si="23">D44</f>
        <v>390919009.81433868</v>
      </c>
      <c r="E55" s="375">
        <f>E54</f>
        <v>1.0349999999999999</v>
      </c>
      <c r="F55" s="5">
        <f t="shared" ref="F55:F62" si="24">IF(C55="kwh",D55*E55,D55)</f>
        <v>404601175.15784049</v>
      </c>
      <c r="G55" s="158">
        <f>'COP Rates'!E52</f>
        <v>5.1000000000000004E-3</v>
      </c>
      <c r="H55" s="159">
        <f t="shared" ref="H55:H62" si="25">F55*G55</f>
        <v>2063465.9933049867</v>
      </c>
      <c r="I55" s="44">
        <f t="shared" ref="I55" si="26">I44</f>
        <v>369565608.88457942</v>
      </c>
      <c r="J55" s="3">
        <f t="shared" si="22"/>
        <v>1.0349999999999999</v>
      </c>
      <c r="K55" s="5">
        <f t="shared" ref="K55:K62" si="27">IF(C55="kwh",I55*J55,I55)</f>
        <v>382500405.19553965</v>
      </c>
      <c r="L55" s="158">
        <f>'COP Rates'!F52</f>
        <v>5.1000000000000004E-3</v>
      </c>
      <c r="M55" s="159">
        <f t="shared" ref="M55:M62" si="28">K55*L55</f>
        <v>1950752.0664972523</v>
      </c>
    </row>
    <row r="56" spans="1:13" x14ac:dyDescent="0.25">
      <c r="A56" s="81">
        <f t="shared" si="0"/>
        <v>48</v>
      </c>
      <c r="B56" s="3" t="s">
        <v>112</v>
      </c>
      <c r="C56" s="42" t="s">
        <v>41</v>
      </c>
      <c r="D56" s="44">
        <f t="shared" si="23"/>
        <v>3818819</v>
      </c>
      <c r="E56" s="3"/>
      <c r="F56" s="5">
        <f t="shared" si="24"/>
        <v>3818819</v>
      </c>
      <c r="G56" s="158">
        <f>'COP Rates'!E53</f>
        <v>2.5983999999999998</v>
      </c>
      <c r="H56" s="159">
        <f t="shared" si="25"/>
        <v>9922819.2895999998</v>
      </c>
      <c r="I56" s="44">
        <f t="shared" ref="I56" si="29">I45</f>
        <v>3751052</v>
      </c>
      <c r="J56" s="3"/>
      <c r="K56" s="5">
        <f t="shared" si="27"/>
        <v>3751052</v>
      </c>
      <c r="L56" s="158">
        <f>'COP Rates'!F53</f>
        <v>2.5983999999999998</v>
      </c>
      <c r="M56" s="159">
        <f t="shared" si="28"/>
        <v>9746733.5167999994</v>
      </c>
    </row>
    <row r="57" spans="1:13" x14ac:dyDescent="0.25">
      <c r="A57" s="81">
        <f t="shared" si="0"/>
        <v>49</v>
      </c>
      <c r="B57" s="194" t="s">
        <v>113</v>
      </c>
      <c r="C57" s="10" t="s">
        <v>41</v>
      </c>
      <c r="D57" s="44">
        <f t="shared" si="23"/>
        <v>32063.982604633686</v>
      </c>
      <c r="E57" s="3"/>
      <c r="F57" s="5">
        <f t="shared" si="24"/>
        <v>32063.982604633686</v>
      </c>
      <c r="G57" s="158">
        <f>'COP Rates'!E54</f>
        <v>2.5983999999999998</v>
      </c>
      <c r="H57" s="159">
        <f t="shared" si="25"/>
        <v>83315.052399880165</v>
      </c>
      <c r="I57" s="44">
        <f t="shared" ref="I57" si="30">I46</f>
        <v>32066.218633143475</v>
      </c>
      <c r="J57" s="3"/>
      <c r="K57" s="5">
        <f t="shared" si="27"/>
        <v>32066.218633143475</v>
      </c>
      <c r="L57" s="158">
        <f>'COP Rates'!F54</f>
        <v>2.5983999999999998</v>
      </c>
      <c r="M57" s="159">
        <f t="shared" si="28"/>
        <v>83320.862496360001</v>
      </c>
    </row>
    <row r="58" spans="1:13" x14ac:dyDescent="0.25">
      <c r="A58" s="81">
        <f t="shared" si="0"/>
        <v>50</v>
      </c>
      <c r="B58" s="3" t="s">
        <v>207</v>
      </c>
      <c r="C58" s="42" t="s">
        <v>41</v>
      </c>
      <c r="D58" s="44">
        <f t="shared" si="23"/>
        <v>72320.243986216883</v>
      </c>
      <c r="E58" s="3"/>
      <c r="F58" s="5">
        <f t="shared" si="24"/>
        <v>72320.243986216883</v>
      </c>
      <c r="G58" s="158">
        <f>'COP Rates'!E55</f>
        <v>2.7484999999999999</v>
      </c>
      <c r="H58" s="159">
        <f t="shared" si="25"/>
        <v>198772.19059611709</v>
      </c>
      <c r="I58" s="44">
        <f t="shared" ref="I58" si="31">I47</f>
        <v>72320.243986216883</v>
      </c>
      <c r="J58" s="3"/>
      <c r="K58" s="5">
        <f t="shared" si="27"/>
        <v>72320.243986216883</v>
      </c>
      <c r="L58" s="158">
        <f>'COP Rates'!F55</f>
        <v>2.7484999999999999</v>
      </c>
      <c r="M58" s="159">
        <f t="shared" si="28"/>
        <v>198772.19059611709</v>
      </c>
    </row>
    <row r="59" spans="1:13" x14ac:dyDescent="0.25">
      <c r="A59" s="81">
        <f t="shared" si="0"/>
        <v>51</v>
      </c>
      <c r="B59" s="3" t="s">
        <v>5</v>
      </c>
      <c r="C59" s="42" t="s">
        <v>41</v>
      </c>
      <c r="D59" s="44">
        <f t="shared" si="23"/>
        <v>200298</v>
      </c>
      <c r="E59" s="3"/>
      <c r="F59" s="5">
        <f t="shared" si="24"/>
        <v>200298</v>
      </c>
      <c r="G59" s="158">
        <f>'COP Rates'!E56</f>
        <v>2.5983999999999998</v>
      </c>
      <c r="H59" s="159">
        <f t="shared" si="25"/>
        <v>520454.32319999998</v>
      </c>
      <c r="I59" s="44">
        <f t="shared" ref="I59" si="32">I48</f>
        <v>171301</v>
      </c>
      <c r="J59" s="3"/>
      <c r="K59" s="5">
        <f t="shared" si="27"/>
        <v>171301</v>
      </c>
      <c r="L59" s="158">
        <f>'COP Rates'!F56</f>
        <v>2.5983999999999998</v>
      </c>
      <c r="M59" s="159">
        <f t="shared" si="28"/>
        <v>445108.51839999994</v>
      </c>
    </row>
    <row r="60" spans="1:13" x14ac:dyDescent="0.25">
      <c r="A60" s="81">
        <f t="shared" si="0"/>
        <v>52</v>
      </c>
      <c r="B60" s="3" t="s">
        <v>7</v>
      </c>
      <c r="C60" s="42" t="s">
        <v>41</v>
      </c>
      <c r="D60" s="44">
        <f t="shared" si="23"/>
        <v>61956</v>
      </c>
      <c r="E60" s="3"/>
      <c r="F60" s="5">
        <f t="shared" si="24"/>
        <v>61956</v>
      </c>
      <c r="G60" s="158">
        <f>'COP Rates'!E57</f>
        <v>1.6418999999999999</v>
      </c>
      <c r="H60" s="159">
        <f t="shared" si="25"/>
        <v>101725.5564</v>
      </c>
      <c r="I60" s="44">
        <f t="shared" ref="I60" si="33">I49</f>
        <v>54873</v>
      </c>
      <c r="J60" s="3"/>
      <c r="K60" s="5">
        <f t="shared" si="27"/>
        <v>54873</v>
      </c>
      <c r="L60" s="158">
        <f>'COP Rates'!F57</f>
        <v>1.6418999999999999</v>
      </c>
      <c r="M60" s="159">
        <f t="shared" si="28"/>
        <v>90095.978699999992</v>
      </c>
    </row>
    <row r="61" spans="1:13" x14ac:dyDescent="0.25">
      <c r="A61" s="81">
        <f t="shared" si="0"/>
        <v>53</v>
      </c>
      <c r="B61" s="3" t="s">
        <v>8</v>
      </c>
      <c r="C61" s="42" t="s">
        <v>41</v>
      </c>
      <c r="D61" s="44">
        <f t="shared" si="23"/>
        <v>1929</v>
      </c>
      <c r="E61" s="3"/>
      <c r="F61" s="5">
        <f t="shared" si="24"/>
        <v>1929</v>
      </c>
      <c r="G61" s="158">
        <f>'COP Rates'!E58</f>
        <v>1.6440999999999999</v>
      </c>
      <c r="H61" s="159">
        <f t="shared" si="25"/>
        <v>3171.4688999999998</v>
      </c>
      <c r="I61" s="44">
        <f t="shared" ref="I61" si="34">I50</f>
        <v>1882</v>
      </c>
      <c r="J61" s="3"/>
      <c r="K61" s="5">
        <f t="shared" si="27"/>
        <v>1882</v>
      </c>
      <c r="L61" s="158">
        <f>'COP Rates'!F58</f>
        <v>1.6440999999999999</v>
      </c>
      <c r="M61" s="159">
        <f t="shared" si="28"/>
        <v>3094.1961999999999</v>
      </c>
    </row>
    <row r="62" spans="1:13" x14ac:dyDescent="0.25">
      <c r="A62" s="81">
        <f t="shared" si="0"/>
        <v>54</v>
      </c>
      <c r="B62" s="3" t="s">
        <v>114</v>
      </c>
      <c r="C62" s="42" t="s">
        <v>41</v>
      </c>
      <c r="D62" s="44">
        <f t="shared" si="23"/>
        <v>5452785</v>
      </c>
      <c r="E62" s="375">
        <f>E54</f>
        <v>1.0349999999999999</v>
      </c>
      <c r="F62" s="5">
        <f t="shared" si="24"/>
        <v>5452785</v>
      </c>
      <c r="G62" s="158">
        <f>'COP Rates'!E59</f>
        <v>5.1000000000000004E-3</v>
      </c>
      <c r="H62" s="159">
        <f t="shared" si="25"/>
        <v>27809.203500000003</v>
      </c>
      <c r="I62" s="44">
        <f t="shared" ref="I62" si="35">I51</f>
        <v>5414248</v>
      </c>
      <c r="J62" s="3">
        <f t="shared" ref="J62" si="36">J51</f>
        <v>1.0349999999999999</v>
      </c>
      <c r="K62" s="5">
        <f t="shared" si="27"/>
        <v>5414248</v>
      </c>
      <c r="L62" s="158">
        <f>'COP Rates'!F59</f>
        <v>5.1000000000000004E-3</v>
      </c>
      <c r="M62" s="159">
        <f t="shared" si="28"/>
        <v>27612.664800000002</v>
      </c>
    </row>
    <row r="63" spans="1:13" x14ac:dyDescent="0.25">
      <c r="A63" s="200">
        <f t="shared" si="0"/>
        <v>55</v>
      </c>
      <c r="B63" s="171" t="s">
        <v>9</v>
      </c>
      <c r="C63" s="207"/>
      <c r="D63" s="210"/>
      <c r="E63" s="171"/>
      <c r="F63" s="171"/>
      <c r="G63" s="171"/>
      <c r="H63" s="201">
        <f>SUM(H54:H62)</f>
        <v>19518848.248045955</v>
      </c>
      <c r="I63" s="93"/>
      <c r="J63" s="171"/>
      <c r="K63" s="171"/>
      <c r="L63" s="171"/>
      <c r="M63" s="201">
        <f>SUM(M54:M62)</f>
        <v>18965496.946967393</v>
      </c>
    </row>
    <row r="64" spans="1:13" ht="15.75" x14ac:dyDescent="0.25">
      <c r="A64" s="213">
        <f t="shared" si="0"/>
        <v>56</v>
      </c>
      <c r="B64" s="214" t="s">
        <v>119</v>
      </c>
      <c r="C64" s="214"/>
      <c r="D64" s="215"/>
      <c r="E64" s="214"/>
      <c r="F64" s="214"/>
      <c r="G64" s="214"/>
      <c r="H64" s="216">
        <f>SUM(H19,H30,H41,H52,H63)</f>
        <v>417032550.15390044</v>
      </c>
      <c r="I64" s="214"/>
      <c r="J64" s="214"/>
      <c r="K64" s="214"/>
      <c r="L64" s="214"/>
      <c r="M64" s="216">
        <f>SUM(M19,M30,M41,M52,M63)</f>
        <v>404318789.34861779</v>
      </c>
    </row>
    <row r="65" spans="8:13" x14ac:dyDescent="0.25">
      <c r="H65" s="162"/>
      <c r="M65" s="162"/>
    </row>
    <row r="66" spans="8:13" x14ac:dyDescent="0.25">
      <c r="H66" s="162"/>
      <c r="M66" s="162"/>
    </row>
    <row r="67" spans="8:13" x14ac:dyDescent="0.25">
      <c r="H67" s="162"/>
      <c r="M67" s="162"/>
    </row>
    <row r="68" spans="8:13" x14ac:dyDescent="0.25">
      <c r="H68" s="162"/>
      <c r="M68" s="162"/>
    </row>
    <row r="69" spans="8:13" x14ac:dyDescent="0.25">
      <c r="H69" s="162"/>
      <c r="M69" s="162"/>
    </row>
    <row r="70" spans="8:13" x14ac:dyDescent="0.25">
      <c r="M70" s="162"/>
    </row>
  </sheetData>
  <mergeCells count="5">
    <mergeCell ref="D7:H7"/>
    <mergeCell ref="I7:M7"/>
    <mergeCell ref="A7:A8"/>
    <mergeCell ref="B7:B8"/>
    <mergeCell ref="C7:C8"/>
  </mergeCells>
  <pageMargins left="0.5" right="0.5" top="0.5" bottom="0.5" header="0.3" footer="0.3"/>
  <pageSetup scale="59" orientation="portrait" r:id="rId1"/>
  <ignoredErrors>
    <ignoredError sqref="G10 L10:L11 L19"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8" tint="0.79998168889431442"/>
    <pageSetUpPr fitToPage="1"/>
  </sheetPr>
  <dimension ref="A1:G81"/>
  <sheetViews>
    <sheetView workbookViewId="0">
      <pane xSplit="2" ySplit="7" topLeftCell="C8" activePane="bottomRight" state="frozen"/>
      <selection activeCell="A2" sqref="A2"/>
      <selection pane="topRight" activeCell="A2" sqref="A2"/>
      <selection pane="bottomLeft" activeCell="A2" sqref="A2"/>
      <selection pane="bottomRight" activeCell="D34" sqref="D34"/>
    </sheetView>
  </sheetViews>
  <sheetFormatPr defaultRowHeight="15" x14ac:dyDescent="0.25"/>
  <cols>
    <col min="1" max="1" width="14.28515625" customWidth="1"/>
    <col min="2" max="2" width="42.42578125" customWidth="1"/>
    <col min="3" max="3" width="7.28515625" customWidth="1"/>
    <col min="4" max="4" width="18.5703125" bestFit="1" customWidth="1"/>
    <col min="5" max="5" width="19.7109375" bestFit="1" customWidth="1"/>
    <col min="6" max="6" width="21" customWidth="1"/>
    <col min="7" max="7" width="14.5703125" bestFit="1" customWidth="1"/>
  </cols>
  <sheetData>
    <row r="1" spans="1:6" ht="18.75" x14ac:dyDescent="0.3">
      <c r="A1" s="24" t="str">
        <f>Admin!B3</f>
        <v>London Hydro</v>
      </c>
    </row>
    <row r="2" spans="1:6" ht="18.75" x14ac:dyDescent="0.3">
      <c r="A2" s="24" t="str">
        <f>Admin!B5</f>
        <v>EB-2016-0091</v>
      </c>
    </row>
    <row r="3" spans="1:6" ht="18.75" x14ac:dyDescent="0.3">
      <c r="A3" s="24" t="str">
        <f>Admin!B7</f>
        <v>2017 Load Forecast</v>
      </c>
    </row>
    <row r="4" spans="1:6" ht="18.75" x14ac:dyDescent="0.3">
      <c r="A4" s="24"/>
    </row>
    <row r="5" spans="1:6" ht="19.5" thickBot="1" x14ac:dyDescent="0.35">
      <c r="A5" s="270" t="s">
        <v>237</v>
      </c>
      <c r="B5" s="27"/>
      <c r="C5" s="27"/>
      <c r="D5" s="27"/>
      <c r="E5" s="27"/>
      <c r="F5" s="27"/>
    </row>
    <row r="6" spans="1:6" x14ac:dyDescent="0.25">
      <c r="A6" s="193"/>
    </row>
    <row r="7" spans="1:6" ht="15" customHeight="1" x14ac:dyDescent="0.25">
      <c r="A7" s="393" t="s">
        <v>160</v>
      </c>
      <c r="B7" s="390" t="s">
        <v>23</v>
      </c>
      <c r="C7" s="391" t="s">
        <v>165</v>
      </c>
      <c r="D7" s="389" t="s">
        <v>106</v>
      </c>
      <c r="E7" s="389" t="s">
        <v>209</v>
      </c>
      <c r="F7" s="398" t="s">
        <v>161</v>
      </c>
    </row>
    <row r="8" spans="1:6" s="28" customFormat="1" ht="30" customHeight="1" x14ac:dyDescent="0.25">
      <c r="A8" s="271"/>
      <c r="B8" s="276">
        <v>2016</v>
      </c>
      <c r="C8" s="272"/>
      <c r="D8" s="273"/>
      <c r="E8" s="274"/>
      <c r="F8" s="275"/>
    </row>
    <row r="9" spans="1:6" x14ac:dyDescent="0.25">
      <c r="A9" s="255">
        <v>1</v>
      </c>
      <c r="B9" s="239" t="s">
        <v>162</v>
      </c>
      <c r="C9" s="261"/>
      <c r="D9" s="396"/>
      <c r="E9" s="239"/>
      <c r="F9" s="248"/>
    </row>
    <row r="10" spans="1:6" x14ac:dyDescent="0.25">
      <c r="A10" s="81">
        <f t="shared" ref="A10:A29" si="0">A9+1</f>
        <v>2</v>
      </c>
      <c r="B10" s="3" t="s">
        <v>2</v>
      </c>
      <c r="C10" s="394" t="s">
        <v>116</v>
      </c>
      <c r="D10" s="244">
        <f>Summary!C10</f>
        <v>140655</v>
      </c>
      <c r="E10" s="395">
        <v>16.420000000000002</v>
      </c>
      <c r="F10" s="16">
        <f>D10*E10*12</f>
        <v>27714661.200000003</v>
      </c>
    </row>
    <row r="11" spans="1:6" x14ac:dyDescent="0.25">
      <c r="A11" s="81">
        <f t="shared" si="0"/>
        <v>3</v>
      </c>
      <c r="B11" s="3" t="s">
        <v>111</v>
      </c>
      <c r="C11" s="394" t="s">
        <v>116</v>
      </c>
      <c r="D11" s="244">
        <f>Summary!C11</f>
        <v>12563</v>
      </c>
      <c r="E11" s="395">
        <v>32.25</v>
      </c>
      <c r="F11" s="16">
        <f t="shared" ref="F11:F18" si="1">D11*E11*12</f>
        <v>4861881</v>
      </c>
    </row>
    <row r="12" spans="1:6" x14ac:dyDescent="0.25">
      <c r="A12" s="81">
        <f t="shared" si="0"/>
        <v>4</v>
      </c>
      <c r="B12" s="3" t="s">
        <v>112</v>
      </c>
      <c r="C12" s="394" t="s">
        <v>116</v>
      </c>
      <c r="D12" s="244">
        <f>Summary!C12</f>
        <v>1562</v>
      </c>
      <c r="E12" s="395">
        <v>157.55000000000001</v>
      </c>
      <c r="F12" s="16">
        <f t="shared" si="1"/>
        <v>2953117.2</v>
      </c>
    </row>
    <row r="13" spans="1:6" x14ac:dyDescent="0.25">
      <c r="A13" s="81">
        <f t="shared" si="0"/>
        <v>5</v>
      </c>
      <c r="B13" s="3" t="s">
        <v>207</v>
      </c>
      <c r="C13" s="394" t="s">
        <v>116</v>
      </c>
      <c r="D13" s="244">
        <f>Summary!C14</f>
        <v>4</v>
      </c>
      <c r="E13" s="395">
        <v>2523.9899999999998</v>
      </c>
      <c r="F13" s="16">
        <f t="shared" si="1"/>
        <v>121151.51999999999</v>
      </c>
    </row>
    <row r="14" spans="1:6" x14ac:dyDescent="0.25">
      <c r="A14" s="81">
        <f t="shared" si="0"/>
        <v>6</v>
      </c>
      <c r="B14" s="3" t="s">
        <v>230</v>
      </c>
      <c r="C14" s="394" t="s">
        <v>116</v>
      </c>
      <c r="D14" s="244"/>
      <c r="E14" s="395"/>
      <c r="F14" s="16">
        <f t="shared" si="1"/>
        <v>0</v>
      </c>
    </row>
    <row r="15" spans="1:6" x14ac:dyDescent="0.25">
      <c r="A15" s="81">
        <f t="shared" si="0"/>
        <v>7</v>
      </c>
      <c r="B15" s="3" t="s">
        <v>5</v>
      </c>
      <c r="C15" s="394" t="s">
        <v>116</v>
      </c>
      <c r="D15" s="244">
        <f>Summary!C16</f>
        <v>1</v>
      </c>
      <c r="E15" s="395">
        <v>20286.64</v>
      </c>
      <c r="F15" s="16">
        <f t="shared" si="1"/>
        <v>243439.68</v>
      </c>
    </row>
    <row r="16" spans="1:6" x14ac:dyDescent="0.25">
      <c r="A16" s="81">
        <f t="shared" si="0"/>
        <v>8</v>
      </c>
      <c r="B16" s="3" t="s">
        <v>7</v>
      </c>
      <c r="C16" s="394" t="s">
        <v>164</v>
      </c>
      <c r="D16" s="244">
        <f>Summary!C17</f>
        <v>35712</v>
      </c>
      <c r="E16" s="395">
        <v>1.64</v>
      </c>
      <c r="F16" s="16">
        <f t="shared" si="1"/>
        <v>702812.15999999992</v>
      </c>
    </row>
    <row r="17" spans="1:7" x14ac:dyDescent="0.25">
      <c r="A17" s="81">
        <f t="shared" si="0"/>
        <v>9</v>
      </c>
      <c r="B17" s="3" t="s">
        <v>8</v>
      </c>
      <c r="C17" s="394" t="s">
        <v>164</v>
      </c>
      <c r="D17" s="244">
        <f>Summary!C18</f>
        <v>623</v>
      </c>
      <c r="E17" s="395">
        <v>3.48</v>
      </c>
      <c r="F17" s="16">
        <f t="shared" si="1"/>
        <v>26016.48</v>
      </c>
    </row>
    <row r="18" spans="1:7" x14ac:dyDescent="0.25">
      <c r="A18" s="81">
        <f t="shared" si="0"/>
        <v>10</v>
      </c>
      <c r="B18" s="3" t="s">
        <v>114</v>
      </c>
      <c r="C18" s="397" t="s">
        <v>164</v>
      </c>
      <c r="D18" s="244">
        <f>Summary!C19</f>
        <v>1521</v>
      </c>
      <c r="E18" s="395">
        <v>2.08</v>
      </c>
      <c r="F18" s="16">
        <f t="shared" si="1"/>
        <v>37964.160000000003</v>
      </c>
    </row>
    <row r="19" spans="1:7" x14ac:dyDescent="0.25">
      <c r="A19" s="200">
        <f>A18+1</f>
        <v>11</v>
      </c>
      <c r="B19" s="256" t="s">
        <v>43</v>
      </c>
      <c r="C19" s="262"/>
      <c r="D19" s="172"/>
      <c r="E19" s="172"/>
      <c r="F19" s="173">
        <f>SUM(F10:F18)</f>
        <v>36661043.399999999</v>
      </c>
    </row>
    <row r="20" spans="1:7" x14ac:dyDescent="0.25">
      <c r="A20" s="255">
        <f t="shared" si="0"/>
        <v>12</v>
      </c>
      <c r="B20" s="252" t="s">
        <v>163</v>
      </c>
      <c r="C20" s="263"/>
      <c r="D20" s="402"/>
      <c r="E20" s="260"/>
      <c r="F20" s="267"/>
    </row>
    <row r="21" spans="1:7" x14ac:dyDescent="0.25">
      <c r="A21" s="81">
        <f t="shared" si="0"/>
        <v>13</v>
      </c>
      <c r="B21" s="3" t="s">
        <v>2</v>
      </c>
      <c r="C21" s="10" t="s">
        <v>14</v>
      </c>
      <c r="D21" s="244">
        <f>'COP Forecast'!D43</f>
        <v>1099003026.8440735</v>
      </c>
      <c r="E21" s="399">
        <v>1.21E-2</v>
      </c>
      <c r="F21" s="16">
        <f>D21*E21</f>
        <v>13297936.624813288</v>
      </c>
    </row>
    <row r="22" spans="1:7" x14ac:dyDescent="0.25">
      <c r="A22" s="81">
        <f t="shared" si="0"/>
        <v>14</v>
      </c>
      <c r="B22" s="3" t="s">
        <v>111</v>
      </c>
      <c r="C22" s="10" t="s">
        <v>14</v>
      </c>
      <c r="D22" s="244">
        <f>'COP Forecast'!D44</f>
        <v>390919009.81433868</v>
      </c>
      <c r="E22" s="399">
        <v>1.04E-2</v>
      </c>
      <c r="F22" s="16">
        <f t="shared" ref="F22:F29" si="2">D22*E22</f>
        <v>4065557.7020691223</v>
      </c>
    </row>
    <row r="23" spans="1:7" x14ac:dyDescent="0.25">
      <c r="A23" s="81">
        <f t="shared" si="0"/>
        <v>15</v>
      </c>
      <c r="B23" s="3" t="s">
        <v>112</v>
      </c>
      <c r="C23" s="10" t="s">
        <v>41</v>
      </c>
      <c r="D23" s="403">
        <f>'COP Forecast'!D45</f>
        <v>3818819</v>
      </c>
      <c r="E23" s="399">
        <v>2.6297999999999999</v>
      </c>
      <c r="F23" s="16">
        <f t="shared" si="2"/>
        <v>10042730.2062</v>
      </c>
      <c r="G23" s="76"/>
    </row>
    <row r="24" spans="1:7" x14ac:dyDescent="0.25">
      <c r="A24" s="81">
        <f t="shared" si="0"/>
        <v>16</v>
      </c>
      <c r="B24" s="3" t="s">
        <v>207</v>
      </c>
      <c r="C24" s="10" t="s">
        <v>41</v>
      </c>
      <c r="D24" s="244">
        <f>'COP Forecast'!D47</f>
        <v>72320.243986216883</v>
      </c>
      <c r="E24" s="399">
        <v>4.4089999999999998</v>
      </c>
      <c r="F24" s="16">
        <f t="shared" si="2"/>
        <v>318859.95573523024</v>
      </c>
      <c r="G24" s="2"/>
    </row>
    <row r="25" spans="1:7" x14ac:dyDescent="0.25">
      <c r="A25" s="81">
        <f t="shared" si="0"/>
        <v>17</v>
      </c>
      <c r="B25" s="3" t="s">
        <v>230</v>
      </c>
      <c r="C25" s="10" t="s">
        <v>41</v>
      </c>
      <c r="D25" s="244">
        <f>'Rate Class Demand Model'!E39</f>
        <v>154800</v>
      </c>
      <c r="E25" s="399">
        <v>3.0486</v>
      </c>
      <c r="F25" s="16">
        <f t="shared" si="2"/>
        <v>471923.27999999997</v>
      </c>
      <c r="G25" s="76"/>
    </row>
    <row r="26" spans="1:7" x14ac:dyDescent="0.25">
      <c r="A26" s="81">
        <f t="shared" si="0"/>
        <v>18</v>
      </c>
      <c r="B26" s="3" t="s">
        <v>5</v>
      </c>
      <c r="C26" s="10" t="s">
        <v>41</v>
      </c>
      <c r="D26" s="244">
        <f>'COP Forecast'!D48</f>
        <v>200298</v>
      </c>
      <c r="E26" s="399">
        <v>2.2002999999999999</v>
      </c>
      <c r="F26" s="16">
        <f t="shared" si="2"/>
        <v>440715.68939999997</v>
      </c>
    </row>
    <row r="27" spans="1:7" x14ac:dyDescent="0.25">
      <c r="A27" s="81">
        <f t="shared" si="0"/>
        <v>19</v>
      </c>
      <c r="B27" s="3" t="s">
        <v>7</v>
      </c>
      <c r="C27" s="400" t="s">
        <v>14</v>
      </c>
      <c r="D27" s="244">
        <f>'COP Forecast'!D49</f>
        <v>61956</v>
      </c>
      <c r="E27" s="399">
        <v>8.5143000000000004</v>
      </c>
      <c r="F27" s="16">
        <f t="shared" si="2"/>
        <v>527511.97080000001</v>
      </c>
    </row>
    <row r="28" spans="1:7" x14ac:dyDescent="0.25">
      <c r="A28" s="81">
        <f t="shared" si="0"/>
        <v>20</v>
      </c>
      <c r="B28" s="3" t="s">
        <v>8</v>
      </c>
      <c r="C28" s="400" t="s">
        <v>41</v>
      </c>
      <c r="D28" s="244">
        <f>'COP Forecast'!D50</f>
        <v>1929</v>
      </c>
      <c r="E28" s="399">
        <v>11.483700000000001</v>
      </c>
      <c r="F28" s="16">
        <f t="shared" si="2"/>
        <v>22152.0573</v>
      </c>
    </row>
    <row r="29" spans="1:7" x14ac:dyDescent="0.25">
      <c r="A29" s="81">
        <f t="shared" si="0"/>
        <v>21</v>
      </c>
      <c r="B29" s="3" t="s">
        <v>114</v>
      </c>
      <c r="C29" s="401" t="s">
        <v>41</v>
      </c>
      <c r="D29" s="244">
        <f>'COP Forecast'!D51</f>
        <v>5452785</v>
      </c>
      <c r="E29" s="399">
        <v>1.7999999999999999E-2</v>
      </c>
      <c r="F29" s="16">
        <f t="shared" si="2"/>
        <v>98150.12999999999</v>
      </c>
    </row>
    <row r="30" spans="1:7" x14ac:dyDescent="0.25">
      <c r="A30" s="200">
        <f>A29+1</f>
        <v>22</v>
      </c>
      <c r="B30" s="171" t="s">
        <v>9</v>
      </c>
      <c r="C30" s="207"/>
      <c r="D30" s="172"/>
      <c r="E30" s="172"/>
      <c r="F30" s="173">
        <f>SUM(F21:F29)</f>
        <v>29285537.616317641</v>
      </c>
    </row>
    <row r="31" spans="1:7" x14ac:dyDescent="0.25">
      <c r="A31" s="255">
        <f>A30+1</f>
        <v>23</v>
      </c>
      <c r="B31" s="252" t="s">
        <v>231</v>
      </c>
      <c r="C31" s="263"/>
      <c r="D31" s="266"/>
      <c r="E31" s="260"/>
      <c r="F31" s="267"/>
    </row>
    <row r="32" spans="1:7" x14ac:dyDescent="0.25">
      <c r="A32" s="81">
        <f t="shared" ref="A32:A40" si="3">A31+1</f>
        <v>24</v>
      </c>
      <c r="B32" s="3" t="s">
        <v>2</v>
      </c>
      <c r="C32" s="10"/>
      <c r="D32" s="244"/>
      <c r="E32" s="399"/>
      <c r="F32" s="16"/>
    </row>
    <row r="33" spans="1:6" x14ac:dyDescent="0.25">
      <c r="A33" s="81">
        <f t="shared" si="3"/>
        <v>25</v>
      </c>
      <c r="B33" s="3" t="s">
        <v>111</v>
      </c>
      <c r="C33" s="10"/>
      <c r="D33" s="244"/>
      <c r="E33" s="399"/>
      <c r="F33" s="16"/>
    </row>
    <row r="34" spans="1:6" x14ac:dyDescent="0.25">
      <c r="A34" s="81">
        <f t="shared" si="3"/>
        <v>26</v>
      </c>
      <c r="B34" s="3" t="s">
        <v>112</v>
      </c>
      <c r="C34" s="10" t="s">
        <v>232</v>
      </c>
      <c r="D34" s="403">
        <f>'Transformer Allowance'!D36</f>
        <v>1059204.8240616599</v>
      </c>
      <c r="E34" s="399">
        <v>-0.6</v>
      </c>
      <c r="F34" s="16">
        <f>D34*E34</f>
        <v>-635522.89443699585</v>
      </c>
    </row>
    <row r="35" spans="1:6" x14ac:dyDescent="0.25">
      <c r="A35" s="81">
        <f t="shared" si="3"/>
        <v>27</v>
      </c>
      <c r="B35" s="3" t="s">
        <v>207</v>
      </c>
      <c r="C35" s="10" t="s">
        <v>232</v>
      </c>
      <c r="D35" s="244">
        <f>'Transformer Allowance'!F33</f>
        <v>72320.243986216883</v>
      </c>
      <c r="E35" s="399">
        <v>-0.6</v>
      </c>
      <c r="F35" s="16">
        <f t="shared" ref="F35:F36" si="4">D35*E35</f>
        <v>-43392.14639173013</v>
      </c>
    </row>
    <row r="36" spans="1:6" x14ac:dyDescent="0.25">
      <c r="A36" s="81">
        <f t="shared" si="3"/>
        <v>28</v>
      </c>
      <c r="B36" s="3" t="s">
        <v>230</v>
      </c>
      <c r="C36" s="10" t="s">
        <v>232</v>
      </c>
      <c r="D36" s="244">
        <f>'Transformer Allowance'!E36</f>
        <v>154800</v>
      </c>
      <c r="E36" s="399">
        <v>-0.6</v>
      </c>
      <c r="F36" s="16">
        <f t="shared" si="4"/>
        <v>-92880</v>
      </c>
    </row>
    <row r="37" spans="1:6" x14ac:dyDescent="0.25">
      <c r="A37" s="81">
        <f t="shared" si="3"/>
        <v>29</v>
      </c>
      <c r="B37" s="3" t="s">
        <v>5</v>
      </c>
      <c r="C37" s="10"/>
      <c r="D37" s="244"/>
      <c r="E37" s="399"/>
      <c r="F37" s="16"/>
    </row>
    <row r="38" spans="1:6" x14ac:dyDescent="0.25">
      <c r="A38" s="81">
        <f t="shared" si="3"/>
        <v>30</v>
      </c>
      <c r="B38" s="3" t="s">
        <v>7</v>
      </c>
      <c r="C38" s="400"/>
      <c r="D38" s="244"/>
      <c r="E38" s="399"/>
      <c r="F38" s="16"/>
    </row>
    <row r="39" spans="1:6" x14ac:dyDescent="0.25">
      <c r="A39" s="81">
        <f t="shared" si="3"/>
        <v>31</v>
      </c>
      <c r="B39" s="3" t="s">
        <v>8</v>
      </c>
      <c r="C39" s="400"/>
      <c r="D39" s="244"/>
      <c r="E39" s="399"/>
      <c r="F39" s="16"/>
    </row>
    <row r="40" spans="1:6" x14ac:dyDescent="0.25">
      <c r="A40" s="81">
        <f t="shared" si="3"/>
        <v>32</v>
      </c>
      <c r="B40" s="3" t="s">
        <v>114</v>
      </c>
      <c r="C40" s="401"/>
      <c r="D40" s="244"/>
      <c r="E40" s="399"/>
      <c r="F40" s="16"/>
    </row>
    <row r="41" spans="1:6" x14ac:dyDescent="0.25">
      <c r="A41" s="200">
        <f>A40+1</f>
        <v>33</v>
      </c>
      <c r="B41" s="171" t="s">
        <v>9</v>
      </c>
      <c r="C41" s="207"/>
      <c r="D41" s="210"/>
      <c r="E41" s="172"/>
      <c r="F41" s="173">
        <f>SUM(F32:F40)</f>
        <v>-771795.04082872602</v>
      </c>
    </row>
    <row r="42" spans="1:6" s="28" customFormat="1" ht="30" customHeight="1" x14ac:dyDescent="0.25">
      <c r="A42" s="257">
        <f>A41+1</f>
        <v>34</v>
      </c>
      <c r="B42" s="258" t="s">
        <v>119</v>
      </c>
      <c r="C42" s="264"/>
      <c r="D42" s="268"/>
      <c r="E42" s="259"/>
      <c r="F42" s="269">
        <f>SUM(F19,F30,F41)</f>
        <v>65174785.975488909</v>
      </c>
    </row>
    <row r="43" spans="1:6" s="28" customFormat="1" ht="30" customHeight="1" x14ac:dyDescent="0.25">
      <c r="A43" s="271"/>
      <c r="B43" s="276">
        <v>2017</v>
      </c>
      <c r="C43" s="272"/>
      <c r="D43" s="273"/>
      <c r="E43" s="274"/>
      <c r="F43" s="275"/>
    </row>
    <row r="44" spans="1:6" x14ac:dyDescent="0.25">
      <c r="A44" s="255">
        <v>1</v>
      </c>
      <c r="B44" s="239" t="s">
        <v>162</v>
      </c>
      <c r="C44" s="261"/>
      <c r="D44" s="265"/>
      <c r="E44" s="239"/>
      <c r="F44" s="248"/>
    </row>
    <row r="45" spans="1:6" x14ac:dyDescent="0.25">
      <c r="A45" s="81">
        <f t="shared" ref="A45:A64" si="5">A44+1</f>
        <v>2</v>
      </c>
      <c r="B45" s="3" t="s">
        <v>2</v>
      </c>
      <c r="C45" s="394" t="s">
        <v>116</v>
      </c>
      <c r="D45" s="244">
        <f>Summary!F10</f>
        <v>141991</v>
      </c>
      <c r="E45" s="399">
        <f>E10</f>
        <v>16.420000000000002</v>
      </c>
      <c r="F45" s="16">
        <f>D45*E45*12</f>
        <v>27977906.640000001</v>
      </c>
    </row>
    <row r="46" spans="1:6" x14ac:dyDescent="0.25">
      <c r="A46" s="81">
        <f t="shared" si="5"/>
        <v>3</v>
      </c>
      <c r="B46" s="3" t="s">
        <v>111</v>
      </c>
      <c r="C46" s="394" t="s">
        <v>116</v>
      </c>
      <c r="D46" s="244">
        <f>Summary!F11</f>
        <v>12703</v>
      </c>
      <c r="E46" s="399">
        <f t="shared" ref="E46:E53" si="6">E11</f>
        <v>32.25</v>
      </c>
      <c r="F46" s="16">
        <f t="shared" ref="F46:F53" si="7">D46*E46*12</f>
        <v>4916061</v>
      </c>
    </row>
    <row r="47" spans="1:6" x14ac:dyDescent="0.25">
      <c r="A47" s="81">
        <f t="shared" si="5"/>
        <v>4</v>
      </c>
      <c r="B47" s="3" t="s">
        <v>112</v>
      </c>
      <c r="C47" s="394" t="s">
        <v>116</v>
      </c>
      <c r="D47" s="403">
        <f>Summary!F12</f>
        <v>1552</v>
      </c>
      <c r="E47" s="399">
        <f t="shared" si="6"/>
        <v>157.55000000000001</v>
      </c>
      <c r="F47" s="16">
        <f t="shared" si="7"/>
        <v>2934211.2</v>
      </c>
    </row>
    <row r="48" spans="1:6" x14ac:dyDescent="0.25">
      <c r="A48" s="81">
        <f t="shared" si="5"/>
        <v>5</v>
      </c>
      <c r="B48" s="3" t="s">
        <v>207</v>
      </c>
      <c r="C48" s="394" t="s">
        <v>116</v>
      </c>
      <c r="D48" s="244">
        <f>Summary!F14</f>
        <v>4</v>
      </c>
      <c r="E48" s="399">
        <f t="shared" si="6"/>
        <v>2523.9899999999998</v>
      </c>
      <c r="F48" s="16">
        <f t="shared" si="7"/>
        <v>121151.51999999999</v>
      </c>
    </row>
    <row r="49" spans="1:7" x14ac:dyDescent="0.25">
      <c r="A49" s="81">
        <f t="shared" si="5"/>
        <v>6</v>
      </c>
      <c r="B49" s="3" t="s">
        <v>230</v>
      </c>
      <c r="C49" s="394" t="s">
        <v>116</v>
      </c>
      <c r="D49" s="244"/>
      <c r="E49" s="399">
        <f t="shared" si="6"/>
        <v>0</v>
      </c>
      <c r="F49" s="16">
        <f t="shared" si="7"/>
        <v>0</v>
      </c>
    </row>
    <row r="50" spans="1:7" x14ac:dyDescent="0.25">
      <c r="A50" s="81">
        <f t="shared" si="5"/>
        <v>7</v>
      </c>
      <c r="B50" s="3" t="s">
        <v>5</v>
      </c>
      <c r="C50" s="394" t="s">
        <v>116</v>
      </c>
      <c r="D50" s="244">
        <f>Summary!F16</f>
        <v>1</v>
      </c>
      <c r="E50" s="399">
        <f t="shared" si="6"/>
        <v>20286.64</v>
      </c>
      <c r="F50" s="16">
        <f t="shared" si="7"/>
        <v>243439.68</v>
      </c>
    </row>
    <row r="51" spans="1:7" x14ac:dyDescent="0.25">
      <c r="A51" s="81">
        <f t="shared" si="5"/>
        <v>8</v>
      </c>
      <c r="B51" s="3" t="s">
        <v>7</v>
      </c>
      <c r="C51" s="394" t="s">
        <v>164</v>
      </c>
      <c r="D51" s="244">
        <f>Summary!F17</f>
        <v>36048</v>
      </c>
      <c r="E51" s="399">
        <f t="shared" si="6"/>
        <v>1.64</v>
      </c>
      <c r="F51" s="16">
        <f t="shared" si="7"/>
        <v>709424.6399999999</v>
      </c>
    </row>
    <row r="52" spans="1:7" x14ac:dyDescent="0.25">
      <c r="A52" s="81">
        <f t="shared" si="5"/>
        <v>9</v>
      </c>
      <c r="B52" s="3" t="s">
        <v>8</v>
      </c>
      <c r="C52" s="394" t="s">
        <v>164</v>
      </c>
      <c r="D52" s="244">
        <f>Summary!F18</f>
        <v>606</v>
      </c>
      <c r="E52" s="399">
        <f t="shared" si="6"/>
        <v>3.48</v>
      </c>
      <c r="F52" s="16">
        <f t="shared" si="7"/>
        <v>25306.560000000001</v>
      </c>
    </row>
    <row r="53" spans="1:7" x14ac:dyDescent="0.25">
      <c r="A53" s="81">
        <f t="shared" si="5"/>
        <v>10</v>
      </c>
      <c r="B53" s="3" t="s">
        <v>114</v>
      </c>
      <c r="C53" s="397" t="s">
        <v>164</v>
      </c>
      <c r="D53" s="244">
        <f>Summary!F19</f>
        <v>1526</v>
      </c>
      <c r="E53" s="399">
        <f t="shared" si="6"/>
        <v>2.08</v>
      </c>
      <c r="F53" s="16">
        <f t="shared" si="7"/>
        <v>38088.959999999999</v>
      </c>
    </row>
    <row r="54" spans="1:7" x14ac:dyDescent="0.25">
      <c r="A54" s="200">
        <f>A53+1</f>
        <v>11</v>
      </c>
      <c r="B54" s="256" t="s">
        <v>43</v>
      </c>
      <c r="C54" s="262"/>
      <c r="D54" s="210">
        <f>SUM(D45:D53)</f>
        <v>194431</v>
      </c>
      <c r="E54" s="172">
        <f>SUM(E45:E53)</f>
        <v>23024.05</v>
      </c>
      <c r="F54" s="173">
        <f>SUM(F45:F53)</f>
        <v>36965590.20000001</v>
      </c>
    </row>
    <row r="55" spans="1:7" x14ac:dyDescent="0.25">
      <c r="A55" s="255">
        <f t="shared" si="5"/>
        <v>12</v>
      </c>
      <c r="B55" s="252" t="s">
        <v>163</v>
      </c>
      <c r="C55" s="263"/>
      <c r="D55" s="266"/>
      <c r="E55" s="260"/>
      <c r="F55" s="267"/>
    </row>
    <row r="56" spans="1:7" x14ac:dyDescent="0.25">
      <c r="A56" s="81">
        <f t="shared" si="5"/>
        <v>13</v>
      </c>
      <c r="B56" s="3" t="s">
        <v>2</v>
      </c>
      <c r="C56" s="10" t="s">
        <v>14</v>
      </c>
      <c r="D56" s="244">
        <f>'COP Forecast'!I43</f>
        <v>1069466425.5335112</v>
      </c>
      <c r="E56" s="399">
        <f>E21</f>
        <v>1.21E-2</v>
      </c>
      <c r="F56" s="16">
        <f>D56*E56</f>
        <v>12940543.748955484</v>
      </c>
    </row>
    <row r="57" spans="1:7" x14ac:dyDescent="0.25">
      <c r="A57" s="81">
        <f t="shared" si="5"/>
        <v>14</v>
      </c>
      <c r="B57" s="3" t="s">
        <v>111</v>
      </c>
      <c r="C57" s="10" t="s">
        <v>14</v>
      </c>
      <c r="D57" s="244">
        <f>'COP Forecast'!I44</f>
        <v>369565608.88457942</v>
      </c>
      <c r="E57" s="399">
        <f t="shared" ref="E57:E64" si="8">E22</f>
        <v>1.04E-2</v>
      </c>
      <c r="F57" s="16">
        <f t="shared" ref="F57:F64" si="9">D57*E57</f>
        <v>3843482.3323996258</v>
      </c>
    </row>
    <row r="58" spans="1:7" x14ac:dyDescent="0.25">
      <c r="A58" s="81">
        <f t="shared" si="5"/>
        <v>15</v>
      </c>
      <c r="B58" s="3" t="s">
        <v>112</v>
      </c>
      <c r="C58" s="10" t="s">
        <v>41</v>
      </c>
      <c r="D58" s="403">
        <f>'COP Forecast'!I45</f>
        <v>3751052</v>
      </c>
      <c r="E58" s="399">
        <f t="shared" si="8"/>
        <v>2.6297999999999999</v>
      </c>
      <c r="F58" s="16">
        <f t="shared" si="9"/>
        <v>9864516.5495999996</v>
      </c>
      <c r="G58" s="76"/>
    </row>
    <row r="59" spans="1:7" x14ac:dyDescent="0.25">
      <c r="A59" s="81">
        <f t="shared" si="5"/>
        <v>16</v>
      </c>
      <c r="B59" s="3" t="s">
        <v>207</v>
      </c>
      <c r="C59" s="10" t="s">
        <v>41</v>
      </c>
      <c r="D59" s="244">
        <f>'COP Forecast'!I47</f>
        <v>72320.243986216883</v>
      </c>
      <c r="E59" s="399">
        <f t="shared" si="8"/>
        <v>4.4089999999999998</v>
      </c>
      <c r="F59" s="16">
        <f t="shared" si="9"/>
        <v>318859.95573523024</v>
      </c>
      <c r="G59" s="2"/>
    </row>
    <row r="60" spans="1:7" x14ac:dyDescent="0.25">
      <c r="A60" s="81">
        <f t="shared" si="5"/>
        <v>17</v>
      </c>
      <c r="B60" s="3" t="s">
        <v>230</v>
      </c>
      <c r="C60" s="10" t="s">
        <v>41</v>
      </c>
      <c r="D60" s="244">
        <f>'Rate Class Demand Model'!E40</f>
        <v>154800</v>
      </c>
      <c r="E60" s="399">
        <f t="shared" si="8"/>
        <v>3.0486</v>
      </c>
      <c r="F60" s="16">
        <f t="shared" si="9"/>
        <v>471923.27999999997</v>
      </c>
      <c r="G60" s="76"/>
    </row>
    <row r="61" spans="1:7" x14ac:dyDescent="0.25">
      <c r="A61" s="81">
        <f t="shared" si="5"/>
        <v>18</v>
      </c>
      <c r="B61" s="3" t="s">
        <v>5</v>
      </c>
      <c r="C61" s="10" t="s">
        <v>41</v>
      </c>
      <c r="D61" s="244">
        <f>'COP Forecast'!I48</f>
        <v>171301</v>
      </c>
      <c r="E61" s="399">
        <f t="shared" si="8"/>
        <v>2.2002999999999999</v>
      </c>
      <c r="F61" s="16">
        <f t="shared" si="9"/>
        <v>376913.59029999998</v>
      </c>
      <c r="G61" s="76"/>
    </row>
    <row r="62" spans="1:7" x14ac:dyDescent="0.25">
      <c r="A62" s="81">
        <f t="shared" si="5"/>
        <v>19</v>
      </c>
      <c r="B62" s="3" t="s">
        <v>7</v>
      </c>
      <c r="C62" s="10" t="s">
        <v>41</v>
      </c>
      <c r="D62" s="244">
        <f>'COP Forecast'!I49</f>
        <v>54873</v>
      </c>
      <c r="E62" s="399">
        <f t="shared" si="8"/>
        <v>8.5143000000000004</v>
      </c>
      <c r="F62" s="16">
        <f t="shared" si="9"/>
        <v>467205.1839</v>
      </c>
    </row>
    <row r="63" spans="1:7" x14ac:dyDescent="0.25">
      <c r="A63" s="81">
        <f t="shared" si="5"/>
        <v>20</v>
      </c>
      <c r="B63" s="3" t="s">
        <v>8</v>
      </c>
      <c r="C63" s="400" t="s">
        <v>14</v>
      </c>
      <c r="D63" s="244">
        <f>'COP Forecast'!I50</f>
        <v>1882</v>
      </c>
      <c r="E63" s="399">
        <f t="shared" si="8"/>
        <v>11.483700000000001</v>
      </c>
      <c r="F63" s="16">
        <f t="shared" si="9"/>
        <v>21612.323400000001</v>
      </c>
    </row>
    <row r="64" spans="1:7" x14ac:dyDescent="0.25">
      <c r="A64" s="81">
        <f t="shared" si="5"/>
        <v>21</v>
      </c>
      <c r="B64" s="3" t="s">
        <v>114</v>
      </c>
      <c r="C64" s="401" t="s">
        <v>41</v>
      </c>
      <c r="D64" s="244">
        <f>'COP Forecast'!I51</f>
        <v>5414248</v>
      </c>
      <c r="E64" s="399">
        <f t="shared" si="8"/>
        <v>1.7999999999999999E-2</v>
      </c>
      <c r="F64" s="16">
        <f t="shared" si="9"/>
        <v>97456.463999999993</v>
      </c>
    </row>
    <row r="65" spans="1:7" x14ac:dyDescent="0.25">
      <c r="A65" s="200">
        <f>A64+1</f>
        <v>22</v>
      </c>
      <c r="B65" s="171" t="s">
        <v>9</v>
      </c>
      <c r="C65" s="207"/>
      <c r="D65" s="210"/>
      <c r="E65" s="172"/>
      <c r="F65" s="173">
        <f>SUM(F56:F64)</f>
        <v>28402513.428290337</v>
      </c>
    </row>
    <row r="66" spans="1:7" s="28" customFormat="1" x14ac:dyDescent="0.25">
      <c r="A66" s="255">
        <f>A65+1</f>
        <v>23</v>
      </c>
      <c r="B66" s="252" t="s">
        <v>231</v>
      </c>
      <c r="C66" s="263"/>
      <c r="D66" s="266"/>
      <c r="E66" s="260"/>
      <c r="F66" s="267"/>
    </row>
    <row r="67" spans="1:7" x14ac:dyDescent="0.25">
      <c r="A67" s="81">
        <f t="shared" ref="A67:A75" si="10">A66+1</f>
        <v>24</v>
      </c>
      <c r="B67" s="3" t="s">
        <v>2</v>
      </c>
      <c r="C67" s="10"/>
      <c r="D67" s="244"/>
      <c r="E67" s="399"/>
      <c r="F67" s="16"/>
    </row>
    <row r="68" spans="1:7" x14ac:dyDescent="0.25">
      <c r="A68" s="81">
        <f t="shared" si="10"/>
        <v>25</v>
      </c>
      <c r="B68" s="3" t="s">
        <v>111</v>
      </c>
      <c r="C68" s="10"/>
      <c r="D68" s="244"/>
      <c r="E68" s="399"/>
      <c r="F68" s="16"/>
    </row>
    <row r="69" spans="1:7" x14ac:dyDescent="0.25">
      <c r="A69" s="81">
        <f t="shared" si="10"/>
        <v>26</v>
      </c>
      <c r="B69" s="3" t="s">
        <v>112</v>
      </c>
      <c r="C69" s="10" t="s">
        <v>232</v>
      </c>
      <c r="D69" s="403">
        <f>'Transformer Allowance'!D37</f>
        <v>1040565.7832951045</v>
      </c>
      <c r="E69" s="399">
        <v>-0.6</v>
      </c>
      <c r="F69" s="16">
        <f>D69*E69</f>
        <v>-624339.46997706266</v>
      </c>
    </row>
    <row r="70" spans="1:7" x14ac:dyDescent="0.25">
      <c r="A70" s="81">
        <f t="shared" si="10"/>
        <v>27</v>
      </c>
      <c r="B70" s="3" t="s">
        <v>207</v>
      </c>
      <c r="C70" s="10" t="s">
        <v>232</v>
      </c>
      <c r="D70" s="244">
        <f>'Transformer Allowance'!F37</f>
        <v>72320.243986216883</v>
      </c>
      <c r="E70" s="399">
        <v>-0.6</v>
      </c>
      <c r="F70" s="16">
        <f t="shared" ref="F70:F71" si="11">D70*E70</f>
        <v>-43392.14639173013</v>
      </c>
    </row>
    <row r="71" spans="1:7" x14ac:dyDescent="0.25">
      <c r="A71" s="81">
        <f t="shared" si="10"/>
        <v>28</v>
      </c>
      <c r="B71" s="3" t="s">
        <v>230</v>
      </c>
      <c r="C71" s="10" t="s">
        <v>232</v>
      </c>
      <c r="D71" s="244">
        <f>'Transformer Allowance'!E37</f>
        <v>154800</v>
      </c>
      <c r="E71" s="399">
        <v>-0.6</v>
      </c>
      <c r="F71" s="16">
        <f t="shared" si="11"/>
        <v>-92880</v>
      </c>
    </row>
    <row r="72" spans="1:7" x14ac:dyDescent="0.25">
      <c r="A72" s="81">
        <f t="shared" si="10"/>
        <v>29</v>
      </c>
      <c r="B72" s="3" t="s">
        <v>5</v>
      </c>
      <c r="C72" s="10"/>
      <c r="D72" s="244"/>
      <c r="E72" s="399"/>
      <c r="F72" s="16"/>
      <c r="G72" s="254"/>
    </row>
    <row r="73" spans="1:7" x14ac:dyDescent="0.25">
      <c r="A73" s="81">
        <f t="shared" si="10"/>
        <v>30</v>
      </c>
      <c r="B73" s="3" t="s">
        <v>7</v>
      </c>
      <c r="C73" s="10"/>
      <c r="D73" s="244"/>
      <c r="E73" s="399"/>
      <c r="F73" s="16"/>
      <c r="G73" s="254"/>
    </row>
    <row r="74" spans="1:7" x14ac:dyDescent="0.25">
      <c r="A74" s="81">
        <f t="shared" si="10"/>
        <v>31</v>
      </c>
      <c r="B74" s="3" t="s">
        <v>8</v>
      </c>
      <c r="C74" s="400"/>
      <c r="D74" s="244"/>
      <c r="E74" s="399"/>
      <c r="F74" s="16"/>
      <c r="G74" s="254"/>
    </row>
    <row r="75" spans="1:7" x14ac:dyDescent="0.25">
      <c r="A75" s="81">
        <f t="shared" si="10"/>
        <v>32</v>
      </c>
      <c r="B75" s="3" t="s">
        <v>114</v>
      </c>
      <c r="C75" s="401"/>
      <c r="D75" s="244"/>
      <c r="E75" s="399"/>
      <c r="F75" s="16"/>
      <c r="G75" s="254"/>
    </row>
    <row r="76" spans="1:7" x14ac:dyDescent="0.25">
      <c r="A76" s="200">
        <f>A75+1</f>
        <v>33</v>
      </c>
      <c r="B76" s="171" t="s">
        <v>9</v>
      </c>
      <c r="C76" s="207"/>
      <c r="D76" s="210"/>
      <c r="E76" s="172"/>
      <c r="F76" s="173">
        <f>SUM(F67:F75)</f>
        <v>-760611.61636879283</v>
      </c>
      <c r="G76" s="254"/>
    </row>
    <row r="77" spans="1:7" ht="24.75" customHeight="1" x14ac:dyDescent="0.25">
      <c r="A77" s="257">
        <f>A76+1</f>
        <v>34</v>
      </c>
      <c r="B77" s="258" t="s">
        <v>119</v>
      </c>
      <c r="C77" s="264"/>
      <c r="D77" s="268"/>
      <c r="E77" s="259"/>
      <c r="F77" s="269">
        <f>SUM(F54,F65,F76)</f>
        <v>64607492.011921555</v>
      </c>
      <c r="G77" s="254"/>
    </row>
    <row r="78" spans="1:7" x14ac:dyDescent="0.25">
      <c r="G78" s="254"/>
    </row>
    <row r="79" spans="1:7" x14ac:dyDescent="0.25">
      <c r="G79" s="254"/>
    </row>
    <row r="80" spans="1:7" x14ac:dyDescent="0.25">
      <c r="G80" s="254"/>
    </row>
    <row r="81" spans="7:7" x14ac:dyDescent="0.25">
      <c r="G81" s="254"/>
    </row>
  </sheetData>
  <pageMargins left="0.7" right="0.7" top="0.75" bottom="0.75" header="0.3" footer="0.3"/>
  <pageSetup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79"/>
  <sheetViews>
    <sheetView showGridLines="0" zoomScaleNormal="100" workbookViewId="0">
      <pane xSplit="2" ySplit="5" topLeftCell="C69" activePane="bottomRight" state="frozen"/>
      <selection pane="topRight" activeCell="C1" sqref="C1"/>
      <selection pane="bottomLeft" activeCell="A6" sqref="A6"/>
      <selection pane="bottomRight" activeCell="G78" sqref="G78"/>
    </sheetView>
  </sheetViews>
  <sheetFormatPr defaultRowHeight="15" x14ac:dyDescent="0.25"/>
  <cols>
    <col min="1" max="2" width="13.7109375" customWidth="1"/>
    <col min="3" max="5" width="13.7109375" style="1" customWidth="1"/>
    <col min="7" max="7" width="13.28515625" bestFit="1" customWidth="1"/>
  </cols>
  <sheetData>
    <row r="1" spans="1:8" ht="18.75" x14ac:dyDescent="0.3">
      <c r="A1" s="24" t="s">
        <v>0</v>
      </c>
      <c r="B1" s="24"/>
      <c r="C1" s="65"/>
      <c r="D1" s="64"/>
      <c r="E1" s="64"/>
    </row>
    <row r="2" spans="1:8" ht="18.75" x14ac:dyDescent="0.3">
      <c r="A2" s="24" t="s">
        <v>1</v>
      </c>
      <c r="B2" s="24"/>
      <c r="C2" s="65"/>
      <c r="D2" s="64"/>
      <c r="E2" s="64"/>
    </row>
    <row r="3" spans="1:8" ht="19.5" thickBot="1" x14ac:dyDescent="0.35">
      <c r="A3" s="26" t="s">
        <v>53</v>
      </c>
      <c r="B3" s="26"/>
      <c r="C3" s="66"/>
      <c r="D3" s="67"/>
      <c r="E3" s="67"/>
    </row>
    <row r="5" spans="1:8" ht="15.75" x14ac:dyDescent="0.25">
      <c r="A5" s="73" t="s">
        <v>10</v>
      </c>
      <c r="B5" s="73" t="s">
        <v>13</v>
      </c>
      <c r="C5" s="74" t="s">
        <v>74</v>
      </c>
      <c r="D5" s="74" t="s">
        <v>75</v>
      </c>
      <c r="E5" s="74" t="s">
        <v>9</v>
      </c>
    </row>
    <row r="6" spans="1:8" x14ac:dyDescent="0.25">
      <c r="A6" s="3">
        <v>2012</v>
      </c>
      <c r="B6" s="3" t="s">
        <v>56</v>
      </c>
      <c r="C6" s="5"/>
      <c r="D6" s="5"/>
      <c r="E6" s="5"/>
      <c r="G6">
        <v>518.64</v>
      </c>
      <c r="H6">
        <v>2104.15</v>
      </c>
    </row>
    <row r="7" spans="1:8" x14ac:dyDescent="0.25">
      <c r="A7" s="3">
        <v>2012</v>
      </c>
      <c r="B7" s="3" t="s">
        <v>57</v>
      </c>
      <c r="C7" s="5"/>
      <c r="D7" s="5"/>
      <c r="E7" s="5"/>
      <c r="G7">
        <v>496.98</v>
      </c>
      <c r="H7">
        <v>2061.9699999999998</v>
      </c>
    </row>
    <row r="8" spans="1:8" x14ac:dyDescent="0.25">
      <c r="A8" s="3">
        <v>2012</v>
      </c>
      <c r="B8" s="3" t="s">
        <v>58</v>
      </c>
      <c r="C8" s="5"/>
      <c r="D8" s="5"/>
      <c r="E8" s="5"/>
      <c r="G8">
        <v>519.04</v>
      </c>
      <c r="H8">
        <v>2433.21</v>
      </c>
    </row>
    <row r="9" spans="1:8" x14ac:dyDescent="0.25">
      <c r="A9" s="3">
        <v>2012</v>
      </c>
      <c r="B9" s="3" t="s">
        <v>59</v>
      </c>
      <c r="C9" s="5"/>
      <c r="D9" s="5"/>
      <c r="E9" s="5"/>
      <c r="G9">
        <v>527.66</v>
      </c>
      <c r="H9">
        <v>2221.08</v>
      </c>
    </row>
    <row r="10" spans="1:8" x14ac:dyDescent="0.25">
      <c r="A10" s="3">
        <v>2012</v>
      </c>
      <c r="B10" s="3" t="s">
        <v>68</v>
      </c>
      <c r="C10" s="5"/>
      <c r="D10" s="5"/>
      <c r="E10" s="5"/>
      <c r="G10">
        <v>553.79</v>
      </c>
      <c r="H10">
        <v>2203.9299999999998</v>
      </c>
    </row>
    <row r="11" spans="1:8" x14ac:dyDescent="0.25">
      <c r="A11" s="3">
        <v>2012</v>
      </c>
      <c r="B11" s="3" t="s">
        <v>61</v>
      </c>
      <c r="C11" s="5"/>
      <c r="D11" s="5"/>
      <c r="E11" s="5"/>
      <c r="G11">
        <v>619.23</v>
      </c>
      <c r="H11">
        <v>1740.81</v>
      </c>
    </row>
    <row r="12" spans="1:8" x14ac:dyDescent="0.25">
      <c r="A12" s="3">
        <v>2012</v>
      </c>
      <c r="B12" s="3" t="s">
        <v>62</v>
      </c>
      <c r="C12" s="5">
        <v>74737.39</v>
      </c>
      <c r="D12" s="5"/>
      <c r="E12" s="5">
        <f t="shared" ref="E12:E41" si="0">SUM(C12:D12)</f>
        <v>74737.39</v>
      </c>
      <c r="G12">
        <v>688.25</v>
      </c>
      <c r="H12">
        <v>1529.86</v>
      </c>
    </row>
    <row r="13" spans="1:8" x14ac:dyDescent="0.25">
      <c r="A13" s="3">
        <v>2012</v>
      </c>
      <c r="B13" s="3" t="s">
        <v>63</v>
      </c>
      <c r="C13" s="5">
        <v>357467.14</v>
      </c>
      <c r="D13" s="5"/>
      <c r="E13" s="5">
        <f t="shared" si="0"/>
        <v>357467.14</v>
      </c>
      <c r="G13">
        <v>706.44</v>
      </c>
      <c r="H13">
        <v>2462.25</v>
      </c>
    </row>
    <row r="14" spans="1:8" x14ac:dyDescent="0.25">
      <c r="A14" s="3">
        <v>2012</v>
      </c>
      <c r="B14" s="3" t="s">
        <v>64</v>
      </c>
      <c r="C14" s="5">
        <v>403916.21</v>
      </c>
      <c r="D14" s="5"/>
      <c r="E14" s="5">
        <f t="shared" si="0"/>
        <v>403916.21</v>
      </c>
      <c r="G14">
        <v>699.9</v>
      </c>
    </row>
    <row r="15" spans="1:8" x14ac:dyDescent="0.25">
      <c r="A15" s="3">
        <v>2012</v>
      </c>
      <c r="B15" s="3" t="s">
        <v>65</v>
      </c>
      <c r="C15" s="5">
        <v>360856.57</v>
      </c>
      <c r="D15" s="5"/>
      <c r="E15" s="5">
        <f t="shared" si="0"/>
        <v>360856.57</v>
      </c>
      <c r="G15">
        <v>713.29</v>
      </c>
    </row>
    <row r="16" spans="1:8" x14ac:dyDescent="0.25">
      <c r="A16" s="3">
        <v>2012</v>
      </c>
      <c r="B16" s="3" t="s">
        <v>66</v>
      </c>
      <c r="C16" s="5">
        <v>345522.85</v>
      </c>
      <c r="D16" s="5"/>
      <c r="E16" s="5">
        <f t="shared" si="0"/>
        <v>345522.85</v>
      </c>
      <c r="G16">
        <v>683.63</v>
      </c>
    </row>
    <row r="17" spans="1:7" x14ac:dyDescent="0.25">
      <c r="A17" s="3">
        <v>2012</v>
      </c>
      <c r="B17" s="3" t="s">
        <v>67</v>
      </c>
      <c r="C17" s="5">
        <v>319828.12</v>
      </c>
      <c r="D17" s="5"/>
      <c r="E17" s="5">
        <f t="shared" si="0"/>
        <v>319828.12</v>
      </c>
      <c r="G17">
        <v>613.13</v>
      </c>
    </row>
    <row r="18" spans="1:7" x14ac:dyDescent="0.25">
      <c r="A18" s="3">
        <v>2013</v>
      </c>
      <c r="B18" s="3" t="s">
        <v>56</v>
      </c>
      <c r="C18" s="5">
        <v>342215.98</v>
      </c>
      <c r="D18" s="5"/>
      <c r="E18" s="5">
        <f t="shared" si="0"/>
        <v>342215.98</v>
      </c>
      <c r="G18">
        <v>512.32000000000005</v>
      </c>
    </row>
    <row r="19" spans="1:7" x14ac:dyDescent="0.25">
      <c r="A19" s="3">
        <v>2013</v>
      </c>
      <c r="B19" s="3" t="s">
        <v>57</v>
      </c>
      <c r="C19" s="5">
        <v>327976.34000000003</v>
      </c>
      <c r="D19" s="5"/>
      <c r="E19" s="5">
        <f t="shared" si="0"/>
        <v>327976.34000000003</v>
      </c>
      <c r="G19">
        <v>504.38</v>
      </c>
    </row>
    <row r="20" spans="1:7" x14ac:dyDescent="0.25">
      <c r="A20" s="3">
        <v>2013</v>
      </c>
      <c r="B20" s="3" t="s">
        <v>58</v>
      </c>
      <c r="C20" s="5">
        <v>285028.32</v>
      </c>
      <c r="D20" s="5"/>
      <c r="E20" s="5">
        <f t="shared" si="0"/>
        <v>285028.32</v>
      </c>
      <c r="G20">
        <v>518.77</v>
      </c>
    </row>
    <row r="21" spans="1:7" x14ac:dyDescent="0.25">
      <c r="A21" s="3">
        <v>2013</v>
      </c>
      <c r="B21" s="3" t="s">
        <v>59</v>
      </c>
      <c r="C21" s="5">
        <v>315529.03000000003</v>
      </c>
      <c r="D21" s="5"/>
      <c r="E21" s="5">
        <f t="shared" si="0"/>
        <v>315529.03000000003</v>
      </c>
      <c r="G21">
        <v>534.20000000000005</v>
      </c>
    </row>
    <row r="22" spans="1:7" x14ac:dyDescent="0.25">
      <c r="A22" s="3">
        <v>2013</v>
      </c>
      <c r="B22" s="3" t="s">
        <v>68</v>
      </c>
      <c r="C22" s="5">
        <v>318430.2</v>
      </c>
      <c r="D22" s="5"/>
      <c r="E22" s="5">
        <f t="shared" si="0"/>
        <v>318430.2</v>
      </c>
      <c r="G22">
        <v>547.87</v>
      </c>
    </row>
    <row r="23" spans="1:7" x14ac:dyDescent="0.25">
      <c r="A23" s="3">
        <v>2013</v>
      </c>
      <c r="B23" s="3" t="s">
        <v>61</v>
      </c>
      <c r="C23" s="5">
        <v>370097.98</v>
      </c>
      <c r="D23" s="5"/>
      <c r="E23" s="5">
        <f t="shared" si="0"/>
        <v>370097.98</v>
      </c>
      <c r="G23">
        <v>666.32</v>
      </c>
    </row>
    <row r="24" spans="1:7" x14ac:dyDescent="0.25">
      <c r="A24" s="3">
        <v>2013</v>
      </c>
      <c r="B24" s="3" t="s">
        <v>62</v>
      </c>
      <c r="C24" s="5">
        <v>390317.12</v>
      </c>
      <c r="D24" s="5"/>
      <c r="E24" s="5">
        <f t="shared" si="0"/>
        <v>390317.12</v>
      </c>
      <c r="G24">
        <v>764.12</v>
      </c>
    </row>
    <row r="25" spans="1:7" x14ac:dyDescent="0.25">
      <c r="A25" s="3">
        <v>2013</v>
      </c>
      <c r="B25" s="3" t="s">
        <v>63</v>
      </c>
      <c r="C25" s="5">
        <v>422035.93</v>
      </c>
      <c r="D25" s="5"/>
      <c r="E25" s="5">
        <f t="shared" si="0"/>
        <v>422035.93</v>
      </c>
      <c r="G25">
        <v>733.9</v>
      </c>
    </row>
    <row r="26" spans="1:7" x14ac:dyDescent="0.25">
      <c r="A26" s="3">
        <v>2013</v>
      </c>
      <c r="B26" s="3" t="s">
        <v>64</v>
      </c>
      <c r="C26" s="5">
        <v>402643.29</v>
      </c>
      <c r="D26" s="5"/>
      <c r="E26" s="5">
        <f t="shared" si="0"/>
        <v>402643.29</v>
      </c>
      <c r="G26">
        <v>769.94</v>
      </c>
    </row>
    <row r="27" spans="1:7" x14ac:dyDescent="0.25">
      <c r="A27" s="3">
        <v>2013</v>
      </c>
      <c r="B27" s="3" t="s">
        <v>65</v>
      </c>
      <c r="C27" s="5">
        <v>361475.37</v>
      </c>
      <c r="D27" s="5"/>
      <c r="E27" s="5">
        <f t="shared" si="0"/>
        <v>361475.37</v>
      </c>
      <c r="G27">
        <v>770.96</v>
      </c>
    </row>
    <row r="28" spans="1:7" x14ac:dyDescent="0.25">
      <c r="A28" s="3">
        <v>2013</v>
      </c>
      <c r="B28" s="3" t="s">
        <v>66</v>
      </c>
      <c r="C28" s="5">
        <v>348244.32</v>
      </c>
      <c r="D28" s="5"/>
      <c r="E28" s="5">
        <f t="shared" si="0"/>
        <v>348244.32</v>
      </c>
      <c r="G28">
        <v>736.76</v>
      </c>
    </row>
    <row r="29" spans="1:7" x14ac:dyDescent="0.25">
      <c r="A29" s="3">
        <v>2013</v>
      </c>
      <c r="B29" s="3" t="s">
        <v>67</v>
      </c>
      <c r="C29" s="5">
        <v>316294.63</v>
      </c>
      <c r="D29" s="5"/>
      <c r="E29" s="5">
        <f t="shared" si="0"/>
        <v>316294.63</v>
      </c>
      <c r="G29">
        <v>660.06</v>
      </c>
    </row>
    <row r="30" spans="1:7" x14ac:dyDescent="0.25">
      <c r="A30" s="3">
        <v>2014</v>
      </c>
      <c r="B30" s="3" t="s">
        <v>56</v>
      </c>
      <c r="C30" s="5">
        <v>338538.32</v>
      </c>
      <c r="D30" s="5"/>
      <c r="E30" s="5">
        <f t="shared" si="0"/>
        <v>338538.32</v>
      </c>
      <c r="G30">
        <v>531.9</v>
      </c>
    </row>
    <row r="31" spans="1:7" x14ac:dyDescent="0.25">
      <c r="A31" s="3">
        <v>2014</v>
      </c>
      <c r="B31" s="3" t="s">
        <v>57</v>
      </c>
      <c r="C31" s="5">
        <v>324111.21000000002</v>
      </c>
      <c r="D31" s="5"/>
      <c r="E31" s="5">
        <f t="shared" si="0"/>
        <v>324111.21000000002</v>
      </c>
      <c r="G31">
        <v>515.74</v>
      </c>
    </row>
    <row r="32" spans="1:7" x14ac:dyDescent="0.25">
      <c r="A32" s="3">
        <v>2014</v>
      </c>
      <c r="B32" s="3" t="s">
        <v>58</v>
      </c>
      <c r="C32" s="5">
        <v>284822.09999999998</v>
      </c>
      <c r="D32" s="5"/>
      <c r="E32" s="5">
        <f t="shared" si="0"/>
        <v>284822.09999999998</v>
      </c>
      <c r="G32">
        <v>543.85</v>
      </c>
    </row>
    <row r="33" spans="1:12" x14ac:dyDescent="0.25">
      <c r="A33" s="3">
        <v>2014</v>
      </c>
      <c r="B33" s="3" t="s">
        <v>59</v>
      </c>
      <c r="C33" s="5">
        <v>315535.26</v>
      </c>
      <c r="D33" s="5"/>
      <c r="E33" s="5">
        <f t="shared" si="0"/>
        <v>315535.26</v>
      </c>
      <c r="G33">
        <v>557.83000000000004</v>
      </c>
    </row>
    <row r="34" spans="1:12" x14ac:dyDescent="0.25">
      <c r="A34" s="3">
        <v>2014</v>
      </c>
      <c r="B34" s="3" t="s">
        <v>68</v>
      </c>
      <c r="C34" s="5">
        <v>317535.92</v>
      </c>
      <c r="D34" s="5"/>
      <c r="E34" s="5">
        <f t="shared" si="0"/>
        <v>317535.92</v>
      </c>
      <c r="G34">
        <v>559.02</v>
      </c>
    </row>
    <row r="35" spans="1:12" x14ac:dyDescent="0.25">
      <c r="A35" s="3">
        <v>2014</v>
      </c>
      <c r="B35" s="3" t="s">
        <v>61</v>
      </c>
      <c r="C35" s="5">
        <v>354601.21</v>
      </c>
      <c r="D35" s="5"/>
      <c r="E35" s="5">
        <f t="shared" si="0"/>
        <v>354601.21</v>
      </c>
      <c r="G35">
        <v>638.95000000000005</v>
      </c>
    </row>
    <row r="36" spans="1:12" x14ac:dyDescent="0.25">
      <c r="A36" s="3">
        <v>2014</v>
      </c>
      <c r="B36" s="3" t="s">
        <v>62</v>
      </c>
      <c r="C36" s="5">
        <v>381552.06</v>
      </c>
      <c r="D36" s="5"/>
      <c r="E36" s="5">
        <f t="shared" si="0"/>
        <v>381552.06</v>
      </c>
      <c r="G36">
        <v>698.95</v>
      </c>
    </row>
    <row r="37" spans="1:12" x14ac:dyDescent="0.25">
      <c r="A37" s="3">
        <v>2014</v>
      </c>
      <c r="B37" s="3" t="s">
        <v>63</v>
      </c>
      <c r="C37" s="5">
        <v>387954.8</v>
      </c>
      <c r="D37" s="5"/>
      <c r="E37" s="5">
        <f t="shared" si="0"/>
        <v>387954.8</v>
      </c>
      <c r="G37">
        <v>759.43</v>
      </c>
    </row>
    <row r="38" spans="1:12" x14ac:dyDescent="0.25">
      <c r="A38" s="3">
        <v>2014</v>
      </c>
      <c r="B38" s="3" t="s">
        <v>64</v>
      </c>
      <c r="C38" s="5">
        <v>396158.93</v>
      </c>
      <c r="D38" s="5">
        <v>454713.28</v>
      </c>
      <c r="E38" s="5">
        <f t="shared" si="0"/>
        <v>850872.21</v>
      </c>
      <c r="G38">
        <v>757.92</v>
      </c>
    </row>
    <row r="39" spans="1:12" x14ac:dyDescent="0.25">
      <c r="A39" s="3">
        <v>2014</v>
      </c>
      <c r="B39" s="3" t="s">
        <v>65</v>
      </c>
      <c r="C39" s="5">
        <v>358649.47</v>
      </c>
      <c r="D39" s="5">
        <v>404007.62</v>
      </c>
      <c r="E39" s="5">
        <f t="shared" si="0"/>
        <v>762657.09</v>
      </c>
      <c r="G39">
        <v>783.36</v>
      </c>
    </row>
    <row r="40" spans="1:12" x14ac:dyDescent="0.25">
      <c r="A40" s="3">
        <v>2014</v>
      </c>
      <c r="B40" s="3" t="s">
        <v>66</v>
      </c>
      <c r="C40" s="5">
        <v>341589.21</v>
      </c>
      <c r="D40" s="5">
        <v>366238.71999999997</v>
      </c>
      <c r="E40" s="5">
        <f t="shared" si="0"/>
        <v>707827.92999999993</v>
      </c>
    </row>
    <row r="41" spans="1:12" x14ac:dyDescent="0.25">
      <c r="A41" s="3">
        <v>2014</v>
      </c>
      <c r="B41" s="3" t="s">
        <v>67</v>
      </c>
      <c r="C41" s="5">
        <v>281523.98</v>
      </c>
      <c r="D41" s="5">
        <v>522494.43</v>
      </c>
      <c r="E41" s="5">
        <f t="shared" si="0"/>
        <v>804018.40999999992</v>
      </c>
    </row>
    <row r="42" spans="1:12" x14ac:dyDescent="0.25">
      <c r="A42" s="3">
        <v>2015</v>
      </c>
      <c r="B42" s="3" t="s">
        <v>56</v>
      </c>
      <c r="C42" s="5">
        <f>(SUM(C$30:C$41)*'Rate Class Energy Model'!$D$41)*C30/(SUM(C$30:C$41))</f>
        <v>338561.92846263264</v>
      </c>
      <c r="D42" s="5">
        <v>549982.03</v>
      </c>
      <c r="E42" s="5">
        <f t="shared" ref="E42:E65" si="1">SUM(C42:D42)</f>
        <v>888543.95846263273</v>
      </c>
      <c r="K42" s="1">
        <v>333660.86</v>
      </c>
      <c r="L42" s="1">
        <v>549982.03</v>
      </c>
    </row>
    <row r="43" spans="1:12" x14ac:dyDescent="0.25">
      <c r="A43" s="3">
        <v>2015</v>
      </c>
      <c r="B43" s="3" t="s">
        <v>57</v>
      </c>
      <c r="C43" s="5">
        <f>(SUM(C$30:C$41)*'Rate Class Energy Model'!$D$41)*C31/(SUM(C$30:C$41))</f>
        <v>324133.81236711197</v>
      </c>
      <c r="D43" s="5">
        <v>557403.30000000005</v>
      </c>
      <c r="E43" s="5">
        <f t="shared" si="1"/>
        <v>881537.11236711196</v>
      </c>
      <c r="K43" s="1">
        <v>319169.96999999997</v>
      </c>
      <c r="L43" s="1">
        <v>557403.30000000005</v>
      </c>
    </row>
    <row r="44" spans="1:12" x14ac:dyDescent="0.25">
      <c r="A44" s="3">
        <v>2015</v>
      </c>
      <c r="B44" s="3" t="s">
        <v>58</v>
      </c>
      <c r="C44" s="5">
        <f>(SUM(C$30:C$41)*'Rate Class Energy Model'!$D$41)*C32/(SUM(C$30:C$41))</f>
        <v>284841.962483824</v>
      </c>
      <c r="D44" s="5">
        <v>327524.89</v>
      </c>
      <c r="E44" s="5">
        <f t="shared" si="1"/>
        <v>612366.85248382401</v>
      </c>
      <c r="G44" s="76">
        <f>SUM(D38:D41)</f>
        <v>1747454.05</v>
      </c>
      <c r="K44" s="1">
        <v>285079.36</v>
      </c>
      <c r="L44" s="1">
        <v>327524.89</v>
      </c>
    </row>
    <row r="45" spans="1:12" x14ac:dyDescent="0.25">
      <c r="A45" s="3">
        <v>2015</v>
      </c>
      <c r="B45" s="3" t="s">
        <v>59</v>
      </c>
      <c r="C45" s="5">
        <f>(SUM(C$30:C$41)*'Rate Class Energy Model'!$D$41)*C33/(SUM(C$30:C$41))</f>
        <v>315557.26431075274</v>
      </c>
      <c r="D45" s="5">
        <v>319225.11</v>
      </c>
      <c r="E45" s="5">
        <f t="shared" si="1"/>
        <v>634782.37431075273</v>
      </c>
      <c r="K45" s="1">
        <v>320064.61</v>
      </c>
      <c r="L45" s="1">
        <v>319225.11</v>
      </c>
    </row>
    <row r="46" spans="1:12" x14ac:dyDescent="0.25">
      <c r="A46" s="3">
        <v>2015</v>
      </c>
      <c r="B46" s="3" t="s">
        <v>60</v>
      </c>
      <c r="C46" s="5">
        <f>(SUM(C$30:C$41)*'Rate Class Energy Model'!$D$41)*C34/(SUM(C$30:C$41))</f>
        <v>317558.06382969068</v>
      </c>
      <c r="D46" s="71">
        <f>D45</f>
        <v>319225.11</v>
      </c>
      <c r="E46" s="5">
        <f t="shared" si="1"/>
        <v>636783.17382969067</v>
      </c>
    </row>
    <row r="47" spans="1:12" x14ac:dyDescent="0.25">
      <c r="A47" s="3">
        <v>2015</v>
      </c>
      <c r="B47" s="3" t="s">
        <v>61</v>
      </c>
      <c r="C47" s="5">
        <f>(SUM(C$30:C$41)*'Rate Class Energy Model'!$D$41)*C35/(SUM(C$30:C$41))</f>
        <v>354625.93863165326</v>
      </c>
      <c r="D47" s="71">
        <f>D39</f>
        <v>404007.62</v>
      </c>
      <c r="E47" s="5">
        <f t="shared" si="1"/>
        <v>758633.5586316532</v>
      </c>
    </row>
    <row r="48" spans="1:12" x14ac:dyDescent="0.25">
      <c r="A48" s="3">
        <v>2015</v>
      </c>
      <c r="B48" s="3" t="s">
        <v>62</v>
      </c>
      <c r="C48" s="5">
        <f>(SUM(C$30:C$41)*'Rate Class Energy Model'!$D$41)*C36/(SUM(C$30:C$41))</f>
        <v>381578.66808841645</v>
      </c>
      <c r="D48" s="71">
        <f>D40</f>
        <v>366238.71999999997</v>
      </c>
      <c r="E48" s="5">
        <f t="shared" si="1"/>
        <v>747817.38808841642</v>
      </c>
    </row>
    <row r="49" spans="1:5" x14ac:dyDescent="0.25">
      <c r="A49" s="3">
        <v>2015</v>
      </c>
      <c r="B49" s="3" t="s">
        <v>63</v>
      </c>
      <c r="C49" s="5">
        <f>(SUM(C$30:C$41)*'Rate Class Energy Model'!$D$41)*C37/(SUM(C$30:C$41))</f>
        <v>387981.85459281225</v>
      </c>
      <c r="D49" s="71">
        <f>D38</f>
        <v>454713.28</v>
      </c>
      <c r="E49" s="5">
        <f t="shared" si="1"/>
        <v>842695.13459281228</v>
      </c>
    </row>
    <row r="50" spans="1:5" x14ac:dyDescent="0.25">
      <c r="A50" s="3">
        <v>2015</v>
      </c>
      <c r="B50" s="3" t="s">
        <v>64</v>
      </c>
      <c r="C50" s="5">
        <f>(SUM(C$30:C$41)*'Rate Class Energy Model'!$D$41)*C38/(SUM(C$30:C$41))</f>
        <v>396186.55671976245</v>
      </c>
      <c r="D50" s="5">
        <f>(SUM(D$38:D$49)*'Rate Class Energy Model'!$D$41)*D38/(SUM(D$38:D$49))</f>
        <v>454744.99009261071</v>
      </c>
      <c r="E50" s="5">
        <f t="shared" si="1"/>
        <v>850931.54681237321</v>
      </c>
    </row>
    <row r="51" spans="1:5" x14ac:dyDescent="0.25">
      <c r="A51" s="3">
        <v>2015</v>
      </c>
      <c r="B51" s="3" t="s">
        <v>65</v>
      </c>
      <c r="C51" s="5">
        <f>(SUM(C$30:C$41)*'Rate Class Energy Model'!$D$41)*C39/(SUM(C$30:C$41))</f>
        <v>358674.48094295821</v>
      </c>
      <c r="D51" s="5">
        <f>(SUM(D$38:D$49)*'Rate Class Energy Model'!$D$41)*D39/(SUM(D$38:D$49))</f>
        <v>404035.79405958677</v>
      </c>
      <c r="E51" s="5">
        <f t="shared" si="1"/>
        <v>762710.27500254498</v>
      </c>
    </row>
    <row r="52" spans="1:5" x14ac:dyDescent="0.25">
      <c r="A52" s="3">
        <v>2015</v>
      </c>
      <c r="B52" s="3" t="s">
        <v>66</v>
      </c>
      <c r="C52" s="5">
        <f>(SUM(C$30:C$41)*'Rate Class Energy Model'!$D$41)*C40/(SUM(C$30:C$41))</f>
        <v>341613.03122088866</v>
      </c>
      <c r="D52" s="5">
        <f>(SUM(D$38:D$49)*'Rate Class Energy Model'!$D$41)*D40/(SUM(D$38:D$49))</f>
        <v>366264.26019035641</v>
      </c>
      <c r="E52" s="5">
        <f t="shared" si="1"/>
        <v>707877.29141124501</v>
      </c>
    </row>
    <row r="53" spans="1:5" x14ac:dyDescent="0.25">
      <c r="A53" s="3">
        <v>2015</v>
      </c>
      <c r="B53" s="3" t="s">
        <v>67</v>
      </c>
      <c r="C53" s="5">
        <f>(SUM(C$30:C$41)*'Rate Class Energy Model'!$D$41)*C41/(SUM(C$30:C$41))</f>
        <v>281543.61248462391</v>
      </c>
      <c r="D53" s="5">
        <f>(SUM(D$38:D$49)*'Rate Class Energy Model'!$D$41)*D41/(SUM(D$38:D$49))</f>
        <v>522530.86690979043</v>
      </c>
      <c r="E53" s="5">
        <f t="shared" si="1"/>
        <v>804074.47939441435</v>
      </c>
    </row>
    <row r="54" spans="1:5" x14ac:dyDescent="0.25">
      <c r="A54" s="3">
        <v>2016</v>
      </c>
      <c r="B54" s="3" t="s">
        <v>56</v>
      </c>
      <c r="C54" s="5">
        <f>(SUM(C$42:C$53)*'Rate Class Energy Model'!$D$41)*C42/(SUM(C$42:C$53))</f>
        <v>338585.53857163584</v>
      </c>
      <c r="D54" s="5">
        <f>(SUM(D$38:D$49)*'Rate Class Energy Model'!$D$41)*D42/(SUM(D$38:D$49))</f>
        <v>550020.38379759644</v>
      </c>
      <c r="E54" s="5">
        <f t="shared" si="1"/>
        <v>888605.92236923228</v>
      </c>
    </row>
    <row r="55" spans="1:5" x14ac:dyDescent="0.25">
      <c r="A55" s="3">
        <v>2016</v>
      </c>
      <c r="B55" s="3" t="s">
        <v>57</v>
      </c>
      <c r="C55" s="5">
        <f>(SUM(C$42:C$53)*'Rate Class Energy Model'!$D$41)*C43/(SUM(C$42:C$53))</f>
        <v>324156.41631043289</v>
      </c>
      <c r="D55" s="5">
        <f>(SUM(D$38:D$49)*'Rate Class Energy Model'!$D$41)*D43/(SUM(D$38:D$49))</f>
        <v>557442.17133066477</v>
      </c>
      <c r="E55" s="5">
        <f t="shared" si="1"/>
        <v>881598.58764109761</v>
      </c>
    </row>
    <row r="56" spans="1:5" x14ac:dyDescent="0.25">
      <c r="A56" s="3">
        <v>2016</v>
      </c>
      <c r="B56" s="3" t="s">
        <v>58</v>
      </c>
      <c r="C56" s="5">
        <f>(SUM(C$42:C$53)*'Rate Class Energy Model'!$D$41)*C44/(SUM(C$42:C$53))</f>
        <v>284861.8263527872</v>
      </c>
      <c r="D56" s="5">
        <f>(SUM(D$38:D$49)*'Rate Class Energy Model'!$D$41)*D44/(SUM(D$38:D$49))</f>
        <v>327547.73042505688</v>
      </c>
      <c r="E56" s="5">
        <f t="shared" si="1"/>
        <v>612409.55677784409</v>
      </c>
    </row>
    <row r="57" spans="1:5" x14ac:dyDescent="0.25">
      <c r="A57" s="3">
        <v>2016</v>
      </c>
      <c r="B57" s="3" t="s">
        <v>59</v>
      </c>
      <c r="C57" s="5">
        <f>(SUM(C$42:C$53)*'Rate Class Energy Model'!$D$41)*C45/(SUM(C$42:C$53))</f>
        <v>315579.27015600813</v>
      </c>
      <c r="D57" s="5">
        <f>(SUM(D$38:D$49)*'Rate Class Energy Model'!$D$41)*D45/(SUM(D$38:D$49))</f>
        <v>319247.37162781466</v>
      </c>
      <c r="E57" s="5">
        <f t="shared" si="1"/>
        <v>634826.64178382279</v>
      </c>
    </row>
    <row r="58" spans="1:5" x14ac:dyDescent="0.25">
      <c r="A58" s="3">
        <v>2016</v>
      </c>
      <c r="B58" s="3" t="s">
        <v>60</v>
      </c>
      <c r="C58" s="5">
        <f>(SUM(C$42:C$53)*'Rate Class Energy Model'!$D$41)*C46/(SUM(C$42:C$53))</f>
        <v>317580.20920361357</v>
      </c>
      <c r="D58" s="5">
        <f>(SUM(D$38:D$49)*'Rate Class Energy Model'!$D$41)*D46/(SUM(D$38:D$49))</f>
        <v>319247.37162781466</v>
      </c>
      <c r="E58" s="5">
        <f t="shared" si="1"/>
        <v>636827.58083142829</v>
      </c>
    </row>
    <row r="59" spans="1:5" x14ac:dyDescent="0.25">
      <c r="A59" s="3">
        <v>2016</v>
      </c>
      <c r="B59" s="3" t="s">
        <v>61</v>
      </c>
      <c r="C59" s="5">
        <f>(SUM(C$42:C$53)*'Rate Class Energy Model'!$D$41)*C47/(SUM(C$42:C$53))</f>
        <v>354650.66898779356</v>
      </c>
      <c r="D59" s="5">
        <f>(SUM(D$38:D$49)*'Rate Class Energy Model'!$D$41)*D47/(SUM(D$38:D$49))</f>
        <v>404035.79405958677</v>
      </c>
      <c r="E59" s="5">
        <f t="shared" si="1"/>
        <v>758686.46304738033</v>
      </c>
    </row>
    <row r="60" spans="1:5" x14ac:dyDescent="0.25">
      <c r="A60" s="3">
        <v>2016</v>
      </c>
      <c r="B60" s="3" t="s">
        <v>62</v>
      </c>
      <c r="C60" s="5">
        <f>(SUM(C$42:C$53)*'Rate Class Energy Model'!$D$41)*C48/(SUM(C$42:C$53))</f>
        <v>381605.27803238668</v>
      </c>
      <c r="D60" s="72">
        <f>(SUM(D$38:D$49)*'Rate Class Energy Model'!$D$41)*D48/(SUM(D$38:D$49))</f>
        <v>366264.26019035641</v>
      </c>
      <c r="E60" s="5">
        <f t="shared" si="1"/>
        <v>747869.53822274308</v>
      </c>
    </row>
    <row r="61" spans="1:5" x14ac:dyDescent="0.25">
      <c r="A61" s="3">
        <v>2016</v>
      </c>
      <c r="B61" s="3" t="s">
        <v>63</v>
      </c>
      <c r="C61" s="5">
        <f>(SUM(C$42:C$53)*'Rate Class Energy Model'!$D$41)*C49/(SUM(C$42:C$53))</f>
        <v>388008.91107231594</v>
      </c>
      <c r="D61" s="72">
        <f>(SUM(D$49:D$60)*'Rate Class Energy Model'!$D$41)*D49/(SUM(D$49:D$60))</f>
        <v>454744.99009261065</v>
      </c>
      <c r="E61" s="5">
        <f t="shared" si="1"/>
        <v>842753.90116492659</v>
      </c>
    </row>
    <row r="62" spans="1:5" x14ac:dyDescent="0.25">
      <c r="A62" s="3">
        <v>2016</v>
      </c>
      <c r="B62" s="3" t="s">
        <v>64</v>
      </c>
      <c r="C62" s="5">
        <f>(SUM(C$42:C$53)*'Rate Class Energy Model'!$D$41)*C50/(SUM(C$42:C$53))</f>
        <v>396214.18536611449</v>
      </c>
      <c r="D62" s="72">
        <f>(SUM(D$49:D$60)*'Rate Class Energy Model'!$D$41)*D50/(SUM(D$49:D$60))</f>
        <v>454776.70239657082</v>
      </c>
      <c r="E62" s="5">
        <f t="shared" si="1"/>
        <v>850990.88776268531</v>
      </c>
    </row>
    <row r="63" spans="1:5" x14ac:dyDescent="0.25">
      <c r="A63" s="3">
        <v>2016</v>
      </c>
      <c r="B63" s="3" t="s">
        <v>65</v>
      </c>
      <c r="C63" s="5">
        <f>(SUM(C$42:C$53)*'Rate Class Energy Model'!$D$41)*C51/(SUM(C$42:C$53))</f>
        <v>358699.49363009102</v>
      </c>
      <c r="D63" s="72">
        <f>(SUM(D$49:D$60)*'Rate Class Energy Model'!$D$41)*D51/(SUM(D$49:D$60))</f>
        <v>404063.97008393263</v>
      </c>
      <c r="E63" s="5">
        <f t="shared" si="1"/>
        <v>762763.46371402359</v>
      </c>
    </row>
    <row r="64" spans="1:5" x14ac:dyDescent="0.25">
      <c r="A64" s="3">
        <v>2016</v>
      </c>
      <c r="B64" s="3" t="s">
        <v>66</v>
      </c>
      <c r="C64" s="5">
        <f>(SUM(C$42:C$53)*'Rate Class Energy Model'!$D$41)*C52/(SUM(C$42:C$53))</f>
        <v>341636.85410298483</v>
      </c>
      <c r="D64" s="72">
        <f>(SUM(D$49:D$60)*'Rate Class Energy Model'!$D$41)*D52/(SUM(D$49:D$60))</f>
        <v>366289.8021617952</v>
      </c>
      <c r="E64" s="5">
        <f t="shared" si="1"/>
        <v>707926.65626478009</v>
      </c>
    </row>
    <row r="65" spans="1:5" x14ac:dyDescent="0.25">
      <c r="A65" s="3">
        <v>2016</v>
      </c>
      <c r="B65" s="3" t="s">
        <v>67</v>
      </c>
      <c r="C65" s="5">
        <f>(SUM(C$42:C$53)*'Rate Class Energy Model'!$D$41)*C53/(SUM(C$42:C$53))</f>
        <v>281563.24633834779</v>
      </c>
      <c r="D65" s="72">
        <f>(SUM(D$49:D$60)*'Rate Class Energy Model'!$D$41)*D53/(SUM(D$49:D$60))</f>
        <v>522567.30636056175</v>
      </c>
      <c r="E65" s="5">
        <f t="shared" si="1"/>
        <v>804130.55269890954</v>
      </c>
    </row>
    <row r="66" spans="1:5" x14ac:dyDescent="0.25">
      <c r="A66" s="3"/>
      <c r="B66" s="3"/>
      <c r="C66" s="5"/>
      <c r="D66" s="5"/>
      <c r="E66" s="5"/>
    </row>
    <row r="67" spans="1:5" x14ac:dyDescent="0.25">
      <c r="A67" s="3"/>
      <c r="B67" s="3"/>
      <c r="C67" s="5"/>
      <c r="D67" s="5"/>
      <c r="E67" s="5"/>
    </row>
    <row r="68" spans="1:5" x14ac:dyDescent="0.25">
      <c r="A68" s="3">
        <v>2012</v>
      </c>
      <c r="B68" s="3"/>
      <c r="C68" s="5">
        <f>SUMIF($A$6:$A$65,A68,$C$6:$C$65)</f>
        <v>1862328.2800000003</v>
      </c>
      <c r="D68" s="5">
        <f>SUMIF($A$6:$A$65,A68,$D$6:$D$65)</f>
        <v>0</v>
      </c>
      <c r="E68" s="5">
        <f>SUMIF($A$6:$A$65,A68,$E$6:$E$65)</f>
        <v>1862328.2800000003</v>
      </c>
    </row>
    <row r="69" spans="1:5" x14ac:dyDescent="0.25">
      <c r="A69" s="3">
        <v>2013</v>
      </c>
      <c r="B69" s="3"/>
      <c r="C69" s="5">
        <f>SUMIF($A$6:$A$65,A69,$C$6:$C$65)</f>
        <v>4200288.5100000007</v>
      </c>
      <c r="D69" s="5">
        <f>SUMIF($A$6:$A$65,A69,$D$6:$D$65)</f>
        <v>0</v>
      </c>
      <c r="E69" s="5">
        <f>SUMIF($A$6:$A$65,A69,$E$6:$E$65)</f>
        <v>4200288.5100000007</v>
      </c>
    </row>
    <row r="70" spans="1:5" x14ac:dyDescent="0.25">
      <c r="A70" s="3">
        <v>2014</v>
      </c>
      <c r="B70" s="3"/>
      <c r="C70" s="5">
        <f>SUMIF($A$6:$A$65,A70,$C$6:$C$65)</f>
        <v>4082572.47</v>
      </c>
      <c r="D70" s="5">
        <f>SUMIF($A$6:$A$65,A70,$D$6:$D$65)</f>
        <v>1747454.05</v>
      </c>
      <c r="E70" s="5">
        <f>SUMIF($A$6:$A$65,A70,$E$6:$E$65)</f>
        <v>5830026.5199999996</v>
      </c>
    </row>
    <row r="71" spans="1:5" x14ac:dyDescent="0.25">
      <c r="A71" s="3">
        <v>2015</v>
      </c>
      <c r="B71" s="3"/>
      <c r="C71" s="5">
        <f>C70*'Rate Class Energy Model'!D41</f>
        <v>4082857.1741351276</v>
      </c>
      <c r="D71" s="5"/>
      <c r="E71" s="5">
        <f>SUMIF($A$6:$A$65,A71,$E$6:$E$65)</f>
        <v>9128753.1453874707</v>
      </c>
    </row>
    <row r="72" spans="1:5" x14ac:dyDescent="0.25">
      <c r="A72" s="3">
        <v>2016</v>
      </c>
      <c r="B72" s="3"/>
      <c r="C72" s="5">
        <f>C71*'Rate Class Energy Model'!D41</f>
        <v>4083141.8981245123</v>
      </c>
      <c r="D72" s="5"/>
      <c r="E72" s="5">
        <f>SUMIF($A$6:$A$65,A72,$E$6:$E$65)</f>
        <v>9129389.7522788756</v>
      </c>
    </row>
    <row r="74" spans="1:5" x14ac:dyDescent="0.25">
      <c r="A74" s="62" t="s">
        <v>10</v>
      </c>
      <c r="B74" s="63" t="s">
        <v>14</v>
      </c>
      <c r="C74" s="78" t="s">
        <v>41</v>
      </c>
      <c r="D74" s="78" t="s">
        <v>76</v>
      </c>
    </row>
    <row r="75" spans="1:5" x14ac:dyDescent="0.25">
      <c r="A75" s="3">
        <v>2012</v>
      </c>
      <c r="B75" s="5">
        <v>1862328.28</v>
      </c>
      <c r="C75" s="5">
        <v>4197.63</v>
      </c>
      <c r="D75" s="77">
        <f>C75/B75</f>
        <v>2.2539688867313982E-3</v>
      </c>
    </row>
    <row r="76" spans="1:5" x14ac:dyDescent="0.25">
      <c r="A76" s="3">
        <v>2013</v>
      </c>
      <c r="B76" s="5">
        <v>4199611</v>
      </c>
      <c r="C76" s="5">
        <v>9630</v>
      </c>
      <c r="D76" s="77">
        <f>C76/B76</f>
        <v>2.2930695247726516E-3</v>
      </c>
    </row>
    <row r="77" spans="1:5" x14ac:dyDescent="0.25">
      <c r="A77" s="3">
        <v>2014</v>
      </c>
      <c r="B77" s="5">
        <v>6375131</v>
      </c>
      <c r="C77" s="5">
        <v>17662</v>
      </c>
      <c r="D77" s="77">
        <f>C77/B77</f>
        <v>2.7704528738311416E-3</v>
      </c>
    </row>
    <row r="78" spans="1:5" x14ac:dyDescent="0.25">
      <c r="A78" s="3">
        <v>2015</v>
      </c>
      <c r="B78" s="5">
        <f>(B77+(1747454/4*8))*'Rate Class Energy Model'!D41</f>
        <v>9870727.3015397321</v>
      </c>
      <c r="C78" s="5">
        <f>AVERAGE(D75:D77)*B78</f>
        <v>24076.320336312379</v>
      </c>
      <c r="D78" s="5"/>
    </row>
    <row r="79" spans="1:5" x14ac:dyDescent="0.25">
      <c r="A79" s="3">
        <v>2016</v>
      </c>
      <c r="B79" s="5">
        <f>B78*'Rate Class Energy Model'!D41</f>
        <v>9871415.6510791741</v>
      </c>
      <c r="C79" s="5">
        <f>AVERAGE(D75:D77)*B79</f>
        <v>24077.999333564425</v>
      </c>
      <c r="D79" s="5"/>
    </row>
  </sheetData>
  <sortState ref="A6:E45">
    <sortCondition ref="A6:A45"/>
    <sortCondition ref="B6:B45" customList="January,February,March,April,May,June,July,August,September,October,November,December"/>
  </sortState>
  <pageMargins left="0.3" right="0.3" top="0.3" bottom="0.6" header="0.3" footer="0.3"/>
  <pageSetup orientation="portrait" r:id="rId1"/>
  <headerFooter>
    <oddFooter>&amp;L&amp;8&amp;Z&amp;F
Tab: &amp;A&amp;R&amp;8&amp;P/&amp;N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9"/>
  <sheetViews>
    <sheetView showGridLines="0" topLeftCell="A4" workbookViewId="0">
      <selection activeCell="P24" sqref="P24"/>
    </sheetView>
  </sheetViews>
  <sheetFormatPr defaultColWidth="8.7109375" defaultRowHeight="15" x14ac:dyDescent="0.25"/>
  <cols>
    <col min="1" max="1" width="10.7109375" customWidth="1"/>
    <col min="2" max="2" width="13.28515625" customWidth="1"/>
    <col min="3" max="3" width="13.28515625" bestFit="1" customWidth="1"/>
    <col min="4" max="4" width="9.5703125" bestFit="1" customWidth="1"/>
    <col min="5" max="5" width="17.5703125" bestFit="1" customWidth="1"/>
    <col min="6" max="6" width="9.5703125" bestFit="1" customWidth="1"/>
    <col min="9" max="9" width="16.85546875" hidden="1" customWidth="1"/>
    <col min="10" max="10" width="13.85546875" hidden="1" customWidth="1"/>
    <col min="11" max="12" width="13.28515625" hidden="1" customWidth="1"/>
    <col min="13" max="13" width="11.28515625" hidden="1" customWidth="1"/>
    <col min="14" max="14" width="0" hidden="1" customWidth="1"/>
    <col min="15" max="15" width="15.42578125" hidden="1" customWidth="1"/>
  </cols>
  <sheetData>
    <row r="1" spans="1:16" ht="18.75" x14ac:dyDescent="0.3">
      <c r="A1" s="24" t="str">
        <f>Admin!B3</f>
        <v>London Hydro</v>
      </c>
    </row>
    <row r="2" spans="1:16" ht="18.75" x14ac:dyDescent="0.3">
      <c r="A2" s="24" t="str">
        <f>Admin!B5</f>
        <v>EB-2016-0091</v>
      </c>
    </row>
    <row r="3" spans="1:16" ht="18.75" x14ac:dyDescent="0.3">
      <c r="A3" s="24" t="str">
        <f>Admin!B7</f>
        <v>2017 Load Forecast</v>
      </c>
    </row>
    <row r="6" spans="1:16" x14ac:dyDescent="0.25">
      <c r="B6" s="289" t="s">
        <v>264</v>
      </c>
      <c r="C6" s="193"/>
      <c r="D6" s="193"/>
      <c r="E6" s="193"/>
      <c r="F6" s="193"/>
      <c r="I6" s="289" t="s">
        <v>221</v>
      </c>
    </row>
    <row r="7" spans="1:16" x14ac:dyDescent="0.25">
      <c r="A7" s="85"/>
      <c r="B7" s="314"/>
      <c r="C7" s="314" t="s">
        <v>178</v>
      </c>
      <c r="D7" s="314" t="s">
        <v>179</v>
      </c>
      <c r="E7" s="314" t="s">
        <v>262</v>
      </c>
      <c r="F7" s="315" t="s">
        <v>179</v>
      </c>
      <c r="I7" s="383" t="s">
        <v>217</v>
      </c>
      <c r="J7" s="383" t="s">
        <v>218</v>
      </c>
      <c r="K7" s="383" t="s">
        <v>239</v>
      </c>
      <c r="L7" s="383" t="s">
        <v>219</v>
      </c>
      <c r="M7" s="383" t="s">
        <v>220</v>
      </c>
    </row>
    <row r="8" spans="1:16" x14ac:dyDescent="0.25">
      <c r="B8" s="316">
        <v>2006</v>
      </c>
      <c r="C8" s="317">
        <v>3381396098.6554003</v>
      </c>
      <c r="D8" s="317"/>
      <c r="E8" s="317">
        <v>3391887821.4432597</v>
      </c>
      <c r="F8" s="316"/>
      <c r="I8" s="317">
        <v>3463554919</v>
      </c>
      <c r="J8" s="317">
        <v>63102393.354095995</v>
      </c>
      <c r="K8" s="317">
        <v>19056427</v>
      </c>
      <c r="L8" s="317">
        <f t="shared" ref="L8:L16" si="0">I8-J8-K8</f>
        <v>3381396098.6459041</v>
      </c>
      <c r="M8" s="317">
        <f t="shared" ref="M8:M17" si="1">C8-L8</f>
        <v>9.4962120056152344E-3</v>
      </c>
    </row>
    <row r="9" spans="1:16" x14ac:dyDescent="0.25">
      <c r="B9" s="316">
        <v>2007</v>
      </c>
      <c r="C9" s="317">
        <v>3437253458.2235703</v>
      </c>
      <c r="D9" s="318">
        <f>C9/C8-1</f>
        <v>1.6519022894236457E-2</v>
      </c>
      <c r="E9" s="317">
        <v>3420290348.5405598</v>
      </c>
      <c r="F9" s="318">
        <f>E9/E8-1</f>
        <v>8.3736634560085399E-3</v>
      </c>
      <c r="I9" s="317">
        <v>3513738064</v>
      </c>
      <c r="J9" s="317">
        <v>56421387.336479999</v>
      </c>
      <c r="K9" s="317">
        <v>20063218</v>
      </c>
      <c r="L9" s="317">
        <f t="shared" si="0"/>
        <v>3437253458.6635199</v>
      </c>
      <c r="M9" s="317">
        <f t="shared" si="1"/>
        <v>-0.43994951248168945</v>
      </c>
    </row>
    <row r="10" spans="1:16" x14ac:dyDescent="0.25">
      <c r="B10" s="316">
        <v>2008</v>
      </c>
      <c r="C10" s="317">
        <v>3370084709.6114292</v>
      </c>
      <c r="D10" s="318">
        <f t="shared" ref="D10:D18" si="2">C10/C9-1</f>
        <v>-1.9541401129858804E-2</v>
      </c>
      <c r="E10" s="317">
        <v>3355008827.1199918</v>
      </c>
      <c r="F10" s="318">
        <f t="shared" ref="F10:F19" si="3">E10/E9-1</f>
        <v>-1.9086543763287112E-2</v>
      </c>
      <c r="I10" s="317">
        <v>3442614476</v>
      </c>
      <c r="J10" s="317">
        <v>52262407.258475997</v>
      </c>
      <c r="K10" s="317">
        <v>20267359</v>
      </c>
      <c r="L10" s="317">
        <f t="shared" si="0"/>
        <v>3370084709.7415242</v>
      </c>
      <c r="M10" s="317">
        <f t="shared" si="1"/>
        <v>-0.13009500503540039</v>
      </c>
    </row>
    <row r="11" spans="1:16" x14ac:dyDescent="0.25">
      <c r="B11" s="316">
        <v>2009</v>
      </c>
      <c r="C11" s="317">
        <v>3245166642.8919578</v>
      </c>
      <c r="D11" s="318">
        <f t="shared" si="2"/>
        <v>-3.7066743860534768E-2</v>
      </c>
      <c r="E11" s="317">
        <v>3257754032.0184965</v>
      </c>
      <c r="F11" s="318">
        <f t="shared" si="3"/>
        <v>-2.8987940155430492E-2</v>
      </c>
      <c r="I11" s="317">
        <v>3315882997</v>
      </c>
      <c r="J11" s="317">
        <v>49973683.446329996</v>
      </c>
      <c r="K11" s="317">
        <v>20742671</v>
      </c>
      <c r="L11" s="317">
        <f t="shared" si="0"/>
        <v>3245166642.5536699</v>
      </c>
      <c r="M11" s="317">
        <f t="shared" si="1"/>
        <v>0.3382878303527832</v>
      </c>
    </row>
    <row r="12" spans="1:16" x14ac:dyDescent="0.25">
      <c r="B12" s="316">
        <v>2010</v>
      </c>
      <c r="C12" s="317">
        <v>3353468834.5121541</v>
      </c>
      <c r="D12" s="318">
        <f t="shared" si="2"/>
        <v>3.3373383723580341E-2</v>
      </c>
      <c r="E12" s="317">
        <v>3370122661.184032</v>
      </c>
      <c r="F12" s="318">
        <f t="shared" si="3"/>
        <v>3.4492668280395655E-2</v>
      </c>
      <c r="I12" s="317">
        <v>3428161401</v>
      </c>
      <c r="J12" s="317">
        <v>53371067.683080003</v>
      </c>
      <c r="K12" s="317">
        <v>21321499</v>
      </c>
      <c r="L12" s="317">
        <f t="shared" si="0"/>
        <v>3353468834.3169198</v>
      </c>
      <c r="M12" s="317">
        <f t="shared" si="1"/>
        <v>0.19523429870605469</v>
      </c>
    </row>
    <row r="13" spans="1:16" x14ac:dyDescent="0.25">
      <c r="B13" s="316">
        <v>2011</v>
      </c>
      <c r="C13" s="317">
        <v>3337714644.460043</v>
      </c>
      <c r="D13" s="318">
        <f t="shared" si="2"/>
        <v>-4.6978787725644455E-3</v>
      </c>
      <c r="E13" s="317">
        <v>3328632116.3325319</v>
      </c>
      <c r="F13" s="318">
        <f t="shared" si="3"/>
        <v>-1.2311286271379562E-2</v>
      </c>
      <c r="I13" s="317">
        <v>3408628157</v>
      </c>
      <c r="J13" s="317">
        <v>50087185.63736999</v>
      </c>
      <c r="K13" s="317">
        <v>20826327</v>
      </c>
      <c r="L13" s="317">
        <f t="shared" si="0"/>
        <v>3337714644.3626299</v>
      </c>
      <c r="M13" s="317">
        <f t="shared" si="1"/>
        <v>9.7413063049316406E-2</v>
      </c>
    </row>
    <row r="14" spans="1:16" x14ac:dyDescent="0.25">
      <c r="B14" s="316">
        <v>2012</v>
      </c>
      <c r="C14" s="317">
        <v>3302327427.2050533</v>
      </c>
      <c r="D14" s="318">
        <f t="shared" si="2"/>
        <v>-1.0602229676442088E-2</v>
      </c>
      <c r="E14" s="317">
        <v>3329610055.4615049</v>
      </c>
      <c r="F14" s="318">
        <f t="shared" si="3"/>
        <v>2.9379609845570087E-4</v>
      </c>
      <c r="I14" s="317">
        <v>3351442979</v>
      </c>
      <c r="J14" s="317">
        <v>44116306.507139996</v>
      </c>
      <c r="K14" s="317">
        <v>4999245</v>
      </c>
      <c r="L14" s="317">
        <f t="shared" si="0"/>
        <v>3302327427.4928598</v>
      </c>
      <c r="M14" s="317">
        <f t="shared" si="1"/>
        <v>-0.28780651092529297</v>
      </c>
      <c r="P14" s="410"/>
    </row>
    <row r="15" spans="1:16" x14ac:dyDescent="0.25">
      <c r="B15" s="316">
        <v>2013</v>
      </c>
      <c r="C15" s="317">
        <v>3306067867.81322</v>
      </c>
      <c r="D15" s="318">
        <f t="shared" si="2"/>
        <v>1.1326680017711421E-3</v>
      </c>
      <c r="E15" s="317">
        <v>3288078432.1785402</v>
      </c>
      <c r="F15" s="318">
        <f t="shared" si="3"/>
        <v>-1.2473419587029744E-2</v>
      </c>
      <c r="I15" s="317">
        <v>3346449709</v>
      </c>
      <c r="J15" s="317">
        <v>40786785.46845001</v>
      </c>
      <c r="K15" s="317">
        <f>'Rate Class Energy Model'!N16</f>
        <v>0</v>
      </c>
      <c r="L15" s="317">
        <f t="shared" si="0"/>
        <v>3305662923.5315499</v>
      </c>
      <c r="M15" s="317">
        <f t="shared" si="1"/>
        <v>404944.28167009354</v>
      </c>
      <c r="P15" s="410"/>
    </row>
    <row r="16" spans="1:16" x14ac:dyDescent="0.25">
      <c r="B16" s="316">
        <v>2014</v>
      </c>
      <c r="C16" s="317">
        <v>3248466267.3010745</v>
      </c>
      <c r="D16" s="318">
        <f t="shared" si="2"/>
        <v>-1.7422993966014877E-2</v>
      </c>
      <c r="E16" s="317">
        <v>3238572906.4181786</v>
      </c>
      <c r="F16" s="318">
        <f t="shared" si="3"/>
        <v>-1.5056065961164267E-2</v>
      </c>
      <c r="I16" s="317">
        <v>3306054226</v>
      </c>
      <c r="J16" s="317">
        <v>39042245.47608</v>
      </c>
      <c r="K16" s="317">
        <v>18934749.539999999</v>
      </c>
      <c r="L16" s="317">
        <f t="shared" si="0"/>
        <v>3248077230.9839201</v>
      </c>
      <c r="M16" s="317">
        <f t="shared" si="1"/>
        <v>389036.3171544075</v>
      </c>
      <c r="P16" s="410"/>
    </row>
    <row r="17" spans="2:13" x14ac:dyDescent="0.25">
      <c r="B17" s="316">
        <v>2015</v>
      </c>
      <c r="C17" s="317">
        <v>3247167562.4024882</v>
      </c>
      <c r="D17" s="318">
        <f t="shared" si="2"/>
        <v>-3.9979017533875449E-4</v>
      </c>
      <c r="E17" s="317">
        <v>3237527853.9670334</v>
      </c>
      <c r="F17" s="318">
        <f t="shared" si="3"/>
        <v>-3.2268918481781483E-4</v>
      </c>
      <c r="I17" s="317">
        <f>3213257132+59773261</f>
        <v>3273030393</v>
      </c>
      <c r="J17" s="317">
        <v>7105182.2368799988</v>
      </c>
      <c r="K17" s="317">
        <v>18828447.795000002</v>
      </c>
      <c r="L17" s="317">
        <f>I17-J17-K17</f>
        <v>3247096762.9681201</v>
      </c>
      <c r="M17" s="317">
        <f t="shared" si="1"/>
        <v>70799.434368133545</v>
      </c>
    </row>
    <row r="18" spans="2:13" x14ac:dyDescent="0.25">
      <c r="B18" s="319">
        <v>2016</v>
      </c>
      <c r="C18" s="441">
        <v>3279837650.8558736</v>
      </c>
      <c r="D18" s="321">
        <f t="shared" si="2"/>
        <v>1.0061103354091605E-2</v>
      </c>
      <c r="E18" s="441">
        <v>3291466109.268167</v>
      </c>
      <c r="F18" s="321">
        <f t="shared" si="3"/>
        <v>1.6660321620103336E-2</v>
      </c>
    </row>
    <row r="19" spans="2:13" x14ac:dyDescent="0.25">
      <c r="B19" s="319">
        <v>2017</v>
      </c>
      <c r="C19" s="320"/>
      <c r="D19" s="321"/>
      <c r="E19" s="441">
        <v>3226441829.9669929</v>
      </c>
      <c r="F19" s="321">
        <f t="shared" si="3"/>
        <v>-1.9755415107595264E-2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38"/>
  <sheetViews>
    <sheetView showGridLines="0" workbookViewId="0">
      <selection activeCell="I20" sqref="I20"/>
    </sheetView>
  </sheetViews>
  <sheetFormatPr defaultRowHeight="15" x14ac:dyDescent="0.25"/>
  <cols>
    <col min="1" max="1" width="14.85546875" customWidth="1"/>
    <col min="2" max="3" width="14.7109375" customWidth="1"/>
    <col min="4" max="5" width="12.7109375" customWidth="1"/>
    <col min="6" max="6" width="2.7109375" customWidth="1"/>
    <col min="7" max="7" width="12.7109375" customWidth="1"/>
    <col min="8" max="10" width="14.7109375" customWidth="1"/>
    <col min="11" max="11" width="12.7109375" customWidth="1"/>
    <col min="16" max="16" width="11" bestFit="1" customWidth="1"/>
  </cols>
  <sheetData>
    <row r="1" spans="1:11" ht="18.75" x14ac:dyDescent="0.3">
      <c r="A1" s="24" t="str">
        <f>Admin!B3</f>
        <v>London Hydro</v>
      </c>
    </row>
    <row r="2" spans="1:11" ht="18.75" x14ac:dyDescent="0.3">
      <c r="A2" s="24" t="str">
        <f>Admin!B5</f>
        <v>EB-2016-0091</v>
      </c>
    </row>
    <row r="3" spans="1:11" ht="18.75" x14ac:dyDescent="0.3">
      <c r="A3" s="24" t="str">
        <f>Admin!B7</f>
        <v>2017 Load Forecast</v>
      </c>
    </row>
    <row r="4" spans="1:11" ht="18.75" x14ac:dyDescent="0.3">
      <c r="A4" s="24" t="s">
        <v>174</v>
      </c>
    </row>
    <row r="5" spans="1:11" ht="19.5" thickBot="1" x14ac:dyDescent="0.35">
      <c r="A5" s="26" t="s">
        <v>175</v>
      </c>
      <c r="B5" s="27"/>
      <c r="C5" s="27"/>
      <c r="D5" s="27"/>
      <c r="E5" s="27"/>
      <c r="F5" s="27"/>
      <c r="G5" s="27"/>
      <c r="H5" s="27"/>
      <c r="I5" s="27"/>
      <c r="J5" s="27"/>
      <c r="K5" s="27"/>
    </row>
    <row r="7" spans="1:11" ht="18.75" x14ac:dyDescent="0.3">
      <c r="A7" s="302" t="s">
        <v>19</v>
      </c>
      <c r="B7" s="303"/>
      <c r="C7" s="303"/>
      <c r="D7" s="303"/>
      <c r="E7" s="304"/>
      <c r="G7" s="302" t="s">
        <v>20</v>
      </c>
      <c r="H7" s="303"/>
      <c r="I7" s="303"/>
      <c r="J7" s="303"/>
      <c r="K7" s="304"/>
    </row>
    <row r="8" spans="1:11" ht="30" x14ac:dyDescent="0.25">
      <c r="A8" s="43" t="s">
        <v>10</v>
      </c>
      <c r="B8" s="14" t="s">
        <v>15</v>
      </c>
      <c r="C8" s="14" t="s">
        <v>16</v>
      </c>
      <c r="D8" s="14" t="s">
        <v>17</v>
      </c>
      <c r="E8" s="15" t="s">
        <v>18</v>
      </c>
      <c r="G8" s="43" t="s">
        <v>10</v>
      </c>
      <c r="H8" s="14" t="s">
        <v>15</v>
      </c>
      <c r="I8" s="14" t="s">
        <v>21</v>
      </c>
      <c r="J8" s="14" t="s">
        <v>47</v>
      </c>
      <c r="K8" s="15" t="s">
        <v>48</v>
      </c>
    </row>
    <row r="9" spans="1:11" x14ac:dyDescent="0.25">
      <c r="A9" s="299">
        <v>2006</v>
      </c>
      <c r="B9" s="49">
        <f>'Wholesale Forecast'!C8</f>
        <v>3381396098.6554003</v>
      </c>
      <c r="C9" s="92">
        <f>'Wholesale Forecast'!E8</f>
        <v>3391887821.4432597</v>
      </c>
      <c r="D9" s="49">
        <f>B9-C9</f>
        <v>-10491722.78785944</v>
      </c>
      <c r="E9" s="300">
        <f t="shared" ref="E9:E18" si="0">D9/B9</f>
        <v>-3.1027784032847954E-3</v>
      </c>
      <c r="G9" s="80">
        <v>2006</v>
      </c>
      <c r="H9" s="55">
        <f t="shared" ref="H9:H18" si="1">B9</f>
        <v>3381396098.6554003</v>
      </c>
      <c r="I9" s="40">
        <f>'Rate Class Energy Model'!J9</f>
        <v>3275701579.0000005</v>
      </c>
      <c r="J9" s="55">
        <f>H9-I9</f>
        <v>105694519.6553998</v>
      </c>
      <c r="K9" s="56">
        <f>1+(J9/H9)</f>
        <v>1.0312576570657985</v>
      </c>
    </row>
    <row r="10" spans="1:11" x14ac:dyDescent="0.25">
      <c r="A10" s="81">
        <v>2007</v>
      </c>
      <c r="B10" s="55">
        <f>'Wholesale Forecast'!C9</f>
        <v>3437253458.2235703</v>
      </c>
      <c r="C10" s="40">
        <f>'Wholesale Forecast'!E9</f>
        <v>3420290348.5405598</v>
      </c>
      <c r="D10" s="55">
        <f t="shared" ref="D10:D18" si="2">B10-C10</f>
        <v>16963109.683010578</v>
      </c>
      <c r="E10" s="290">
        <f t="shared" si="0"/>
        <v>4.935076766721007E-3</v>
      </c>
      <c r="G10" s="81">
        <v>2007</v>
      </c>
      <c r="H10" s="55">
        <f t="shared" si="1"/>
        <v>3437253458.2235703</v>
      </c>
      <c r="I10" s="5">
        <f>'Rate Class Energy Model'!J10</f>
        <v>3312382011.7307029</v>
      </c>
      <c r="J10" s="55">
        <f t="shared" ref="J10:J18" si="3">H10-I10</f>
        <v>124871446.49286747</v>
      </c>
      <c r="K10" s="51">
        <f t="shared" ref="K10:K17" si="4">1+(J10/H10)</f>
        <v>1.0363288445296679</v>
      </c>
    </row>
    <row r="11" spans="1:11" x14ac:dyDescent="0.25">
      <c r="A11" s="81">
        <v>2008</v>
      </c>
      <c r="B11" s="55">
        <f>'Wholesale Forecast'!C10</f>
        <v>3370084709.6114292</v>
      </c>
      <c r="C11" s="40">
        <f>'Wholesale Forecast'!E10</f>
        <v>3355008827.1199918</v>
      </c>
      <c r="D11" s="55">
        <f t="shared" si="2"/>
        <v>15075882.491437435</v>
      </c>
      <c r="E11" s="290">
        <f t="shared" si="0"/>
        <v>4.4734431892590864E-3</v>
      </c>
      <c r="G11" s="81">
        <v>2008</v>
      </c>
      <c r="H11" s="55">
        <f t="shared" si="1"/>
        <v>3370084709.6114292</v>
      </c>
      <c r="I11" s="5">
        <f>'Rate Class Energy Model'!J11</f>
        <v>3262420181.5844727</v>
      </c>
      <c r="J11" s="55">
        <f t="shared" si="3"/>
        <v>107664528.02695656</v>
      </c>
      <c r="K11" s="51">
        <f t="shared" si="4"/>
        <v>1.0319471281300137</v>
      </c>
    </row>
    <row r="12" spans="1:11" x14ac:dyDescent="0.25">
      <c r="A12" s="81">
        <v>2009</v>
      </c>
      <c r="B12" s="55">
        <f>'Wholesale Forecast'!C11</f>
        <v>3245166642.8919578</v>
      </c>
      <c r="C12" s="40">
        <f>'Wholesale Forecast'!E11</f>
        <v>3257754032.0184965</v>
      </c>
      <c r="D12" s="55">
        <f t="shared" si="2"/>
        <v>-12587389.126538754</v>
      </c>
      <c r="E12" s="290">
        <f t="shared" si="0"/>
        <v>-3.8788113251778636E-3</v>
      </c>
      <c r="G12" s="81">
        <v>2009</v>
      </c>
      <c r="H12" s="55">
        <f t="shared" si="1"/>
        <v>3245166642.8919578</v>
      </c>
      <c r="I12" s="5">
        <f>'Rate Class Energy Model'!J12</f>
        <v>3081157255.4700007</v>
      </c>
      <c r="J12" s="55">
        <f t="shared" si="3"/>
        <v>164009387.42195702</v>
      </c>
      <c r="K12" s="51">
        <f t="shared" si="4"/>
        <v>1.0505395887083933</v>
      </c>
    </row>
    <row r="13" spans="1:11" x14ac:dyDescent="0.25">
      <c r="A13" s="81">
        <v>2010</v>
      </c>
      <c r="B13" s="55">
        <f>'Wholesale Forecast'!C12</f>
        <v>3353468834.5121541</v>
      </c>
      <c r="C13" s="40">
        <f>'Wholesale Forecast'!E12</f>
        <v>3370122661.184032</v>
      </c>
      <c r="D13" s="55">
        <f t="shared" si="2"/>
        <v>-16653826.671877861</v>
      </c>
      <c r="E13" s="290">
        <f t="shared" si="0"/>
        <v>-4.9661492304581313E-3</v>
      </c>
      <c r="G13" s="81">
        <v>2010</v>
      </c>
      <c r="H13" s="55">
        <f t="shared" si="1"/>
        <v>3353468834.5121541</v>
      </c>
      <c r="I13" s="5">
        <f>'Rate Class Energy Model'!J13</f>
        <v>3303100983.9384837</v>
      </c>
      <c r="J13" s="55">
        <f t="shared" si="3"/>
        <v>50367850.573670387</v>
      </c>
      <c r="K13" s="51">
        <f t="shared" si="4"/>
        <v>1.0150196268578109</v>
      </c>
    </row>
    <row r="14" spans="1:11" x14ac:dyDescent="0.25">
      <c r="A14" s="81">
        <v>2011</v>
      </c>
      <c r="B14" s="55">
        <f>'Wholesale Forecast'!C13</f>
        <v>3337714644.460043</v>
      </c>
      <c r="C14" s="40">
        <f>'Wholesale Forecast'!E13</f>
        <v>3328632116.3325319</v>
      </c>
      <c r="D14" s="55">
        <f t="shared" si="2"/>
        <v>9082528.1275110245</v>
      </c>
      <c r="E14" s="290">
        <f t="shared" si="0"/>
        <v>2.7211817351091576E-3</v>
      </c>
      <c r="G14" s="81">
        <v>2011</v>
      </c>
      <c r="H14" s="55">
        <f t="shared" si="1"/>
        <v>3337714644.460043</v>
      </c>
      <c r="I14" s="5">
        <f>'Rate Class Energy Model'!J14</f>
        <v>3247125847.7483082</v>
      </c>
      <c r="J14" s="55">
        <f t="shared" si="3"/>
        <v>90588796.711734772</v>
      </c>
      <c r="K14" s="51">
        <f t="shared" si="4"/>
        <v>1.0271409651097929</v>
      </c>
    </row>
    <row r="15" spans="1:11" x14ac:dyDescent="0.25">
      <c r="A15" s="81">
        <v>2012</v>
      </c>
      <c r="B15" s="55">
        <f>'Wholesale Forecast'!C14</f>
        <v>3302327427.2050533</v>
      </c>
      <c r="C15" s="40">
        <f>'Wholesale Forecast'!E14</f>
        <v>3329610055.4615049</v>
      </c>
      <c r="D15" s="55">
        <f t="shared" si="2"/>
        <v>-27282628.256451607</v>
      </c>
      <c r="E15" s="290">
        <f t="shared" si="0"/>
        <v>-8.2616363331186812E-3</v>
      </c>
      <c r="G15" s="81">
        <v>2012</v>
      </c>
      <c r="H15" s="55">
        <f t="shared" si="1"/>
        <v>3302327427.2050533</v>
      </c>
      <c r="I15" s="5">
        <f>'Rate Class Energy Model'!J15</f>
        <v>3203200496.7921538</v>
      </c>
      <c r="J15" s="55">
        <f t="shared" si="3"/>
        <v>99126930.412899494</v>
      </c>
      <c r="K15" s="51">
        <f t="shared" si="4"/>
        <v>1.0300172931358282</v>
      </c>
    </row>
    <row r="16" spans="1:11" x14ac:dyDescent="0.25">
      <c r="A16" s="81">
        <v>2013</v>
      </c>
      <c r="B16" s="55">
        <f>'Wholesale Forecast'!C15</f>
        <v>3306067867.81322</v>
      </c>
      <c r="C16" s="40">
        <f>'Wholesale Forecast'!E15</f>
        <v>3288078432.1785402</v>
      </c>
      <c r="D16" s="55">
        <f t="shared" si="2"/>
        <v>17989435.634679794</v>
      </c>
      <c r="E16" s="290">
        <f t="shared" si="0"/>
        <v>5.4413388817026332E-3</v>
      </c>
      <c r="G16" s="81">
        <v>2013</v>
      </c>
      <c r="H16" s="55">
        <f t="shared" si="1"/>
        <v>3306067867.81322</v>
      </c>
      <c r="I16" s="5">
        <f>'Rate Class Energy Model'!J16</f>
        <v>3172182383.9385242</v>
      </c>
      <c r="J16" s="55">
        <f t="shared" si="3"/>
        <v>133885483.87469578</v>
      </c>
      <c r="K16" s="51">
        <f t="shared" si="4"/>
        <v>1.0404968951721048</v>
      </c>
    </row>
    <row r="17" spans="1:16" x14ac:dyDescent="0.25">
      <c r="A17" s="81">
        <v>2014</v>
      </c>
      <c r="B17" s="55">
        <f>'Wholesale Forecast'!C16</f>
        <v>3248466267.3010745</v>
      </c>
      <c r="C17" s="40">
        <f>'Wholesale Forecast'!E16</f>
        <v>3238572906.4181786</v>
      </c>
      <c r="D17" s="55">
        <f t="shared" si="2"/>
        <v>9893360.8828959465</v>
      </c>
      <c r="E17" s="290">
        <f t="shared" si="0"/>
        <v>3.045548289197922E-3</v>
      </c>
      <c r="G17" s="81">
        <v>2014</v>
      </c>
      <c r="H17" s="55">
        <f t="shared" si="1"/>
        <v>3248466267.3010745</v>
      </c>
      <c r="I17" s="5">
        <f>'Rate Class Energy Model'!J17</f>
        <v>3185717215.0767031</v>
      </c>
      <c r="J17" s="55">
        <f t="shared" si="3"/>
        <v>62749052.224371433</v>
      </c>
      <c r="K17" s="51">
        <f t="shared" si="4"/>
        <v>1.0193165164914904</v>
      </c>
    </row>
    <row r="18" spans="1:16" x14ac:dyDescent="0.25">
      <c r="A18" s="81">
        <v>2015</v>
      </c>
      <c r="B18" s="55">
        <f>'Wholesale Forecast'!C17</f>
        <v>3247167562.4024882</v>
      </c>
      <c r="C18" s="40">
        <f>'Wholesale Forecast'!E17</f>
        <v>3237527853.9670334</v>
      </c>
      <c r="D18" s="55">
        <f t="shared" si="2"/>
        <v>9639708.4354548454</v>
      </c>
      <c r="E18" s="290">
        <f t="shared" si="0"/>
        <v>2.9686513708343082E-3</v>
      </c>
      <c r="G18" s="81">
        <v>2015</v>
      </c>
      <c r="H18" s="55">
        <f t="shared" si="1"/>
        <v>3247167562.4024882</v>
      </c>
      <c r="I18" s="5">
        <f>'Rate Class Energy Model'!J18</f>
        <v>3149997453.3533196</v>
      </c>
      <c r="J18" s="55">
        <f t="shared" si="3"/>
        <v>97170109.049168587</v>
      </c>
      <c r="K18" s="52">
        <f>AVERAGE(K10:K17)</f>
        <v>1.0313508572668879</v>
      </c>
    </row>
    <row r="19" spans="1:16" x14ac:dyDescent="0.25">
      <c r="A19" s="81">
        <v>2016</v>
      </c>
      <c r="B19" s="286"/>
      <c r="C19" s="40">
        <f>'Wholesale Forecast'!E18</f>
        <v>3291466109.268167</v>
      </c>
      <c r="D19" s="46"/>
      <c r="E19" s="287"/>
      <c r="G19" s="81">
        <v>2016</v>
      </c>
      <c r="H19" s="288"/>
      <c r="I19" s="5">
        <f t="shared" ref="I19:I20" si="5">C19/K19</f>
        <v>3191412588.7194734</v>
      </c>
      <c r="J19" s="46"/>
      <c r="K19" s="287">
        <f>K18</f>
        <v>1.0313508572668879</v>
      </c>
    </row>
    <row r="20" spans="1:16" x14ac:dyDescent="0.25">
      <c r="A20" s="82">
        <v>2017</v>
      </c>
      <c r="B20" s="38"/>
      <c r="C20" s="301">
        <f>'Wholesale Forecast'!E19</f>
        <v>3226441829.9669929</v>
      </c>
      <c r="D20" s="53"/>
      <c r="E20" s="54"/>
      <c r="G20" s="82">
        <v>2017</v>
      </c>
      <c r="H20" s="38">
        <f>B20</f>
        <v>0</v>
      </c>
      <c r="I20" s="17">
        <f t="shared" si="5"/>
        <v>3128364908.2497153</v>
      </c>
      <c r="J20" s="53"/>
      <c r="K20" s="54">
        <f>K19</f>
        <v>1.0313508572668879</v>
      </c>
      <c r="P20">
        <v>3117592061</v>
      </c>
    </row>
    <row r="21" spans="1:16" x14ac:dyDescent="0.25">
      <c r="P21" s="409">
        <f>I20/P20-1</f>
        <v>3.45550252853144E-3</v>
      </c>
    </row>
    <row r="23" spans="1:16" x14ac:dyDescent="0.25">
      <c r="G23" t="s">
        <v>54</v>
      </c>
    </row>
    <row r="24" spans="1:16" ht="29.25" customHeight="1" x14ac:dyDescent="0.25">
      <c r="G24" s="443" t="s">
        <v>184</v>
      </c>
      <c r="H24" s="443"/>
      <c r="I24" s="443"/>
      <c r="J24" s="443"/>
      <c r="K24" s="443"/>
    </row>
    <row r="38" ht="46.5" customHeight="1" x14ac:dyDescent="0.25"/>
  </sheetData>
  <mergeCells count="1">
    <mergeCell ref="G24:K24"/>
  </mergeCells>
  <pageMargins left="0.7" right="0.7" top="0.75" bottom="0.75" header="0.3" footer="0.3"/>
  <pageSetup scale="87" fitToHeight="2" orientation="landscape"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62"/>
  <sheetViews>
    <sheetView showGridLines="0" zoomScale="110" zoomScaleNormal="110" workbookViewId="0">
      <pane xSplit="1" ySplit="7" topLeftCell="B8" activePane="bottomRight" state="frozen"/>
      <selection activeCell="A2" sqref="A2"/>
      <selection pane="topRight" activeCell="A2" sqref="A2"/>
      <selection pane="bottomLeft" activeCell="A2" sqref="A2"/>
      <selection pane="bottomRight" activeCell="Z53" sqref="Z53"/>
    </sheetView>
  </sheetViews>
  <sheetFormatPr defaultRowHeight="15" x14ac:dyDescent="0.25"/>
  <cols>
    <col min="1" max="1" width="22.42578125" customWidth="1"/>
    <col min="2" max="10" width="12.7109375" customWidth="1"/>
    <col min="12" max="23" width="9.140625" hidden="1" customWidth="1"/>
  </cols>
  <sheetData>
    <row r="1" spans="1:22" ht="18.75" x14ac:dyDescent="0.3">
      <c r="A1" s="24" t="str">
        <f>Admin!B3</f>
        <v>London Hydro</v>
      </c>
      <c r="B1" s="25"/>
      <c r="C1" s="25"/>
      <c r="D1" s="25"/>
      <c r="E1" s="25"/>
      <c r="F1" s="25"/>
      <c r="G1" s="25"/>
      <c r="H1" s="25"/>
      <c r="I1" s="25"/>
      <c r="J1" s="25"/>
    </row>
    <row r="2" spans="1:22" ht="18.75" x14ac:dyDescent="0.3">
      <c r="A2" s="24" t="str">
        <f>Admin!B5</f>
        <v>EB-2016-0091</v>
      </c>
      <c r="B2" s="25"/>
      <c r="C2" s="25"/>
      <c r="D2" s="25"/>
      <c r="E2" s="25"/>
      <c r="F2" s="25"/>
      <c r="G2" s="25"/>
      <c r="H2" s="25"/>
      <c r="I2" s="25"/>
      <c r="J2" s="25"/>
    </row>
    <row r="3" spans="1:22" ht="18.75" x14ac:dyDescent="0.3">
      <c r="A3" s="24" t="str">
        <f>Admin!B7</f>
        <v>2017 Load Forecast</v>
      </c>
      <c r="B3" s="25"/>
      <c r="C3" s="25"/>
      <c r="D3" s="25"/>
      <c r="E3" s="25"/>
      <c r="F3" s="25"/>
      <c r="G3" s="25"/>
      <c r="H3" s="25"/>
      <c r="I3" s="25"/>
      <c r="J3" s="25"/>
    </row>
    <row r="4" spans="1:22" ht="18.75" x14ac:dyDescent="0.3">
      <c r="A4" s="24"/>
      <c r="B4" s="25"/>
      <c r="C4" s="25"/>
      <c r="D4" s="25"/>
      <c r="E4" s="25"/>
      <c r="F4" s="25"/>
      <c r="G4" s="25"/>
      <c r="H4" s="25"/>
      <c r="I4" s="25"/>
      <c r="J4" s="25"/>
    </row>
    <row r="5" spans="1:22" ht="19.5" thickBot="1" x14ac:dyDescent="0.35">
      <c r="A5" s="26" t="s">
        <v>12</v>
      </c>
      <c r="B5" s="27"/>
      <c r="C5" s="27"/>
      <c r="D5" s="27"/>
      <c r="E5" s="27"/>
      <c r="F5" s="27"/>
      <c r="G5" s="27"/>
      <c r="H5" s="27"/>
      <c r="I5" s="27"/>
      <c r="J5" s="27"/>
    </row>
    <row r="7" spans="1:22" ht="45" x14ac:dyDescent="0.25">
      <c r="A7" s="13" t="s">
        <v>10</v>
      </c>
      <c r="B7" s="14" t="s">
        <v>2</v>
      </c>
      <c r="C7" s="14" t="s">
        <v>3</v>
      </c>
      <c r="D7" s="14" t="s">
        <v>4</v>
      </c>
      <c r="E7" s="14" t="s">
        <v>177</v>
      </c>
      <c r="F7" s="14" t="s">
        <v>5</v>
      </c>
      <c r="G7" s="14" t="s">
        <v>139</v>
      </c>
      <c r="H7" s="14" t="s">
        <v>138</v>
      </c>
      <c r="I7" s="14" t="s">
        <v>137</v>
      </c>
      <c r="J7" s="15" t="s">
        <v>9</v>
      </c>
    </row>
    <row r="8" spans="1:22" ht="18.75" hidden="1" x14ac:dyDescent="0.3">
      <c r="A8" s="305" t="s">
        <v>176</v>
      </c>
      <c r="B8" s="306"/>
      <c r="C8" s="306"/>
      <c r="D8" s="306"/>
      <c r="E8" s="306"/>
      <c r="F8" s="306"/>
      <c r="G8" s="306"/>
      <c r="H8" s="306"/>
      <c r="I8" s="306"/>
      <c r="J8" s="307"/>
      <c r="L8" s="57" t="s">
        <v>147</v>
      </c>
      <c r="M8" s="4"/>
      <c r="N8" s="4"/>
      <c r="O8" s="4"/>
      <c r="P8" s="4"/>
      <c r="Q8" s="4"/>
      <c r="R8" s="4"/>
      <c r="S8" s="4"/>
      <c r="T8" s="4"/>
      <c r="U8" s="4"/>
      <c r="V8" s="8"/>
    </row>
    <row r="9" spans="1:22" hidden="1" x14ac:dyDescent="0.25">
      <c r="A9" s="411">
        <v>2006</v>
      </c>
      <c r="B9" s="412">
        <v>124977.63311194847</v>
      </c>
      <c r="C9" s="412">
        <f>11845.9599805296</f>
        <v>11845.9599805296</v>
      </c>
      <c r="D9" s="412">
        <f>1565.51881405069-4</f>
        <v>1561.51881405069</v>
      </c>
      <c r="E9" s="412">
        <v>3.0833012843479297</v>
      </c>
      <c r="F9" s="412">
        <f>3-2</f>
        <v>1</v>
      </c>
      <c r="G9" s="412">
        <v>31925.625083333332</v>
      </c>
      <c r="H9" s="412">
        <v>777.22367488662121</v>
      </c>
      <c r="I9" s="412">
        <v>1594.0795828494001</v>
      </c>
      <c r="J9" s="413">
        <f t="shared" ref="J9:J19" si="0">SUM(B9:I9)</f>
        <v>172686.12354888243</v>
      </c>
      <c r="L9" s="22">
        <v>2006</v>
      </c>
      <c r="M9" s="5">
        <v>35142</v>
      </c>
      <c r="N9" s="5">
        <v>4009</v>
      </c>
      <c r="O9" s="5">
        <v>505</v>
      </c>
      <c r="P9" s="5">
        <v>3</v>
      </c>
      <c r="Q9" s="5">
        <v>1</v>
      </c>
      <c r="R9" s="5">
        <v>0</v>
      </c>
      <c r="S9" s="5">
        <v>393</v>
      </c>
      <c r="T9" s="5">
        <v>12468</v>
      </c>
      <c r="U9" s="5">
        <v>0</v>
      </c>
      <c r="V9" s="9">
        <v>52522</v>
      </c>
    </row>
    <row r="10" spans="1:22" hidden="1" x14ac:dyDescent="0.25">
      <c r="A10" s="411">
        <v>2007</v>
      </c>
      <c r="B10" s="412">
        <v>127034.86939534695</v>
      </c>
      <c r="C10" s="412">
        <f>11878.4783986376</f>
        <v>11878.478398637601</v>
      </c>
      <c r="D10" s="412">
        <f>1585.61289494219-4</f>
        <v>1581.61289494219</v>
      </c>
      <c r="E10" s="412">
        <v>2.9999857730208062</v>
      </c>
      <c r="F10" s="412">
        <f t="shared" ref="F10:F18" si="1">3-2</f>
        <v>1</v>
      </c>
      <c r="G10" s="412">
        <v>32610.000041666666</v>
      </c>
      <c r="H10" s="412">
        <v>761.65071760411479</v>
      </c>
      <c r="I10" s="412">
        <v>1604.5373112659702</v>
      </c>
      <c r="J10" s="413">
        <f t="shared" si="0"/>
        <v>175475.14874523654</v>
      </c>
      <c r="L10" s="22">
        <v>2007</v>
      </c>
      <c r="M10" s="5">
        <v>35238</v>
      </c>
      <c r="N10" s="5">
        <v>3993</v>
      </c>
      <c r="O10" s="5">
        <v>518</v>
      </c>
      <c r="P10" s="5">
        <v>3</v>
      </c>
      <c r="Q10" s="5">
        <v>1</v>
      </c>
      <c r="R10" s="5">
        <v>0</v>
      </c>
      <c r="S10" s="5">
        <v>394</v>
      </c>
      <c r="T10" s="5">
        <v>12468</v>
      </c>
      <c r="U10" s="5">
        <v>1</v>
      </c>
      <c r="V10" s="9">
        <v>52617</v>
      </c>
    </row>
    <row r="11" spans="1:22" hidden="1" x14ac:dyDescent="0.25">
      <c r="A11" s="411">
        <v>2008</v>
      </c>
      <c r="B11" s="412">
        <v>129174.35299740307</v>
      </c>
      <c r="C11" s="412">
        <f>11975.7865646465</f>
        <v>11975.7865646465</v>
      </c>
      <c r="D11" s="412">
        <f>1592.72039694771-4</f>
        <v>1588.72039694771</v>
      </c>
      <c r="E11" s="412">
        <v>2.9999837575256798</v>
      </c>
      <c r="F11" s="412">
        <f t="shared" si="1"/>
        <v>1</v>
      </c>
      <c r="G11" s="412">
        <v>33072.083333333328</v>
      </c>
      <c r="H11" s="412">
        <v>752.375</v>
      </c>
      <c r="I11" s="412">
        <v>1471.1547619047619</v>
      </c>
      <c r="J11" s="413">
        <f t="shared" si="0"/>
        <v>178038.47303799287</v>
      </c>
      <c r="L11" s="22">
        <v>2008</v>
      </c>
      <c r="M11" s="5">
        <v>35429</v>
      </c>
      <c r="N11" s="5">
        <v>3959</v>
      </c>
      <c r="O11" s="5">
        <v>526</v>
      </c>
      <c r="P11" s="5">
        <v>3</v>
      </c>
      <c r="Q11" s="5">
        <v>1</v>
      </c>
      <c r="R11" s="5">
        <v>0</v>
      </c>
      <c r="S11" s="5">
        <v>391</v>
      </c>
      <c r="T11" s="5">
        <v>12637</v>
      </c>
      <c r="U11" s="5">
        <v>1</v>
      </c>
      <c r="V11" s="9">
        <v>52948</v>
      </c>
    </row>
    <row r="12" spans="1:22" hidden="1" x14ac:dyDescent="0.25">
      <c r="A12" s="411">
        <v>2009</v>
      </c>
      <c r="B12" s="412">
        <v>129621.28154399365</v>
      </c>
      <c r="C12" s="412">
        <f>11897.7434135135</f>
        <v>11897.743413513501</v>
      </c>
      <c r="D12" s="412">
        <f>1595.54277922269-4</f>
        <v>1591.5427792226899</v>
      </c>
      <c r="E12" s="412">
        <v>3</v>
      </c>
      <c r="F12" s="412">
        <f t="shared" si="1"/>
        <v>1</v>
      </c>
      <c r="G12" s="412">
        <v>33336.647321428565</v>
      </c>
      <c r="H12" s="412">
        <v>737.93406593406598</v>
      </c>
      <c r="I12" s="412">
        <v>1516.8083386009271</v>
      </c>
      <c r="J12" s="413">
        <f t="shared" si="0"/>
        <v>178705.95746269339</v>
      </c>
      <c r="L12" s="22">
        <v>2009</v>
      </c>
      <c r="M12" s="5">
        <v>35447</v>
      </c>
      <c r="N12" s="5">
        <v>3879</v>
      </c>
      <c r="O12" s="5">
        <v>505</v>
      </c>
      <c r="P12" s="5">
        <v>2</v>
      </c>
      <c r="Q12" s="5">
        <v>1</v>
      </c>
      <c r="R12" s="5">
        <v>243</v>
      </c>
      <c r="S12" s="5">
        <v>388</v>
      </c>
      <c r="T12" s="5">
        <v>12931</v>
      </c>
      <c r="U12" s="5">
        <v>1</v>
      </c>
      <c r="V12" s="9">
        <v>53398</v>
      </c>
    </row>
    <row r="13" spans="1:22" hidden="1" x14ac:dyDescent="0.25">
      <c r="A13" s="411">
        <v>2010</v>
      </c>
      <c r="B13" s="412">
        <v>132014.32180859643</v>
      </c>
      <c r="C13" s="412">
        <f>11938.9399203623</f>
        <v>11938.9399203623</v>
      </c>
      <c r="D13" s="412">
        <f>1622.56075114479-4</f>
        <v>1618.5607511447899</v>
      </c>
      <c r="E13" s="412">
        <v>3</v>
      </c>
      <c r="F13" s="412">
        <f t="shared" si="1"/>
        <v>1</v>
      </c>
      <c r="G13" s="412">
        <v>33625.480654761908</v>
      </c>
      <c r="H13" s="412">
        <v>728.41275911108858</v>
      </c>
      <c r="I13" s="412">
        <v>1502.4071304540144</v>
      </c>
      <c r="J13" s="413">
        <f t="shared" si="0"/>
        <v>181432.12302443053</v>
      </c>
      <c r="L13" s="22">
        <v>2010</v>
      </c>
      <c r="M13" s="5">
        <v>35496</v>
      </c>
      <c r="N13" s="5">
        <v>3952</v>
      </c>
      <c r="O13" s="5">
        <v>484</v>
      </c>
      <c r="P13" s="5">
        <v>1.5</v>
      </c>
      <c r="Q13" s="5">
        <v>1</v>
      </c>
      <c r="R13" s="5">
        <v>245</v>
      </c>
      <c r="S13" s="5">
        <v>388</v>
      </c>
      <c r="T13" s="5">
        <v>12931</v>
      </c>
      <c r="U13" s="5">
        <v>1</v>
      </c>
      <c r="V13" s="9">
        <v>53502</v>
      </c>
    </row>
    <row r="14" spans="1:22" hidden="1" x14ac:dyDescent="0.25">
      <c r="A14" s="411">
        <v>2011</v>
      </c>
      <c r="B14" s="412">
        <v>134171</v>
      </c>
      <c r="C14" s="412">
        <f>11915</f>
        <v>11915</v>
      </c>
      <c r="D14" s="412">
        <f>1622-E14-4</f>
        <v>1615</v>
      </c>
      <c r="E14" s="412">
        <v>3</v>
      </c>
      <c r="F14" s="412">
        <f t="shared" si="1"/>
        <v>1</v>
      </c>
      <c r="G14" s="412">
        <v>34083</v>
      </c>
      <c r="H14" s="412">
        <v>716.98612401743162</v>
      </c>
      <c r="I14" s="412">
        <v>1496</v>
      </c>
      <c r="J14" s="413">
        <f t="shared" si="0"/>
        <v>184000.98612401742</v>
      </c>
      <c r="L14" s="22">
        <v>2011</v>
      </c>
      <c r="M14" s="5">
        <v>35760</v>
      </c>
      <c r="N14" s="5">
        <v>3862</v>
      </c>
      <c r="O14" s="5">
        <v>494</v>
      </c>
      <c r="P14" s="5">
        <v>1</v>
      </c>
      <c r="Q14" s="5">
        <v>1</v>
      </c>
      <c r="R14" s="5">
        <v>245</v>
      </c>
      <c r="S14" s="5">
        <v>388</v>
      </c>
      <c r="T14" s="5">
        <v>12931</v>
      </c>
      <c r="U14" s="5">
        <v>1</v>
      </c>
      <c r="V14" s="9">
        <v>53685</v>
      </c>
    </row>
    <row r="15" spans="1:22" hidden="1" x14ac:dyDescent="0.25">
      <c r="A15" s="22">
        <v>2012</v>
      </c>
      <c r="B15" s="5">
        <v>135321</v>
      </c>
      <c r="C15" s="5">
        <f>12011</f>
        <v>12011</v>
      </c>
      <c r="D15" s="5">
        <f>1634-E15-4</f>
        <v>1627</v>
      </c>
      <c r="E15" s="5">
        <v>3</v>
      </c>
      <c r="F15" s="5">
        <f t="shared" si="1"/>
        <v>1</v>
      </c>
      <c r="G15" s="5">
        <v>34410</v>
      </c>
      <c r="H15" s="5">
        <v>696.9911276771436</v>
      </c>
      <c r="I15" s="5">
        <v>1503</v>
      </c>
      <c r="J15" s="9">
        <f t="shared" si="0"/>
        <v>185572.99112767715</v>
      </c>
      <c r="L15" s="22">
        <v>2012</v>
      </c>
      <c r="M15" s="5">
        <v>35872</v>
      </c>
      <c r="N15" s="5">
        <v>3855</v>
      </c>
      <c r="O15" s="5">
        <v>501</v>
      </c>
      <c r="P15" s="5">
        <v>1</v>
      </c>
      <c r="Q15" s="5">
        <v>1</v>
      </c>
      <c r="R15" s="5">
        <v>245</v>
      </c>
      <c r="S15" s="5">
        <v>388</v>
      </c>
      <c r="T15" s="5">
        <v>12931</v>
      </c>
      <c r="U15" s="5">
        <v>1</v>
      </c>
      <c r="V15" s="9">
        <v>53796</v>
      </c>
    </row>
    <row r="16" spans="1:22" hidden="1" x14ac:dyDescent="0.25">
      <c r="A16" s="22">
        <v>2013</v>
      </c>
      <c r="B16" s="5">
        <v>136540</v>
      </c>
      <c r="C16" s="5">
        <f>12098</f>
        <v>12098</v>
      </c>
      <c r="D16" s="5">
        <f>1622-E16-4</f>
        <v>1615</v>
      </c>
      <c r="E16" s="5">
        <v>3</v>
      </c>
      <c r="F16" s="5">
        <f t="shared" si="1"/>
        <v>1</v>
      </c>
      <c r="G16" s="5">
        <v>34882</v>
      </c>
      <c r="H16" s="5">
        <v>680.66447999999991</v>
      </c>
      <c r="I16" s="5">
        <v>1508</v>
      </c>
      <c r="J16" s="9">
        <f t="shared" si="0"/>
        <v>187327.66448000001</v>
      </c>
      <c r="L16" s="22">
        <v>2013</v>
      </c>
      <c r="M16" s="5">
        <v>36016</v>
      </c>
      <c r="N16" s="5">
        <v>3869</v>
      </c>
      <c r="O16" s="5">
        <v>496</v>
      </c>
      <c r="P16" s="5">
        <v>1</v>
      </c>
      <c r="Q16" s="5">
        <v>1</v>
      </c>
      <c r="R16" s="5">
        <v>251</v>
      </c>
      <c r="S16" s="5">
        <v>493</v>
      </c>
      <c r="T16" s="5">
        <v>12930</v>
      </c>
      <c r="U16" s="5">
        <v>1</v>
      </c>
      <c r="V16" s="9">
        <v>54403</v>
      </c>
    </row>
    <row r="17" spans="1:22" hidden="1" x14ac:dyDescent="0.25">
      <c r="A17" s="23">
        <v>2014</v>
      </c>
      <c r="B17" s="5">
        <v>137835</v>
      </c>
      <c r="C17" s="5">
        <f>12243</f>
        <v>12243</v>
      </c>
      <c r="D17" s="5">
        <f>1607-E17-4</f>
        <v>1599.5</v>
      </c>
      <c r="E17" s="5">
        <v>3.5</v>
      </c>
      <c r="F17" s="5">
        <f t="shared" si="1"/>
        <v>1</v>
      </c>
      <c r="G17" s="5">
        <v>35118</v>
      </c>
      <c r="H17" s="5">
        <v>666</v>
      </c>
      <c r="I17" s="5">
        <v>1520</v>
      </c>
      <c r="J17" s="21">
        <f t="shared" si="0"/>
        <v>188986</v>
      </c>
      <c r="L17" s="23">
        <v>2014</v>
      </c>
      <c r="M17" s="5">
        <v>36131</v>
      </c>
      <c r="N17" s="5">
        <v>3871</v>
      </c>
      <c r="O17" s="5">
        <v>498</v>
      </c>
      <c r="P17" s="5">
        <v>1</v>
      </c>
      <c r="Q17" s="5">
        <v>1</v>
      </c>
      <c r="R17" s="5">
        <v>250</v>
      </c>
      <c r="S17" s="5">
        <v>481</v>
      </c>
      <c r="T17" s="5">
        <v>12922</v>
      </c>
      <c r="U17" s="5">
        <v>1</v>
      </c>
      <c r="V17" s="21">
        <v>54501</v>
      </c>
    </row>
    <row r="18" spans="1:22" hidden="1" x14ac:dyDescent="0.25">
      <c r="A18" s="22">
        <v>2015</v>
      </c>
      <c r="B18" s="5">
        <v>139223</v>
      </c>
      <c r="C18" s="5">
        <f>12461</f>
        <v>12461</v>
      </c>
      <c r="D18" s="5">
        <f>1586-E18-4</f>
        <v>1578</v>
      </c>
      <c r="E18" s="5">
        <v>4</v>
      </c>
      <c r="F18" s="5">
        <f t="shared" si="1"/>
        <v>1</v>
      </c>
      <c r="G18" s="5">
        <v>35327</v>
      </c>
      <c r="H18" s="5">
        <v>646</v>
      </c>
      <c r="I18" s="5">
        <v>1525</v>
      </c>
      <c r="J18" s="21">
        <f t="shared" si="0"/>
        <v>190765</v>
      </c>
      <c r="L18" s="291"/>
      <c r="M18" s="64"/>
      <c r="N18" s="64"/>
      <c r="O18" s="64"/>
      <c r="P18" s="64"/>
      <c r="Q18" s="64"/>
      <c r="R18" s="64"/>
      <c r="S18" s="64"/>
      <c r="T18" s="64"/>
      <c r="U18" s="64"/>
      <c r="V18" s="292"/>
    </row>
    <row r="19" spans="1:22" hidden="1" x14ac:dyDescent="0.25">
      <c r="A19" s="23">
        <v>2016</v>
      </c>
      <c r="B19" s="5">
        <v>140655</v>
      </c>
      <c r="C19" s="5">
        <f>12539+24</f>
        <v>12563</v>
      </c>
      <c r="D19" s="5">
        <f>1594-E19-24-4</f>
        <v>1562</v>
      </c>
      <c r="E19" s="5">
        <v>4</v>
      </c>
      <c r="F19" s="5">
        <v>1</v>
      </c>
      <c r="G19" s="5">
        <v>35712</v>
      </c>
      <c r="H19" s="5">
        <v>623</v>
      </c>
      <c r="I19" s="5">
        <v>1521</v>
      </c>
      <c r="J19" s="21">
        <f t="shared" si="0"/>
        <v>192641</v>
      </c>
      <c r="L19" s="291"/>
      <c r="M19" s="64"/>
      <c r="N19" s="64"/>
      <c r="O19" s="64"/>
      <c r="P19" s="64"/>
      <c r="Q19" s="64"/>
      <c r="R19" s="64"/>
      <c r="S19" s="64"/>
      <c r="T19" s="64"/>
      <c r="U19" s="64"/>
      <c r="V19" s="292"/>
    </row>
    <row r="20" spans="1:22" ht="18.75" hidden="1" x14ac:dyDescent="0.3">
      <c r="A20" s="308" t="s">
        <v>240</v>
      </c>
      <c r="B20" s="309"/>
      <c r="C20" s="309"/>
      <c r="D20" s="309"/>
      <c r="E20" s="309"/>
      <c r="F20" s="309"/>
      <c r="G20" s="309"/>
      <c r="H20" s="309"/>
      <c r="I20" s="309"/>
      <c r="J20" s="310"/>
      <c r="T20" s="2">
        <f>T15-T16</f>
        <v>1</v>
      </c>
    </row>
    <row r="21" spans="1:22" hidden="1" x14ac:dyDescent="0.25">
      <c r="A21" s="411">
        <v>2006</v>
      </c>
      <c r="B21" s="412">
        <v>0</v>
      </c>
      <c r="C21" s="412">
        <v>0</v>
      </c>
      <c r="D21" s="412">
        <v>0</v>
      </c>
      <c r="E21" s="412">
        <v>0</v>
      </c>
      <c r="F21" s="412">
        <v>0</v>
      </c>
      <c r="G21" s="412">
        <v>0</v>
      </c>
      <c r="H21" s="412">
        <v>0</v>
      </c>
      <c r="I21" s="412">
        <v>0</v>
      </c>
      <c r="J21" s="414"/>
    </row>
    <row r="22" spans="1:22" hidden="1" x14ac:dyDescent="0.25">
      <c r="A22" s="411">
        <v>2007</v>
      </c>
      <c r="B22" s="412">
        <f>B10-B9</f>
        <v>2057.2362833984807</v>
      </c>
      <c r="C22" s="412">
        <f t="shared" ref="C22:I22" si="2">C10-C9</f>
        <v>32.518418108000333</v>
      </c>
      <c r="D22" s="412">
        <f t="shared" si="2"/>
        <v>20.094080891499971</v>
      </c>
      <c r="E22" s="412">
        <f t="shared" si="2"/>
        <v>-8.3315511327123559E-2</v>
      </c>
      <c r="F22" s="412">
        <f t="shared" si="2"/>
        <v>0</v>
      </c>
      <c r="G22" s="412">
        <f t="shared" si="2"/>
        <v>684.37495833333378</v>
      </c>
      <c r="H22" s="412">
        <f t="shared" si="2"/>
        <v>-15.572957282506422</v>
      </c>
      <c r="I22" s="412">
        <f t="shared" si="2"/>
        <v>10.457728416570035</v>
      </c>
      <c r="J22" s="415">
        <f>SUM(B22:I22)</f>
        <v>2789.0251963540513</v>
      </c>
    </row>
    <row r="23" spans="1:22" hidden="1" x14ac:dyDescent="0.25">
      <c r="A23" s="411">
        <v>2008</v>
      </c>
      <c r="B23" s="412">
        <f t="shared" ref="B23:I23" si="3">B11-B10</f>
        <v>2139.4836020561197</v>
      </c>
      <c r="C23" s="412">
        <f t="shared" si="3"/>
        <v>97.308166008899207</v>
      </c>
      <c r="D23" s="412">
        <f t="shared" si="3"/>
        <v>7.1075020055200184</v>
      </c>
      <c r="E23" s="412">
        <f t="shared" si="3"/>
        <v>-2.015495126350686E-6</v>
      </c>
      <c r="F23" s="412">
        <f t="shared" si="3"/>
        <v>0</v>
      </c>
      <c r="G23" s="412">
        <f t="shared" si="3"/>
        <v>462.08329166666226</v>
      </c>
      <c r="H23" s="412">
        <f t="shared" si="3"/>
        <v>-9.2757176041147886</v>
      </c>
      <c r="I23" s="412">
        <f t="shared" si="3"/>
        <v>-133.38254936120825</v>
      </c>
      <c r="J23" s="415">
        <f t="shared" ref="J23:J31" si="4">SUM(B23:I23)</f>
        <v>2563.3242927563824</v>
      </c>
    </row>
    <row r="24" spans="1:22" hidden="1" x14ac:dyDescent="0.25">
      <c r="A24" s="411">
        <v>2009</v>
      </c>
      <c r="B24" s="412">
        <f t="shared" ref="B24:I24" si="5">B12-B11</f>
        <v>446.92854659058503</v>
      </c>
      <c r="C24" s="412">
        <f t="shared" si="5"/>
        <v>-78.043151132998901</v>
      </c>
      <c r="D24" s="412">
        <f t="shared" si="5"/>
        <v>2.8223822749798728</v>
      </c>
      <c r="E24" s="412">
        <f t="shared" si="5"/>
        <v>1.6242474320193878E-5</v>
      </c>
      <c r="F24" s="412">
        <f t="shared" si="5"/>
        <v>0</v>
      </c>
      <c r="G24" s="412">
        <f t="shared" si="5"/>
        <v>264.56398809523671</v>
      </c>
      <c r="H24" s="412">
        <f t="shared" si="5"/>
        <v>-14.440934065934016</v>
      </c>
      <c r="I24" s="412">
        <f t="shared" si="5"/>
        <v>45.653576696165146</v>
      </c>
      <c r="J24" s="415">
        <f t="shared" si="4"/>
        <v>667.48442470050816</v>
      </c>
    </row>
    <row r="25" spans="1:22" hidden="1" x14ac:dyDescent="0.25">
      <c r="A25" s="411">
        <v>2010</v>
      </c>
      <c r="B25" s="412">
        <f t="shared" ref="B25:I25" si="6">B13-B12</f>
        <v>2393.0402646027796</v>
      </c>
      <c r="C25" s="412">
        <f t="shared" si="6"/>
        <v>41.19650684879889</v>
      </c>
      <c r="D25" s="412">
        <f t="shared" si="6"/>
        <v>27.01797192210006</v>
      </c>
      <c r="E25" s="412">
        <f t="shared" si="6"/>
        <v>0</v>
      </c>
      <c r="F25" s="412">
        <f t="shared" si="6"/>
        <v>0</v>
      </c>
      <c r="G25" s="412">
        <f t="shared" si="6"/>
        <v>288.83333333334303</v>
      </c>
      <c r="H25" s="412">
        <f t="shared" si="6"/>
        <v>-9.521306822977408</v>
      </c>
      <c r="I25" s="412">
        <f t="shared" si="6"/>
        <v>-14.401208146912722</v>
      </c>
      <c r="J25" s="415">
        <f t="shared" si="4"/>
        <v>2726.1655617371316</v>
      </c>
    </row>
    <row r="26" spans="1:22" hidden="1" x14ac:dyDescent="0.25">
      <c r="A26" s="411">
        <v>2011</v>
      </c>
      <c r="B26" s="412">
        <f t="shared" ref="B26:I26" si="7">B14-B13</f>
        <v>2156.6781914035673</v>
      </c>
      <c r="C26" s="412">
        <f t="shared" si="7"/>
        <v>-23.939920362299745</v>
      </c>
      <c r="D26" s="412">
        <f t="shared" si="7"/>
        <v>-3.5607511447899469</v>
      </c>
      <c r="E26" s="412">
        <f t="shared" si="7"/>
        <v>0</v>
      </c>
      <c r="F26" s="412">
        <f t="shared" si="7"/>
        <v>0</v>
      </c>
      <c r="G26" s="412">
        <f t="shared" si="7"/>
        <v>457.51934523809177</v>
      </c>
      <c r="H26" s="412">
        <f t="shared" si="7"/>
        <v>-11.426635093656955</v>
      </c>
      <c r="I26" s="412">
        <f t="shared" si="7"/>
        <v>-6.4071304540143501</v>
      </c>
      <c r="J26" s="415">
        <f t="shared" si="4"/>
        <v>2568.8630995868984</v>
      </c>
    </row>
    <row r="27" spans="1:22" hidden="1" x14ac:dyDescent="0.25">
      <c r="A27" s="68">
        <v>2012</v>
      </c>
      <c r="B27" s="5">
        <f t="shared" ref="B27:I27" si="8">B15-B14</f>
        <v>1150</v>
      </c>
      <c r="C27" s="5">
        <f t="shared" si="8"/>
        <v>96</v>
      </c>
      <c r="D27" s="5">
        <f t="shared" si="8"/>
        <v>12</v>
      </c>
      <c r="E27" s="5">
        <f t="shared" si="8"/>
        <v>0</v>
      </c>
      <c r="F27" s="5">
        <f t="shared" si="8"/>
        <v>0</v>
      </c>
      <c r="G27" s="5">
        <f t="shared" si="8"/>
        <v>327</v>
      </c>
      <c r="H27" s="5">
        <f t="shared" si="8"/>
        <v>-19.994996340288026</v>
      </c>
      <c r="I27" s="5">
        <f t="shared" si="8"/>
        <v>7</v>
      </c>
      <c r="J27" s="415">
        <f t="shared" si="4"/>
        <v>1572.005003659712</v>
      </c>
    </row>
    <row r="28" spans="1:22" hidden="1" x14ac:dyDescent="0.25">
      <c r="A28" s="68">
        <v>2013</v>
      </c>
      <c r="B28" s="5">
        <f t="shared" ref="B28:I28" si="9">B16-B15</f>
        <v>1219</v>
      </c>
      <c r="C28" s="5">
        <f t="shared" si="9"/>
        <v>87</v>
      </c>
      <c r="D28" s="5">
        <f t="shared" si="9"/>
        <v>-12</v>
      </c>
      <c r="E28" s="5">
        <f t="shared" si="9"/>
        <v>0</v>
      </c>
      <c r="F28" s="5">
        <f t="shared" si="9"/>
        <v>0</v>
      </c>
      <c r="G28" s="5">
        <f t="shared" si="9"/>
        <v>472</v>
      </c>
      <c r="H28" s="5">
        <f t="shared" si="9"/>
        <v>-16.326647677143683</v>
      </c>
      <c r="I28" s="5">
        <f t="shared" si="9"/>
        <v>5</v>
      </c>
      <c r="J28" s="415">
        <f t="shared" si="4"/>
        <v>1754.6733523228563</v>
      </c>
    </row>
    <row r="29" spans="1:22" hidden="1" x14ac:dyDescent="0.25">
      <c r="A29" s="69">
        <v>2014</v>
      </c>
      <c r="B29" s="5">
        <f t="shared" ref="B29:I29" si="10">B17-B16</f>
        <v>1295</v>
      </c>
      <c r="C29" s="5">
        <f t="shared" si="10"/>
        <v>145</v>
      </c>
      <c r="D29" s="5">
        <f t="shared" si="10"/>
        <v>-15.5</v>
      </c>
      <c r="E29" s="5">
        <f t="shared" si="10"/>
        <v>0.5</v>
      </c>
      <c r="F29" s="5">
        <f t="shared" si="10"/>
        <v>0</v>
      </c>
      <c r="G29" s="5">
        <f t="shared" si="10"/>
        <v>236</v>
      </c>
      <c r="H29" s="5">
        <f t="shared" si="10"/>
        <v>-14.664479999999912</v>
      </c>
      <c r="I29" s="5">
        <f t="shared" si="10"/>
        <v>12</v>
      </c>
      <c r="J29" s="415">
        <f t="shared" si="4"/>
        <v>1658.3355200000001</v>
      </c>
    </row>
    <row r="30" spans="1:22" hidden="1" x14ac:dyDescent="0.25">
      <c r="A30" s="68">
        <v>2015</v>
      </c>
      <c r="B30" s="5">
        <f t="shared" ref="B30:I31" si="11">B18-B17</f>
        <v>1388</v>
      </c>
      <c r="C30" s="5">
        <f t="shared" si="11"/>
        <v>218</v>
      </c>
      <c r="D30" s="5">
        <f t="shared" si="11"/>
        <v>-21.5</v>
      </c>
      <c r="E30" s="5">
        <f t="shared" si="11"/>
        <v>0.5</v>
      </c>
      <c r="F30" s="5">
        <f t="shared" si="11"/>
        <v>0</v>
      </c>
      <c r="G30" s="5">
        <f t="shared" si="11"/>
        <v>209</v>
      </c>
      <c r="H30" s="5">
        <f t="shared" si="11"/>
        <v>-20</v>
      </c>
      <c r="I30" s="5">
        <f t="shared" si="11"/>
        <v>5</v>
      </c>
      <c r="J30" s="415">
        <f t="shared" si="4"/>
        <v>1779</v>
      </c>
    </row>
    <row r="31" spans="1:22" hidden="1" x14ac:dyDescent="0.25">
      <c r="A31" s="69">
        <v>2016</v>
      </c>
      <c r="B31" s="5">
        <f t="shared" si="11"/>
        <v>1432</v>
      </c>
      <c r="C31" s="5">
        <f t="shared" si="11"/>
        <v>102</v>
      </c>
      <c r="D31" s="5">
        <f t="shared" si="11"/>
        <v>-16</v>
      </c>
      <c r="E31" s="5">
        <f t="shared" si="11"/>
        <v>0</v>
      </c>
      <c r="F31" s="5">
        <f t="shared" si="11"/>
        <v>0</v>
      </c>
      <c r="G31" s="5">
        <f t="shared" si="11"/>
        <v>385</v>
      </c>
      <c r="H31" s="5">
        <f t="shared" si="11"/>
        <v>-23</v>
      </c>
      <c r="I31" s="5">
        <f t="shared" si="11"/>
        <v>-4</v>
      </c>
      <c r="J31" s="415">
        <f t="shared" si="4"/>
        <v>1876</v>
      </c>
    </row>
    <row r="32" spans="1:22" hidden="1" x14ac:dyDescent="0.25">
      <c r="A32" s="58" t="s">
        <v>259</v>
      </c>
      <c r="B32" s="172">
        <f>AVERAGE(B27:B31)</f>
        <v>1296.8</v>
      </c>
      <c r="C32" s="172">
        <f t="shared" ref="C32:I32" si="12">AVERAGE(C27:C31)</f>
        <v>129.6</v>
      </c>
      <c r="D32" s="172">
        <f t="shared" si="12"/>
        <v>-10.6</v>
      </c>
      <c r="E32" s="172">
        <f t="shared" si="12"/>
        <v>0.2</v>
      </c>
      <c r="F32" s="172">
        <f t="shared" si="12"/>
        <v>0</v>
      </c>
      <c r="G32" s="172">
        <f t="shared" si="12"/>
        <v>325.8</v>
      </c>
      <c r="H32" s="172">
        <f t="shared" si="12"/>
        <v>-18.797224803486323</v>
      </c>
      <c r="I32" s="172">
        <f t="shared" si="12"/>
        <v>5</v>
      </c>
      <c r="J32" s="61"/>
    </row>
    <row r="33" spans="1:22" ht="18.75" hidden="1" x14ac:dyDescent="0.3">
      <c r="A33" s="308" t="s">
        <v>11</v>
      </c>
      <c r="B33" s="309"/>
      <c r="C33" s="309"/>
      <c r="D33" s="309"/>
      <c r="E33" s="309"/>
      <c r="F33" s="309"/>
      <c r="G33" s="309"/>
      <c r="H33" s="309"/>
      <c r="I33" s="309"/>
      <c r="J33" s="310"/>
    </row>
    <row r="34" spans="1:22" s="85" customFormat="1" hidden="1" x14ac:dyDescent="0.25">
      <c r="A34" s="411">
        <v>2006</v>
      </c>
      <c r="B34" s="412">
        <v>0</v>
      </c>
      <c r="C34" s="412">
        <v>0</v>
      </c>
      <c r="D34" s="412">
        <v>0</v>
      </c>
      <c r="E34" s="412">
        <v>0</v>
      </c>
      <c r="F34" s="412">
        <v>0</v>
      </c>
      <c r="G34" s="412">
        <v>0</v>
      </c>
      <c r="H34" s="412">
        <v>0</v>
      </c>
      <c r="I34" s="412">
        <v>0</v>
      </c>
      <c r="J34" s="414"/>
      <c r="L34"/>
      <c r="M34"/>
      <c r="N34"/>
      <c r="O34"/>
      <c r="P34"/>
      <c r="Q34"/>
      <c r="R34"/>
      <c r="S34"/>
      <c r="T34"/>
      <c r="U34"/>
      <c r="V34"/>
    </row>
    <row r="35" spans="1:22" s="85" customFormat="1" hidden="1" x14ac:dyDescent="0.25">
      <c r="A35" s="411">
        <v>2007</v>
      </c>
      <c r="B35" s="416">
        <f t="shared" ref="B35:I43" si="13">IFERROR(ROUND(B10/B9,4),0)</f>
        <v>1.0165</v>
      </c>
      <c r="C35" s="416">
        <f t="shared" si="13"/>
        <v>1.0026999999999999</v>
      </c>
      <c r="D35" s="416">
        <f t="shared" si="13"/>
        <v>1.0128999999999999</v>
      </c>
      <c r="E35" s="416">
        <f t="shared" si="13"/>
        <v>0.97299999999999998</v>
      </c>
      <c r="F35" s="416">
        <f t="shared" si="13"/>
        <v>1</v>
      </c>
      <c r="G35" s="416">
        <f t="shared" si="13"/>
        <v>1.0214000000000001</v>
      </c>
      <c r="H35" s="416">
        <f t="shared" si="13"/>
        <v>0.98</v>
      </c>
      <c r="I35" s="416">
        <f t="shared" si="13"/>
        <v>1.0065999999999999</v>
      </c>
      <c r="J35" s="414"/>
      <c r="L35"/>
      <c r="M35"/>
      <c r="N35"/>
      <c r="O35"/>
      <c r="P35"/>
      <c r="Q35"/>
      <c r="R35"/>
      <c r="S35"/>
      <c r="T35"/>
      <c r="U35"/>
      <c r="V35"/>
    </row>
    <row r="36" spans="1:22" hidden="1" x14ac:dyDescent="0.25">
      <c r="A36" s="411">
        <v>2008</v>
      </c>
      <c r="B36" s="416">
        <f t="shared" si="13"/>
        <v>1.0167999999999999</v>
      </c>
      <c r="C36" s="416">
        <f t="shared" si="13"/>
        <v>1.0082</v>
      </c>
      <c r="D36" s="416">
        <f t="shared" si="13"/>
        <v>1.0044999999999999</v>
      </c>
      <c r="E36" s="416">
        <f t="shared" si="13"/>
        <v>1</v>
      </c>
      <c r="F36" s="416">
        <f t="shared" si="13"/>
        <v>1</v>
      </c>
      <c r="G36" s="416">
        <f t="shared" si="13"/>
        <v>1.0142</v>
      </c>
      <c r="H36" s="416">
        <f t="shared" si="13"/>
        <v>0.98780000000000001</v>
      </c>
      <c r="I36" s="416">
        <f t="shared" si="13"/>
        <v>0.91690000000000005</v>
      </c>
      <c r="J36" s="414"/>
    </row>
    <row r="37" spans="1:22" s="85" customFormat="1" hidden="1" x14ac:dyDescent="0.25">
      <c r="A37" s="411">
        <v>2009</v>
      </c>
      <c r="B37" s="416">
        <f t="shared" si="13"/>
        <v>1.0035000000000001</v>
      </c>
      <c r="C37" s="416">
        <f t="shared" si="13"/>
        <v>0.99350000000000005</v>
      </c>
      <c r="D37" s="416">
        <f t="shared" si="13"/>
        <v>1.0018</v>
      </c>
      <c r="E37" s="416">
        <f t="shared" si="13"/>
        <v>1</v>
      </c>
      <c r="F37" s="416">
        <f t="shared" si="13"/>
        <v>1</v>
      </c>
      <c r="G37" s="416">
        <f t="shared" si="13"/>
        <v>1.008</v>
      </c>
      <c r="H37" s="416">
        <f t="shared" si="13"/>
        <v>0.98080000000000001</v>
      </c>
      <c r="I37" s="416">
        <f t="shared" si="13"/>
        <v>1.0309999999999999</v>
      </c>
      <c r="J37" s="414"/>
      <c r="L37"/>
      <c r="M37"/>
      <c r="N37"/>
      <c r="O37"/>
      <c r="P37"/>
      <c r="Q37"/>
      <c r="R37"/>
      <c r="S37"/>
      <c r="T37"/>
      <c r="U37"/>
      <c r="V37"/>
    </row>
    <row r="38" spans="1:22" s="85" customFormat="1" hidden="1" x14ac:dyDescent="0.25">
      <c r="A38" s="411">
        <v>2010</v>
      </c>
      <c r="B38" s="416">
        <f t="shared" si="13"/>
        <v>1.0185</v>
      </c>
      <c r="C38" s="416">
        <f t="shared" si="13"/>
        <v>1.0035000000000001</v>
      </c>
      <c r="D38" s="416">
        <f t="shared" si="13"/>
        <v>1.0169999999999999</v>
      </c>
      <c r="E38" s="416">
        <f t="shared" si="13"/>
        <v>1</v>
      </c>
      <c r="F38" s="416">
        <f t="shared" si="13"/>
        <v>1</v>
      </c>
      <c r="G38" s="416">
        <f t="shared" si="13"/>
        <v>1.0086999999999999</v>
      </c>
      <c r="H38" s="416">
        <f t="shared" si="13"/>
        <v>0.98709999999999998</v>
      </c>
      <c r="I38" s="416">
        <f t="shared" si="13"/>
        <v>0.99050000000000005</v>
      </c>
      <c r="J38" s="414"/>
      <c r="L38"/>
      <c r="M38"/>
      <c r="N38"/>
      <c r="O38"/>
      <c r="P38"/>
      <c r="Q38"/>
      <c r="R38"/>
      <c r="S38"/>
      <c r="T38"/>
      <c r="U38"/>
      <c r="V38"/>
    </row>
    <row r="39" spans="1:22" hidden="1" x14ac:dyDescent="0.25">
      <c r="A39" s="411">
        <v>2011</v>
      </c>
      <c r="B39" s="416">
        <f t="shared" si="13"/>
        <v>1.0163</v>
      </c>
      <c r="C39" s="416">
        <f t="shared" si="13"/>
        <v>0.998</v>
      </c>
      <c r="D39" s="416">
        <f t="shared" si="13"/>
        <v>0.99780000000000002</v>
      </c>
      <c r="E39" s="416">
        <f t="shared" si="13"/>
        <v>1</v>
      </c>
      <c r="F39" s="416">
        <f t="shared" si="13"/>
        <v>1</v>
      </c>
      <c r="G39" s="416">
        <f t="shared" si="13"/>
        <v>1.0136000000000001</v>
      </c>
      <c r="H39" s="416">
        <f t="shared" si="13"/>
        <v>0.98429999999999995</v>
      </c>
      <c r="I39" s="416">
        <f t="shared" si="13"/>
        <v>0.99570000000000003</v>
      </c>
      <c r="J39" s="414"/>
    </row>
    <row r="40" spans="1:22" s="85" customFormat="1" hidden="1" x14ac:dyDescent="0.25">
      <c r="A40" s="68">
        <v>2012</v>
      </c>
      <c r="B40" s="7">
        <f t="shared" si="13"/>
        <v>1.0085999999999999</v>
      </c>
      <c r="C40" s="7">
        <f t="shared" si="13"/>
        <v>1.0081</v>
      </c>
      <c r="D40" s="7">
        <f t="shared" si="13"/>
        <v>1.0074000000000001</v>
      </c>
      <c r="E40" s="7">
        <f t="shared" si="13"/>
        <v>1</v>
      </c>
      <c r="F40" s="7">
        <f t="shared" si="13"/>
        <v>1</v>
      </c>
      <c r="G40" s="7">
        <f t="shared" si="13"/>
        <v>1.0096000000000001</v>
      </c>
      <c r="H40" s="7">
        <f t="shared" si="13"/>
        <v>0.97209999999999996</v>
      </c>
      <c r="I40" s="7">
        <f t="shared" si="13"/>
        <v>1.0046999999999999</v>
      </c>
      <c r="J40" s="10"/>
      <c r="L40"/>
      <c r="M40"/>
      <c r="N40"/>
      <c r="O40"/>
      <c r="P40"/>
      <c r="Q40"/>
      <c r="R40"/>
      <c r="S40"/>
      <c r="T40"/>
      <c r="U40"/>
      <c r="V40"/>
    </row>
    <row r="41" spans="1:22" s="85" customFormat="1" hidden="1" x14ac:dyDescent="0.25">
      <c r="A41" s="68">
        <v>2013</v>
      </c>
      <c r="B41" s="7">
        <f t="shared" si="13"/>
        <v>1.0089999999999999</v>
      </c>
      <c r="C41" s="7">
        <f t="shared" si="13"/>
        <v>1.0072000000000001</v>
      </c>
      <c r="D41" s="7">
        <f t="shared" si="13"/>
        <v>0.99260000000000004</v>
      </c>
      <c r="E41" s="7">
        <f t="shared" si="13"/>
        <v>1</v>
      </c>
      <c r="F41" s="7">
        <f t="shared" si="13"/>
        <v>1</v>
      </c>
      <c r="G41" s="7">
        <f t="shared" si="13"/>
        <v>1.0137</v>
      </c>
      <c r="H41" s="7">
        <f t="shared" si="13"/>
        <v>0.97660000000000002</v>
      </c>
      <c r="I41" s="7">
        <f t="shared" si="13"/>
        <v>1.0033000000000001</v>
      </c>
      <c r="J41" s="10"/>
      <c r="L41"/>
      <c r="M41"/>
      <c r="N41"/>
      <c r="O41"/>
      <c r="P41"/>
      <c r="Q41"/>
      <c r="R41"/>
      <c r="S41"/>
      <c r="T41"/>
      <c r="U41"/>
      <c r="V41"/>
    </row>
    <row r="42" spans="1:22" hidden="1" x14ac:dyDescent="0.25">
      <c r="A42" s="69">
        <v>2014</v>
      </c>
      <c r="B42" s="7">
        <f t="shared" si="13"/>
        <v>1.0095000000000001</v>
      </c>
      <c r="C42" s="7">
        <f t="shared" si="13"/>
        <v>1.012</v>
      </c>
      <c r="D42" s="7">
        <f t="shared" si="13"/>
        <v>0.99039999999999995</v>
      </c>
      <c r="E42" s="7">
        <f t="shared" si="13"/>
        <v>1.1667000000000001</v>
      </c>
      <c r="F42" s="7">
        <f t="shared" si="13"/>
        <v>1</v>
      </c>
      <c r="G42" s="7">
        <f t="shared" si="13"/>
        <v>1.0067999999999999</v>
      </c>
      <c r="H42" s="7">
        <f t="shared" si="13"/>
        <v>0.97850000000000004</v>
      </c>
      <c r="I42" s="7">
        <f t="shared" si="13"/>
        <v>1.008</v>
      </c>
      <c r="J42" s="19"/>
    </row>
    <row r="43" spans="1:22" hidden="1" x14ac:dyDescent="0.25">
      <c r="A43" s="68">
        <v>2015</v>
      </c>
      <c r="B43" s="7">
        <f t="shared" si="13"/>
        <v>1.0101</v>
      </c>
      <c r="C43" s="7">
        <f t="shared" si="13"/>
        <v>1.0178</v>
      </c>
      <c r="D43" s="7">
        <f t="shared" si="13"/>
        <v>0.98660000000000003</v>
      </c>
      <c r="E43" s="7">
        <f t="shared" si="13"/>
        <v>1.1429</v>
      </c>
      <c r="F43" s="7">
        <f t="shared" si="13"/>
        <v>1</v>
      </c>
      <c r="G43" s="7">
        <f t="shared" si="13"/>
        <v>1.006</v>
      </c>
      <c r="H43" s="7">
        <f t="shared" si="13"/>
        <v>0.97</v>
      </c>
      <c r="I43" s="7">
        <f t="shared" si="13"/>
        <v>1.0033000000000001</v>
      </c>
      <c r="J43" s="293"/>
    </row>
    <row r="44" spans="1:22" hidden="1" x14ac:dyDescent="0.25">
      <c r="A44" s="69">
        <v>2016</v>
      </c>
      <c r="B44" s="7">
        <f>IFERROR(ROUND(B19/B18,4),0)</f>
        <v>1.0103</v>
      </c>
      <c r="C44" s="7">
        <f t="shared" ref="C44:I44" si="14">IFERROR(ROUND(C19/C18,4),0)</f>
        <v>1.0082</v>
      </c>
      <c r="D44" s="7">
        <f t="shared" si="14"/>
        <v>0.9899</v>
      </c>
      <c r="E44" s="7">
        <f t="shared" si="14"/>
        <v>1</v>
      </c>
      <c r="F44" s="7">
        <f t="shared" si="14"/>
        <v>1</v>
      </c>
      <c r="G44" s="7">
        <f t="shared" si="14"/>
        <v>1.0108999999999999</v>
      </c>
      <c r="H44" s="7">
        <f t="shared" si="14"/>
        <v>0.96440000000000003</v>
      </c>
      <c r="I44" s="7">
        <f t="shared" si="14"/>
        <v>0.99739999999999995</v>
      </c>
      <c r="J44" s="293"/>
    </row>
    <row r="45" spans="1:22" hidden="1" x14ac:dyDescent="0.25">
      <c r="A45" s="58" t="s">
        <v>258</v>
      </c>
      <c r="B45" s="60">
        <f>GEOMEAN(B40:B44)</f>
        <v>1.0094997959303003</v>
      </c>
      <c r="C45" s="60">
        <f t="shared" ref="C45:I45" si="15">GEOMEAN(C40:C44)</f>
        <v>1.0106523654241757</v>
      </c>
      <c r="D45" s="60">
        <f t="shared" si="15"/>
        <v>0.9933535699176298</v>
      </c>
      <c r="E45" s="60">
        <f t="shared" si="15"/>
        <v>1.0592378377923448</v>
      </c>
      <c r="F45" s="60">
        <f t="shared" si="15"/>
        <v>1</v>
      </c>
      <c r="G45" s="60">
        <f t="shared" si="15"/>
        <v>1.0093961280954598</v>
      </c>
      <c r="H45" s="60">
        <f t="shared" si="15"/>
        <v>0.97230716432504039</v>
      </c>
      <c r="I45" s="60">
        <f t="shared" si="15"/>
        <v>1.0033341273115839</v>
      </c>
      <c r="J45" s="61"/>
    </row>
    <row r="46" spans="1:22" ht="18.75" x14ac:dyDescent="0.3">
      <c r="A46" s="308" t="s">
        <v>148</v>
      </c>
      <c r="B46" s="309"/>
      <c r="C46" s="309"/>
      <c r="D46" s="309"/>
      <c r="E46" s="309"/>
      <c r="F46" s="309"/>
      <c r="G46" s="309"/>
      <c r="H46" s="309"/>
      <c r="I46" s="309"/>
      <c r="J46" s="310"/>
    </row>
    <row r="47" spans="1:22" x14ac:dyDescent="0.25">
      <c r="A47" s="68">
        <v>2016</v>
      </c>
      <c r="B47" s="30">
        <f>B19</f>
        <v>140655</v>
      </c>
      <c r="C47" s="30">
        <f t="shared" ref="C47:I47" si="16">C19</f>
        <v>12563</v>
      </c>
      <c r="D47" s="30">
        <f t="shared" si="16"/>
        <v>1562</v>
      </c>
      <c r="E47" s="30">
        <f t="shared" si="16"/>
        <v>4</v>
      </c>
      <c r="F47" s="30">
        <f t="shared" si="16"/>
        <v>1</v>
      </c>
      <c r="G47" s="30">
        <f t="shared" si="16"/>
        <v>35712</v>
      </c>
      <c r="H47" s="30">
        <f t="shared" si="16"/>
        <v>623</v>
      </c>
      <c r="I47" s="30">
        <f t="shared" si="16"/>
        <v>1521</v>
      </c>
      <c r="J47" s="84">
        <f>SUM(B47:I47)</f>
        <v>192641</v>
      </c>
    </row>
    <row r="48" spans="1:22" x14ac:dyDescent="0.25">
      <c r="A48" s="86">
        <v>2017</v>
      </c>
      <c r="B48" s="87">
        <f>ROUND(B47*B$45,0)</f>
        <v>141991</v>
      </c>
      <c r="C48" s="87">
        <f t="shared" ref="C48:I48" si="17">ROUND(C47*C$45,0)</f>
        <v>12697</v>
      </c>
      <c r="D48" s="87">
        <f>ROUND(D47*D$45,0)</f>
        <v>1552</v>
      </c>
      <c r="E48" s="87">
        <f t="shared" si="17"/>
        <v>4</v>
      </c>
      <c r="F48" s="87">
        <f>ROUND(F47*F$45,0)</f>
        <v>1</v>
      </c>
      <c r="G48" s="87">
        <f t="shared" si="17"/>
        <v>36048</v>
      </c>
      <c r="H48" s="87">
        <f t="shared" si="17"/>
        <v>606</v>
      </c>
      <c r="I48" s="87">
        <f t="shared" si="17"/>
        <v>1526</v>
      </c>
      <c r="J48" s="88">
        <f>SUM(B48:I48)</f>
        <v>194425</v>
      </c>
    </row>
    <row r="49" spans="1:10" ht="18.75" x14ac:dyDescent="0.3">
      <c r="A49" s="308" t="s">
        <v>155</v>
      </c>
      <c r="B49" s="309"/>
      <c r="C49" s="309"/>
      <c r="D49" s="309"/>
      <c r="E49" s="309"/>
      <c r="F49" s="309"/>
      <c r="G49" s="309"/>
      <c r="H49" s="309"/>
      <c r="I49" s="309"/>
      <c r="J49" s="310"/>
    </row>
    <row r="50" spans="1:10" x14ac:dyDescent="0.25">
      <c r="A50" s="68">
        <v>2016</v>
      </c>
      <c r="B50" s="30">
        <v>0</v>
      </c>
      <c r="C50" s="30">
        <v>0</v>
      </c>
      <c r="D50" s="30">
        <v>4</v>
      </c>
      <c r="E50" s="30">
        <v>0</v>
      </c>
      <c r="F50" s="30">
        <v>0</v>
      </c>
      <c r="G50" s="30">
        <v>0</v>
      </c>
      <c r="H50" s="30">
        <v>0</v>
      </c>
      <c r="I50" s="30">
        <v>0</v>
      </c>
      <c r="J50" s="84">
        <f>SUM(B50:I50)</f>
        <v>4</v>
      </c>
    </row>
    <row r="51" spans="1:10" x14ac:dyDescent="0.25">
      <c r="A51" s="86">
        <v>2017</v>
      </c>
      <c r="B51" s="87">
        <v>0</v>
      </c>
      <c r="C51" s="87">
        <v>0</v>
      </c>
      <c r="D51" s="87">
        <v>4</v>
      </c>
      <c r="E51" s="87">
        <v>0</v>
      </c>
      <c r="F51" s="87">
        <v>0</v>
      </c>
      <c r="G51" s="87">
        <v>0</v>
      </c>
      <c r="H51" s="87">
        <v>0</v>
      </c>
      <c r="I51" s="87">
        <v>0</v>
      </c>
      <c r="J51" s="88">
        <f>SUM(B51:I51)</f>
        <v>4</v>
      </c>
    </row>
    <row r="52" spans="1:10" ht="18.75" x14ac:dyDescent="0.3">
      <c r="A52" s="308" t="s">
        <v>185</v>
      </c>
      <c r="B52" s="309"/>
      <c r="C52" s="309"/>
      <c r="D52" s="309"/>
      <c r="E52" s="309"/>
      <c r="F52" s="309"/>
      <c r="G52" s="309"/>
      <c r="H52" s="309"/>
      <c r="I52" s="309"/>
      <c r="J52" s="310"/>
    </row>
    <row r="53" spans="1:10" x14ac:dyDescent="0.25">
      <c r="A53" s="68">
        <v>2016</v>
      </c>
      <c r="B53" s="30">
        <f>B47+B50</f>
        <v>140655</v>
      </c>
      <c r="C53" s="30">
        <f t="shared" ref="C53:I53" si="18">C47+C50</f>
        <v>12563</v>
      </c>
      <c r="D53" s="30">
        <f t="shared" si="18"/>
        <v>1566</v>
      </c>
      <c r="E53" s="30">
        <f t="shared" si="18"/>
        <v>4</v>
      </c>
      <c r="F53" s="30">
        <f t="shared" si="18"/>
        <v>1</v>
      </c>
      <c r="G53" s="30">
        <f t="shared" si="18"/>
        <v>35712</v>
      </c>
      <c r="H53" s="30">
        <f t="shared" si="18"/>
        <v>623</v>
      </c>
      <c r="I53" s="30">
        <f t="shared" si="18"/>
        <v>1521</v>
      </c>
      <c r="J53" s="84">
        <f>SUM(B53:I53)</f>
        <v>192645</v>
      </c>
    </row>
    <row r="54" spans="1:10" x14ac:dyDescent="0.25">
      <c r="A54" s="86">
        <v>2017</v>
      </c>
      <c r="B54" s="87">
        <f>B48+B51</f>
        <v>141991</v>
      </c>
      <c r="C54" s="87">
        <f>C48+C51+6</f>
        <v>12703</v>
      </c>
      <c r="D54" s="87">
        <f>D48+D51</f>
        <v>1556</v>
      </c>
      <c r="E54" s="87">
        <f t="shared" ref="E54:I54" si="19">E48+E51</f>
        <v>4</v>
      </c>
      <c r="F54" s="87">
        <f t="shared" si="19"/>
        <v>1</v>
      </c>
      <c r="G54" s="87">
        <f t="shared" si="19"/>
        <v>36048</v>
      </c>
      <c r="H54" s="87">
        <f t="shared" si="19"/>
        <v>606</v>
      </c>
      <c r="I54" s="87">
        <f t="shared" si="19"/>
        <v>1526</v>
      </c>
      <c r="J54" s="88">
        <f>SUM(B54:I54)</f>
        <v>194435</v>
      </c>
    </row>
    <row r="56" spans="1:10" ht="18.75" x14ac:dyDescent="0.3">
      <c r="A56" s="371" t="s">
        <v>200</v>
      </c>
      <c r="B56" s="372"/>
      <c r="C56" s="372"/>
      <c r="D56" s="372"/>
      <c r="E56" s="372"/>
      <c r="F56" s="372"/>
      <c r="G56" s="372"/>
      <c r="H56" s="372"/>
      <c r="I56" s="372"/>
      <c r="J56" s="373"/>
    </row>
    <row r="57" spans="1:10" x14ac:dyDescent="0.25">
      <c r="A57" s="68">
        <v>2016</v>
      </c>
      <c r="B57" s="30">
        <f>B31</f>
        <v>1432</v>
      </c>
      <c r="C57" s="30">
        <f t="shared" ref="C57:J57" si="20">C31</f>
        <v>102</v>
      </c>
      <c r="D57" s="30">
        <f t="shared" si="20"/>
        <v>-16</v>
      </c>
      <c r="E57" s="30">
        <f t="shared" si="20"/>
        <v>0</v>
      </c>
      <c r="F57" s="30">
        <f t="shared" si="20"/>
        <v>0</v>
      </c>
      <c r="G57" s="30">
        <f t="shared" si="20"/>
        <v>385</v>
      </c>
      <c r="H57" s="30">
        <f t="shared" si="20"/>
        <v>-23</v>
      </c>
      <c r="I57" s="30">
        <f t="shared" si="20"/>
        <v>-4</v>
      </c>
      <c r="J57" s="84">
        <f t="shared" si="20"/>
        <v>1876</v>
      </c>
    </row>
    <row r="58" spans="1:10" x14ac:dyDescent="0.25">
      <c r="A58" s="86">
        <v>2017</v>
      </c>
      <c r="B58" s="87">
        <f>B48-B47</f>
        <v>1336</v>
      </c>
      <c r="C58" s="87">
        <f t="shared" ref="C58:J58" si="21">C48-C47</f>
        <v>134</v>
      </c>
      <c r="D58" s="87">
        <f t="shared" si="21"/>
        <v>-10</v>
      </c>
      <c r="E58" s="87">
        <f t="shared" si="21"/>
        <v>0</v>
      </c>
      <c r="F58" s="87">
        <f t="shared" si="21"/>
        <v>0</v>
      </c>
      <c r="G58" s="87">
        <f t="shared" si="21"/>
        <v>336</v>
      </c>
      <c r="H58" s="87">
        <f t="shared" si="21"/>
        <v>-17</v>
      </c>
      <c r="I58" s="87">
        <f t="shared" si="21"/>
        <v>5</v>
      </c>
      <c r="J58" s="88">
        <f t="shared" si="21"/>
        <v>1784</v>
      </c>
    </row>
    <row r="60" spans="1:10" ht="18.75" x14ac:dyDescent="0.3">
      <c r="A60" s="371" t="s">
        <v>245</v>
      </c>
      <c r="B60" s="372"/>
      <c r="C60" s="372"/>
      <c r="D60" s="372"/>
      <c r="E60" s="372"/>
      <c r="F60" s="372"/>
      <c r="G60" s="372"/>
      <c r="H60" s="372"/>
      <c r="I60" s="372"/>
      <c r="J60" s="373"/>
    </row>
    <row r="61" spans="1:10" x14ac:dyDescent="0.25">
      <c r="A61" s="68">
        <v>2016</v>
      </c>
      <c r="B61" s="430">
        <f>B53/B18-1</f>
        <v>1.0285656823944223E-2</v>
      </c>
      <c r="C61" s="430">
        <f t="shared" ref="C61:J61" si="22">C53/C18-1</f>
        <v>8.1855388813096841E-3</v>
      </c>
      <c r="D61" s="430">
        <f t="shared" si="22"/>
        <v>-7.6045627376425395E-3</v>
      </c>
      <c r="E61" s="430">
        <f t="shared" si="22"/>
        <v>0</v>
      </c>
      <c r="F61" s="430">
        <f t="shared" si="22"/>
        <v>0</v>
      </c>
      <c r="G61" s="430">
        <f t="shared" si="22"/>
        <v>1.0898179862428137E-2</v>
      </c>
      <c r="H61" s="430">
        <f t="shared" si="22"/>
        <v>-3.5603715170278605E-2</v>
      </c>
      <c r="I61" s="430">
        <f t="shared" si="22"/>
        <v>-2.6229508196721207E-3</v>
      </c>
      <c r="J61" s="432">
        <f t="shared" si="22"/>
        <v>9.8550572694151573E-3</v>
      </c>
    </row>
    <row r="62" spans="1:10" x14ac:dyDescent="0.25">
      <c r="A62" s="86">
        <v>2017</v>
      </c>
      <c r="B62" s="431">
        <f>B54/B53-1</f>
        <v>9.498418115246432E-3</v>
      </c>
      <c r="C62" s="431">
        <f t="shared" ref="C62:J62" si="23">C54/C53-1</f>
        <v>1.1143835071240948E-2</v>
      </c>
      <c r="D62" s="431">
        <f t="shared" si="23"/>
        <v>-6.3856960408684715E-3</v>
      </c>
      <c r="E62" s="431">
        <f t="shared" si="23"/>
        <v>0</v>
      </c>
      <c r="F62" s="431">
        <f t="shared" si="23"/>
        <v>0</v>
      </c>
      <c r="G62" s="431">
        <f t="shared" si="23"/>
        <v>9.4086021505377371E-3</v>
      </c>
      <c r="H62" s="431">
        <f t="shared" si="23"/>
        <v>-2.7287319422150902E-2</v>
      </c>
      <c r="I62" s="431">
        <f t="shared" si="23"/>
        <v>3.2873109796187627E-3</v>
      </c>
      <c r="J62" s="433">
        <f t="shared" si="23"/>
        <v>9.291702354071063E-3</v>
      </c>
    </row>
  </sheetData>
  <pageMargins left="0.7" right="0.7" top="0.75" bottom="0.75" header="0.3" footer="0.3"/>
  <pageSetup scale="66" orientation="portrait" r:id="rId1"/>
  <headerFooter>
    <oddFooter>&amp;R&amp;P/&amp;N</oddFooter>
  </headerFooter>
  <ignoredErrors>
    <ignoredError sqref="J9 J50:J5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showGridLines="0" zoomScaleNormal="100" workbookViewId="0">
      <selection activeCell="C14" sqref="C14"/>
    </sheetView>
  </sheetViews>
  <sheetFormatPr defaultRowHeight="15" x14ac:dyDescent="0.25"/>
  <cols>
    <col min="1" max="1" width="38.140625" customWidth="1"/>
    <col min="2" max="6" width="12.7109375" customWidth="1"/>
    <col min="7" max="9" width="12.7109375" hidden="1" customWidth="1"/>
    <col min="10" max="10" width="12.7109375" customWidth="1"/>
  </cols>
  <sheetData>
    <row r="1" spans="1:10" ht="18.75" x14ac:dyDescent="0.3">
      <c r="A1" s="24" t="str">
        <f>Admin!B3</f>
        <v>London Hydro</v>
      </c>
    </row>
    <row r="2" spans="1:10" ht="18.75" x14ac:dyDescent="0.3">
      <c r="A2" s="24" t="str">
        <f>Admin!B5</f>
        <v>EB-2016-0091</v>
      </c>
    </row>
    <row r="3" spans="1:10" ht="18.75" x14ac:dyDescent="0.3">
      <c r="A3" s="24" t="str">
        <f>Admin!B7</f>
        <v>2017 Load Forecast</v>
      </c>
    </row>
    <row r="4" spans="1:10" ht="18.75" x14ac:dyDescent="0.3">
      <c r="A4" s="24"/>
    </row>
    <row r="5" spans="1:10" ht="19.5" thickBot="1" x14ac:dyDescent="0.35">
      <c r="A5" s="109" t="s">
        <v>251</v>
      </c>
      <c r="B5" s="27"/>
      <c r="C5" s="27"/>
      <c r="D5" s="27"/>
      <c r="E5" s="27"/>
      <c r="F5" s="27"/>
      <c r="G5" s="27"/>
      <c r="H5" s="27"/>
      <c r="I5" s="27"/>
      <c r="J5" s="27"/>
    </row>
    <row r="7" spans="1:10" x14ac:dyDescent="0.25">
      <c r="A7" s="13" t="s">
        <v>10</v>
      </c>
      <c r="B7" s="14" t="s">
        <v>253</v>
      </c>
      <c r="C7" s="14" t="s">
        <v>254</v>
      </c>
      <c r="D7" s="14" t="s">
        <v>255</v>
      </c>
      <c r="E7" s="14" t="s">
        <v>256</v>
      </c>
      <c r="F7" s="14" t="s">
        <v>257</v>
      </c>
      <c r="G7" s="14"/>
      <c r="H7" s="14"/>
      <c r="I7" s="14"/>
      <c r="J7" s="15" t="s">
        <v>9</v>
      </c>
    </row>
    <row r="8" spans="1:10" ht="30" hidden="1" x14ac:dyDescent="0.3">
      <c r="A8" s="344" t="s">
        <v>214</v>
      </c>
      <c r="B8" s="14" t="s">
        <v>252</v>
      </c>
      <c r="C8" s="345"/>
      <c r="D8" s="345"/>
      <c r="E8" s="345"/>
      <c r="F8" s="345"/>
      <c r="G8" s="345"/>
      <c r="H8" s="345"/>
      <c r="I8" s="345"/>
      <c r="J8" s="346"/>
    </row>
    <row r="9" spans="1:10" x14ac:dyDescent="0.25">
      <c r="A9" s="34">
        <v>2011</v>
      </c>
      <c r="B9" s="5">
        <v>5</v>
      </c>
      <c r="C9" s="5">
        <v>73</v>
      </c>
      <c r="D9" s="5">
        <v>2</v>
      </c>
      <c r="E9" s="5"/>
      <c r="F9" s="5">
        <v>3</v>
      </c>
      <c r="G9" s="5"/>
      <c r="H9" s="5"/>
      <c r="I9" s="5"/>
      <c r="J9" s="16">
        <f>SUM(B9:F9)</f>
        <v>83</v>
      </c>
    </row>
    <row r="10" spans="1:10" x14ac:dyDescent="0.25">
      <c r="A10" s="34">
        <v>2012</v>
      </c>
      <c r="B10" s="5">
        <v>6</v>
      </c>
      <c r="C10" s="5">
        <v>104</v>
      </c>
      <c r="D10" s="5">
        <v>5</v>
      </c>
      <c r="E10" s="5"/>
      <c r="F10" s="5">
        <v>3</v>
      </c>
      <c r="G10" s="5"/>
      <c r="H10" s="5"/>
      <c r="I10" s="5"/>
      <c r="J10" s="16">
        <f t="shared" ref="J10:J14" si="0">SUM(B10:F10)</f>
        <v>118</v>
      </c>
    </row>
    <row r="11" spans="1:10" x14ac:dyDescent="0.25">
      <c r="A11" s="34">
        <v>2013</v>
      </c>
      <c r="B11" s="5">
        <v>7</v>
      </c>
      <c r="C11" s="5">
        <v>153</v>
      </c>
      <c r="D11" s="5">
        <v>10</v>
      </c>
      <c r="E11" s="5">
        <v>1</v>
      </c>
      <c r="F11" s="5">
        <v>3</v>
      </c>
      <c r="G11" s="5"/>
      <c r="H11" s="5"/>
      <c r="I11" s="5"/>
      <c r="J11" s="16">
        <f t="shared" si="0"/>
        <v>174</v>
      </c>
    </row>
    <row r="12" spans="1:10" x14ac:dyDescent="0.25">
      <c r="A12" s="34">
        <v>2014</v>
      </c>
      <c r="B12" s="5">
        <v>8</v>
      </c>
      <c r="C12" s="5">
        <v>184</v>
      </c>
      <c r="D12" s="5">
        <v>17</v>
      </c>
      <c r="E12" s="5">
        <v>1</v>
      </c>
      <c r="F12" s="5">
        <v>4</v>
      </c>
      <c r="G12" s="5"/>
      <c r="H12" s="5"/>
      <c r="I12" s="5"/>
      <c r="J12" s="16">
        <f t="shared" si="0"/>
        <v>214</v>
      </c>
    </row>
    <row r="13" spans="1:10" x14ac:dyDescent="0.25">
      <c r="A13" s="34">
        <v>2015</v>
      </c>
      <c r="B13" s="5">
        <v>10</v>
      </c>
      <c r="C13" s="5">
        <v>228</v>
      </c>
      <c r="D13" s="5">
        <v>36</v>
      </c>
      <c r="E13" s="5">
        <v>1</v>
      </c>
      <c r="F13" s="5">
        <v>4</v>
      </c>
      <c r="G13" s="5"/>
      <c r="H13" s="5"/>
      <c r="I13" s="5"/>
      <c r="J13" s="16">
        <f t="shared" si="0"/>
        <v>279</v>
      </c>
    </row>
    <row r="14" spans="1:10" x14ac:dyDescent="0.25">
      <c r="A14" s="34">
        <v>2016</v>
      </c>
      <c r="B14" s="5">
        <v>12</v>
      </c>
      <c r="C14" s="5">
        <v>270</v>
      </c>
      <c r="D14" s="5">
        <v>47</v>
      </c>
      <c r="E14" s="5">
        <v>1</v>
      </c>
      <c r="F14" s="5">
        <v>4</v>
      </c>
      <c r="G14" s="5"/>
      <c r="H14" s="5"/>
      <c r="I14" s="5"/>
      <c r="J14" s="16">
        <f t="shared" si="0"/>
        <v>334</v>
      </c>
    </row>
    <row r="15" spans="1:10" ht="18.75" x14ac:dyDescent="0.3">
      <c r="A15" s="347" t="s">
        <v>247</v>
      </c>
      <c r="B15" s="348"/>
      <c r="C15" s="348"/>
      <c r="D15" s="348"/>
      <c r="E15" s="348"/>
      <c r="F15" s="348"/>
      <c r="G15" s="348"/>
      <c r="H15" s="348"/>
      <c r="I15" s="348"/>
      <c r="J15" s="349"/>
    </row>
    <row r="16" spans="1:10" x14ac:dyDescent="0.25">
      <c r="A16" s="34"/>
      <c r="B16" s="3"/>
      <c r="C16" s="3"/>
      <c r="D16" s="5"/>
      <c r="E16" s="3"/>
      <c r="F16" s="3"/>
      <c r="G16" s="3"/>
      <c r="H16" s="3"/>
      <c r="I16" s="3"/>
      <c r="J16" s="10"/>
    </row>
    <row r="17" spans="1:10" ht="18.75" x14ac:dyDescent="0.3">
      <c r="A17" s="347" t="s">
        <v>215</v>
      </c>
      <c r="B17" s="348"/>
      <c r="C17" s="348"/>
      <c r="D17" s="348"/>
      <c r="E17" s="348"/>
      <c r="F17" s="348"/>
      <c r="G17" s="348"/>
      <c r="H17" s="348"/>
      <c r="I17" s="348"/>
      <c r="J17" s="349"/>
    </row>
    <row r="18" spans="1:10" x14ac:dyDescent="0.25">
      <c r="A18" s="34">
        <v>2016</v>
      </c>
      <c r="B18" s="5">
        <v>12</v>
      </c>
      <c r="C18" s="5">
        <f t="shared" ref="C18:F18" si="1">C14</f>
        <v>270</v>
      </c>
      <c r="D18" s="5">
        <f t="shared" si="1"/>
        <v>47</v>
      </c>
      <c r="E18" s="5">
        <f t="shared" si="1"/>
        <v>1</v>
      </c>
      <c r="F18" s="5">
        <f t="shared" si="1"/>
        <v>4</v>
      </c>
      <c r="G18" s="5"/>
      <c r="H18" s="5"/>
      <c r="I18" s="5"/>
      <c r="J18" s="16">
        <f>SUM(B18:I18)</f>
        <v>334</v>
      </c>
    </row>
    <row r="19" spans="1:10" x14ac:dyDescent="0.25">
      <c r="A19" s="37">
        <v>2017</v>
      </c>
      <c r="B19" s="17">
        <v>12</v>
      </c>
      <c r="C19" s="17">
        <v>300</v>
      </c>
      <c r="D19" s="17">
        <v>50</v>
      </c>
      <c r="E19" s="17">
        <v>1</v>
      </c>
      <c r="F19" s="17">
        <v>4</v>
      </c>
      <c r="G19" s="17"/>
      <c r="H19" s="17"/>
      <c r="I19" s="17"/>
      <c r="J19" s="18">
        <f>SUM(B19:I19)</f>
        <v>367</v>
      </c>
    </row>
  </sheetData>
  <pageMargins left="0.7" right="0.7" top="0.75" bottom="0.75" header="0.3" footer="0.3"/>
  <pageSetup scale="80" fitToHeight="2" orientation="landscape"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50"/>
  <sheetViews>
    <sheetView showGridLines="0" topLeftCell="A28" zoomScaleNormal="100" workbookViewId="0">
      <selection activeCell="A33" sqref="A33:J50"/>
    </sheetView>
  </sheetViews>
  <sheetFormatPr defaultRowHeight="15" x14ac:dyDescent="0.25"/>
  <cols>
    <col min="1" max="1" width="38.140625" customWidth="1"/>
    <col min="2" max="10" width="12.7109375" customWidth="1"/>
  </cols>
  <sheetData>
    <row r="1" spans="1:10" ht="18.75" x14ac:dyDescent="0.3">
      <c r="A1" s="24" t="str">
        <f>Admin!B3</f>
        <v>London Hydro</v>
      </c>
    </row>
    <row r="2" spans="1:10" ht="18.75" x14ac:dyDescent="0.3">
      <c r="A2" s="24" t="str">
        <f>Admin!B5</f>
        <v>EB-2016-0091</v>
      </c>
    </row>
    <row r="3" spans="1:10" ht="18.75" x14ac:dyDescent="0.3">
      <c r="A3" s="24" t="str">
        <f>Admin!B7</f>
        <v>2017 Load Forecast</v>
      </c>
    </row>
    <row r="4" spans="1:10" ht="18.75" x14ac:dyDescent="0.3">
      <c r="A4" s="24"/>
    </row>
    <row r="5" spans="1:10" ht="19.5" thickBot="1" x14ac:dyDescent="0.35">
      <c r="A5" s="109" t="s">
        <v>153</v>
      </c>
      <c r="B5" s="27"/>
      <c r="C5" s="27"/>
      <c r="D5" s="27"/>
      <c r="E5" s="27"/>
      <c r="F5" s="27"/>
      <c r="G5" s="27"/>
      <c r="H5" s="27"/>
      <c r="I5" s="27"/>
      <c r="J5" s="27"/>
    </row>
    <row r="7" spans="1:10" ht="45" x14ac:dyDescent="0.25">
      <c r="A7" s="13" t="s">
        <v>10</v>
      </c>
      <c r="B7" s="14" t="s">
        <v>2</v>
      </c>
      <c r="C7" s="14" t="s">
        <v>3</v>
      </c>
      <c r="D7" s="14" t="s">
        <v>4</v>
      </c>
      <c r="E7" s="14" t="s">
        <v>177</v>
      </c>
      <c r="F7" s="14" t="s">
        <v>5</v>
      </c>
      <c r="G7" s="14" t="s">
        <v>139</v>
      </c>
      <c r="H7" s="14" t="s">
        <v>138</v>
      </c>
      <c r="I7" s="14" t="s">
        <v>137</v>
      </c>
      <c r="J7" s="15" t="s">
        <v>9</v>
      </c>
    </row>
    <row r="8" spans="1:10" ht="18.75" hidden="1" x14ac:dyDescent="0.3">
      <c r="A8" s="344" t="s">
        <v>214</v>
      </c>
      <c r="B8" s="345"/>
      <c r="C8" s="345"/>
      <c r="D8" s="345"/>
      <c r="E8" s="345"/>
      <c r="F8" s="345"/>
      <c r="G8" s="345"/>
      <c r="H8" s="345"/>
      <c r="I8" s="345"/>
      <c r="J8" s="346"/>
    </row>
    <row r="9" spans="1:10" x14ac:dyDescent="0.25">
      <c r="A9" s="34">
        <v>2011</v>
      </c>
      <c r="B9" s="5"/>
      <c r="C9" s="5"/>
      <c r="D9" s="5">
        <f>0</f>
        <v>0</v>
      </c>
      <c r="E9" s="5"/>
      <c r="F9" s="5"/>
      <c r="G9" s="5"/>
      <c r="H9" s="5"/>
      <c r="I9" s="5"/>
      <c r="J9" s="16">
        <f>SUM(D9:I9)</f>
        <v>0</v>
      </c>
    </row>
    <row r="10" spans="1:10" x14ac:dyDescent="0.25">
      <c r="A10" s="34">
        <v>2012</v>
      </c>
      <c r="B10" s="5"/>
      <c r="C10" s="5"/>
      <c r="D10" s="5">
        <v>4</v>
      </c>
      <c r="E10" s="5"/>
      <c r="F10" s="5"/>
      <c r="G10" s="5"/>
      <c r="H10" s="5"/>
      <c r="I10" s="5"/>
      <c r="J10" s="16">
        <f>SUM(D10:I10)</f>
        <v>4</v>
      </c>
    </row>
    <row r="11" spans="1:10" x14ac:dyDescent="0.25">
      <c r="A11" s="34">
        <v>2013</v>
      </c>
      <c r="B11" s="5"/>
      <c r="C11" s="5"/>
      <c r="D11" s="5">
        <v>4</v>
      </c>
      <c r="E11" s="5"/>
      <c r="F11" s="5"/>
      <c r="G11" s="5"/>
      <c r="H11" s="5"/>
      <c r="I11" s="5"/>
      <c r="J11" s="16">
        <f t="shared" ref="J11:J13" si="0">SUM(D11:I11)</f>
        <v>4</v>
      </c>
    </row>
    <row r="12" spans="1:10" x14ac:dyDescent="0.25">
      <c r="A12" s="34">
        <v>2014</v>
      </c>
      <c r="B12" s="5"/>
      <c r="C12" s="5"/>
      <c r="D12" s="5">
        <v>4</v>
      </c>
      <c r="E12" s="5"/>
      <c r="F12" s="5"/>
      <c r="G12" s="5"/>
      <c r="H12" s="5"/>
      <c r="I12" s="5"/>
      <c r="J12" s="16">
        <f t="shared" si="0"/>
        <v>4</v>
      </c>
    </row>
    <row r="13" spans="1:10" x14ac:dyDescent="0.25">
      <c r="A13" s="34">
        <v>2015</v>
      </c>
      <c r="B13" s="5"/>
      <c r="C13" s="5"/>
      <c r="D13" s="5">
        <v>4</v>
      </c>
      <c r="E13" s="5"/>
      <c r="F13" s="5"/>
      <c r="G13" s="5"/>
      <c r="H13" s="5"/>
      <c r="I13" s="5"/>
      <c r="J13" s="16">
        <f t="shared" si="0"/>
        <v>4</v>
      </c>
    </row>
    <row r="14" spans="1:10" ht="18.75" x14ac:dyDescent="0.3">
      <c r="A14" s="347" t="s">
        <v>247</v>
      </c>
      <c r="B14" s="348"/>
      <c r="C14" s="348"/>
      <c r="D14" s="348"/>
      <c r="E14" s="348"/>
      <c r="F14" s="348"/>
      <c r="G14" s="348"/>
      <c r="H14" s="348"/>
      <c r="I14" s="348"/>
      <c r="J14" s="349"/>
    </row>
    <row r="15" spans="1:10" x14ac:dyDescent="0.25">
      <c r="A15" s="34"/>
      <c r="B15" s="3"/>
      <c r="C15" s="3"/>
      <c r="D15" s="5">
        <v>4</v>
      </c>
      <c r="E15" s="3"/>
      <c r="F15" s="3"/>
      <c r="G15" s="3"/>
      <c r="H15" s="3"/>
      <c r="I15" s="3"/>
      <c r="J15" s="10"/>
    </row>
    <row r="16" spans="1:10" ht="18.75" x14ac:dyDescent="0.3">
      <c r="A16" s="347" t="s">
        <v>215</v>
      </c>
      <c r="B16" s="348"/>
      <c r="C16" s="348"/>
      <c r="D16" s="348"/>
      <c r="E16" s="348"/>
      <c r="F16" s="348"/>
      <c r="G16" s="348"/>
      <c r="H16" s="348"/>
      <c r="I16" s="348"/>
      <c r="J16" s="349"/>
    </row>
    <row r="17" spans="1:10" x14ac:dyDescent="0.25">
      <c r="A17" s="34">
        <v>2016</v>
      </c>
      <c r="B17" s="5"/>
      <c r="C17" s="5"/>
      <c r="D17" s="5">
        <v>4</v>
      </c>
      <c r="E17" s="5"/>
      <c r="F17" s="5"/>
      <c r="G17" s="5"/>
      <c r="H17" s="5"/>
      <c r="I17" s="5"/>
      <c r="J17" s="16">
        <f>SUM(B17:I17)</f>
        <v>4</v>
      </c>
    </row>
    <row r="18" spans="1:10" x14ac:dyDescent="0.25">
      <c r="A18" s="37">
        <v>2017</v>
      </c>
      <c r="B18" s="17"/>
      <c r="C18" s="17"/>
      <c r="D18" s="17">
        <v>4</v>
      </c>
      <c r="E18" s="17"/>
      <c r="F18" s="17"/>
      <c r="G18" s="17"/>
      <c r="H18" s="17"/>
      <c r="I18" s="17"/>
      <c r="J18" s="18">
        <f>SUM(B18:I18)</f>
        <v>4</v>
      </c>
    </row>
    <row r="20" spans="1:10" ht="45" x14ac:dyDescent="0.25">
      <c r="A20" s="13" t="s">
        <v>10</v>
      </c>
      <c r="B20" s="14" t="s">
        <v>2</v>
      </c>
      <c r="C20" s="14" t="s">
        <v>3</v>
      </c>
      <c r="D20" s="14" t="s">
        <v>4</v>
      </c>
      <c r="E20" s="14" t="s">
        <v>177</v>
      </c>
      <c r="F20" s="14" t="s">
        <v>5</v>
      </c>
      <c r="G20" s="14" t="s">
        <v>139</v>
      </c>
      <c r="H20" s="14" t="s">
        <v>138</v>
      </c>
      <c r="I20" s="14" t="s">
        <v>137</v>
      </c>
      <c r="J20" s="15" t="s">
        <v>9</v>
      </c>
    </row>
    <row r="21" spans="1:10" ht="18.75" x14ac:dyDescent="0.3">
      <c r="A21" s="344" t="s">
        <v>77</v>
      </c>
      <c r="B21" s="345"/>
      <c r="C21" s="345"/>
      <c r="D21" s="345"/>
      <c r="E21" s="345"/>
      <c r="F21" s="345"/>
      <c r="G21" s="345"/>
      <c r="H21" s="345"/>
      <c r="I21" s="345"/>
      <c r="J21" s="346"/>
    </row>
    <row r="22" spans="1:10" x14ac:dyDescent="0.25">
      <c r="A22" s="34">
        <v>2011</v>
      </c>
      <c r="B22" s="5"/>
      <c r="C22" s="5"/>
      <c r="D22" s="5">
        <f>0</f>
        <v>0</v>
      </c>
      <c r="E22" s="5"/>
      <c r="F22" s="5"/>
      <c r="G22" s="5"/>
      <c r="H22" s="5"/>
      <c r="I22" s="5"/>
      <c r="J22" s="16">
        <f>SUM(D22:I22)</f>
        <v>0</v>
      </c>
    </row>
    <row r="23" spans="1:10" x14ac:dyDescent="0.25">
      <c r="A23" s="34">
        <v>2012</v>
      </c>
      <c r="B23" s="5"/>
      <c r="C23" s="5"/>
      <c r="D23" s="5">
        <v>12561208.810000001</v>
      </c>
      <c r="E23" s="5"/>
      <c r="F23" s="5"/>
      <c r="G23" s="5"/>
      <c r="H23" s="5"/>
      <c r="I23" s="5"/>
      <c r="J23" s="16">
        <f>SUM(D23:I23)</f>
        <v>12561208.810000001</v>
      </c>
    </row>
    <row r="24" spans="1:10" x14ac:dyDescent="0.25">
      <c r="A24" s="34">
        <v>2013</v>
      </c>
      <c r="B24" s="5"/>
      <c r="C24" s="5"/>
      <c r="D24" s="5">
        <v>17002607.239999998</v>
      </c>
      <c r="E24" s="5"/>
      <c r="F24" s="5"/>
      <c r="G24" s="5"/>
      <c r="H24" s="5"/>
      <c r="I24" s="5"/>
      <c r="J24" s="16">
        <f t="shared" ref="J24:J25" si="1">SUM(D24:I24)</f>
        <v>17002607.239999998</v>
      </c>
    </row>
    <row r="25" spans="1:10" x14ac:dyDescent="0.25">
      <c r="A25" s="34">
        <v>2014</v>
      </c>
      <c r="B25" s="5"/>
      <c r="C25" s="5"/>
      <c r="D25" s="5">
        <v>16769931.789999997</v>
      </c>
      <c r="E25" s="5"/>
      <c r="F25" s="5"/>
      <c r="G25" s="5"/>
      <c r="H25" s="5"/>
      <c r="I25" s="5"/>
      <c r="J25" s="16">
        <f t="shared" si="1"/>
        <v>16769931.789999997</v>
      </c>
    </row>
    <row r="26" spans="1:10" x14ac:dyDescent="0.25">
      <c r="A26" s="34">
        <v>2015</v>
      </c>
      <c r="B26" s="5"/>
      <c r="C26" s="5"/>
      <c r="D26" s="30">
        <v>17665650.760000002</v>
      </c>
      <c r="E26" s="5"/>
      <c r="F26" s="5"/>
      <c r="G26" s="5"/>
      <c r="H26" s="5"/>
      <c r="I26" s="5"/>
      <c r="J26" s="16">
        <f>SUM(D26:I26)</f>
        <v>17665650.760000002</v>
      </c>
    </row>
    <row r="27" spans="1:10" ht="18.75" x14ac:dyDescent="0.3">
      <c r="A27" s="347" t="s">
        <v>263</v>
      </c>
      <c r="B27" s="348"/>
      <c r="C27" s="348"/>
      <c r="D27" s="440">
        <f>'Rate Class Energy Model'!D41</f>
        <v>1.0000697364559281</v>
      </c>
      <c r="E27" s="348"/>
      <c r="F27" s="348"/>
      <c r="G27" s="348"/>
      <c r="H27" s="348"/>
      <c r="I27" s="348"/>
      <c r="J27" s="349"/>
    </row>
    <row r="28" spans="1:10" x14ac:dyDescent="0.25">
      <c r="A28" s="34"/>
      <c r="B28" s="3"/>
      <c r="C28" s="3"/>
      <c r="E28" s="3"/>
      <c r="F28" s="3"/>
      <c r="G28" s="3"/>
      <c r="H28" s="3"/>
      <c r="I28" s="3"/>
      <c r="J28" s="10"/>
    </row>
    <row r="29" spans="1:10" ht="18.75" x14ac:dyDescent="0.3">
      <c r="A29" s="347" t="s">
        <v>78</v>
      </c>
      <c r="B29" s="348"/>
      <c r="C29" s="348"/>
      <c r="D29" s="348"/>
      <c r="E29" s="348"/>
      <c r="F29" s="348"/>
      <c r="G29" s="348"/>
      <c r="H29" s="348"/>
      <c r="I29" s="348"/>
      <c r="J29" s="349"/>
    </row>
    <row r="30" spans="1:10" x14ac:dyDescent="0.25">
      <c r="A30" s="34">
        <v>2016</v>
      </c>
      <c r="B30" s="5"/>
      <c r="C30" s="5"/>
      <c r="D30" s="5">
        <f>D26*D27</f>
        <v>17666882.699875668</v>
      </c>
      <c r="E30" s="5"/>
      <c r="F30" s="5"/>
      <c r="G30" s="5"/>
      <c r="H30" s="5"/>
      <c r="I30" s="5"/>
      <c r="J30" s="16">
        <f>SUM(B30:I30)</f>
        <v>17666882.699875668</v>
      </c>
    </row>
    <row r="31" spans="1:10" x14ac:dyDescent="0.25">
      <c r="A31" s="37">
        <v>2017</v>
      </c>
      <c r="B31" s="17"/>
      <c r="C31" s="17"/>
      <c r="D31" s="17">
        <f>D30*D27</f>
        <v>17668114.725662455</v>
      </c>
      <c r="E31" s="17"/>
      <c r="F31" s="17"/>
      <c r="G31" s="17"/>
      <c r="H31" s="17"/>
      <c r="I31" s="17"/>
      <c r="J31" s="18">
        <f>SUM(B31:I31)</f>
        <v>17668114.725662455</v>
      </c>
    </row>
    <row r="33" spans="1:10" ht="45" x14ac:dyDescent="0.25">
      <c r="A33" s="13" t="s">
        <v>10</v>
      </c>
      <c r="B33" s="14" t="s">
        <v>2</v>
      </c>
      <c r="C33" s="14" t="s">
        <v>3</v>
      </c>
      <c r="D33" s="14" t="s">
        <v>4</v>
      </c>
      <c r="E33" s="14" t="s">
        <v>177</v>
      </c>
      <c r="F33" s="14" t="s">
        <v>5</v>
      </c>
      <c r="G33" s="14" t="s">
        <v>139</v>
      </c>
      <c r="H33" s="14" t="s">
        <v>138</v>
      </c>
      <c r="I33" s="14" t="s">
        <v>137</v>
      </c>
      <c r="J33" s="15" t="s">
        <v>9</v>
      </c>
    </row>
    <row r="34" spans="1:10" ht="18.75" x14ac:dyDescent="0.3">
      <c r="A34" s="344" t="s">
        <v>79</v>
      </c>
      <c r="B34" s="345"/>
      <c r="C34" s="345"/>
      <c r="D34" s="345"/>
      <c r="E34" s="345"/>
      <c r="F34" s="345"/>
      <c r="G34" s="345"/>
      <c r="H34" s="345"/>
      <c r="I34" s="345"/>
      <c r="J34" s="346"/>
    </row>
    <row r="35" spans="1:10" x14ac:dyDescent="0.25">
      <c r="A35" s="34">
        <v>2011</v>
      </c>
      <c r="B35" s="5"/>
      <c r="C35" s="5"/>
      <c r="D35" s="5">
        <v>0</v>
      </c>
      <c r="E35" s="5"/>
      <c r="F35" s="5"/>
      <c r="G35" s="5"/>
      <c r="H35" s="5"/>
      <c r="I35" s="5"/>
      <c r="J35" s="16">
        <f>SUM(B35:I35)</f>
        <v>0</v>
      </c>
    </row>
    <row r="36" spans="1:10" x14ac:dyDescent="0.25">
      <c r="A36" s="34">
        <v>2012</v>
      </c>
      <c r="B36" s="5"/>
      <c r="C36" s="5"/>
      <c r="D36" s="5">
        <v>24440.380000000005</v>
      </c>
      <c r="E36" s="5"/>
      <c r="F36" s="5"/>
      <c r="G36" s="5"/>
      <c r="H36" s="5"/>
      <c r="I36" s="5"/>
      <c r="J36" s="16">
        <f>SUM(B36:I36)</f>
        <v>24440.380000000005</v>
      </c>
    </row>
    <row r="37" spans="1:10" x14ac:dyDescent="0.25">
      <c r="A37" s="34">
        <v>2013</v>
      </c>
      <c r="B37" s="5"/>
      <c r="C37" s="5"/>
      <c r="D37" s="5">
        <v>31196.092000000001</v>
      </c>
      <c r="E37" s="5"/>
      <c r="F37" s="5"/>
      <c r="G37" s="5"/>
      <c r="H37" s="5"/>
      <c r="I37" s="5"/>
      <c r="J37" s="16">
        <f t="shared" ref="J37:J39" si="2">SUM(B37:I37)</f>
        <v>31196.092000000001</v>
      </c>
    </row>
    <row r="38" spans="1:10" x14ac:dyDescent="0.25">
      <c r="A38" s="34">
        <v>2014</v>
      </c>
      <c r="B38" s="5"/>
      <c r="C38" s="5"/>
      <c r="D38" s="5">
        <v>30244.912</v>
      </c>
      <c r="E38" s="5"/>
      <c r="F38" s="5"/>
      <c r="G38" s="5"/>
      <c r="H38" s="5"/>
      <c r="I38" s="5"/>
      <c r="J38" s="16">
        <f t="shared" si="2"/>
        <v>30244.912</v>
      </c>
    </row>
    <row r="39" spans="1:10" x14ac:dyDescent="0.25">
      <c r="A39" s="34">
        <v>2015</v>
      </c>
      <c r="B39" s="5"/>
      <c r="C39" s="5"/>
      <c r="D39" s="5">
        <v>31912.248</v>
      </c>
      <c r="E39" s="5"/>
      <c r="F39" s="5"/>
      <c r="G39" s="5"/>
      <c r="H39" s="5"/>
      <c r="I39" s="5"/>
      <c r="J39" s="16">
        <f t="shared" si="2"/>
        <v>31912.248</v>
      </c>
    </row>
    <row r="40" spans="1:10" ht="18.75" x14ac:dyDescent="0.3">
      <c r="A40" s="347" t="s">
        <v>80</v>
      </c>
      <c r="B40" s="348"/>
      <c r="C40" s="348"/>
      <c r="D40" s="348"/>
      <c r="E40" s="348"/>
      <c r="F40" s="348"/>
      <c r="G40" s="348"/>
      <c r="H40" s="348"/>
      <c r="I40" s="348"/>
      <c r="J40" s="349"/>
    </row>
    <row r="41" spans="1:10" x14ac:dyDescent="0.25">
      <c r="A41" s="34">
        <v>2011</v>
      </c>
      <c r="B41" s="3"/>
      <c r="C41" s="3"/>
      <c r="D41" s="79"/>
      <c r="E41" s="3"/>
      <c r="F41" s="3"/>
      <c r="G41" s="3"/>
      <c r="H41" s="3"/>
      <c r="I41" s="3"/>
      <c r="J41" s="10"/>
    </row>
    <row r="42" spans="1:10" x14ac:dyDescent="0.25">
      <c r="A42" s="34">
        <v>2012</v>
      </c>
      <c r="B42" s="3"/>
      <c r="C42" s="3"/>
      <c r="D42" s="79">
        <f>D36/D23</f>
        <v>1.9457028674296835E-3</v>
      </c>
      <c r="E42" s="3"/>
      <c r="F42" s="3"/>
      <c r="G42" s="3"/>
      <c r="H42" s="3"/>
      <c r="I42" s="3"/>
      <c r="J42" s="10"/>
    </row>
    <row r="43" spans="1:10" x14ac:dyDescent="0.25">
      <c r="A43" s="34">
        <v>2013</v>
      </c>
      <c r="B43" s="3"/>
      <c r="C43" s="3"/>
      <c r="D43" s="79">
        <f>D37/D24</f>
        <v>1.83478284004636E-3</v>
      </c>
      <c r="E43" s="3"/>
      <c r="F43" s="3"/>
      <c r="G43" s="3"/>
      <c r="H43" s="3"/>
      <c r="I43" s="3"/>
      <c r="J43" s="10"/>
    </row>
    <row r="44" spans="1:10" x14ac:dyDescent="0.25">
      <c r="A44" s="34">
        <v>2014</v>
      </c>
      <c r="B44" s="3"/>
      <c r="C44" s="3"/>
      <c r="D44" s="79">
        <f>D38/D25</f>
        <v>1.803520275379725E-3</v>
      </c>
      <c r="E44" s="3"/>
      <c r="F44" s="3"/>
      <c r="G44" s="3"/>
      <c r="H44" s="3"/>
      <c r="I44" s="3"/>
      <c r="J44" s="10"/>
    </row>
    <row r="45" spans="1:10" x14ac:dyDescent="0.25">
      <c r="A45" s="34">
        <v>2015</v>
      </c>
      <c r="B45" s="3"/>
      <c r="C45" s="3"/>
      <c r="D45" s="79">
        <f>D39/D26</f>
        <v>1.8064575391843643E-3</v>
      </c>
      <c r="E45" s="3"/>
      <c r="F45" s="3"/>
      <c r="G45" s="3"/>
      <c r="H45" s="3"/>
      <c r="I45" s="3"/>
      <c r="J45" s="10"/>
    </row>
    <row r="46" spans="1:10" ht="18.75" x14ac:dyDescent="0.3">
      <c r="A46" s="347" t="s">
        <v>248</v>
      </c>
      <c r="B46" s="348"/>
      <c r="C46" s="348"/>
      <c r="D46" s="440">
        <f>AVERAGE(D43:D45)</f>
        <v>1.8149202182034831E-3</v>
      </c>
      <c r="E46" s="348"/>
      <c r="F46" s="348"/>
      <c r="G46" s="348"/>
      <c r="H46" s="348"/>
      <c r="I46" s="348"/>
      <c r="J46" s="349"/>
    </row>
    <row r="48" spans="1:10" ht="18.75" x14ac:dyDescent="0.3">
      <c r="A48" s="347" t="s">
        <v>81</v>
      </c>
      <c r="B48" s="348"/>
      <c r="C48" s="348"/>
      <c r="D48" s="348"/>
      <c r="E48" s="348"/>
      <c r="F48" s="348"/>
      <c r="G48" s="348"/>
      <c r="H48" s="348"/>
      <c r="I48" s="348"/>
      <c r="J48" s="349"/>
    </row>
    <row r="49" spans="1:10" x14ac:dyDescent="0.25">
      <c r="A49" s="34">
        <v>2016</v>
      </c>
      <c r="B49" s="5"/>
      <c r="C49" s="5"/>
      <c r="D49" s="5">
        <f>D30*D46</f>
        <v>32063.982604633686</v>
      </c>
      <c r="E49" s="5"/>
      <c r="F49" s="5"/>
      <c r="G49" s="5"/>
      <c r="H49" s="5"/>
      <c r="I49" s="5"/>
      <c r="J49" s="16">
        <f>SUM(B49:I49)</f>
        <v>32063.982604633686</v>
      </c>
    </row>
    <row r="50" spans="1:10" x14ac:dyDescent="0.25">
      <c r="A50" s="37">
        <v>2017</v>
      </c>
      <c r="B50" s="17"/>
      <c r="C50" s="17"/>
      <c r="D50" s="17">
        <f>D31*D46</f>
        <v>32066.218633143475</v>
      </c>
      <c r="E50" s="17"/>
      <c r="F50" s="17"/>
      <c r="G50" s="17"/>
      <c r="H50" s="17"/>
      <c r="I50" s="17"/>
      <c r="J50" s="18">
        <f>SUM(B50:I50)</f>
        <v>32066.218633143475</v>
      </c>
    </row>
  </sheetData>
  <pageMargins left="0.7" right="0.7" top="0.75" bottom="0.75" header="0.3" footer="0.3"/>
  <pageSetup scale="80" fitToHeight="2" orientation="landscape" r:id="rId1"/>
  <headerFooter>
    <oddFooter>&amp;R&amp;P/&amp;N</oddFooter>
  </headerFooter>
  <ignoredErrors>
    <ignoredError sqref="J3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2"/>
  <sheetViews>
    <sheetView showGridLines="0" topLeftCell="A40" zoomScale="110" zoomScaleNormal="110" workbookViewId="0">
      <selection activeCell="A49" sqref="A49:J52"/>
    </sheetView>
  </sheetViews>
  <sheetFormatPr defaultRowHeight="15" x14ac:dyDescent="0.25"/>
  <cols>
    <col min="1" max="1" width="28" style="107" customWidth="1"/>
    <col min="2" max="2" width="14.28515625" style="107" bestFit="1" customWidth="1"/>
    <col min="3" max="10" width="12.7109375" style="107" customWidth="1"/>
    <col min="11" max="11" width="13.7109375" style="107" customWidth="1"/>
    <col min="12" max="16384" width="9.140625" style="107"/>
  </cols>
  <sheetData>
    <row r="1" spans="1:11" ht="18.75" x14ac:dyDescent="0.3">
      <c r="A1" s="24" t="str">
        <f>Admin!B3</f>
        <v>London Hydro</v>
      </c>
      <c r="B1" s="108"/>
      <c r="C1" s="108"/>
      <c r="D1" s="108"/>
      <c r="E1" s="108"/>
      <c r="F1" s="108"/>
      <c r="G1" s="108"/>
      <c r="H1" s="108"/>
      <c r="I1" s="108"/>
      <c r="J1" s="108"/>
      <c r="K1" s="108"/>
    </row>
    <row r="2" spans="1:11" ht="18.75" x14ac:dyDescent="0.3">
      <c r="A2" s="24" t="str">
        <f>Admin!B5</f>
        <v>EB-2016-0091</v>
      </c>
      <c r="B2" s="108"/>
      <c r="C2" s="108"/>
      <c r="D2" s="108"/>
      <c r="E2" s="108"/>
      <c r="F2" s="108"/>
      <c r="G2" s="108"/>
      <c r="H2" s="108"/>
      <c r="I2" s="108"/>
      <c r="J2" s="108"/>
      <c r="K2" s="108"/>
    </row>
    <row r="3" spans="1:11" ht="18.75" x14ac:dyDescent="0.3">
      <c r="A3" s="24" t="str">
        <f>Admin!B7</f>
        <v>2017 Load Forecast</v>
      </c>
      <c r="B3" s="108"/>
      <c r="C3" s="108"/>
      <c r="D3" s="108"/>
      <c r="E3" s="108"/>
      <c r="F3" s="108"/>
      <c r="G3" s="108"/>
      <c r="H3" s="108"/>
      <c r="I3" s="108"/>
      <c r="J3" s="108"/>
      <c r="K3" s="108"/>
    </row>
    <row r="4" spans="1:11" ht="18.75" x14ac:dyDescent="0.3">
      <c r="A4" s="24"/>
      <c r="B4" s="108"/>
      <c r="C4" s="108"/>
      <c r="D4" s="108"/>
      <c r="E4" s="108"/>
      <c r="F4" s="108"/>
      <c r="G4" s="108"/>
      <c r="H4" s="108"/>
      <c r="I4" s="108"/>
      <c r="J4" s="108"/>
      <c r="K4" s="108"/>
    </row>
    <row r="5" spans="1:11" ht="19.5" thickBot="1" x14ac:dyDescent="0.35">
      <c r="A5" s="109" t="s">
        <v>82</v>
      </c>
      <c r="B5" s="109"/>
      <c r="C5" s="109"/>
      <c r="D5" s="109"/>
      <c r="E5" s="109"/>
      <c r="F5" s="109"/>
      <c r="G5" s="109"/>
      <c r="H5" s="109"/>
      <c r="I5" s="109"/>
      <c r="J5" s="109"/>
      <c r="K5" s="108"/>
    </row>
    <row r="6" spans="1:11" ht="18.75" x14ac:dyDescent="0.3">
      <c r="K6" s="108"/>
    </row>
    <row r="7" spans="1:11" ht="18.75" x14ac:dyDescent="0.3">
      <c r="A7" s="322" t="s">
        <v>96</v>
      </c>
      <c r="B7" s="323"/>
      <c r="C7" s="323"/>
      <c r="D7" s="323"/>
      <c r="E7" s="323"/>
      <c r="F7" s="323"/>
      <c r="G7" s="323"/>
      <c r="H7" s="324"/>
    </row>
    <row r="8" spans="1:11" x14ac:dyDescent="0.25">
      <c r="A8" s="110" t="s">
        <v>23</v>
      </c>
      <c r="B8" s="111">
        <v>2015</v>
      </c>
      <c r="C8" s="111">
        <v>2016</v>
      </c>
      <c r="D8" s="111">
        <v>2017</v>
      </c>
      <c r="E8" s="111">
        <v>2018</v>
      </c>
      <c r="F8" s="111">
        <v>2019</v>
      </c>
      <c r="G8" s="112">
        <v>2020</v>
      </c>
      <c r="H8" s="113" t="s">
        <v>43</v>
      </c>
    </row>
    <row r="9" spans="1:11" x14ac:dyDescent="0.25">
      <c r="A9" s="339" t="s">
        <v>97</v>
      </c>
      <c r="B9" s="340"/>
      <c r="C9" s="340"/>
      <c r="D9" s="340"/>
      <c r="E9" s="340"/>
      <c r="F9" s="340"/>
      <c r="G9" s="341"/>
      <c r="H9" s="342"/>
    </row>
    <row r="10" spans="1:11" ht="18.75" x14ac:dyDescent="0.3">
      <c r="A10" s="114" t="s">
        <v>83</v>
      </c>
      <c r="B10" s="40">
        <v>31995332</v>
      </c>
      <c r="C10" s="40">
        <f>B10</f>
        <v>31995332</v>
      </c>
      <c r="D10" s="40">
        <f t="shared" ref="D10:G14" si="0">C10</f>
        <v>31995332</v>
      </c>
      <c r="E10" s="40">
        <f t="shared" si="0"/>
        <v>31995332</v>
      </c>
      <c r="F10" s="40">
        <f t="shared" si="0"/>
        <v>31995332</v>
      </c>
      <c r="G10" s="41">
        <f t="shared" si="0"/>
        <v>31995332</v>
      </c>
      <c r="H10" s="115"/>
      <c r="J10" s="116"/>
      <c r="K10" s="108"/>
    </row>
    <row r="11" spans="1:11" x14ac:dyDescent="0.25">
      <c r="A11" s="117" t="s">
        <v>84</v>
      </c>
      <c r="B11" s="40"/>
      <c r="C11" s="40">
        <v>37443333.333333336</v>
      </c>
      <c r="D11" s="40">
        <f t="shared" si="0"/>
        <v>37443333.333333336</v>
      </c>
      <c r="E11" s="40">
        <f t="shared" si="0"/>
        <v>37443333.333333336</v>
      </c>
      <c r="F11" s="40">
        <f t="shared" si="0"/>
        <v>37443333.333333336</v>
      </c>
      <c r="G11" s="41">
        <f t="shared" si="0"/>
        <v>37443333.333333336</v>
      </c>
      <c r="H11" s="119"/>
      <c r="J11" s="116"/>
    </row>
    <row r="12" spans="1:11" x14ac:dyDescent="0.25">
      <c r="A12" s="117" t="s">
        <v>85</v>
      </c>
      <c r="B12" s="40"/>
      <c r="C12" s="40">
        <v>0</v>
      </c>
      <c r="D12" s="40">
        <v>31843333.333333336</v>
      </c>
      <c r="E12" s="40">
        <f t="shared" si="0"/>
        <v>31843333.333333336</v>
      </c>
      <c r="F12" s="40">
        <f t="shared" si="0"/>
        <v>31843333.333333336</v>
      </c>
      <c r="G12" s="41">
        <f t="shared" si="0"/>
        <v>31843333.333333336</v>
      </c>
      <c r="H12" s="119"/>
      <c r="J12" s="116"/>
    </row>
    <row r="13" spans="1:11" x14ac:dyDescent="0.25">
      <c r="A13" s="117" t="s">
        <v>86</v>
      </c>
      <c r="B13" s="40"/>
      <c r="C13" s="40">
        <v>0</v>
      </c>
      <c r="D13" s="40">
        <v>0</v>
      </c>
      <c r="E13" s="40">
        <v>31843333.333333336</v>
      </c>
      <c r="F13" s="40">
        <f t="shared" si="0"/>
        <v>31843333.333333336</v>
      </c>
      <c r="G13" s="41">
        <f t="shared" si="0"/>
        <v>31843333.333333336</v>
      </c>
      <c r="H13" s="119"/>
      <c r="J13" s="116"/>
    </row>
    <row r="14" spans="1:11" x14ac:dyDescent="0.25">
      <c r="A14" s="117" t="s">
        <v>87</v>
      </c>
      <c r="B14" s="40"/>
      <c r="C14" s="40">
        <v>0</v>
      </c>
      <c r="D14" s="40">
        <v>0</v>
      </c>
      <c r="E14" s="40">
        <v>0</v>
      </c>
      <c r="F14" s="40">
        <v>31843333.333333336</v>
      </c>
      <c r="G14" s="41">
        <f t="shared" si="0"/>
        <v>31843333.333333336</v>
      </c>
      <c r="H14" s="119"/>
    </row>
    <row r="15" spans="1:11" x14ac:dyDescent="0.25">
      <c r="A15" s="120" t="s">
        <v>88</v>
      </c>
      <c r="B15" s="40"/>
      <c r="C15" s="40">
        <v>0</v>
      </c>
      <c r="D15" s="40">
        <v>0</v>
      </c>
      <c r="E15" s="40">
        <v>0</v>
      </c>
      <c r="F15" s="40">
        <v>0</v>
      </c>
      <c r="G15" s="40">
        <f>H18-SUM(G10:G14)</f>
        <v>31691334.666666627</v>
      </c>
      <c r="H15" s="121"/>
    </row>
    <row r="16" spans="1:11" x14ac:dyDescent="0.25">
      <c r="A16" s="145" t="s">
        <v>92</v>
      </c>
      <c r="B16" s="146">
        <f t="shared" ref="B16:G16" si="1">SUM(B10:B15)</f>
        <v>31995332</v>
      </c>
      <c r="C16" s="146">
        <f t="shared" si="1"/>
        <v>69438665.333333343</v>
      </c>
      <c r="D16" s="146">
        <f t="shared" si="1"/>
        <v>101281998.66666669</v>
      </c>
      <c r="E16" s="146">
        <f t="shared" si="1"/>
        <v>133125332.00000003</v>
      </c>
      <c r="F16" s="146">
        <f t="shared" si="1"/>
        <v>164968665.33333337</v>
      </c>
      <c r="G16" s="147">
        <f t="shared" si="1"/>
        <v>196660000</v>
      </c>
      <c r="H16" s="363"/>
    </row>
    <row r="17" spans="1:12" x14ac:dyDescent="0.25">
      <c r="A17" s="122" t="s">
        <v>98</v>
      </c>
      <c r="B17" s="123">
        <f>(B10/(SUM($B$10,$C$11,$D$12,$E$13,$F$14,$G$15)))</f>
        <v>0.16269364385233398</v>
      </c>
      <c r="C17" s="123">
        <f>(C11/(SUM($B$10,$C$11,$D$12,$E$13,$F$14,$G$15)))</f>
        <v>0.19039628461981764</v>
      </c>
      <c r="D17" s="123">
        <f>(D12/(SUM($B$10,$C$11,$D$12,$E$13,$F$14,$G$15)))</f>
        <v>0.16192074307603649</v>
      </c>
      <c r="E17" s="123">
        <f>(E13/(SUM($B$10,$C$11,$D$12,$E$13,$F$14,$G$15)))</f>
        <v>0.16192074307603649</v>
      </c>
      <c r="F17" s="123">
        <f>(F14/(SUM($B$10,$C$11,$D$12,$E$13,$F$14,$G$15)))</f>
        <v>0.16192074307603649</v>
      </c>
      <c r="G17" s="124">
        <f>(G15/(SUM($B$10,$C$11,$D$12,$E$13,$F$14,$G$15)))</f>
        <v>0.16114784229973877</v>
      </c>
      <c r="H17" s="125">
        <f>SUM(B17:G17)</f>
        <v>1</v>
      </c>
    </row>
    <row r="18" spans="1:12" x14ac:dyDescent="0.25">
      <c r="A18" s="145" t="s">
        <v>93</v>
      </c>
      <c r="B18" s="146">
        <f>ROUND($H$18*B17,0)</f>
        <v>31995332</v>
      </c>
      <c r="C18" s="146">
        <f>ROUND($H$18*C17,0)</f>
        <v>37443333</v>
      </c>
      <c r="D18" s="146">
        <f>ROUND($H$18*D17,0)</f>
        <v>31843333</v>
      </c>
      <c r="E18" s="146">
        <f>ROUND($H$18*E17,0)</f>
        <v>31843333</v>
      </c>
      <c r="F18" s="146">
        <f>ROUND($H$18*F17,0)</f>
        <v>31843333</v>
      </c>
      <c r="G18" s="147">
        <f>ROUND(H18*G17,0)+1</f>
        <v>31691336</v>
      </c>
      <c r="H18" s="148">
        <v>196660000</v>
      </c>
      <c r="L18" s="126"/>
    </row>
    <row r="19" spans="1:12" x14ac:dyDescent="0.25">
      <c r="C19" s="116"/>
      <c r="D19" s="116"/>
      <c r="E19" s="116"/>
      <c r="F19" s="116"/>
      <c r="G19" s="116"/>
      <c r="H19" s="116"/>
    </row>
    <row r="20" spans="1:12" ht="18.75" x14ac:dyDescent="0.3">
      <c r="A20" s="335" t="s">
        <v>191</v>
      </c>
      <c r="B20" s="336"/>
      <c r="C20" s="337"/>
      <c r="D20" s="337"/>
      <c r="E20" s="337"/>
      <c r="F20" s="337"/>
      <c r="G20" s="337"/>
      <c r="H20" s="337"/>
      <c r="I20" s="336"/>
      <c r="J20" s="338"/>
    </row>
    <row r="21" spans="1:12" ht="45" x14ac:dyDescent="0.25">
      <c r="A21" s="127" t="s">
        <v>23</v>
      </c>
      <c r="B21" s="14" t="s">
        <v>2</v>
      </c>
      <c r="C21" s="14" t="s">
        <v>3</v>
      </c>
      <c r="D21" s="14" t="s">
        <v>4</v>
      </c>
      <c r="E21" s="14" t="s">
        <v>177</v>
      </c>
      <c r="F21" s="14" t="s">
        <v>5</v>
      </c>
      <c r="G21" s="14" t="s">
        <v>139</v>
      </c>
      <c r="H21" s="14" t="s">
        <v>138</v>
      </c>
      <c r="I21" s="14" t="s">
        <v>137</v>
      </c>
      <c r="J21" s="128" t="s">
        <v>9</v>
      </c>
    </row>
    <row r="22" spans="1:12" x14ac:dyDescent="0.25">
      <c r="A22" s="149" t="s">
        <v>152</v>
      </c>
      <c r="B22" s="150"/>
      <c r="C22" s="151"/>
      <c r="D22" s="151"/>
      <c r="E22" s="151"/>
      <c r="F22" s="151"/>
      <c r="G22" s="151"/>
      <c r="H22" s="150"/>
      <c r="I22" s="150"/>
      <c r="J22" s="152"/>
    </row>
    <row r="23" spans="1:12" x14ac:dyDescent="0.25">
      <c r="A23" s="365" t="s">
        <v>195</v>
      </c>
      <c r="B23" s="129">
        <f>3537345+905582+3107555</f>
        <v>7550482</v>
      </c>
      <c r="C23" s="129">
        <f>18317228+1075128</f>
        <v>19392356</v>
      </c>
      <c r="D23" s="129">
        <v>5052494</v>
      </c>
      <c r="E23" s="129"/>
      <c r="F23" s="129">
        <v>0</v>
      </c>
      <c r="G23" s="129">
        <v>0</v>
      </c>
      <c r="H23" s="129"/>
      <c r="I23" s="129"/>
      <c r="J23" s="130">
        <f>SUM(B23:I23)</f>
        <v>31995332</v>
      </c>
    </row>
    <row r="24" spans="1:12" x14ac:dyDescent="0.25">
      <c r="A24" s="366" t="s">
        <v>84</v>
      </c>
      <c r="B24" s="129">
        <f>'[10]2015 - 2020 CDM Timing'!$G$22</f>
        <v>4407000</v>
      </c>
      <c r="C24" s="129">
        <f>'[10]2015 - 2020 CDM Timing'!$G$23</f>
        <v>13716666.666666668</v>
      </c>
      <c r="D24" s="129">
        <f>'[10]2015 - 2020 CDM Timing'!$G$24</f>
        <v>2053000</v>
      </c>
      <c r="E24" s="129"/>
      <c r="F24" s="129">
        <v>11666666.666666666</v>
      </c>
      <c r="G24" s="129">
        <v>5600000</v>
      </c>
      <c r="H24" s="129"/>
      <c r="I24" s="364"/>
      <c r="J24" s="130">
        <f>SUM(B24:I24)</f>
        <v>37443333.333333336</v>
      </c>
    </row>
    <row r="25" spans="1:12" x14ac:dyDescent="0.25">
      <c r="A25" s="133" t="s">
        <v>94</v>
      </c>
      <c r="B25" s="134">
        <f>SUM(B23:B24)</f>
        <v>11957482</v>
      </c>
      <c r="C25" s="134">
        <f t="shared" ref="C25:J25" si="2">SUM(C23:C24)</f>
        <v>33109022.666666668</v>
      </c>
      <c r="D25" s="134">
        <f t="shared" si="2"/>
        <v>7105494</v>
      </c>
      <c r="E25" s="134">
        <f t="shared" si="2"/>
        <v>0</v>
      </c>
      <c r="F25" s="134">
        <f t="shared" si="2"/>
        <v>11666666.666666666</v>
      </c>
      <c r="G25" s="134">
        <f t="shared" si="2"/>
        <v>5600000</v>
      </c>
      <c r="H25" s="134">
        <f t="shared" si="2"/>
        <v>0</v>
      </c>
      <c r="I25" s="134">
        <f t="shared" si="2"/>
        <v>0</v>
      </c>
      <c r="J25" s="134">
        <f t="shared" si="2"/>
        <v>69438665.333333343</v>
      </c>
      <c r="K25" s="277"/>
    </row>
    <row r="26" spans="1:12" x14ac:dyDescent="0.25">
      <c r="A26" s="136" t="s">
        <v>89</v>
      </c>
      <c r="B26" s="137">
        <f>B25/$J$25</f>
        <v>0.17220207131861345</v>
      </c>
      <c r="C26" s="137">
        <f t="shared" ref="C26:I26" si="3">C25/$J$25</f>
        <v>0.47680960611397305</v>
      </c>
      <c r="D26" s="137">
        <f t="shared" si="3"/>
        <v>0.10232762922344185</v>
      </c>
      <c r="E26" s="137">
        <f t="shared" si="3"/>
        <v>0</v>
      </c>
      <c r="F26" s="137">
        <f t="shared" si="3"/>
        <v>0.16801398198916992</v>
      </c>
      <c r="G26" s="137">
        <f t="shared" si="3"/>
        <v>8.0646711354801559E-2</v>
      </c>
      <c r="H26" s="137">
        <f t="shared" si="3"/>
        <v>0</v>
      </c>
      <c r="I26" s="137">
        <f t="shared" si="3"/>
        <v>0</v>
      </c>
      <c r="J26" s="137">
        <f>SUM(B26:I26)</f>
        <v>0.99999999999999978</v>
      </c>
    </row>
    <row r="27" spans="1:12" x14ac:dyDescent="0.25">
      <c r="A27" s="145" t="s">
        <v>95</v>
      </c>
      <c r="B27" s="146">
        <f>$J$27*B26</f>
        <v>11957481.942599308</v>
      </c>
      <c r="C27" s="146">
        <f t="shared" ref="C27:I27" si="4">$J$27*C26</f>
        <v>33109022.507730126</v>
      </c>
      <c r="D27" s="146">
        <f t="shared" si="4"/>
        <v>7105493.9658907885</v>
      </c>
      <c r="E27" s="146">
        <f t="shared" si="4"/>
        <v>0</v>
      </c>
      <c r="F27" s="146">
        <f t="shared" si="4"/>
        <v>11666666.610662004</v>
      </c>
      <c r="G27" s="146">
        <f t="shared" si="4"/>
        <v>5599999.9731177613</v>
      </c>
      <c r="H27" s="146">
        <f t="shared" si="4"/>
        <v>0</v>
      </c>
      <c r="I27" s="146">
        <f t="shared" si="4"/>
        <v>0</v>
      </c>
      <c r="J27" s="343">
        <f>SUM(B18:C18)</f>
        <v>69438665</v>
      </c>
      <c r="K27" s="126"/>
    </row>
    <row r="28" spans="1:12" x14ac:dyDescent="0.25">
      <c r="A28" s="153" t="s">
        <v>192</v>
      </c>
      <c r="B28" s="154"/>
      <c r="C28" s="155"/>
      <c r="D28" s="155"/>
      <c r="E28" s="155"/>
      <c r="F28" s="155"/>
      <c r="G28" s="155"/>
      <c r="H28" s="154"/>
      <c r="I28" s="154"/>
      <c r="J28" s="156"/>
    </row>
    <row r="29" spans="1:12" x14ac:dyDescent="0.25">
      <c r="A29" s="365" t="s">
        <v>195</v>
      </c>
      <c r="B29" s="129">
        <f>3537345+905582+3107555</f>
        <v>7550482</v>
      </c>
      <c r="C29" s="129">
        <f>18317228+1075128</f>
        <v>19392356</v>
      </c>
      <c r="D29" s="129">
        <v>5052494</v>
      </c>
      <c r="E29" s="129"/>
      <c r="F29" s="129">
        <v>0</v>
      </c>
      <c r="G29" s="129">
        <v>0</v>
      </c>
      <c r="H29" s="129"/>
      <c r="I29" s="129"/>
      <c r="J29" s="132">
        <f t="shared" ref="J29:J30" si="5">SUM(B29:I29)</f>
        <v>31995332</v>
      </c>
    </row>
    <row r="30" spans="1:12" x14ac:dyDescent="0.25">
      <c r="A30" s="365" t="s">
        <v>196</v>
      </c>
      <c r="B30" s="129">
        <f>'[10]2015 - 2020 CDM Timing'!$G$22</f>
        <v>4407000</v>
      </c>
      <c r="C30" s="129">
        <f>'[10]2015 - 2020 CDM Timing'!$G$23</f>
        <v>13716666.666666668</v>
      </c>
      <c r="D30" s="129">
        <f>'[10]2015 - 2020 CDM Timing'!$G$24</f>
        <v>2053000</v>
      </c>
      <c r="E30" s="129"/>
      <c r="F30" s="129">
        <v>11666666.666666666</v>
      </c>
      <c r="G30" s="129">
        <v>5600000</v>
      </c>
      <c r="H30" s="129"/>
      <c r="I30" s="364"/>
      <c r="J30" s="132">
        <f t="shared" si="5"/>
        <v>37443333.333333336</v>
      </c>
    </row>
    <row r="31" spans="1:12" x14ac:dyDescent="0.25">
      <c r="A31" s="366" t="s">
        <v>85</v>
      </c>
      <c r="B31" s="129">
        <f>B30</f>
        <v>4407000</v>
      </c>
      <c r="C31" s="129">
        <f>C30</f>
        <v>13716666.666666668</v>
      </c>
      <c r="D31" s="129">
        <f>D30</f>
        <v>2053000</v>
      </c>
      <c r="E31" s="129"/>
      <c r="F31" s="129">
        <v>11666666.666666666</v>
      </c>
      <c r="G31" s="129"/>
      <c r="H31" s="131"/>
      <c r="I31" s="131"/>
      <c r="J31" s="132">
        <f>SUM(B31:I31)</f>
        <v>31843333.333333336</v>
      </c>
    </row>
    <row r="32" spans="1:12" x14ac:dyDescent="0.25">
      <c r="A32" s="133" t="s">
        <v>193</v>
      </c>
      <c r="B32" s="134">
        <f>SUM(B29:B31)</f>
        <v>16364482</v>
      </c>
      <c r="C32" s="134">
        <f t="shared" ref="C32:I32" si="6">SUM(C29:C31)</f>
        <v>46825689.333333336</v>
      </c>
      <c r="D32" s="134">
        <f t="shared" si="6"/>
        <v>9158494</v>
      </c>
      <c r="E32" s="134">
        <f t="shared" si="6"/>
        <v>0</v>
      </c>
      <c r="F32" s="134">
        <f t="shared" si="6"/>
        <v>23333333.333333332</v>
      </c>
      <c r="G32" s="134">
        <f t="shared" si="6"/>
        <v>5600000</v>
      </c>
      <c r="H32" s="134">
        <f t="shared" si="6"/>
        <v>0</v>
      </c>
      <c r="I32" s="134">
        <f t="shared" si="6"/>
        <v>0</v>
      </c>
      <c r="J32" s="135">
        <f>SUM(B32:I32)</f>
        <v>101281998.66666667</v>
      </c>
    </row>
    <row r="33" spans="1:11" x14ac:dyDescent="0.25">
      <c r="A33" s="136" t="s">
        <v>89</v>
      </c>
      <c r="B33" s="139">
        <f>B32/$J$32</f>
        <v>0.1615734505186634</v>
      </c>
      <c r="C33" s="139">
        <f t="shared" ref="C33:I33" si="7">C32/$J$32</f>
        <v>0.46232983106349707</v>
      </c>
      <c r="D33" s="139">
        <f t="shared" si="7"/>
        <v>9.0425683937595799E-2</v>
      </c>
      <c r="E33" s="139">
        <f t="shared" si="7"/>
        <v>0</v>
      </c>
      <c r="F33" s="139">
        <f t="shared" si="7"/>
        <v>0.23037986651632558</v>
      </c>
      <c r="G33" s="139">
        <f t="shared" si="7"/>
        <v>5.5291167963918142E-2</v>
      </c>
      <c r="H33" s="139">
        <f t="shared" si="7"/>
        <v>0</v>
      </c>
      <c r="I33" s="139">
        <f t="shared" si="7"/>
        <v>0</v>
      </c>
      <c r="J33" s="140"/>
    </row>
    <row r="34" spans="1:11" x14ac:dyDescent="0.25">
      <c r="A34" s="145" t="s">
        <v>194</v>
      </c>
      <c r="B34" s="146">
        <f>$J$34*B33</f>
        <v>16364481.892284365</v>
      </c>
      <c r="C34" s="146">
        <f t="shared" ref="C34:I34" si="8">$J$34*C33</f>
        <v>46825689.025113449</v>
      </c>
      <c r="D34" s="146">
        <f t="shared" si="8"/>
        <v>9158493.9397162106</v>
      </c>
      <c r="E34" s="146">
        <f t="shared" si="8"/>
        <v>0</v>
      </c>
      <c r="F34" s="146">
        <f t="shared" si="8"/>
        <v>23333333.179746754</v>
      </c>
      <c r="G34" s="146">
        <f t="shared" si="8"/>
        <v>5599999.9631392211</v>
      </c>
      <c r="H34" s="146">
        <f t="shared" si="8"/>
        <v>0</v>
      </c>
      <c r="I34" s="146">
        <f t="shared" si="8"/>
        <v>0</v>
      </c>
      <c r="J34" s="343">
        <f>SUM(B18:D18)</f>
        <v>101281998</v>
      </c>
      <c r="K34" s="126"/>
    </row>
    <row r="36" spans="1:11" ht="18.75" x14ac:dyDescent="0.3">
      <c r="A36" s="335" t="s">
        <v>99</v>
      </c>
      <c r="B36" s="336"/>
      <c r="C36" s="337"/>
      <c r="D36" s="337"/>
      <c r="E36" s="337"/>
      <c r="F36" s="337"/>
      <c r="G36" s="337"/>
      <c r="H36" s="337"/>
      <c r="I36" s="336"/>
      <c r="J36" s="338"/>
    </row>
    <row r="37" spans="1:11" ht="45" x14ac:dyDescent="0.25">
      <c r="A37" s="127" t="s">
        <v>10</v>
      </c>
      <c r="B37" s="14" t="s">
        <v>2</v>
      </c>
      <c r="C37" s="14" t="s">
        <v>3</v>
      </c>
      <c r="D37" s="14" t="s">
        <v>4</v>
      </c>
      <c r="E37" s="14" t="s">
        <v>177</v>
      </c>
      <c r="F37" s="14" t="s">
        <v>5</v>
      </c>
      <c r="G37" s="14" t="s">
        <v>139</v>
      </c>
      <c r="H37" s="14" t="s">
        <v>138</v>
      </c>
      <c r="I37" s="14" t="s">
        <v>137</v>
      </c>
      <c r="J37" s="128" t="s">
        <v>9</v>
      </c>
      <c r="K37" s="126"/>
    </row>
    <row r="38" spans="1:11" s="157" customFormat="1" x14ac:dyDescent="0.25">
      <c r="A38" s="149" t="s">
        <v>90</v>
      </c>
      <c r="B38" s="150"/>
      <c r="C38" s="151"/>
      <c r="D38" s="151"/>
      <c r="E38" s="151"/>
      <c r="F38" s="151"/>
      <c r="G38" s="151"/>
      <c r="H38" s="150"/>
      <c r="I38" s="150"/>
      <c r="J38" s="152"/>
    </row>
    <row r="39" spans="1:11" x14ac:dyDescent="0.25">
      <c r="A39" s="367" t="s">
        <v>197</v>
      </c>
      <c r="B39" s="283">
        <f>B29*0.5</f>
        <v>3775241</v>
      </c>
      <c r="C39" s="283">
        <f t="shared" ref="C39:I39" si="9">C29*0.5</f>
        <v>9696178</v>
      </c>
      <c r="D39" s="283">
        <f t="shared" si="9"/>
        <v>2526247</v>
      </c>
      <c r="E39" s="283">
        <f t="shared" si="9"/>
        <v>0</v>
      </c>
      <c r="F39" s="283">
        <f t="shared" si="9"/>
        <v>0</v>
      </c>
      <c r="G39" s="283">
        <f t="shared" si="9"/>
        <v>0</v>
      </c>
      <c r="H39" s="283">
        <f t="shared" si="9"/>
        <v>0</v>
      </c>
      <c r="I39" s="283">
        <f t="shared" si="9"/>
        <v>0</v>
      </c>
      <c r="J39" s="141">
        <f>SUM(B39:I39)</f>
        <v>15997666</v>
      </c>
    </row>
    <row r="40" spans="1:11" x14ac:dyDescent="0.25">
      <c r="A40" s="142" t="s">
        <v>91</v>
      </c>
      <c r="B40" s="143">
        <f>B24*0.5</f>
        <v>2203500</v>
      </c>
      <c r="C40" s="143">
        <f t="shared" ref="C40:I40" si="10">C24*0.5</f>
        <v>6858333.333333334</v>
      </c>
      <c r="D40" s="143">
        <f t="shared" si="10"/>
        <v>1026500</v>
      </c>
      <c r="E40" s="143">
        <f t="shared" si="10"/>
        <v>0</v>
      </c>
      <c r="F40" s="143">
        <f t="shared" si="10"/>
        <v>5833333.333333333</v>
      </c>
      <c r="G40" s="143">
        <f t="shared" si="10"/>
        <v>2800000</v>
      </c>
      <c r="H40" s="143">
        <f t="shared" si="10"/>
        <v>0</v>
      </c>
      <c r="I40" s="143">
        <f t="shared" si="10"/>
        <v>0</v>
      </c>
      <c r="J40" s="144">
        <f>SUM(B40:I40)</f>
        <v>18721666.666666668</v>
      </c>
    </row>
    <row r="41" spans="1:11" x14ac:dyDescent="0.25">
      <c r="A41" s="249" t="s">
        <v>9</v>
      </c>
      <c r="B41" s="250">
        <f>SUM(B39:B40)</f>
        <v>5978741</v>
      </c>
      <c r="C41" s="250">
        <f t="shared" ref="C41:I41" si="11">SUM(C39:C40)</f>
        <v>16554511.333333334</v>
      </c>
      <c r="D41" s="250">
        <f t="shared" si="11"/>
        <v>3552747</v>
      </c>
      <c r="E41" s="250">
        <f t="shared" si="11"/>
        <v>0</v>
      </c>
      <c r="F41" s="250">
        <f t="shared" si="11"/>
        <v>5833333.333333333</v>
      </c>
      <c r="G41" s="250">
        <f t="shared" si="11"/>
        <v>2800000</v>
      </c>
      <c r="H41" s="250">
        <f t="shared" si="11"/>
        <v>0</v>
      </c>
      <c r="I41" s="250">
        <f t="shared" si="11"/>
        <v>0</v>
      </c>
      <c r="J41" s="251">
        <f>SUM(B41:I41)</f>
        <v>34719332.666666672</v>
      </c>
    </row>
    <row r="42" spans="1:11" s="157" customFormat="1" x14ac:dyDescent="0.25">
      <c r="A42" s="149" t="s">
        <v>189</v>
      </c>
      <c r="B42" s="150"/>
      <c r="C42" s="151"/>
      <c r="D42" s="151"/>
      <c r="E42" s="151"/>
      <c r="F42" s="151"/>
      <c r="G42" s="151"/>
      <c r="H42" s="150"/>
      <c r="I42" s="150"/>
      <c r="J42" s="152"/>
    </row>
    <row r="43" spans="1:11" x14ac:dyDescent="0.25">
      <c r="A43" s="442" t="s">
        <v>197</v>
      </c>
      <c r="B43" s="283">
        <f>B29*0.5</f>
        <v>3775241</v>
      </c>
      <c r="C43" s="283">
        <f t="shared" ref="C43:I43" si="12">C29*0.5</f>
        <v>9696178</v>
      </c>
      <c r="D43" s="283">
        <f t="shared" si="12"/>
        <v>2526247</v>
      </c>
      <c r="E43" s="283">
        <f t="shared" si="12"/>
        <v>0</v>
      </c>
      <c r="F43" s="283">
        <f t="shared" si="12"/>
        <v>0</v>
      </c>
      <c r="G43" s="283">
        <f t="shared" si="12"/>
        <v>0</v>
      </c>
      <c r="H43" s="283">
        <f t="shared" si="12"/>
        <v>0</v>
      </c>
      <c r="I43" s="283">
        <f t="shared" si="12"/>
        <v>0</v>
      </c>
      <c r="J43" s="141">
        <f>SUM(B43:I43)</f>
        <v>15997666</v>
      </c>
    </row>
    <row r="44" spans="1:11" x14ac:dyDescent="0.25">
      <c r="A44" s="442" t="s">
        <v>260</v>
      </c>
      <c r="B44" s="118">
        <f>B30</f>
        <v>4407000</v>
      </c>
      <c r="C44" s="118">
        <f t="shared" ref="C44:I44" si="13">C30</f>
        <v>13716666.666666668</v>
      </c>
      <c r="D44" s="118">
        <f t="shared" si="13"/>
        <v>2053000</v>
      </c>
      <c r="E44" s="118">
        <f t="shared" si="13"/>
        <v>0</v>
      </c>
      <c r="F44" s="118">
        <f t="shared" si="13"/>
        <v>11666666.666666666</v>
      </c>
      <c r="G44" s="118">
        <f t="shared" si="13"/>
        <v>5600000</v>
      </c>
      <c r="H44" s="118">
        <f t="shared" si="13"/>
        <v>0</v>
      </c>
      <c r="I44" s="118">
        <f t="shared" si="13"/>
        <v>0</v>
      </c>
      <c r="J44" s="141">
        <f>SUM(B44:I44)</f>
        <v>37443333.333333336</v>
      </c>
    </row>
    <row r="45" spans="1:11" x14ac:dyDescent="0.25">
      <c r="A45" s="362" t="s">
        <v>190</v>
      </c>
      <c r="B45" s="118">
        <f>B31*0.5</f>
        <v>2203500</v>
      </c>
      <c r="C45" s="118">
        <f t="shared" ref="C45:I45" si="14">C31*0.5</f>
        <v>6858333.333333334</v>
      </c>
      <c r="D45" s="118">
        <f t="shared" si="14"/>
        <v>1026500</v>
      </c>
      <c r="E45" s="118">
        <f t="shared" si="14"/>
        <v>0</v>
      </c>
      <c r="F45" s="118">
        <f t="shared" si="14"/>
        <v>5833333.333333333</v>
      </c>
      <c r="G45" s="118">
        <f t="shared" si="14"/>
        <v>0</v>
      </c>
      <c r="H45" s="118">
        <f t="shared" si="14"/>
        <v>0</v>
      </c>
      <c r="I45" s="118">
        <f t="shared" si="14"/>
        <v>0</v>
      </c>
      <c r="J45" s="138">
        <f>SUM(B45:I45)</f>
        <v>15921666.666666668</v>
      </c>
    </row>
    <row r="46" spans="1:11" x14ac:dyDescent="0.25">
      <c r="A46" s="249" t="s">
        <v>9</v>
      </c>
      <c r="B46" s="250">
        <f>SUM(B43:B45)</f>
        <v>10385741</v>
      </c>
      <c r="C46" s="250">
        <f t="shared" ref="C46:I46" si="15">SUM(C43:C45)</f>
        <v>30271178</v>
      </c>
      <c r="D46" s="250">
        <f t="shared" si="15"/>
        <v>5605747</v>
      </c>
      <c r="E46" s="250">
        <f t="shared" si="15"/>
        <v>0</v>
      </c>
      <c r="F46" s="250">
        <f t="shared" si="15"/>
        <v>17500000</v>
      </c>
      <c r="G46" s="250">
        <f t="shared" si="15"/>
        <v>5600000</v>
      </c>
      <c r="H46" s="250">
        <f t="shared" si="15"/>
        <v>0</v>
      </c>
      <c r="I46" s="250">
        <f t="shared" si="15"/>
        <v>0</v>
      </c>
      <c r="J46" s="251">
        <f>SUM(B46:I46)</f>
        <v>69362666</v>
      </c>
    </row>
    <row r="49" spans="1:10" ht="45" x14ac:dyDescent="0.25">
      <c r="A49" s="145" t="s">
        <v>228</v>
      </c>
      <c r="B49" s="387" t="s">
        <v>2</v>
      </c>
      <c r="C49" s="387" t="s">
        <v>3</v>
      </c>
      <c r="D49" s="387" t="s">
        <v>4</v>
      </c>
      <c r="E49" s="387" t="s">
        <v>177</v>
      </c>
      <c r="F49" s="387" t="s">
        <v>5</v>
      </c>
      <c r="G49" s="387" t="s">
        <v>139</v>
      </c>
      <c r="H49" s="387" t="s">
        <v>138</v>
      </c>
      <c r="I49" s="387" t="s">
        <v>137</v>
      </c>
      <c r="J49" s="388" t="s">
        <v>9</v>
      </c>
    </row>
    <row r="50" spans="1:10" x14ac:dyDescent="0.25">
      <c r="A50" s="384" t="s">
        <v>95</v>
      </c>
      <c r="B50" s="385">
        <f>B27</f>
        <v>11957481.942599308</v>
      </c>
      <c r="C50" s="385">
        <f t="shared" ref="C50:I50" si="16">C27</f>
        <v>33109022.507730126</v>
      </c>
      <c r="D50" s="385">
        <f t="shared" si="16"/>
        <v>7105493.9658907885</v>
      </c>
      <c r="E50" s="385">
        <f t="shared" si="16"/>
        <v>0</v>
      </c>
      <c r="F50" s="385">
        <f t="shared" si="16"/>
        <v>11666666.610662004</v>
      </c>
      <c r="G50" s="385">
        <f t="shared" si="16"/>
        <v>5599999.9731177613</v>
      </c>
      <c r="H50" s="385">
        <f t="shared" si="16"/>
        <v>0</v>
      </c>
      <c r="I50" s="385">
        <f t="shared" si="16"/>
        <v>0</v>
      </c>
      <c r="J50" s="438">
        <f>J27</f>
        <v>69438665</v>
      </c>
    </row>
    <row r="51" spans="1:10" x14ac:dyDescent="0.25">
      <c r="A51" s="384" t="s">
        <v>194</v>
      </c>
      <c r="B51" s="385">
        <f>B34</f>
        <v>16364481.892284365</v>
      </c>
      <c r="C51" s="385">
        <f t="shared" ref="C51:I51" si="17">C34</f>
        <v>46825689.025113449</v>
      </c>
      <c r="D51" s="385">
        <f t="shared" si="17"/>
        <v>9158493.9397162106</v>
      </c>
      <c r="E51" s="385">
        <f t="shared" si="17"/>
        <v>0</v>
      </c>
      <c r="F51" s="385">
        <f t="shared" si="17"/>
        <v>23333333.179746754</v>
      </c>
      <c r="G51" s="385">
        <f t="shared" si="17"/>
        <v>5599999.9631392211</v>
      </c>
      <c r="H51" s="385">
        <f t="shared" si="17"/>
        <v>0</v>
      </c>
      <c r="I51" s="385">
        <f t="shared" si="17"/>
        <v>0</v>
      </c>
      <c r="J51" s="386">
        <f>J34</f>
        <v>101281998</v>
      </c>
    </row>
    <row r="52" spans="1:10" x14ac:dyDescent="0.25">
      <c r="A52" s="249" t="s">
        <v>9</v>
      </c>
      <c r="B52" s="250">
        <f t="shared" ref="B52:I52" si="18">SUM(B50:B51)</f>
        <v>28321963.834883675</v>
      </c>
      <c r="C52" s="250">
        <f t="shared" si="18"/>
        <v>79934711.532843575</v>
      </c>
      <c r="D52" s="250">
        <f t="shared" si="18"/>
        <v>16263987.905607</v>
      </c>
      <c r="E52" s="250">
        <f t="shared" si="18"/>
        <v>0</v>
      </c>
      <c r="F52" s="250">
        <f t="shared" si="18"/>
        <v>34999999.79040876</v>
      </c>
      <c r="G52" s="250">
        <f t="shared" si="18"/>
        <v>11199999.936256982</v>
      </c>
      <c r="H52" s="250">
        <f t="shared" si="18"/>
        <v>0</v>
      </c>
      <c r="I52" s="250">
        <f t="shared" si="18"/>
        <v>0</v>
      </c>
      <c r="J52" s="251">
        <f>SUM(B52:I52)</f>
        <v>170720662.99999997</v>
      </c>
    </row>
  </sheetData>
  <pageMargins left="0.7" right="0.7" top="0.75" bottom="0.75" header="0.3" footer="0.3"/>
  <pageSetup scale="72" orientation="landscape"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74"/>
  <sheetViews>
    <sheetView showGridLines="0" zoomScale="90" zoomScaleNormal="90" workbookViewId="0">
      <pane xSplit="1" ySplit="8" topLeftCell="B9" activePane="bottomRight" state="frozen"/>
      <selection activeCell="A2" sqref="A2"/>
      <selection pane="topRight" activeCell="A2" sqref="A2"/>
      <selection pane="bottomLeft" activeCell="A2" sqref="A2"/>
      <selection pane="bottomRight" activeCell="A7" sqref="A7:J71"/>
    </sheetView>
  </sheetViews>
  <sheetFormatPr defaultRowHeight="15" x14ac:dyDescent="0.25"/>
  <cols>
    <col min="1" max="1" width="23.42578125" customWidth="1"/>
    <col min="2" max="2" width="17.28515625" bestFit="1" customWidth="1"/>
    <col min="3" max="3" width="13.42578125" bestFit="1" customWidth="1"/>
    <col min="4" max="4" width="15" bestFit="1" customWidth="1"/>
    <col min="5" max="5" width="12.7109375" customWidth="1"/>
    <col min="6" max="6" width="14.140625" bestFit="1" customWidth="1"/>
    <col min="7" max="7" width="14" bestFit="1" customWidth="1"/>
    <col min="8" max="9" width="12.7109375" customWidth="1"/>
    <col min="10" max="10" width="14.7109375" customWidth="1"/>
    <col min="11" max="11" width="16.85546875" bestFit="1" customWidth="1"/>
    <col min="12" max="12" width="15" hidden="1" customWidth="1"/>
    <col min="13" max="14" width="14.28515625" hidden="1" customWidth="1"/>
    <col min="15" max="15" width="15" hidden="1" customWidth="1"/>
    <col min="16" max="16" width="12.5703125" hidden="1" customWidth="1"/>
    <col min="21" max="21" width="15" bestFit="1" customWidth="1"/>
  </cols>
  <sheetData>
    <row r="1" spans="1:21" ht="18.75" x14ac:dyDescent="0.3">
      <c r="A1" s="24" t="str">
        <f>Admin!B3</f>
        <v>London Hydro</v>
      </c>
      <c r="B1" s="25"/>
      <c r="C1" s="25"/>
      <c r="D1" s="25"/>
      <c r="E1" s="25"/>
      <c r="F1" s="25"/>
      <c r="G1" s="25"/>
      <c r="H1" s="25"/>
      <c r="I1" s="25"/>
      <c r="J1" s="25"/>
    </row>
    <row r="2" spans="1:21" ht="18.75" x14ac:dyDescent="0.3">
      <c r="A2" s="24" t="str">
        <f>Admin!B5</f>
        <v>EB-2016-0091</v>
      </c>
      <c r="B2" s="25"/>
      <c r="C2" s="25"/>
      <c r="D2" s="25"/>
      <c r="E2" s="25"/>
      <c r="F2" s="25"/>
      <c r="G2" s="25"/>
      <c r="H2" s="25"/>
      <c r="I2" s="25"/>
      <c r="J2" s="25"/>
    </row>
    <row r="3" spans="1:21" ht="18.75" x14ac:dyDescent="0.3">
      <c r="A3" s="24" t="str">
        <f>Admin!B7</f>
        <v>2017 Load Forecast</v>
      </c>
      <c r="B3" s="25"/>
      <c r="C3" s="25"/>
      <c r="D3" s="25"/>
      <c r="E3" s="25"/>
      <c r="F3" s="25"/>
      <c r="G3" s="25"/>
      <c r="H3" s="25"/>
      <c r="I3" s="25"/>
      <c r="J3" s="25"/>
    </row>
    <row r="4" spans="1:21" ht="18.75" x14ac:dyDescent="0.3">
      <c r="A4" s="24"/>
      <c r="B4" s="25"/>
      <c r="C4" s="25"/>
      <c r="D4" s="25"/>
      <c r="E4" s="25"/>
      <c r="F4" s="25"/>
      <c r="G4" s="25"/>
      <c r="H4" s="25"/>
      <c r="I4" s="25"/>
      <c r="J4" s="25"/>
    </row>
    <row r="5" spans="1:21" ht="19.5" thickBot="1" x14ac:dyDescent="0.35">
      <c r="A5" s="26" t="s">
        <v>53</v>
      </c>
      <c r="B5" s="27"/>
      <c r="C5" s="27"/>
      <c r="D5" s="27"/>
      <c r="E5" s="27"/>
      <c r="F5" s="27"/>
      <c r="G5" s="27"/>
      <c r="H5" s="27"/>
      <c r="I5" s="27"/>
      <c r="J5" s="27"/>
    </row>
    <row r="7" spans="1:21" ht="45" x14ac:dyDescent="0.25">
      <c r="A7" s="13" t="s">
        <v>10</v>
      </c>
      <c r="B7" s="14" t="s">
        <v>2</v>
      </c>
      <c r="C7" s="14" t="s">
        <v>3</v>
      </c>
      <c r="D7" s="14" t="s">
        <v>226</v>
      </c>
      <c r="E7" s="14" t="s">
        <v>177</v>
      </c>
      <c r="F7" s="14" t="s">
        <v>225</v>
      </c>
      <c r="G7" s="14" t="s">
        <v>139</v>
      </c>
      <c r="H7" s="14" t="s">
        <v>138</v>
      </c>
      <c r="I7" s="14" t="s">
        <v>137</v>
      </c>
      <c r="J7" s="15" t="s">
        <v>9</v>
      </c>
      <c r="L7" s="14" t="s">
        <v>222</v>
      </c>
      <c r="M7" s="14" t="s">
        <v>223</v>
      </c>
      <c r="N7" s="14" t="s">
        <v>261</v>
      </c>
      <c r="O7" s="14" t="s">
        <v>224</v>
      </c>
      <c r="P7" s="14" t="s">
        <v>17</v>
      </c>
    </row>
    <row r="8" spans="1:21" ht="18.75" hidden="1" x14ac:dyDescent="0.3">
      <c r="A8" s="311" t="s">
        <v>180</v>
      </c>
      <c r="B8" s="312"/>
      <c r="C8" s="312"/>
      <c r="D8" s="312"/>
      <c r="E8" s="312"/>
      <c r="F8" s="312"/>
      <c r="G8" s="312"/>
      <c r="H8" s="312"/>
      <c r="I8" s="312"/>
      <c r="J8" s="313"/>
      <c r="L8" s="313"/>
      <c r="M8" s="313"/>
      <c r="N8" s="313"/>
      <c r="O8" s="313"/>
      <c r="P8" s="313"/>
    </row>
    <row r="9" spans="1:21" hidden="1" x14ac:dyDescent="0.25">
      <c r="A9" s="411">
        <v>2006</v>
      </c>
      <c r="B9" s="412">
        <v>1088755114</v>
      </c>
      <c r="C9" s="412">
        <v>410108836.32520872</v>
      </c>
      <c r="D9" s="412">
        <v>1608473485.1762016</v>
      </c>
      <c r="E9" s="412">
        <v>30875410.01379855</v>
      </c>
      <c r="F9" s="412">
        <v>108044053.81000002</v>
      </c>
      <c r="G9" s="412">
        <v>22245536</v>
      </c>
      <c r="H9" s="412">
        <v>870735</v>
      </c>
      <c r="I9" s="412">
        <v>6328408.6747912867</v>
      </c>
      <c r="J9" s="413">
        <f>SUM(B9:I9)</f>
        <v>3275701579.0000005</v>
      </c>
      <c r="L9" s="9">
        <v>3356779315</v>
      </c>
      <c r="M9" s="9">
        <v>62194355.75999999</v>
      </c>
      <c r="N9" s="9">
        <v>18883380.239999998</v>
      </c>
      <c r="O9" s="9">
        <f>L9-M9-N9</f>
        <v>3275701579</v>
      </c>
      <c r="P9" s="9">
        <f t="shared" ref="P9:P18" si="0">J9-O9</f>
        <v>0</v>
      </c>
      <c r="Q9" s="409"/>
    </row>
    <row r="10" spans="1:21" hidden="1" x14ac:dyDescent="0.25">
      <c r="A10" s="411">
        <v>2007</v>
      </c>
      <c r="B10" s="412">
        <v>1117283048</v>
      </c>
      <c r="C10" s="412">
        <v>417026808</v>
      </c>
      <c r="D10" s="417">
        <v>1595425677.54</v>
      </c>
      <c r="E10" s="412">
        <v>37213731.519810766</v>
      </c>
      <c r="F10" s="412">
        <v>115273669.97</v>
      </c>
      <c r="G10" s="412">
        <v>23071309.404087897</v>
      </c>
      <c r="H10" s="412">
        <v>872679.14787448419</v>
      </c>
      <c r="I10" s="412">
        <v>6215088.1489300504</v>
      </c>
      <c r="J10" s="413">
        <f t="shared" ref="J10:J18" si="1">SUM(B10:I10)</f>
        <v>3312382011.7307029</v>
      </c>
      <c r="L10" s="9">
        <v>3387777810</v>
      </c>
      <c r="M10" s="9">
        <v>55609488.800000004</v>
      </c>
      <c r="N10" s="9">
        <v>19786309.690000005</v>
      </c>
      <c r="O10" s="9">
        <f t="shared" ref="O10:O18" si="2">L10-M10-N10</f>
        <v>3312382011.5099998</v>
      </c>
      <c r="P10" s="9">
        <f t="shared" si="0"/>
        <v>0.220703125</v>
      </c>
      <c r="Q10" s="409"/>
    </row>
    <row r="11" spans="1:21" hidden="1" x14ac:dyDescent="0.25">
      <c r="A11" s="411">
        <v>2008</v>
      </c>
      <c r="B11" s="412">
        <v>1119770671</v>
      </c>
      <c r="C11" s="412">
        <v>418620282.19268787</v>
      </c>
      <c r="D11" s="412">
        <v>1541096157.558687</v>
      </c>
      <c r="E11" s="412">
        <v>39755987.581312835</v>
      </c>
      <c r="F11" s="412">
        <v>113396329.84999999</v>
      </c>
      <c r="G11" s="412">
        <v>23270766.817004129</v>
      </c>
      <c r="H11" s="412">
        <v>862738.77746857307</v>
      </c>
      <c r="I11" s="412">
        <v>5647247.807312157</v>
      </c>
      <c r="J11" s="413">
        <f t="shared" si="1"/>
        <v>3262420181.5844727</v>
      </c>
      <c r="L11" s="9">
        <v>3333873405</v>
      </c>
      <c r="M11" s="9">
        <v>51510356.060000017</v>
      </c>
      <c r="N11" s="9">
        <v>19942867.950000003</v>
      </c>
      <c r="O11" s="9">
        <f t="shared" si="2"/>
        <v>3262420180.9900002</v>
      </c>
      <c r="P11" s="9">
        <f t="shared" si="0"/>
        <v>0.59447240829467773</v>
      </c>
      <c r="Q11" s="409"/>
    </row>
    <row r="12" spans="1:21" hidden="1" x14ac:dyDescent="0.25">
      <c r="A12" s="411">
        <v>2009</v>
      </c>
      <c r="B12" s="412">
        <v>1067984894</v>
      </c>
      <c r="C12" s="412">
        <v>392901741</v>
      </c>
      <c r="D12" s="412">
        <v>1426537473.96</v>
      </c>
      <c r="E12" s="412">
        <v>42590885.077863201</v>
      </c>
      <c r="F12" s="412">
        <v>121341105.29999998</v>
      </c>
      <c r="G12" s="412">
        <v>23394430.467325594</v>
      </c>
      <c r="H12" s="412">
        <v>836232.66481143842</v>
      </c>
      <c r="I12" s="412">
        <v>5570493</v>
      </c>
      <c r="J12" s="413">
        <f t="shared" si="1"/>
        <v>3081157255.4700007</v>
      </c>
      <c r="L12" s="9">
        <v>3150821438</v>
      </c>
      <c r="M12" s="9">
        <v>49270395.300000004</v>
      </c>
      <c r="N12" s="9">
        <v>20393788.439999998</v>
      </c>
      <c r="O12" s="9">
        <f t="shared" si="2"/>
        <v>3081157254.2599998</v>
      </c>
      <c r="P12" s="9">
        <f t="shared" si="0"/>
        <v>1.2100009918212891</v>
      </c>
      <c r="Q12" s="409"/>
    </row>
    <row r="13" spans="1:21" hidden="1" x14ac:dyDescent="0.25">
      <c r="A13" s="411">
        <v>2010</v>
      </c>
      <c r="B13" s="412">
        <v>1146514255</v>
      </c>
      <c r="C13" s="412">
        <v>407620994</v>
      </c>
      <c r="D13" s="412">
        <v>1550511760.7697754</v>
      </c>
      <c r="E13" s="412">
        <v>45965216.448082045</v>
      </c>
      <c r="F13" s="412">
        <v>122601391.58247705</v>
      </c>
      <c r="G13" s="412">
        <v>23532529.042175043</v>
      </c>
      <c r="H13" s="412">
        <v>831089.09597463743</v>
      </c>
      <c r="I13" s="412">
        <v>5523748</v>
      </c>
      <c r="J13" s="413">
        <f t="shared" si="1"/>
        <v>3303100983.9384837</v>
      </c>
      <c r="L13" s="9">
        <v>3376719308</v>
      </c>
      <c r="M13" s="9">
        <v>52628998.799999997</v>
      </c>
      <c r="N13" s="9">
        <v>20989325.739999998</v>
      </c>
      <c r="O13" s="9">
        <f t="shared" si="2"/>
        <v>3303100983.46</v>
      </c>
      <c r="P13" s="9">
        <f t="shared" si="0"/>
        <v>0.47848367691040039</v>
      </c>
      <c r="Q13" s="409"/>
    </row>
    <row r="14" spans="1:21" hidden="1" x14ac:dyDescent="0.25">
      <c r="A14" s="411">
        <v>2011</v>
      </c>
      <c r="B14" s="412">
        <v>1128889459</v>
      </c>
      <c r="C14" s="412">
        <v>407986442</v>
      </c>
      <c r="D14" s="412">
        <v>1518936150.5995092</v>
      </c>
      <c r="E14" s="412">
        <v>37918667.78424219</v>
      </c>
      <c r="F14" s="412">
        <v>123286320.35898429</v>
      </c>
      <c r="G14" s="412">
        <v>23650724.142568935</v>
      </c>
      <c r="H14" s="412">
        <v>812670</v>
      </c>
      <c r="I14" s="412">
        <v>5645413.863003171</v>
      </c>
      <c r="J14" s="413">
        <f t="shared" si="1"/>
        <v>3247125847.7483082</v>
      </c>
      <c r="L14" s="9">
        <v>3316999124</v>
      </c>
      <c r="M14" s="9">
        <v>49390775.700000003</v>
      </c>
      <c r="N14" s="9">
        <v>20482500.429999996</v>
      </c>
      <c r="O14" s="9">
        <f t="shared" si="2"/>
        <v>3247125847.8700004</v>
      </c>
      <c r="P14" s="9">
        <f t="shared" si="0"/>
        <v>-0.12169218063354492</v>
      </c>
      <c r="Q14" s="409"/>
      <c r="U14" s="2"/>
    </row>
    <row r="15" spans="1:21" hidden="1" x14ac:dyDescent="0.25">
      <c r="A15" s="22">
        <v>2012</v>
      </c>
      <c r="B15" s="5">
        <v>1103889962</v>
      </c>
      <c r="C15" s="5">
        <v>400003533</v>
      </c>
      <c r="D15" s="5">
        <v>1508216004.4635518</v>
      </c>
      <c r="E15" s="5">
        <v>39375740.065082341</v>
      </c>
      <c r="F15" s="5">
        <v>121512036.05529828</v>
      </c>
      <c r="G15" s="5">
        <v>23812742.866749927</v>
      </c>
      <c r="H15" s="5">
        <v>790064.34147180326</v>
      </c>
      <c r="I15" s="5">
        <v>5600414</v>
      </c>
      <c r="J15" s="9">
        <f t="shared" si="1"/>
        <v>3203200496.7921538</v>
      </c>
      <c r="L15" s="9">
        <v>3251924158</v>
      </c>
      <c r="M15" s="9">
        <v>43502915.400000006</v>
      </c>
      <c r="N15" s="9">
        <v>5220746.2299999995</v>
      </c>
      <c r="O15" s="9">
        <f t="shared" si="2"/>
        <v>3203200496.3699999</v>
      </c>
      <c r="P15" s="9">
        <f t="shared" si="0"/>
        <v>0.42215394973754883</v>
      </c>
      <c r="Q15" s="409"/>
    </row>
    <row r="16" spans="1:21" hidden="1" x14ac:dyDescent="0.25">
      <c r="A16" s="22">
        <v>2013</v>
      </c>
      <c r="B16" s="5">
        <v>1091107756.5</v>
      </c>
      <c r="C16" s="5">
        <v>400291647</v>
      </c>
      <c r="D16" s="5">
        <v>1485615093.2081921</v>
      </c>
      <c r="E16" s="5">
        <v>43072445.71870096</v>
      </c>
      <c r="F16" s="5">
        <v>121362030.52949455</v>
      </c>
      <c r="G16" s="5">
        <v>24330709.773275919</v>
      </c>
      <c r="H16" s="5">
        <v>772541.20886106091</v>
      </c>
      <c r="I16" s="5">
        <v>5630160</v>
      </c>
      <c r="J16" s="9">
        <f t="shared" si="1"/>
        <v>3172182383.9385242</v>
      </c>
      <c r="L16" s="16">
        <v>3212414982</v>
      </c>
      <c r="M16" s="16">
        <v>40232597.999999993</v>
      </c>
      <c r="N16" s="16"/>
      <c r="O16" s="9">
        <f t="shared" si="2"/>
        <v>3172182384</v>
      </c>
      <c r="P16" s="9">
        <f t="shared" si="0"/>
        <v>-6.1475753784179688E-2</v>
      </c>
      <c r="Q16" s="409"/>
      <c r="U16" s="2"/>
    </row>
    <row r="17" spans="1:21" hidden="1" x14ac:dyDescent="0.25">
      <c r="A17" s="23">
        <v>2014</v>
      </c>
      <c r="B17" s="5">
        <v>1096195854</v>
      </c>
      <c r="C17" s="5">
        <v>405335151</v>
      </c>
      <c r="D17" s="5">
        <v>1499515192.7853625</v>
      </c>
      <c r="E17" s="5">
        <v>36488426.400947116</v>
      </c>
      <c r="F17" s="5">
        <v>117379515.48242304</v>
      </c>
      <c r="G17" s="5">
        <v>24496241.429951698</v>
      </c>
      <c r="H17" s="5">
        <v>738784.97801932355</v>
      </c>
      <c r="I17" s="5">
        <v>5568049</v>
      </c>
      <c r="J17" s="9">
        <f t="shared" si="1"/>
        <v>3185717215.0767031</v>
      </c>
      <c r="L17" s="16">
        <v>3224235609</v>
      </c>
      <c r="M17" s="16">
        <v>38518395.300000004</v>
      </c>
      <c r="N17" s="16"/>
      <c r="O17" s="9">
        <f t="shared" si="2"/>
        <v>3185717213.6999998</v>
      </c>
      <c r="P17" s="9">
        <f t="shared" si="0"/>
        <v>1.3767032623291016</v>
      </c>
      <c r="Q17" s="409"/>
      <c r="U17" s="2"/>
    </row>
    <row r="18" spans="1:21" hidden="1" x14ac:dyDescent="0.25">
      <c r="A18" s="22">
        <v>2015</v>
      </c>
      <c r="B18" s="5">
        <v>1084665542.4000001</v>
      </c>
      <c r="C18" s="5">
        <v>399647917.89999998</v>
      </c>
      <c r="D18" s="5">
        <v>1484614973.0699999</v>
      </c>
      <c r="E18" s="5">
        <v>38831480.539999999</v>
      </c>
      <c r="F18" s="5">
        <v>111335381.79626675</v>
      </c>
      <c r="G18" s="5">
        <v>24640359.227053143</v>
      </c>
      <c r="H18" s="5">
        <v>738970.52</v>
      </c>
      <c r="I18" s="5">
        <v>5522827.9000000004</v>
      </c>
      <c r="J18" s="9">
        <f t="shared" si="1"/>
        <v>3149997453.3533196</v>
      </c>
      <c r="L18" s="16">
        <v>3157007301.5999999</v>
      </c>
      <c r="M18" s="16">
        <v>7009848.2999999989</v>
      </c>
      <c r="N18" s="16"/>
      <c r="O18" s="9">
        <f t="shared" si="2"/>
        <v>3149997453.2999997</v>
      </c>
      <c r="P18" s="16">
        <f t="shared" si="0"/>
        <v>5.3319931030273438E-2</v>
      </c>
    </row>
    <row r="19" spans="1:21" ht="18.75" hidden="1" x14ac:dyDescent="0.3">
      <c r="A19" s="311" t="s">
        <v>50</v>
      </c>
      <c r="B19" s="312"/>
      <c r="C19" s="312"/>
      <c r="D19" s="312"/>
      <c r="E19" s="312"/>
      <c r="F19" s="312"/>
      <c r="G19" s="312"/>
      <c r="H19" s="312"/>
      <c r="I19" s="312"/>
      <c r="J19" s="313"/>
    </row>
    <row r="20" spans="1:21" hidden="1" x14ac:dyDescent="0.25">
      <c r="A20" s="418">
        <v>2006</v>
      </c>
      <c r="B20" s="412">
        <f>IFERROR(ROUND(B9/'Rate Class Customer Model'!B9,0),0)</f>
        <v>8712</v>
      </c>
      <c r="C20" s="412">
        <f>IFERROR(ROUND(C9/'Rate Class Customer Model'!C9,0),0)</f>
        <v>34620</v>
      </c>
      <c r="D20" s="412">
        <f>IFERROR(ROUND(D9/'Rate Class Customer Model'!D9,0),0)</f>
        <v>1030070</v>
      </c>
      <c r="E20" s="412">
        <f>IFERROR(ROUND(E9/'Rate Class Customer Model'!E9,0),0)</f>
        <v>10013751</v>
      </c>
      <c r="F20" s="412">
        <f>IFERROR(ROUND(F9/'Rate Class Customer Model'!F9,0),0)</f>
        <v>108044054</v>
      </c>
      <c r="G20" s="412">
        <f>IFERROR(ROUND(G9/'Rate Class Customer Model'!G9,0),0)</f>
        <v>697</v>
      </c>
      <c r="H20" s="412">
        <f>IFERROR(ROUND(H9/'Rate Class Customer Model'!H9,0),0)</f>
        <v>1120</v>
      </c>
      <c r="I20" s="412">
        <f>IFERROR(ROUND(I9/'Rate Class Customer Model'!I9,0),0)</f>
        <v>3970</v>
      </c>
      <c r="J20" s="419"/>
    </row>
    <row r="21" spans="1:21" hidden="1" x14ac:dyDescent="0.25">
      <c r="A21" s="411">
        <v>2007</v>
      </c>
      <c r="B21" s="412">
        <f>IFERROR(ROUND(B10/'Rate Class Customer Model'!B10,0),0)</f>
        <v>8795</v>
      </c>
      <c r="C21" s="412">
        <f>IFERROR(ROUND(C10/'Rate Class Customer Model'!C10,0),0)</f>
        <v>35108</v>
      </c>
      <c r="D21" s="412">
        <f>IFERROR(ROUND(D10/'Rate Class Customer Model'!D10,0),0)</f>
        <v>1008733</v>
      </c>
      <c r="E21" s="412">
        <f>IFERROR(ROUND(E10/'Rate Class Customer Model'!E10,0),0)</f>
        <v>12404636</v>
      </c>
      <c r="F21" s="412">
        <f>IFERROR(ROUND(F10/'Rate Class Customer Model'!F10,0),0)</f>
        <v>115273670</v>
      </c>
      <c r="G21" s="412">
        <f>IFERROR(ROUND(G10/'Rate Class Customer Model'!G10,0),0)</f>
        <v>707</v>
      </c>
      <c r="H21" s="412">
        <f>IFERROR(ROUND(H10/'Rate Class Customer Model'!H10,0),0)</f>
        <v>1146</v>
      </c>
      <c r="I21" s="412">
        <f>IFERROR(ROUND(I10/'Rate Class Customer Model'!I10,0),0)</f>
        <v>3873</v>
      </c>
      <c r="J21" s="415"/>
    </row>
    <row r="22" spans="1:21" hidden="1" x14ac:dyDescent="0.25">
      <c r="A22" s="411">
        <v>2008</v>
      </c>
      <c r="B22" s="412">
        <f>IFERROR(ROUND(B11/'Rate Class Customer Model'!B11,0),0)</f>
        <v>8669</v>
      </c>
      <c r="C22" s="412">
        <f>IFERROR(ROUND(C11/'Rate Class Customer Model'!C11,0),0)</f>
        <v>34956</v>
      </c>
      <c r="D22" s="412">
        <f>IFERROR(ROUND(D11/'Rate Class Customer Model'!D11,0),0)</f>
        <v>970024</v>
      </c>
      <c r="E22" s="412">
        <f>IFERROR(ROUND(E11/'Rate Class Customer Model'!E11,0),0)</f>
        <v>13252068</v>
      </c>
      <c r="F22" s="412">
        <f>IFERROR(ROUND(F11/'Rate Class Customer Model'!F11,0),0)</f>
        <v>113396330</v>
      </c>
      <c r="G22" s="412">
        <f>IFERROR(ROUND(G11/'Rate Class Customer Model'!G11,0),0)</f>
        <v>704</v>
      </c>
      <c r="H22" s="412">
        <f>IFERROR(ROUND(H11/'Rate Class Customer Model'!H11,0),0)</f>
        <v>1147</v>
      </c>
      <c r="I22" s="412">
        <f>IFERROR(ROUND(I11/'Rate Class Customer Model'!I11,0),0)</f>
        <v>3839</v>
      </c>
      <c r="J22" s="415"/>
      <c r="L22" s="2"/>
    </row>
    <row r="23" spans="1:21" hidden="1" x14ac:dyDescent="0.25">
      <c r="A23" s="411">
        <v>2009</v>
      </c>
      <c r="B23" s="412">
        <f>IFERROR(ROUND(B12/'Rate Class Customer Model'!B12,0),0)</f>
        <v>8239</v>
      </c>
      <c r="C23" s="412">
        <f>IFERROR(ROUND(C12/'Rate Class Customer Model'!C12,0),0)</f>
        <v>33023</v>
      </c>
      <c r="D23" s="412">
        <f>IFERROR(ROUND(D12/'Rate Class Customer Model'!D12,0),0)</f>
        <v>896324</v>
      </c>
      <c r="E23" s="412">
        <f>IFERROR(ROUND(E12/'Rate Class Customer Model'!E12,0),0)</f>
        <v>14196962</v>
      </c>
      <c r="F23" s="412">
        <f>IFERROR(ROUND(F12/'Rate Class Customer Model'!F12,0),0)</f>
        <v>121341105</v>
      </c>
      <c r="G23" s="412">
        <f>IFERROR(ROUND(G12/'Rate Class Customer Model'!G12,0),0)</f>
        <v>702</v>
      </c>
      <c r="H23" s="412">
        <f>IFERROR(ROUND(H12/'Rate Class Customer Model'!H12,0),0)</f>
        <v>1133</v>
      </c>
      <c r="I23" s="412">
        <f>IFERROR(ROUND(I12/'Rate Class Customer Model'!I12,0),0)</f>
        <v>3673</v>
      </c>
      <c r="J23" s="415"/>
      <c r="L23" s="2"/>
    </row>
    <row r="24" spans="1:21" hidden="1" x14ac:dyDescent="0.25">
      <c r="A24" s="411">
        <v>2010</v>
      </c>
      <c r="B24" s="412">
        <f>IFERROR(ROUND(B13/'Rate Class Customer Model'!B13,0),0)</f>
        <v>8685</v>
      </c>
      <c r="C24" s="412">
        <f>IFERROR(ROUND(C13/'Rate Class Customer Model'!C13,0),0)</f>
        <v>34142</v>
      </c>
      <c r="D24" s="412">
        <f>IFERROR(ROUND(D13/'Rate Class Customer Model'!D13,0),0)</f>
        <v>957957</v>
      </c>
      <c r="E24" s="412">
        <f>IFERROR(ROUND(E13/'Rate Class Customer Model'!E13,0),0)</f>
        <v>15321739</v>
      </c>
      <c r="F24" s="412">
        <f>IFERROR(ROUND(F13/'Rate Class Customer Model'!F13,0),0)</f>
        <v>122601392</v>
      </c>
      <c r="G24" s="412">
        <f>IFERROR(ROUND(G13/'Rate Class Customer Model'!G13,0),0)</f>
        <v>700</v>
      </c>
      <c r="H24" s="412">
        <f>IFERROR(ROUND(H13/'Rate Class Customer Model'!H13,0),0)</f>
        <v>1141</v>
      </c>
      <c r="I24" s="412">
        <f>IFERROR(ROUND(I13/'Rate Class Customer Model'!I13,0),0)</f>
        <v>3677</v>
      </c>
      <c r="J24" s="415"/>
    </row>
    <row r="25" spans="1:21" hidden="1" x14ac:dyDescent="0.25">
      <c r="A25" s="411">
        <v>2011</v>
      </c>
      <c r="B25" s="412">
        <f>IFERROR(ROUND(B14/'Rate Class Customer Model'!B14,0),0)</f>
        <v>8414</v>
      </c>
      <c r="C25" s="412">
        <f>IFERROR(ROUND(C14/'Rate Class Customer Model'!C14,0),0)</f>
        <v>34241</v>
      </c>
      <c r="D25" s="412">
        <f>IFERROR(ROUND(D14/'Rate Class Customer Model'!D14,0),0)</f>
        <v>940518</v>
      </c>
      <c r="E25" s="412">
        <f>IFERROR(ROUND(E14/'Rate Class Customer Model'!E14,0),0)</f>
        <v>12639556</v>
      </c>
      <c r="F25" s="412">
        <f>IFERROR(ROUND(F14/'Rate Class Customer Model'!F14,0),0)</f>
        <v>123286320</v>
      </c>
      <c r="G25" s="412">
        <f>IFERROR(ROUND(G14/'Rate Class Customer Model'!G14,0),0)</f>
        <v>694</v>
      </c>
      <c r="H25" s="412">
        <f>IFERROR(ROUND(H14/'Rate Class Customer Model'!H14,0),0)</f>
        <v>1133</v>
      </c>
      <c r="I25" s="412">
        <f>IFERROR(ROUND(I14/'Rate Class Customer Model'!I14,0),0)</f>
        <v>3774</v>
      </c>
      <c r="J25" s="415"/>
    </row>
    <row r="26" spans="1:21" hidden="1" x14ac:dyDescent="0.25">
      <c r="A26" s="22">
        <v>2012</v>
      </c>
      <c r="B26" s="5">
        <f>IFERROR(ROUND(B15/'Rate Class Customer Model'!B15,0),0)</f>
        <v>8158</v>
      </c>
      <c r="C26" s="5">
        <f>IFERROR(ROUND(C15/'Rate Class Customer Model'!C15,0),0)</f>
        <v>33303</v>
      </c>
      <c r="D26" s="5">
        <f>IFERROR(ROUND(D15/'Rate Class Customer Model'!D15,0),0)</f>
        <v>926992</v>
      </c>
      <c r="E26" s="5">
        <f>IFERROR(ROUND(E15/'Rate Class Customer Model'!E15,0),0)</f>
        <v>13125247</v>
      </c>
      <c r="F26" s="5">
        <f>IFERROR(ROUND(F15/'Rate Class Customer Model'!F15,0),0)</f>
        <v>121512036</v>
      </c>
      <c r="G26" s="5">
        <f>IFERROR(ROUND(G15/'Rate Class Customer Model'!G15,0),0)</f>
        <v>692</v>
      </c>
      <c r="H26" s="5">
        <f>IFERROR(ROUND(H15/'Rate Class Customer Model'!H15,0),0)</f>
        <v>1134</v>
      </c>
      <c r="I26" s="5">
        <f>IFERROR(ROUND(I15/'Rate Class Customer Model'!I15,0),0)</f>
        <v>3726</v>
      </c>
      <c r="J26" s="16"/>
    </row>
    <row r="27" spans="1:21" hidden="1" x14ac:dyDescent="0.25">
      <c r="A27" s="22">
        <v>2013</v>
      </c>
      <c r="B27" s="5">
        <f>IFERROR(ROUND(B16/'Rate Class Customer Model'!B16,0),0)</f>
        <v>7991</v>
      </c>
      <c r="C27" s="5">
        <f>IFERROR(ROUND(C16/'Rate Class Customer Model'!C16,0),0)</f>
        <v>33087</v>
      </c>
      <c r="D27" s="5">
        <f>IFERROR(ROUND(D16/'Rate Class Customer Model'!D16,0),0)</f>
        <v>919886</v>
      </c>
      <c r="E27" s="5">
        <f>IFERROR(ROUND(E16/'Rate Class Customer Model'!E16,0),0)</f>
        <v>14357482</v>
      </c>
      <c r="F27" s="5">
        <f>IFERROR(ROUND(F16/'Rate Class Customer Model'!F16,0),0)</f>
        <v>121362031</v>
      </c>
      <c r="G27" s="5">
        <f>IFERROR(ROUND(G16/'Rate Class Customer Model'!G16,0),0)</f>
        <v>698</v>
      </c>
      <c r="H27" s="5">
        <f>IFERROR(ROUND(H16/'Rate Class Customer Model'!H16,0),0)</f>
        <v>1135</v>
      </c>
      <c r="I27" s="5">
        <f>IFERROR(ROUND(I16/'Rate Class Customer Model'!I16,0),0)</f>
        <v>3734</v>
      </c>
      <c r="J27" s="16"/>
    </row>
    <row r="28" spans="1:21" hidden="1" x14ac:dyDescent="0.25">
      <c r="A28" s="22">
        <v>2014</v>
      </c>
      <c r="B28" s="5">
        <f>IFERROR(ROUND(B17/'Rate Class Customer Model'!B17,0),0)</f>
        <v>7953</v>
      </c>
      <c r="C28" s="5">
        <f>IFERROR(ROUND(C17/'Rate Class Customer Model'!C17,0),0)</f>
        <v>33108</v>
      </c>
      <c r="D28" s="5">
        <f>IFERROR(ROUND(D17/'Rate Class Customer Model'!D17,0),0)</f>
        <v>937490</v>
      </c>
      <c r="E28" s="5">
        <f>IFERROR(ROUND(E17/'Rate Class Customer Model'!E17,0),0)</f>
        <v>10425265</v>
      </c>
      <c r="F28" s="5">
        <f>IFERROR(ROUND(F17/'Rate Class Customer Model'!F17,0),0)</f>
        <v>117379515</v>
      </c>
      <c r="G28" s="5">
        <f>IFERROR(ROUND(G17/'Rate Class Customer Model'!G17,0),0)</f>
        <v>698</v>
      </c>
      <c r="H28" s="5">
        <f>IFERROR(ROUND(H17/'Rate Class Customer Model'!H17,0),0)</f>
        <v>1109</v>
      </c>
      <c r="I28" s="5">
        <f>IFERROR(ROUND(I17/'Rate Class Customer Model'!I17,0),0)</f>
        <v>3663</v>
      </c>
      <c r="J28" s="16"/>
    </row>
    <row r="29" spans="1:21" hidden="1" x14ac:dyDescent="0.25">
      <c r="A29" s="22">
        <v>2015</v>
      </c>
      <c r="B29" s="5">
        <f>IFERROR(ROUND(B18/'Rate Class Customer Model'!B18,0),0)</f>
        <v>7791</v>
      </c>
      <c r="C29" s="5">
        <f>IFERROR(ROUND(C18/'Rate Class Customer Model'!C18,0),0)</f>
        <v>32072</v>
      </c>
      <c r="D29" s="5">
        <f>IFERROR(ROUND(D18/'Rate Class Customer Model'!D18,0),0)</f>
        <v>940821</v>
      </c>
      <c r="E29" s="5">
        <f>IFERROR(ROUND(E18/'Rate Class Customer Model'!E18,0),0)</f>
        <v>9707870</v>
      </c>
      <c r="F29" s="5">
        <f>IFERROR(ROUND(F18/'Rate Class Customer Model'!F18,0),0)</f>
        <v>111335382</v>
      </c>
      <c r="G29" s="5">
        <f>IFERROR(ROUND(G18/'Rate Class Customer Model'!G18,0),0)</f>
        <v>697</v>
      </c>
      <c r="H29" s="5">
        <f>IFERROR(ROUND(H18/'Rate Class Customer Model'!H18,0),0)</f>
        <v>1144</v>
      </c>
      <c r="I29" s="5">
        <f>IFERROR(ROUND(I18/'Rate Class Customer Model'!I18,0),0)</f>
        <v>3622</v>
      </c>
      <c r="J29" s="18"/>
    </row>
    <row r="30" spans="1:21" ht="18.75" hidden="1" x14ac:dyDescent="0.3">
      <c r="A30" s="311" t="s">
        <v>49</v>
      </c>
      <c r="B30" s="312"/>
      <c r="C30" s="312"/>
      <c r="D30" s="312"/>
      <c r="E30" s="312"/>
      <c r="F30" s="312"/>
      <c r="G30" s="312"/>
      <c r="H30" s="312"/>
      <c r="I30" s="312"/>
      <c r="J30" s="313"/>
    </row>
    <row r="31" spans="1:21" hidden="1" x14ac:dyDescent="0.25">
      <c r="A31" s="418">
        <v>2006</v>
      </c>
      <c r="B31" s="420">
        <v>0</v>
      </c>
      <c r="C31" s="420">
        <v>0</v>
      </c>
      <c r="D31" s="420">
        <v>0</v>
      </c>
      <c r="E31" s="420">
        <v>0</v>
      </c>
      <c r="F31" s="420">
        <v>0</v>
      </c>
      <c r="G31" s="420">
        <v>0</v>
      </c>
      <c r="H31" s="420">
        <v>0</v>
      </c>
      <c r="I31" s="420">
        <v>0</v>
      </c>
      <c r="J31" s="421"/>
    </row>
    <row r="32" spans="1:21" hidden="1" x14ac:dyDescent="0.25">
      <c r="A32" s="411">
        <v>2007</v>
      </c>
      <c r="B32" s="422">
        <f>IFERROR(ROUND(B21/B20,4),0)</f>
        <v>1.0095000000000001</v>
      </c>
      <c r="C32" s="422">
        <f t="shared" ref="C32:I32" si="3">IFERROR(ROUND(C21/C20,4),0)</f>
        <v>1.0141</v>
      </c>
      <c r="D32" s="422">
        <f t="shared" si="3"/>
        <v>0.97929999999999995</v>
      </c>
      <c r="E32" s="422">
        <f t="shared" si="3"/>
        <v>1.2387999999999999</v>
      </c>
      <c r="F32" s="422">
        <f>IFERROR(ROUND(F21/F20,4),0)</f>
        <v>1.0669</v>
      </c>
      <c r="G32" s="422">
        <f t="shared" si="3"/>
        <v>1.0143</v>
      </c>
      <c r="H32" s="422">
        <f t="shared" si="3"/>
        <v>1.0232000000000001</v>
      </c>
      <c r="I32" s="422">
        <f t="shared" si="3"/>
        <v>0.97560000000000002</v>
      </c>
      <c r="J32" s="414"/>
    </row>
    <row r="33" spans="1:12" hidden="1" x14ac:dyDescent="0.25">
      <c r="A33" s="411">
        <v>2008</v>
      </c>
      <c r="B33" s="422">
        <f t="shared" ref="B33:I33" si="4">IFERROR(ROUND(B22/B21,4),0)</f>
        <v>0.98570000000000002</v>
      </c>
      <c r="C33" s="422">
        <f t="shared" si="4"/>
        <v>0.99570000000000003</v>
      </c>
      <c r="D33" s="422">
        <f t="shared" si="4"/>
        <v>0.96160000000000001</v>
      </c>
      <c r="E33" s="422">
        <f t="shared" si="4"/>
        <v>1.0683</v>
      </c>
      <c r="F33" s="422">
        <f t="shared" si="4"/>
        <v>0.98370000000000002</v>
      </c>
      <c r="G33" s="422">
        <f t="shared" si="4"/>
        <v>0.99580000000000002</v>
      </c>
      <c r="H33" s="422">
        <f t="shared" si="4"/>
        <v>1.0008999999999999</v>
      </c>
      <c r="I33" s="422">
        <f t="shared" si="4"/>
        <v>0.99119999999999997</v>
      </c>
      <c r="J33" s="414"/>
    </row>
    <row r="34" spans="1:12" hidden="1" x14ac:dyDescent="0.25">
      <c r="A34" s="411">
        <v>2009</v>
      </c>
      <c r="B34" s="422">
        <f t="shared" ref="B34:I34" si="5">IFERROR(ROUND(B23/B22,4),0)</f>
        <v>0.95040000000000002</v>
      </c>
      <c r="C34" s="422">
        <f t="shared" si="5"/>
        <v>0.94469999999999998</v>
      </c>
      <c r="D34" s="422">
        <f t="shared" si="5"/>
        <v>0.92400000000000004</v>
      </c>
      <c r="E34" s="422">
        <f t="shared" si="5"/>
        <v>1.0712999999999999</v>
      </c>
      <c r="F34" s="422">
        <f t="shared" si="5"/>
        <v>1.0701000000000001</v>
      </c>
      <c r="G34" s="422">
        <f t="shared" si="5"/>
        <v>0.99719999999999998</v>
      </c>
      <c r="H34" s="422">
        <f t="shared" si="5"/>
        <v>0.98780000000000001</v>
      </c>
      <c r="I34" s="422">
        <f t="shared" si="5"/>
        <v>0.95679999999999998</v>
      </c>
      <c r="J34" s="414"/>
    </row>
    <row r="35" spans="1:12" hidden="1" x14ac:dyDescent="0.25">
      <c r="A35" s="411">
        <v>2010</v>
      </c>
      <c r="B35" s="422">
        <f t="shared" ref="B35:I35" si="6">IFERROR(ROUND(B24/B23,4),0)</f>
        <v>1.0541</v>
      </c>
      <c r="C35" s="422">
        <f t="shared" si="6"/>
        <v>1.0339</v>
      </c>
      <c r="D35" s="422">
        <f t="shared" si="6"/>
        <v>1.0688</v>
      </c>
      <c r="E35" s="422">
        <f t="shared" si="6"/>
        <v>1.0791999999999999</v>
      </c>
      <c r="F35" s="422">
        <f t="shared" si="6"/>
        <v>1.0104</v>
      </c>
      <c r="G35" s="422">
        <f t="shared" si="6"/>
        <v>0.99719999999999998</v>
      </c>
      <c r="H35" s="422">
        <f t="shared" si="6"/>
        <v>1.0071000000000001</v>
      </c>
      <c r="I35" s="422">
        <f t="shared" si="6"/>
        <v>1.0011000000000001</v>
      </c>
      <c r="J35" s="414"/>
    </row>
    <row r="36" spans="1:12" hidden="1" x14ac:dyDescent="0.25">
      <c r="A36" s="411">
        <v>2011</v>
      </c>
      <c r="B36" s="422">
        <f t="shared" ref="B36:I36" si="7">IFERROR(ROUND(B25/B24,4),0)</f>
        <v>0.96879999999999999</v>
      </c>
      <c r="C36" s="422">
        <f t="shared" si="7"/>
        <v>1.0028999999999999</v>
      </c>
      <c r="D36" s="422">
        <f t="shared" si="7"/>
        <v>0.98180000000000001</v>
      </c>
      <c r="E36" s="422">
        <f t="shared" si="7"/>
        <v>0.82489999999999997</v>
      </c>
      <c r="F36" s="422">
        <f t="shared" si="7"/>
        <v>1.0056</v>
      </c>
      <c r="G36" s="422">
        <f t="shared" si="7"/>
        <v>0.99139999999999995</v>
      </c>
      <c r="H36" s="422">
        <f t="shared" si="7"/>
        <v>0.99299999999999999</v>
      </c>
      <c r="I36" s="422">
        <f t="shared" si="7"/>
        <v>1.0264</v>
      </c>
      <c r="J36" s="414"/>
    </row>
    <row r="37" spans="1:12" hidden="1" x14ac:dyDescent="0.25">
      <c r="A37" s="68">
        <v>2012</v>
      </c>
      <c r="B37" s="70">
        <f t="shared" ref="B37:I37" si="8">IFERROR(ROUND(B26/B25,4),0)</f>
        <v>0.96960000000000002</v>
      </c>
      <c r="C37" s="70">
        <f t="shared" si="8"/>
        <v>0.97260000000000002</v>
      </c>
      <c r="D37" s="70">
        <f t="shared" si="8"/>
        <v>0.98560000000000003</v>
      </c>
      <c r="E37" s="70">
        <f t="shared" si="8"/>
        <v>1.0384</v>
      </c>
      <c r="F37" s="70">
        <f t="shared" si="8"/>
        <v>0.98560000000000003</v>
      </c>
      <c r="G37" s="70">
        <f t="shared" si="8"/>
        <v>0.99709999999999999</v>
      </c>
      <c r="H37" s="70">
        <f t="shared" si="8"/>
        <v>1.0008999999999999</v>
      </c>
      <c r="I37" s="70">
        <f t="shared" si="8"/>
        <v>0.98729999999999996</v>
      </c>
      <c r="J37" s="10"/>
      <c r="L37" s="2"/>
    </row>
    <row r="38" spans="1:12" hidden="1" x14ac:dyDescent="0.25">
      <c r="A38" s="68">
        <v>2013</v>
      </c>
      <c r="B38" s="70">
        <f t="shared" ref="B38:I38" si="9">IFERROR(ROUND(B27/B26,4),0)</f>
        <v>0.97950000000000004</v>
      </c>
      <c r="C38" s="70">
        <f t="shared" si="9"/>
        <v>0.99350000000000005</v>
      </c>
      <c r="D38" s="70">
        <f t="shared" si="9"/>
        <v>0.99229999999999996</v>
      </c>
      <c r="E38" s="70">
        <f t="shared" si="9"/>
        <v>1.0939000000000001</v>
      </c>
      <c r="F38" s="70">
        <f t="shared" si="9"/>
        <v>0.99880000000000002</v>
      </c>
      <c r="G38" s="70">
        <f t="shared" si="9"/>
        <v>1.0086999999999999</v>
      </c>
      <c r="H38" s="70">
        <f t="shared" si="9"/>
        <v>1.0008999999999999</v>
      </c>
      <c r="I38" s="70">
        <f t="shared" si="9"/>
        <v>1.0021</v>
      </c>
      <c r="J38" s="10"/>
      <c r="L38" s="2"/>
    </row>
    <row r="39" spans="1:12" hidden="1" x14ac:dyDescent="0.25">
      <c r="A39" s="68">
        <v>2014</v>
      </c>
      <c r="B39" s="70">
        <f t="shared" ref="B39:I39" si="10">IFERROR(ROUND(B28/B27,4),0)</f>
        <v>0.99519999999999997</v>
      </c>
      <c r="C39" s="70">
        <f t="shared" si="10"/>
        <v>1.0005999999999999</v>
      </c>
      <c r="D39" s="70">
        <f t="shared" si="10"/>
        <v>1.0190999999999999</v>
      </c>
      <c r="E39" s="70">
        <f t="shared" si="10"/>
        <v>0.72609999999999997</v>
      </c>
      <c r="F39" s="70">
        <f t="shared" si="10"/>
        <v>0.96719999999999995</v>
      </c>
      <c r="G39" s="70">
        <f t="shared" si="10"/>
        <v>1</v>
      </c>
      <c r="H39" s="70">
        <f t="shared" si="10"/>
        <v>0.97709999999999997</v>
      </c>
      <c r="I39" s="70">
        <f t="shared" si="10"/>
        <v>0.98099999999999998</v>
      </c>
      <c r="J39" s="19"/>
      <c r="L39" s="2"/>
    </row>
    <row r="40" spans="1:12" hidden="1" x14ac:dyDescent="0.25">
      <c r="A40" s="68">
        <v>2015</v>
      </c>
      <c r="B40" s="70">
        <f t="shared" ref="B40:I40" si="11">IFERROR(ROUND(B29/B28,4),0)</f>
        <v>0.97960000000000003</v>
      </c>
      <c r="C40" s="70">
        <f t="shared" si="11"/>
        <v>0.96870000000000001</v>
      </c>
      <c r="D40" s="70">
        <f t="shared" si="11"/>
        <v>1.0036</v>
      </c>
      <c r="E40" s="70">
        <f t="shared" si="11"/>
        <v>0.93120000000000003</v>
      </c>
      <c r="F40" s="70">
        <f t="shared" si="11"/>
        <v>0.94850000000000001</v>
      </c>
      <c r="G40" s="70">
        <f t="shared" si="11"/>
        <v>0.99860000000000004</v>
      </c>
      <c r="H40" s="70">
        <f t="shared" si="11"/>
        <v>1.0316000000000001</v>
      </c>
      <c r="I40" s="70">
        <f t="shared" si="11"/>
        <v>0.98880000000000001</v>
      </c>
      <c r="J40" s="19"/>
      <c r="L40" s="2"/>
    </row>
    <row r="41" spans="1:12" hidden="1" x14ac:dyDescent="0.25">
      <c r="A41" s="230" t="s">
        <v>242</v>
      </c>
      <c r="B41" s="94">
        <f>GEOMEAN(B37:B40)</f>
        <v>0.98093232841732614</v>
      </c>
      <c r="C41" s="94">
        <f t="shared" ref="C41:I41" si="12">GEOMEAN(C37:C40)</f>
        <v>0.98375733548749245</v>
      </c>
      <c r="D41" s="94">
        <f t="shared" si="12"/>
        <v>1.0000697364559281</v>
      </c>
      <c r="E41" s="94">
        <f t="shared" si="12"/>
        <v>0.93614996729239364</v>
      </c>
      <c r="F41" s="94">
        <f t="shared" si="12"/>
        <v>0.97483971241998635</v>
      </c>
      <c r="G41" s="94">
        <f t="shared" si="12"/>
        <v>1.0010898882509172</v>
      </c>
      <c r="H41" s="94">
        <f t="shared" si="12"/>
        <v>1.0024389462720185</v>
      </c>
      <c r="I41" s="94">
        <f t="shared" si="12"/>
        <v>0.98977029602295941</v>
      </c>
      <c r="J41" s="61"/>
    </row>
    <row r="42" spans="1:12" ht="18.75" hidden="1" x14ac:dyDescent="0.3">
      <c r="A42" s="311" t="s">
        <v>51</v>
      </c>
      <c r="B42" s="312"/>
      <c r="C42" s="312"/>
      <c r="D42" s="312"/>
      <c r="E42" s="312"/>
      <c r="F42" s="312"/>
      <c r="G42" s="312"/>
      <c r="H42" s="312"/>
      <c r="I42" s="312"/>
      <c r="J42" s="313"/>
    </row>
    <row r="43" spans="1:12" hidden="1" x14ac:dyDescent="0.25">
      <c r="A43" s="83">
        <v>2016</v>
      </c>
      <c r="B43" s="40">
        <f>ROUND(B29*B41,0)</f>
        <v>7642</v>
      </c>
      <c r="C43" s="40">
        <f t="shared" ref="C43:I43" si="13">ROUND(C29*C41,0)</f>
        <v>31551</v>
      </c>
      <c r="D43" s="40">
        <f t="shared" si="13"/>
        <v>940887</v>
      </c>
      <c r="E43" s="40">
        <f t="shared" si="13"/>
        <v>9088022</v>
      </c>
      <c r="F43" s="40">
        <f t="shared" si="13"/>
        <v>108534152</v>
      </c>
      <c r="G43" s="40">
        <f t="shared" si="13"/>
        <v>698</v>
      </c>
      <c r="H43" s="40">
        <f t="shared" si="13"/>
        <v>1147</v>
      </c>
      <c r="I43" s="40">
        <f t="shared" si="13"/>
        <v>3585</v>
      </c>
      <c r="J43" s="95"/>
    </row>
    <row r="44" spans="1:12" hidden="1" x14ac:dyDescent="0.25">
      <c r="A44" s="23">
        <v>2017</v>
      </c>
      <c r="B44" s="20">
        <f>ROUND(B43*B41,0)</f>
        <v>7496</v>
      </c>
      <c r="C44" s="20">
        <f t="shared" ref="C44:I44" si="14">ROUND(C43*C41,0)</f>
        <v>31039</v>
      </c>
      <c r="D44" s="20">
        <f t="shared" si="14"/>
        <v>940953</v>
      </c>
      <c r="E44" s="20">
        <f t="shared" si="14"/>
        <v>8507751</v>
      </c>
      <c r="F44" s="20">
        <f>ROUND(F43*F41,0)</f>
        <v>105803402</v>
      </c>
      <c r="G44" s="20">
        <f t="shared" si="14"/>
        <v>699</v>
      </c>
      <c r="H44" s="20">
        <f t="shared" si="14"/>
        <v>1150</v>
      </c>
      <c r="I44" s="20">
        <f t="shared" si="14"/>
        <v>3548</v>
      </c>
      <c r="J44" s="21"/>
    </row>
    <row r="45" spans="1:12" ht="18.75" hidden="1" x14ac:dyDescent="0.3">
      <c r="A45" s="311" t="s">
        <v>52</v>
      </c>
      <c r="B45" s="312"/>
      <c r="C45" s="312"/>
      <c r="D45" s="312"/>
      <c r="E45" s="312"/>
      <c r="F45" s="312"/>
      <c r="G45" s="312"/>
      <c r="H45" s="312"/>
      <c r="I45" s="312"/>
      <c r="J45" s="313"/>
    </row>
    <row r="46" spans="1:12" hidden="1" x14ac:dyDescent="0.25">
      <c r="A46" s="83">
        <v>2016</v>
      </c>
      <c r="B46" s="49">
        <f>B43*'Rate Class Customer Model'!B47</f>
        <v>1074885510</v>
      </c>
      <c r="C46" s="49">
        <f>C43*'Rate Class Customer Model'!C47</f>
        <v>396375213</v>
      </c>
      <c r="D46" s="49">
        <f>D43*'Rate Class Customer Model'!D47</f>
        <v>1469665494</v>
      </c>
      <c r="E46" s="49">
        <f>E43*'Rate Class Customer Model'!E47</f>
        <v>36352088</v>
      </c>
      <c r="F46" s="49">
        <f>F43*'Rate Class Customer Model'!F47</f>
        <v>108534152</v>
      </c>
      <c r="G46" s="49">
        <f>G43*'Rate Class Customer Model'!G47</f>
        <v>24926976</v>
      </c>
      <c r="H46" s="49">
        <f>H43*'Rate Class Customer Model'!H47</f>
        <v>714581</v>
      </c>
      <c r="I46" s="49">
        <f>I43*'Rate Class Customer Model'!I47</f>
        <v>5452785</v>
      </c>
      <c r="J46" s="50">
        <f>SUM(B46:I46)</f>
        <v>3116906799</v>
      </c>
    </row>
    <row r="47" spans="1:12" hidden="1" x14ac:dyDescent="0.25">
      <c r="A47" s="23">
        <v>2017</v>
      </c>
      <c r="B47" s="38">
        <f>B44*'Rate Class Customer Model'!B48</f>
        <v>1064364536</v>
      </c>
      <c r="C47" s="38">
        <f>C44*'Rate Class Customer Model'!C48</f>
        <v>394102183</v>
      </c>
      <c r="D47" s="38">
        <f>D44*'Rate Class Customer Model'!D48</f>
        <v>1460359056</v>
      </c>
      <c r="E47" s="38">
        <f>E44*'Rate Class Customer Model'!E48</f>
        <v>34031004</v>
      </c>
      <c r="F47" s="38">
        <f>F44*'Rate Class Customer Model'!F48</f>
        <v>105803402</v>
      </c>
      <c r="G47" s="38">
        <f>G44*'Rate Class Customer Model'!G48</f>
        <v>25197552</v>
      </c>
      <c r="H47" s="38">
        <f>H44*'Rate Class Customer Model'!H48</f>
        <v>696900</v>
      </c>
      <c r="I47" s="38">
        <f>I44*'Rate Class Customer Model'!I48</f>
        <v>5414248</v>
      </c>
      <c r="J47" s="39">
        <f>SUM(B47:I47)</f>
        <v>3089968881</v>
      </c>
    </row>
    <row r="48" spans="1:12" ht="18.75" hidden="1" x14ac:dyDescent="0.3">
      <c r="A48" s="311" t="s">
        <v>69</v>
      </c>
      <c r="B48" s="312"/>
      <c r="C48" s="312"/>
      <c r="D48" s="312"/>
      <c r="E48" s="312"/>
      <c r="F48" s="312"/>
      <c r="G48" s="312"/>
      <c r="H48" s="312"/>
      <c r="I48" s="312"/>
      <c r="J48" s="313"/>
    </row>
    <row r="49" spans="1:15" hidden="1" x14ac:dyDescent="0.25">
      <c r="A49" s="231" t="s">
        <v>70</v>
      </c>
      <c r="B49" s="232">
        <v>1</v>
      </c>
      <c r="C49" s="232">
        <v>1</v>
      </c>
      <c r="D49" s="233">
        <v>0.76459999999999995</v>
      </c>
      <c r="E49" s="232">
        <v>0.48909999999999998</v>
      </c>
      <c r="F49" s="232">
        <v>0.44429999999999997</v>
      </c>
      <c r="G49" s="232"/>
      <c r="H49" s="232"/>
      <c r="I49" s="232"/>
      <c r="J49" s="234"/>
    </row>
    <row r="50" spans="1:15" s="28" customFormat="1" hidden="1" x14ac:dyDescent="0.25">
      <c r="A50" s="83">
        <v>2016</v>
      </c>
      <c r="B50" s="5">
        <f>B49*B46</f>
        <v>1074885510</v>
      </c>
      <c r="C50" s="5">
        <f t="shared" ref="C50:I50" si="15">C49*C46</f>
        <v>396375213</v>
      </c>
      <c r="D50" s="5">
        <f t="shared" si="15"/>
        <v>1123706236.7124</v>
      </c>
      <c r="E50" s="5">
        <f t="shared" si="15"/>
        <v>17779806.240800001</v>
      </c>
      <c r="F50" s="5">
        <f>F49*F46</f>
        <v>48221723.733599998</v>
      </c>
      <c r="G50" s="5">
        <f t="shared" si="15"/>
        <v>0</v>
      </c>
      <c r="H50" s="5">
        <f t="shared" si="15"/>
        <v>0</v>
      </c>
      <c r="I50" s="5">
        <f t="shared" si="15"/>
        <v>0</v>
      </c>
      <c r="J50" s="16">
        <f>SUM(B50:I50)</f>
        <v>2660968489.6868</v>
      </c>
      <c r="K50" s="361"/>
      <c r="L50" s="361"/>
      <c r="M50"/>
      <c r="N50"/>
    </row>
    <row r="51" spans="1:15" hidden="1" x14ac:dyDescent="0.25">
      <c r="A51" s="23">
        <v>2017</v>
      </c>
      <c r="B51" s="17">
        <f t="shared" ref="B51:I51" si="16">B47*B49</f>
        <v>1064364536</v>
      </c>
      <c r="C51" s="17">
        <f t="shared" si="16"/>
        <v>394102183</v>
      </c>
      <c r="D51" s="17">
        <f t="shared" si="16"/>
        <v>1116590534.2175999</v>
      </c>
      <c r="E51" s="17">
        <f t="shared" si="16"/>
        <v>16644564.056399999</v>
      </c>
      <c r="F51" s="17">
        <f>F47*F49</f>
        <v>47008451.508599997</v>
      </c>
      <c r="G51" s="17">
        <f t="shared" si="16"/>
        <v>0</v>
      </c>
      <c r="H51" s="17">
        <f t="shared" si="16"/>
        <v>0</v>
      </c>
      <c r="I51" s="17">
        <f t="shared" si="16"/>
        <v>0</v>
      </c>
      <c r="J51" s="18">
        <f>SUM(B51:I51)</f>
        <v>2638710268.7825994</v>
      </c>
      <c r="K51" s="2"/>
      <c r="L51" s="2"/>
    </row>
    <row r="52" spans="1:15" ht="18.75" hidden="1" x14ac:dyDescent="0.3">
      <c r="A52" s="311" t="s">
        <v>72</v>
      </c>
      <c r="B52" s="312"/>
      <c r="C52" s="312"/>
      <c r="D52" s="312"/>
      <c r="E52" s="312"/>
      <c r="F52" s="312"/>
      <c r="G52" s="312"/>
      <c r="H52" s="312"/>
      <c r="I52" s="312"/>
      <c r="J52" s="313"/>
    </row>
    <row r="53" spans="1:15" hidden="1" x14ac:dyDescent="0.25">
      <c r="A53" s="235" t="s">
        <v>71</v>
      </c>
      <c r="B53" s="97">
        <f t="shared" ref="B53:I53" si="17">B50/$J$50</f>
        <v>0.40394522301408975</v>
      </c>
      <c r="C53" s="97">
        <f t="shared" si="17"/>
        <v>0.14895900291049818</v>
      </c>
      <c r="D53" s="97">
        <f t="shared" si="17"/>
        <v>0.42229219965121118</v>
      </c>
      <c r="E53" s="97">
        <f t="shared" si="17"/>
        <v>6.6817049167285369E-3</v>
      </c>
      <c r="F53" s="97">
        <f t="shared" si="17"/>
        <v>1.8121869507472358E-2</v>
      </c>
      <c r="G53" s="97">
        <f t="shared" si="17"/>
        <v>0</v>
      </c>
      <c r="H53" s="97">
        <f t="shared" si="17"/>
        <v>0</v>
      </c>
      <c r="I53" s="97">
        <f t="shared" si="17"/>
        <v>0</v>
      </c>
      <c r="J53" s="98">
        <f>SUM(B53:I53)</f>
        <v>1</v>
      </c>
    </row>
    <row r="54" spans="1:15" hidden="1" x14ac:dyDescent="0.25">
      <c r="A54" s="423">
        <v>2016</v>
      </c>
      <c r="B54" s="5">
        <f t="shared" ref="B54:I54" si="18">B53*$J54</f>
        <v>30096257.844073541</v>
      </c>
      <c r="C54" s="5">
        <f t="shared" si="18"/>
        <v>11098308.147671998</v>
      </c>
      <c r="D54" s="5">
        <f t="shared" si="18"/>
        <v>31463213.827387001</v>
      </c>
      <c r="E54" s="5">
        <f t="shared" si="18"/>
        <v>497825.70149334765</v>
      </c>
      <c r="F54" s="5">
        <f t="shared" si="18"/>
        <v>1350184.1988474717</v>
      </c>
      <c r="G54" s="5">
        <f t="shared" si="18"/>
        <v>0</v>
      </c>
      <c r="H54" s="5">
        <f t="shared" si="18"/>
        <v>0</v>
      </c>
      <c r="I54" s="5">
        <f t="shared" si="18"/>
        <v>0</v>
      </c>
      <c r="J54" s="9">
        <f>'Forecast Accuracy'!I19-'Rate Class Energy Model'!J46</f>
        <v>74505789.719473362</v>
      </c>
    </row>
    <row r="55" spans="1:15" hidden="1" x14ac:dyDescent="0.25">
      <c r="A55" s="424" t="s">
        <v>71</v>
      </c>
      <c r="B55" s="29">
        <f t="shared" ref="B55:I55" si="19">B51/$J$51</f>
        <v>0.40336544280439601</v>
      </c>
      <c r="C55" s="29">
        <f t="shared" si="19"/>
        <v>0.14935409455992443</v>
      </c>
      <c r="D55" s="29">
        <f t="shared" si="19"/>
        <v>0.42315768708201235</v>
      </c>
      <c r="E55" s="29">
        <f t="shared" si="19"/>
        <v>6.3078407104085622E-3</v>
      </c>
      <c r="F55" s="29">
        <f t="shared" si="19"/>
        <v>1.7814934843258828E-2</v>
      </c>
      <c r="G55" s="29">
        <f t="shared" si="19"/>
        <v>0</v>
      </c>
      <c r="H55" s="29">
        <f t="shared" si="19"/>
        <v>0</v>
      </c>
      <c r="I55" s="29">
        <f t="shared" si="19"/>
        <v>0</v>
      </c>
      <c r="J55" s="89">
        <f>SUM(B55:I55)</f>
        <v>1.0000000000000002</v>
      </c>
    </row>
    <row r="56" spans="1:15" hidden="1" x14ac:dyDescent="0.25">
      <c r="A56" s="425">
        <v>2017</v>
      </c>
      <c r="B56" s="20">
        <f t="shared" ref="B56:I56" si="20">B55*$J56</f>
        <v>15487630.53351108</v>
      </c>
      <c r="C56" s="20">
        <f t="shared" si="20"/>
        <v>5734603.8845794182</v>
      </c>
      <c r="D56" s="20">
        <f t="shared" si="20"/>
        <v>16247574.084127458</v>
      </c>
      <c r="E56" s="20">
        <f t="shared" si="20"/>
        <v>242196.02380371085</v>
      </c>
      <c r="F56" s="20">
        <f t="shared" si="20"/>
        <v>684022.72369366908</v>
      </c>
      <c r="G56" s="20">
        <f t="shared" si="20"/>
        <v>0</v>
      </c>
      <c r="H56" s="20">
        <f t="shared" si="20"/>
        <v>0</v>
      </c>
      <c r="I56" s="20">
        <f t="shared" si="20"/>
        <v>0</v>
      </c>
      <c r="J56" s="21">
        <f>'Forecast Accuracy'!I20-'Rate Class Energy Model'!J47</f>
        <v>38396027.249715328</v>
      </c>
    </row>
    <row r="57" spans="1:15" ht="18.75" hidden="1" x14ac:dyDescent="0.3">
      <c r="A57" s="311" t="s">
        <v>73</v>
      </c>
      <c r="B57" s="312"/>
      <c r="C57" s="312"/>
      <c r="D57" s="312"/>
      <c r="E57" s="312"/>
      <c r="F57" s="312"/>
      <c r="G57" s="312"/>
      <c r="H57" s="312"/>
      <c r="I57" s="312"/>
      <c r="J57" s="313"/>
    </row>
    <row r="58" spans="1:15" hidden="1" x14ac:dyDescent="0.25">
      <c r="A58" s="96">
        <v>2016</v>
      </c>
      <c r="B58" s="100">
        <f>B46+B54</f>
        <v>1104981767.8440735</v>
      </c>
      <c r="C58" s="100">
        <f t="shared" ref="C58:I58" si="21">C46+C54</f>
        <v>407473521.147672</v>
      </c>
      <c r="D58" s="100">
        <f t="shared" si="21"/>
        <v>1501128707.8273871</v>
      </c>
      <c r="E58" s="100">
        <f t="shared" si="21"/>
        <v>36849913.701493345</v>
      </c>
      <c r="F58" s="100">
        <f>F46+F54</f>
        <v>109884336.19884747</v>
      </c>
      <c r="G58" s="100">
        <f t="shared" si="21"/>
        <v>24926976</v>
      </c>
      <c r="H58" s="100">
        <f t="shared" si="21"/>
        <v>714581</v>
      </c>
      <c r="I58" s="100">
        <f t="shared" si="21"/>
        <v>5452785</v>
      </c>
      <c r="J58" s="101">
        <f>SUM(B58:I58)</f>
        <v>3191412588.7194734</v>
      </c>
    </row>
    <row r="59" spans="1:15" s="28" customFormat="1" ht="18.75" hidden="1" customHeight="1" x14ac:dyDescent="0.25">
      <c r="A59" s="99">
        <v>2017</v>
      </c>
      <c r="B59" s="102">
        <f>B47+B56</f>
        <v>1079852166.5335112</v>
      </c>
      <c r="C59" s="102">
        <f t="shared" ref="C59:I59" si="22">C47+C56</f>
        <v>399836786.88457942</v>
      </c>
      <c r="D59" s="102">
        <f t="shared" si="22"/>
        <v>1476606630.0841274</v>
      </c>
      <c r="E59" s="102">
        <f t="shared" si="22"/>
        <v>34273200.023803711</v>
      </c>
      <c r="F59" s="102">
        <f>F47+F56</f>
        <v>106487424.72369367</v>
      </c>
      <c r="G59" s="102">
        <f t="shared" si="22"/>
        <v>25197552</v>
      </c>
      <c r="H59" s="102">
        <f t="shared" si="22"/>
        <v>696900</v>
      </c>
      <c r="I59" s="102">
        <f t="shared" si="22"/>
        <v>5414248</v>
      </c>
      <c r="J59" s="103">
        <f>SUM(B59:I59)</f>
        <v>3128364908.2497158</v>
      </c>
      <c r="K59" s="360"/>
      <c r="L59" s="361"/>
      <c r="M59" s="361"/>
      <c r="N59" s="361"/>
      <c r="O59" s="361"/>
    </row>
    <row r="60" spans="1:15" s="28" customFormat="1" ht="18.75" hidden="1" customHeight="1" x14ac:dyDescent="0.3">
      <c r="A60" s="311" t="s">
        <v>149</v>
      </c>
      <c r="B60" s="312"/>
      <c r="C60" s="312"/>
      <c r="D60" s="312"/>
      <c r="E60" s="312"/>
      <c r="F60" s="312"/>
      <c r="G60" s="312"/>
      <c r="H60" s="312"/>
      <c r="I60" s="312"/>
      <c r="J60" s="313"/>
      <c r="K60" s="360"/>
      <c r="L60" s="361"/>
      <c r="M60" s="361"/>
      <c r="N60" s="361"/>
      <c r="O60" s="361"/>
    </row>
    <row r="61" spans="1:15" hidden="1" x14ac:dyDescent="0.25">
      <c r="A61" s="96">
        <v>2016</v>
      </c>
      <c r="B61" s="92">
        <f>-CDM!B41</f>
        <v>-5978741</v>
      </c>
      <c r="C61" s="92">
        <f>-CDM!C41</f>
        <v>-16554511.333333334</v>
      </c>
      <c r="D61" s="92">
        <f>-CDM!D41</f>
        <v>-3552747</v>
      </c>
      <c r="E61" s="92">
        <f>-CDM!E41</f>
        <v>0</v>
      </c>
      <c r="F61" s="92">
        <f>-CDM!F41</f>
        <v>-5833333.333333333</v>
      </c>
      <c r="G61" s="92">
        <f>-CDM!G41</f>
        <v>-2800000</v>
      </c>
      <c r="H61" s="92">
        <f>-CDM!H41</f>
        <v>0</v>
      </c>
      <c r="I61" s="92">
        <f>-CDM!I41</f>
        <v>0</v>
      </c>
      <c r="J61" s="104">
        <f>SUM(B61:I61)</f>
        <v>-34719332.666666672</v>
      </c>
      <c r="K61" s="439">
        <f>J61/J58</f>
        <v>-1.0878985935377759E-2</v>
      </c>
    </row>
    <row r="62" spans="1:15" hidden="1" x14ac:dyDescent="0.25">
      <c r="A62" s="99">
        <v>2017</v>
      </c>
      <c r="B62" s="17">
        <f>-CDM!B46</f>
        <v>-10385741</v>
      </c>
      <c r="C62" s="17">
        <f>-CDM!C46</f>
        <v>-30271178</v>
      </c>
      <c r="D62" s="17">
        <f>-CDM!D46</f>
        <v>-5605747</v>
      </c>
      <c r="E62" s="17">
        <f>-CDM!E46</f>
        <v>0</v>
      </c>
      <c r="F62" s="17">
        <f>-CDM!F46</f>
        <v>-17500000</v>
      </c>
      <c r="G62" s="17">
        <f>-CDM!G46</f>
        <v>-5600000</v>
      </c>
      <c r="H62" s="17">
        <f>-CDM!H46</f>
        <v>0</v>
      </c>
      <c r="I62" s="17">
        <f>-CDM!I46</f>
        <v>0</v>
      </c>
      <c r="J62" s="18">
        <f>SUM(B62:I62)</f>
        <v>-69362666</v>
      </c>
      <c r="K62" s="439">
        <f>J62/J59</f>
        <v>-2.2172178768878857E-2</v>
      </c>
    </row>
    <row r="63" spans="1:15" ht="18.75" hidden="1" x14ac:dyDescent="0.3">
      <c r="A63" s="311" t="s">
        <v>229</v>
      </c>
      <c r="B63" s="312"/>
      <c r="C63" s="312"/>
      <c r="D63" s="312"/>
      <c r="E63" s="312"/>
      <c r="F63" s="312"/>
      <c r="G63" s="312"/>
      <c r="H63" s="312"/>
      <c r="I63" s="312"/>
      <c r="J63" s="313"/>
    </row>
    <row r="64" spans="1:15" hidden="1" x14ac:dyDescent="0.25">
      <c r="A64" s="96">
        <v>2016</v>
      </c>
      <c r="B64" s="92">
        <f>B58+B61</f>
        <v>1099003026.8440735</v>
      </c>
      <c r="C64" s="92">
        <f t="shared" ref="C64:I64" si="23">C58+C61</f>
        <v>390919009.81433868</v>
      </c>
      <c r="D64" s="92">
        <f t="shared" si="23"/>
        <v>1497575960.8273871</v>
      </c>
      <c r="E64" s="92">
        <f t="shared" si="23"/>
        <v>36849913.701493345</v>
      </c>
      <c r="F64" s="92">
        <f t="shared" si="23"/>
        <v>104051002.86551414</v>
      </c>
      <c r="G64" s="92">
        <f t="shared" si="23"/>
        <v>22126976</v>
      </c>
      <c r="H64" s="92">
        <f t="shared" si="23"/>
        <v>714581</v>
      </c>
      <c r="I64" s="92">
        <f t="shared" si="23"/>
        <v>5452785</v>
      </c>
      <c r="J64" s="104">
        <f>SUM(B64:I64)</f>
        <v>3156693256.0528069</v>
      </c>
    </row>
    <row r="65" spans="1:15" s="28" customFormat="1" ht="18.75" hidden="1" customHeight="1" x14ac:dyDescent="0.25">
      <c r="A65" s="99">
        <v>2017</v>
      </c>
      <c r="B65" s="17">
        <f>B59+B62</f>
        <v>1069466425.5335112</v>
      </c>
      <c r="C65" s="17">
        <f t="shared" ref="C65:I65" si="24">C59+C62</f>
        <v>369565608.88457942</v>
      </c>
      <c r="D65" s="17">
        <f t="shared" si="24"/>
        <v>1471000883.0841274</v>
      </c>
      <c r="E65" s="17">
        <f t="shared" si="24"/>
        <v>34273200.023803711</v>
      </c>
      <c r="F65" s="17">
        <f t="shared" si="24"/>
        <v>88987424.723693669</v>
      </c>
      <c r="G65" s="17">
        <f t="shared" si="24"/>
        <v>19597552</v>
      </c>
      <c r="H65" s="17">
        <f t="shared" si="24"/>
        <v>696900</v>
      </c>
      <c r="I65" s="17">
        <f t="shared" si="24"/>
        <v>5414248</v>
      </c>
      <c r="J65" s="18">
        <f>SUM(B65:I65)</f>
        <v>3059002242.2497158</v>
      </c>
      <c r="K65" s="360"/>
      <c r="L65" s="361"/>
      <c r="M65" s="361"/>
      <c r="N65" s="361"/>
      <c r="O65" s="361"/>
    </row>
    <row r="66" spans="1:15" ht="18.75" hidden="1" x14ac:dyDescent="0.3">
      <c r="A66" s="311" t="s">
        <v>150</v>
      </c>
      <c r="B66" s="312"/>
      <c r="C66" s="312"/>
      <c r="D66" s="312"/>
      <c r="E66" s="312"/>
      <c r="F66" s="312"/>
      <c r="G66" s="312"/>
      <c r="H66" s="312"/>
      <c r="I66" s="312"/>
      <c r="J66" s="313"/>
    </row>
    <row r="67" spans="1:15" hidden="1" x14ac:dyDescent="0.25">
      <c r="A67" s="96">
        <v>2016</v>
      </c>
      <c r="B67" s="92"/>
      <c r="C67" s="92"/>
      <c r="D67" s="92">
        <f>WMP!D30</f>
        <v>17666882.699875668</v>
      </c>
      <c r="E67" s="92"/>
      <c r="F67" s="92"/>
      <c r="G67" s="92"/>
      <c r="H67" s="92"/>
      <c r="I67" s="92"/>
      <c r="J67" s="104">
        <f>SUM(B67:I67)</f>
        <v>17666882.699875668</v>
      </c>
    </row>
    <row r="68" spans="1:15" hidden="1" x14ac:dyDescent="0.25">
      <c r="A68" s="99">
        <v>2017</v>
      </c>
      <c r="B68" s="17"/>
      <c r="C68" s="17"/>
      <c r="D68" s="17">
        <f>WMP!D31</f>
        <v>17668114.725662455</v>
      </c>
      <c r="E68" s="17"/>
      <c r="F68" s="17"/>
      <c r="G68" s="17"/>
      <c r="H68" s="17"/>
      <c r="I68" s="17"/>
      <c r="J68" s="18">
        <f>SUM(B68:I68)</f>
        <v>17668114.725662455</v>
      </c>
    </row>
    <row r="69" spans="1:15" ht="18.75" x14ac:dyDescent="0.3">
      <c r="A69" s="311" t="s">
        <v>151</v>
      </c>
      <c r="B69" s="312"/>
      <c r="C69" s="312"/>
      <c r="D69" s="312"/>
      <c r="E69" s="312"/>
      <c r="F69" s="312"/>
      <c r="G69" s="312"/>
      <c r="H69" s="312"/>
      <c r="I69" s="312"/>
      <c r="J69" s="313"/>
    </row>
    <row r="70" spans="1:15" x14ac:dyDescent="0.25">
      <c r="A70" s="96">
        <v>2016</v>
      </c>
      <c r="B70" s="105">
        <f>B58+B61+B67</f>
        <v>1099003026.8440735</v>
      </c>
      <c r="C70" s="105">
        <f t="shared" ref="C70:I70" si="25">C58+C61+C67</f>
        <v>390919009.81433868</v>
      </c>
      <c r="D70" s="105">
        <f t="shared" si="25"/>
        <v>1515242843.5272627</v>
      </c>
      <c r="E70" s="105">
        <f t="shared" si="25"/>
        <v>36849913.701493345</v>
      </c>
      <c r="F70" s="105">
        <f t="shared" si="25"/>
        <v>104051002.86551414</v>
      </c>
      <c r="G70" s="105">
        <f t="shared" si="25"/>
        <v>22126976</v>
      </c>
      <c r="H70" s="105">
        <f t="shared" si="25"/>
        <v>714581</v>
      </c>
      <c r="I70" s="105">
        <f t="shared" si="25"/>
        <v>5452785</v>
      </c>
      <c r="J70" s="106">
        <f>SUM(B70:I70)</f>
        <v>3174360138.7526822</v>
      </c>
    </row>
    <row r="71" spans="1:15" s="28" customFormat="1" ht="23.25" customHeight="1" x14ac:dyDescent="0.25">
      <c r="A71" s="99">
        <v>2017</v>
      </c>
      <c r="B71" s="90">
        <f>B59+B62+B68</f>
        <v>1069466425.5335112</v>
      </c>
      <c r="C71" s="90">
        <f t="shared" ref="C71:I71" si="26">C59+C62+C68</f>
        <v>369565608.88457942</v>
      </c>
      <c r="D71" s="90">
        <f t="shared" si="26"/>
        <v>1488668997.8097899</v>
      </c>
      <c r="E71" s="90">
        <f t="shared" si="26"/>
        <v>34273200.023803711</v>
      </c>
      <c r="F71" s="90">
        <f t="shared" si="26"/>
        <v>88987424.723693669</v>
      </c>
      <c r="G71" s="90">
        <f t="shared" si="26"/>
        <v>19597552</v>
      </c>
      <c r="H71" s="90">
        <f t="shared" si="26"/>
        <v>696900</v>
      </c>
      <c r="I71" s="90">
        <f t="shared" si="26"/>
        <v>5414248</v>
      </c>
      <c r="J71" s="91">
        <f>SUM(B71:I71)</f>
        <v>3076670356.975378</v>
      </c>
    </row>
    <row r="72" spans="1:15" s="28" customFormat="1" ht="23.25" customHeight="1" x14ac:dyDescent="0.3">
      <c r="A72" s="311" t="s">
        <v>246</v>
      </c>
      <c r="B72" s="312"/>
      <c r="C72" s="312"/>
      <c r="D72" s="312"/>
      <c r="E72" s="312"/>
      <c r="F72" s="312"/>
      <c r="G72" s="312"/>
      <c r="H72" s="312"/>
      <c r="I72" s="312"/>
      <c r="J72" s="313"/>
    </row>
    <row r="73" spans="1:15" x14ac:dyDescent="0.25">
      <c r="A73" s="96">
        <v>2016</v>
      </c>
      <c r="B73" s="434">
        <f>B70/B18-1</f>
        <v>1.3218346009544524E-2</v>
      </c>
      <c r="C73" s="434">
        <f t="shared" ref="C73:J73" si="27">C70/C18-1</f>
        <v>-2.1841495212907458E-2</v>
      </c>
      <c r="D73" s="434">
        <f t="shared" si="27"/>
        <v>2.0630177529415761E-2</v>
      </c>
      <c r="E73" s="434">
        <f t="shared" si="27"/>
        <v>-5.1029906945357362E-2</v>
      </c>
      <c r="F73" s="434">
        <f t="shared" si="27"/>
        <v>-6.5427349448375138E-2</v>
      </c>
      <c r="G73" s="434">
        <f t="shared" si="27"/>
        <v>-0.10200270231018582</v>
      </c>
      <c r="H73" s="434">
        <f t="shared" si="27"/>
        <v>-3.3004726629690229E-2</v>
      </c>
      <c r="I73" s="434">
        <f t="shared" si="27"/>
        <v>-1.2682433939323112E-2</v>
      </c>
      <c r="J73" s="436">
        <f t="shared" si="27"/>
        <v>7.7341920938467368E-3</v>
      </c>
    </row>
    <row r="74" spans="1:15" x14ac:dyDescent="0.25">
      <c r="A74" s="99">
        <v>2017</v>
      </c>
      <c r="B74" s="435">
        <f>B71/B70-1</f>
        <v>-2.6875814341822624E-2</v>
      </c>
      <c r="C74" s="435">
        <f t="shared" ref="C74:J74" si="28">C71/C70-1</f>
        <v>-5.4623593106666091E-2</v>
      </c>
      <c r="D74" s="435">
        <f t="shared" si="28"/>
        <v>-1.7537681059501153E-2</v>
      </c>
      <c r="E74" s="435">
        <f t="shared" si="28"/>
        <v>-6.9924551209606056E-2</v>
      </c>
      <c r="F74" s="435">
        <f t="shared" si="28"/>
        <v>-0.14477110000842708</v>
      </c>
      <c r="G74" s="435">
        <f t="shared" si="28"/>
        <v>-0.11431403911677762</v>
      </c>
      <c r="H74" s="435">
        <f t="shared" si="28"/>
        <v>-2.4743171173037037E-2</v>
      </c>
      <c r="I74" s="435">
        <f t="shared" si="28"/>
        <v>-7.0673976692644525E-3</v>
      </c>
      <c r="J74" s="437">
        <f t="shared" si="28"/>
        <v>-3.0774637251994363E-2</v>
      </c>
    </row>
  </sheetData>
  <pageMargins left="0.7" right="0.7" top="0.75" bottom="0.75" header="0.3" footer="0.3"/>
  <pageSetup scale="78" fitToHeight="2" orientation="landscape" r:id="rId1"/>
  <headerFooter>
    <oddFooter>&amp;R&amp;P/&amp;N</oddFooter>
  </headerFooter>
  <rowBreaks count="1" manualBreakCount="1">
    <brk id="45" max="10" man="1"/>
  </rowBreaks>
  <ignoredErrors>
    <ignoredError sqref="G55:I55 B55:E55"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0"/>
  <sheetViews>
    <sheetView tabSelected="1" zoomScale="110" zoomScaleNormal="110" workbookViewId="0">
      <pane xSplit="1" ySplit="7" topLeftCell="B17" activePane="bottomRight" state="frozen"/>
      <selection activeCell="A2" sqref="A2"/>
      <selection pane="topRight" activeCell="A2" sqref="A2"/>
      <selection pane="bottomLeft" activeCell="A2" sqref="A2"/>
      <selection pane="bottomRight" activeCell="N26" sqref="N26"/>
    </sheetView>
  </sheetViews>
  <sheetFormatPr defaultRowHeight="15" x14ac:dyDescent="0.25"/>
  <cols>
    <col min="1" max="1" width="18" customWidth="1"/>
    <col min="2" max="2" width="14.5703125" bestFit="1" customWidth="1"/>
    <col min="3" max="3" width="11.42578125" bestFit="1" customWidth="1"/>
    <col min="4" max="4" width="15.7109375" customWidth="1"/>
    <col min="5" max="5" width="16.7109375" bestFit="1" customWidth="1"/>
    <col min="6" max="6" width="14.85546875" customWidth="1"/>
    <col min="7" max="12" width="12.7109375" customWidth="1"/>
    <col min="14" max="14" width="14.28515625" bestFit="1" customWidth="1"/>
    <col min="15" max="15" width="11.5703125" bestFit="1" customWidth="1"/>
    <col min="16" max="16" width="11.5703125" customWidth="1"/>
    <col min="17" max="17" width="14.28515625" bestFit="1" customWidth="1"/>
    <col min="18" max="18" width="15" bestFit="1" customWidth="1"/>
  </cols>
  <sheetData>
    <row r="1" spans="1:19" ht="18.75" x14ac:dyDescent="0.3">
      <c r="A1" s="24" t="str">
        <f>Admin!B3</f>
        <v>London Hydro</v>
      </c>
      <c r="B1" s="25"/>
      <c r="C1" s="25"/>
      <c r="D1" s="25"/>
      <c r="E1" s="25"/>
      <c r="F1" s="25"/>
      <c r="G1" s="25"/>
      <c r="H1" s="25"/>
      <c r="I1" s="25"/>
      <c r="J1" s="25"/>
      <c r="K1" s="25"/>
      <c r="L1" s="25"/>
    </row>
    <row r="2" spans="1:19" ht="18.75" x14ac:dyDescent="0.3">
      <c r="A2" s="24" t="str">
        <f>Admin!B5</f>
        <v>EB-2016-0091</v>
      </c>
      <c r="B2" s="25"/>
      <c r="C2" s="25"/>
      <c r="D2" s="25"/>
      <c r="E2" s="25"/>
      <c r="F2" s="25"/>
      <c r="G2" s="25"/>
      <c r="H2" s="25"/>
      <c r="I2" s="25"/>
      <c r="J2" s="25"/>
      <c r="K2" s="25"/>
      <c r="L2" s="25"/>
    </row>
    <row r="3" spans="1:19" ht="18.75" x14ac:dyDescent="0.3">
      <c r="A3" s="24" t="str">
        <f>Admin!B7</f>
        <v>2017 Load Forecast</v>
      </c>
      <c r="B3" s="25"/>
      <c r="C3" s="25"/>
      <c r="D3" s="25"/>
      <c r="E3" s="25"/>
      <c r="F3" s="25"/>
      <c r="G3" s="25"/>
      <c r="H3" s="25"/>
      <c r="I3" s="25"/>
      <c r="J3" s="25"/>
      <c r="K3" s="25"/>
      <c r="L3" s="25"/>
    </row>
    <row r="4" spans="1:19" ht="18.75" x14ac:dyDescent="0.3">
      <c r="A4" s="24"/>
      <c r="B4" s="25"/>
      <c r="C4" s="25"/>
      <c r="D4" s="25"/>
      <c r="E4" s="25"/>
      <c r="F4" s="25"/>
      <c r="G4" s="25"/>
      <c r="H4" s="25"/>
      <c r="I4" s="25"/>
      <c r="J4" s="25"/>
      <c r="K4" s="25"/>
      <c r="L4" s="25"/>
    </row>
    <row r="5" spans="1:19" ht="19.5" thickBot="1" x14ac:dyDescent="0.35">
      <c r="A5" s="26" t="s">
        <v>55</v>
      </c>
      <c r="B5" s="27"/>
      <c r="C5" s="27"/>
      <c r="D5" s="27"/>
      <c r="E5" s="27"/>
      <c r="F5" s="27"/>
      <c r="G5" s="27"/>
      <c r="H5" s="27"/>
      <c r="I5" s="27"/>
      <c r="J5" s="27"/>
      <c r="K5" s="27"/>
      <c r="L5" s="27"/>
    </row>
    <row r="7" spans="1:19" ht="45" x14ac:dyDescent="0.25">
      <c r="A7" s="13" t="s">
        <v>265</v>
      </c>
      <c r="B7" s="14" t="s">
        <v>2</v>
      </c>
      <c r="C7" s="14" t="s">
        <v>3</v>
      </c>
      <c r="D7" s="14" t="s">
        <v>226</v>
      </c>
      <c r="E7" s="14" t="s">
        <v>186</v>
      </c>
      <c r="F7" s="14" t="s">
        <v>188</v>
      </c>
      <c r="G7" s="14" t="s">
        <v>187</v>
      </c>
      <c r="H7" s="14" t="s">
        <v>227</v>
      </c>
      <c r="I7" s="14" t="s">
        <v>139</v>
      </c>
      <c r="J7" s="14" t="s">
        <v>138</v>
      </c>
      <c r="K7" s="14" t="s">
        <v>137</v>
      </c>
      <c r="L7" s="15" t="s">
        <v>9</v>
      </c>
      <c r="N7" s="14" t="s">
        <v>222</v>
      </c>
      <c r="O7" s="14" t="s">
        <v>223</v>
      </c>
      <c r="P7" s="14" t="s">
        <v>261</v>
      </c>
      <c r="Q7" s="14" t="s">
        <v>224</v>
      </c>
      <c r="R7" s="14" t="s">
        <v>17</v>
      </c>
    </row>
    <row r="8" spans="1:19" x14ac:dyDescent="0.25">
      <c r="A8" s="312" t="s">
        <v>181</v>
      </c>
      <c r="B8" s="312"/>
      <c r="C8" s="312"/>
      <c r="D8" s="312"/>
      <c r="E8" s="312"/>
      <c r="F8" s="312"/>
      <c r="G8" s="312"/>
      <c r="H8" s="312"/>
      <c r="I8" s="312"/>
      <c r="J8" s="312"/>
      <c r="K8" s="312"/>
      <c r="L8" s="312"/>
      <c r="N8" s="313"/>
      <c r="O8" s="313"/>
      <c r="P8" s="313"/>
      <c r="Q8" s="313"/>
      <c r="R8" s="313"/>
    </row>
    <row r="9" spans="1:19" x14ac:dyDescent="0.25">
      <c r="A9" s="411">
        <v>2006</v>
      </c>
      <c r="B9" s="412">
        <v>0</v>
      </c>
      <c r="C9" s="412">
        <v>0</v>
      </c>
      <c r="D9" s="412">
        <f>3982783.16952915-67306</f>
        <v>3915477.1695291498</v>
      </c>
      <c r="E9" s="412">
        <v>155066</v>
      </c>
      <c r="F9" s="412">
        <v>32469.800000000003</v>
      </c>
      <c r="G9" s="412">
        <f>SUM(E9:F9)</f>
        <v>187535.8</v>
      </c>
      <c r="H9" s="412">
        <v>216900.49879200966</v>
      </c>
      <c r="I9" s="412">
        <v>63698</v>
      </c>
      <c r="J9" s="412">
        <v>2347</v>
      </c>
      <c r="K9" s="412">
        <v>0</v>
      </c>
      <c r="L9" s="413">
        <f t="shared" ref="L9:L16" si="0">SUM(B9:F9,H9:K9)</f>
        <v>4385958.4683211595</v>
      </c>
      <c r="N9" s="9">
        <v>4527933</v>
      </c>
      <c r="O9" s="9">
        <v>109504.70910000001</v>
      </c>
      <c r="P9" s="9">
        <v>32470</v>
      </c>
      <c r="Q9" s="9">
        <f>N9-O9-P9</f>
        <v>4385958.2909000004</v>
      </c>
      <c r="R9" s="9">
        <f t="shared" ref="R9:R17" si="1">L9-Q9</f>
        <v>0.17742115911096334</v>
      </c>
      <c r="S9" s="2"/>
    </row>
    <row r="10" spans="1:19" x14ac:dyDescent="0.25">
      <c r="A10" s="411">
        <v>2007</v>
      </c>
      <c r="B10" s="412">
        <v>0</v>
      </c>
      <c r="C10" s="412">
        <v>0</v>
      </c>
      <c r="D10" s="412">
        <f>4035705.59048908+25000-2</f>
        <v>4060703.5904890802</v>
      </c>
      <c r="E10" s="412">
        <v>154800</v>
      </c>
      <c r="F10" s="412">
        <v>38943.300000000003</v>
      </c>
      <c r="G10" s="412">
        <f t="shared" ref="G10:G16" si="2">SUM(E10:F10)</f>
        <v>193743.3</v>
      </c>
      <c r="H10" s="412">
        <v>225300.0761774955</v>
      </c>
      <c r="I10" s="412">
        <v>64716.713119124703</v>
      </c>
      <c r="J10" s="412">
        <v>2369.3711848433277</v>
      </c>
      <c r="K10" s="412">
        <v>0</v>
      </c>
      <c r="L10" s="413">
        <f t="shared" si="0"/>
        <v>4546833.0509705441</v>
      </c>
      <c r="N10" s="9">
        <v>4691176</v>
      </c>
      <c r="O10" s="9">
        <v>105399.63</v>
      </c>
      <c r="P10" s="9">
        <v>38943</v>
      </c>
      <c r="Q10" s="9">
        <f t="shared" ref="Q10:Q18" si="3">N10-O10-P10</f>
        <v>4546833.37</v>
      </c>
      <c r="R10" s="9">
        <f t="shared" si="1"/>
        <v>-0.31902945600450039</v>
      </c>
      <c r="S10" s="2"/>
    </row>
    <row r="11" spans="1:19" x14ac:dyDescent="0.25">
      <c r="A11" s="411">
        <v>2008</v>
      </c>
      <c r="B11" s="412">
        <v>0</v>
      </c>
      <c r="C11" s="412">
        <v>0</v>
      </c>
      <c r="D11" s="412">
        <v>3931362.2139175613</v>
      </c>
      <c r="E11" s="412">
        <v>154800</v>
      </c>
      <c r="F11" s="412">
        <v>38424.1991440083</v>
      </c>
      <c r="G11" s="412">
        <f t="shared" si="2"/>
        <v>193224.19914400831</v>
      </c>
      <c r="H11" s="412">
        <v>222580.2096733604</v>
      </c>
      <c r="I11" s="412">
        <v>65067.805784389442</v>
      </c>
      <c r="J11" s="412">
        <v>2335.4573605049386</v>
      </c>
      <c r="K11" s="412">
        <v>0</v>
      </c>
      <c r="L11" s="413">
        <f t="shared" si="0"/>
        <v>4414569.8858798239</v>
      </c>
      <c r="N11" s="9">
        <f>4554536</f>
        <v>4554536</v>
      </c>
      <c r="O11" s="9">
        <v>101542.13820000002</v>
      </c>
      <c r="P11" s="9">
        <v>38424</v>
      </c>
      <c r="Q11" s="9">
        <f t="shared" si="3"/>
        <v>4414569.8618000001</v>
      </c>
      <c r="R11" s="9">
        <f t="shared" si="1"/>
        <v>2.4079823866486549E-2</v>
      </c>
      <c r="S11" s="2"/>
    </row>
    <row r="12" spans="1:19" x14ac:dyDescent="0.25">
      <c r="A12" s="411">
        <v>2009</v>
      </c>
      <c r="B12" s="412">
        <v>0</v>
      </c>
      <c r="C12" s="412">
        <v>0</v>
      </c>
      <c r="D12" s="412">
        <v>3753528.8894009311</v>
      </c>
      <c r="E12" s="412">
        <v>154800</v>
      </c>
      <c r="F12" s="412">
        <v>37860.905114250847</v>
      </c>
      <c r="G12" s="412">
        <f t="shared" si="2"/>
        <v>192660.90511425084</v>
      </c>
      <c r="H12" s="412">
        <v>232523.04275418638</v>
      </c>
      <c r="I12" s="412">
        <v>65642.927175449338</v>
      </c>
      <c r="J12" s="412">
        <v>2277.7238256979945</v>
      </c>
      <c r="K12" s="412">
        <v>0</v>
      </c>
      <c r="L12" s="413">
        <f t="shared" si="0"/>
        <v>4246633.4882705156</v>
      </c>
      <c r="N12" s="9">
        <v>4384882</v>
      </c>
      <c r="O12" s="9">
        <v>100387.34909999999</v>
      </c>
      <c r="P12" s="9">
        <v>37861</v>
      </c>
      <c r="Q12" s="9">
        <f t="shared" si="3"/>
        <v>4246633.6508999998</v>
      </c>
      <c r="R12" s="9">
        <f t="shared" si="1"/>
        <v>-0.16262948419898748</v>
      </c>
    </row>
    <row r="13" spans="1:19" x14ac:dyDescent="0.25">
      <c r="A13" s="411">
        <v>2010</v>
      </c>
      <c r="B13" s="412">
        <v>0</v>
      </c>
      <c r="C13" s="412">
        <v>0</v>
      </c>
      <c r="D13" s="412">
        <v>4011620.997838547</v>
      </c>
      <c r="E13" s="412">
        <v>154800</v>
      </c>
      <c r="F13" s="412">
        <v>36304.800516069037</v>
      </c>
      <c r="G13" s="412">
        <f t="shared" si="2"/>
        <v>191104.80051606905</v>
      </c>
      <c r="H13" s="412">
        <v>233419.94057798028</v>
      </c>
      <c r="I13" s="412">
        <v>66008.559448739034</v>
      </c>
      <c r="J13" s="412">
        <v>2260.1401630198379</v>
      </c>
      <c r="K13" s="412">
        <v>0</v>
      </c>
      <c r="L13" s="413">
        <f t="shared" si="0"/>
        <v>4504414.4385443553</v>
      </c>
      <c r="N13" s="9">
        <v>4643048</v>
      </c>
      <c r="O13" s="9">
        <v>102328.38</v>
      </c>
      <c r="P13" s="9">
        <v>36305</v>
      </c>
      <c r="Q13" s="9">
        <f t="shared" si="3"/>
        <v>4504414.62</v>
      </c>
      <c r="R13" s="9">
        <f t="shared" si="1"/>
        <v>-0.1814556447789073</v>
      </c>
    </row>
    <row r="14" spans="1:19" x14ac:dyDescent="0.25">
      <c r="A14" s="411">
        <v>2011</v>
      </c>
      <c r="B14" s="412">
        <v>0</v>
      </c>
      <c r="C14" s="412">
        <v>0</v>
      </c>
      <c r="D14" s="412">
        <f>3888175.4338051-1</f>
        <v>3888174.4338051002</v>
      </c>
      <c r="E14" s="412">
        <v>154800</v>
      </c>
      <c r="F14" s="412">
        <v>48043.695118751864</v>
      </c>
      <c r="G14" s="412">
        <f t="shared" si="2"/>
        <v>202843.69511875187</v>
      </c>
      <c r="H14" s="412">
        <v>239279.55950333521</v>
      </c>
      <c r="I14" s="412">
        <v>66345.433038050949</v>
      </c>
      <c r="J14" s="412">
        <v>2203.1602452836423</v>
      </c>
      <c r="K14" s="412">
        <v>0</v>
      </c>
      <c r="L14" s="413">
        <f t="shared" si="0"/>
        <v>4398846.2817105222</v>
      </c>
      <c r="N14" s="9">
        <v>4499202</v>
      </c>
      <c r="O14" s="9">
        <v>100355.22000000002</v>
      </c>
      <c r="P14" s="9"/>
      <c r="Q14" s="9">
        <f t="shared" si="3"/>
        <v>4398846.78</v>
      </c>
      <c r="R14" s="9">
        <f t="shared" si="1"/>
        <v>-0.49828947801142931</v>
      </c>
    </row>
    <row r="15" spans="1:19" x14ac:dyDescent="0.25">
      <c r="A15" s="411">
        <v>2012</v>
      </c>
      <c r="B15" s="412">
        <v>0</v>
      </c>
      <c r="C15" s="412">
        <v>0</v>
      </c>
      <c r="D15" s="412">
        <f>3888894.42631+1</f>
        <v>3888895.42631</v>
      </c>
      <c r="E15" s="412">
        <v>154800</v>
      </c>
      <c r="F15" s="412">
        <v>46415</v>
      </c>
      <c r="G15" s="412">
        <f t="shared" si="2"/>
        <v>201215</v>
      </c>
      <c r="H15" s="412">
        <v>233476.01368999999</v>
      </c>
      <c r="I15" s="412">
        <v>66305</v>
      </c>
      <c r="J15" s="412">
        <v>2146</v>
      </c>
      <c r="K15" s="412">
        <v>0</v>
      </c>
      <c r="L15" s="413">
        <f t="shared" si="0"/>
        <v>4392037.4400000004</v>
      </c>
      <c r="N15" s="9">
        <v>4489191</v>
      </c>
      <c r="O15" s="9">
        <v>97153.560000000012</v>
      </c>
      <c r="P15" s="9"/>
      <c r="Q15" s="9">
        <f t="shared" si="3"/>
        <v>4392037.4400000004</v>
      </c>
      <c r="R15" s="9">
        <f t="shared" si="1"/>
        <v>0</v>
      </c>
    </row>
    <row r="16" spans="1:19" x14ac:dyDescent="0.25">
      <c r="A16" s="22">
        <v>2013</v>
      </c>
      <c r="B16" s="5">
        <v>0</v>
      </c>
      <c r="C16" s="5">
        <v>0</v>
      </c>
      <c r="D16" s="5">
        <v>3840562.51443</v>
      </c>
      <c r="E16" s="5">
        <v>154800</v>
      </c>
      <c r="F16" s="5">
        <v>68938</v>
      </c>
      <c r="G16" s="5">
        <f t="shared" si="2"/>
        <v>223738</v>
      </c>
      <c r="H16" s="5">
        <v>234157.16557000001</v>
      </c>
      <c r="I16" s="5">
        <v>68984</v>
      </c>
      <c r="J16" s="5">
        <v>2099</v>
      </c>
      <c r="K16" s="5">
        <v>0</v>
      </c>
      <c r="L16" s="9">
        <f t="shared" si="0"/>
        <v>4369540.68</v>
      </c>
      <c r="N16" s="16">
        <v>4461750</v>
      </c>
      <c r="O16" s="16">
        <v>92209.32</v>
      </c>
      <c r="P16" s="16"/>
      <c r="Q16" s="9">
        <f t="shared" si="3"/>
        <v>4369540.68</v>
      </c>
      <c r="R16" s="9">
        <f t="shared" si="1"/>
        <v>0</v>
      </c>
    </row>
    <row r="17" spans="1:18" x14ac:dyDescent="0.25">
      <c r="A17" s="22">
        <v>2014</v>
      </c>
      <c r="B17" s="5">
        <v>0</v>
      </c>
      <c r="C17" s="5">
        <v>0</v>
      </c>
      <c r="D17" s="5">
        <v>3810876.3573599998</v>
      </c>
      <c r="E17" s="5">
        <v>154800</v>
      </c>
      <c r="F17" s="5">
        <v>72831</v>
      </c>
      <c r="G17" s="5">
        <f t="shared" ref="G17:G18" si="4">SUM(E17:F17)</f>
        <v>227631</v>
      </c>
      <c r="H17" s="5">
        <v>229583.39264000001</v>
      </c>
      <c r="I17" s="5">
        <v>68713</v>
      </c>
      <c r="J17" s="5">
        <v>2005</v>
      </c>
      <c r="K17" s="5">
        <v>0</v>
      </c>
      <c r="L17" s="9">
        <f>SUM(B17:F17,H17:K17)</f>
        <v>4338808.75</v>
      </c>
      <c r="N17" s="16">
        <v>4422583</v>
      </c>
      <c r="O17" s="16">
        <v>83774.25</v>
      </c>
      <c r="P17" s="16"/>
      <c r="Q17" s="9">
        <f t="shared" si="3"/>
        <v>4338808.75</v>
      </c>
      <c r="R17" s="9">
        <f t="shared" si="1"/>
        <v>0</v>
      </c>
    </row>
    <row r="18" spans="1:18" x14ac:dyDescent="0.25">
      <c r="A18" s="22">
        <v>2015</v>
      </c>
      <c r="B18" s="5">
        <v>0</v>
      </c>
      <c r="C18" s="5">
        <v>0</v>
      </c>
      <c r="D18" s="5">
        <v>3784947.2853999999</v>
      </c>
      <c r="E18" s="5">
        <v>154800</v>
      </c>
      <c r="F18" s="5">
        <v>75191.731958650635</v>
      </c>
      <c r="G18" s="5">
        <f t="shared" si="4"/>
        <v>229991.73195865063</v>
      </c>
      <c r="H18" s="5">
        <v>212175.81603656427</v>
      </c>
      <c r="I18" s="5">
        <v>69125.657901861196</v>
      </c>
      <c r="J18" s="5">
        <v>2009.4252932473785</v>
      </c>
      <c r="K18" s="5">
        <v>0</v>
      </c>
      <c r="L18" s="9">
        <f>SUM(B18:F18,H18:K18)</f>
        <v>4298249.9165903227</v>
      </c>
      <c r="N18" s="16">
        <v>4311359.3</v>
      </c>
      <c r="O18" s="16">
        <v>13109.04</v>
      </c>
      <c r="P18" s="16"/>
      <c r="Q18" s="9">
        <f t="shared" si="3"/>
        <v>4298250.26</v>
      </c>
      <c r="R18" s="9">
        <f t="shared" ref="R18" si="5">L18-Q18</f>
        <v>-0.34340967703610659</v>
      </c>
    </row>
    <row r="19" spans="1:18" x14ac:dyDescent="0.25">
      <c r="A19" s="253" t="s">
        <v>241</v>
      </c>
      <c r="B19" s="59">
        <f>AVERAGE(B9:B18)</f>
        <v>0</v>
      </c>
      <c r="C19" s="59">
        <f t="shared" ref="C19" si="6">AVERAGE(C9:C18)</f>
        <v>0</v>
      </c>
      <c r="D19" s="59">
        <f>AVERAGE(D15:D18)</f>
        <v>3831320.3958749999</v>
      </c>
      <c r="E19" s="59">
        <f t="shared" ref="E19:L19" si="7">AVERAGE(E15:E18)</f>
        <v>154800</v>
      </c>
      <c r="F19" s="469">
        <f>AVERAGE(F16:F18)</f>
        <v>72320.243986216883</v>
      </c>
      <c r="G19" s="59">
        <f t="shared" si="7"/>
        <v>220643.93298966266</v>
      </c>
      <c r="H19" s="59">
        <f t="shared" si="7"/>
        <v>227348.09698414107</v>
      </c>
      <c r="I19" s="59">
        <f t="shared" si="7"/>
        <v>68281.914475465295</v>
      </c>
      <c r="J19" s="59">
        <f t="shared" si="7"/>
        <v>2064.8563233118448</v>
      </c>
      <c r="K19" s="59">
        <f t="shared" si="7"/>
        <v>0</v>
      </c>
      <c r="L19" s="59">
        <f t="shared" si="7"/>
        <v>4349659.1966475807</v>
      </c>
    </row>
    <row r="20" spans="1:18" ht="18.75" x14ac:dyDescent="0.3">
      <c r="A20" s="326" t="s">
        <v>22</v>
      </c>
      <c r="B20" s="327"/>
      <c r="C20" s="327"/>
      <c r="D20" s="327"/>
      <c r="E20" s="328"/>
      <c r="F20" s="328"/>
      <c r="G20" s="328"/>
      <c r="H20" s="327"/>
      <c r="I20" s="327"/>
      <c r="J20" s="327"/>
      <c r="K20" s="327"/>
      <c r="L20" s="329"/>
    </row>
    <row r="21" spans="1:18" x14ac:dyDescent="0.25">
      <c r="A21" s="418">
        <v>2006</v>
      </c>
      <c r="B21" s="426"/>
      <c r="C21" s="426"/>
      <c r="D21" s="426">
        <f>IFERROR(ROUND(D9/'Rate Class Energy Model'!D9,4),0)</f>
        <v>2.3999999999999998E-3</v>
      </c>
      <c r="E21" s="426"/>
      <c r="F21" s="426"/>
      <c r="G21" s="426"/>
      <c r="H21" s="426">
        <f>IFERROR(ROUND(H9/'Rate Class Energy Model'!F9,4),0)</f>
        <v>2E-3</v>
      </c>
      <c r="I21" s="426">
        <f>IFERROR(ROUND(I9/'Rate Class Energy Model'!G9,4),0)</f>
        <v>2.8999999999999998E-3</v>
      </c>
      <c r="J21" s="426">
        <f>IFERROR(ROUND(J9/'Rate Class Energy Model'!H9,4),0)</f>
        <v>2.7000000000000001E-3</v>
      </c>
      <c r="K21" s="426"/>
      <c r="L21" s="421"/>
    </row>
    <row r="22" spans="1:18" x14ac:dyDescent="0.25">
      <c r="A22" s="411">
        <v>2007</v>
      </c>
      <c r="B22" s="427"/>
      <c r="C22" s="427"/>
      <c r="D22" s="427">
        <f>IFERROR(ROUND(D10/'Rate Class Energy Model'!D10,4),0)</f>
        <v>2.5000000000000001E-3</v>
      </c>
      <c r="E22" s="427"/>
      <c r="F22" s="427"/>
      <c r="G22" s="427"/>
      <c r="H22" s="427">
        <f>IFERROR(ROUND(H10/'Rate Class Energy Model'!F10,4),0)</f>
        <v>2E-3</v>
      </c>
      <c r="I22" s="427">
        <f>IFERROR(ROUND(I10/'Rate Class Energy Model'!G10,4),0)</f>
        <v>2.8E-3</v>
      </c>
      <c r="J22" s="427">
        <f>IFERROR(ROUND(J10/'Rate Class Energy Model'!H10,4),0)</f>
        <v>2.7000000000000001E-3</v>
      </c>
      <c r="K22" s="427"/>
      <c r="L22" s="414"/>
      <c r="Q22" s="2"/>
      <c r="R22" s="2"/>
    </row>
    <row r="23" spans="1:18" x14ac:dyDescent="0.25">
      <c r="A23" s="411">
        <v>2008</v>
      </c>
      <c r="B23" s="427"/>
      <c r="C23" s="427"/>
      <c r="D23" s="427">
        <f>IFERROR(ROUND(D11/'Rate Class Energy Model'!D11,4),0)</f>
        <v>2.5999999999999999E-3</v>
      </c>
      <c r="E23" s="427"/>
      <c r="F23" s="427"/>
      <c r="G23" s="427"/>
      <c r="H23" s="427">
        <f>IFERROR(ROUND(H11/'Rate Class Energy Model'!F11,4),0)</f>
        <v>2E-3</v>
      </c>
      <c r="I23" s="427">
        <f>IFERROR(ROUND(I11/'Rate Class Energy Model'!G11,4),0)</f>
        <v>2.8E-3</v>
      </c>
      <c r="J23" s="427">
        <f>IFERROR(ROUND(J11/'Rate Class Energy Model'!H11,4),0)</f>
        <v>2.7000000000000001E-3</v>
      </c>
      <c r="K23" s="427"/>
      <c r="L23" s="414"/>
    </row>
    <row r="24" spans="1:18" x14ac:dyDescent="0.25">
      <c r="A24" s="411">
        <v>2009</v>
      </c>
      <c r="B24" s="427"/>
      <c r="C24" s="427"/>
      <c r="D24" s="427">
        <f>IFERROR(ROUND(D12/'Rate Class Energy Model'!D12,4),0)</f>
        <v>2.5999999999999999E-3</v>
      </c>
      <c r="E24" s="427"/>
      <c r="F24" s="427"/>
      <c r="G24" s="427"/>
      <c r="H24" s="427">
        <f>IFERROR(ROUND(H12/'Rate Class Energy Model'!F12,4),0)</f>
        <v>1.9E-3</v>
      </c>
      <c r="I24" s="427">
        <f>IFERROR(ROUND(I12/'Rate Class Energy Model'!G12,4),0)</f>
        <v>2.8E-3</v>
      </c>
      <c r="J24" s="427">
        <f>IFERROR(ROUND(J12/'Rate Class Energy Model'!H12,4),0)</f>
        <v>2.7000000000000001E-3</v>
      </c>
      <c r="K24" s="427"/>
      <c r="L24" s="414"/>
    </row>
    <row r="25" spans="1:18" x14ac:dyDescent="0.25">
      <c r="A25" s="411">
        <v>2010</v>
      </c>
      <c r="B25" s="427"/>
      <c r="C25" s="427"/>
      <c r="D25" s="427">
        <f>IFERROR(ROUND(D13/'Rate Class Energy Model'!D13,4),0)</f>
        <v>2.5999999999999999E-3</v>
      </c>
      <c r="E25" s="427"/>
      <c r="F25" s="427"/>
      <c r="G25" s="427"/>
      <c r="H25" s="427">
        <f>IFERROR(ROUND(H13/'Rate Class Energy Model'!F13,4),0)</f>
        <v>1.9E-3</v>
      </c>
      <c r="I25" s="427">
        <f>IFERROR(ROUND(I13/'Rate Class Energy Model'!G13,4),0)</f>
        <v>2.8E-3</v>
      </c>
      <c r="J25" s="427">
        <f>IFERROR(ROUND(J13/'Rate Class Energy Model'!H13,4),0)</f>
        <v>2.7000000000000001E-3</v>
      </c>
      <c r="K25" s="427"/>
      <c r="L25" s="414"/>
    </row>
    <row r="26" spans="1:18" x14ac:dyDescent="0.25">
      <c r="A26" s="411">
        <v>2011</v>
      </c>
      <c r="B26" s="427"/>
      <c r="C26" s="427"/>
      <c r="D26" s="427">
        <f>IFERROR(ROUND(D14/'Rate Class Energy Model'!D14,4),0)</f>
        <v>2.5999999999999999E-3</v>
      </c>
      <c r="E26" s="427"/>
      <c r="F26" s="427"/>
      <c r="G26" s="427"/>
      <c r="H26" s="427">
        <f>IFERROR(ROUND(H14/'Rate Class Energy Model'!F14,4),0)</f>
        <v>1.9E-3</v>
      </c>
      <c r="I26" s="427">
        <f>IFERROR(ROUND(I14/'Rate Class Energy Model'!G14,4),0)</f>
        <v>2.8E-3</v>
      </c>
      <c r="J26" s="427">
        <f>IFERROR(ROUND(J14/'Rate Class Energy Model'!H14,4),0)</f>
        <v>2.7000000000000001E-3</v>
      </c>
      <c r="K26" s="427"/>
      <c r="L26" s="414"/>
    </row>
    <row r="27" spans="1:18" x14ac:dyDescent="0.25">
      <c r="A27" s="22">
        <v>2012</v>
      </c>
      <c r="B27" s="31"/>
      <c r="C27" s="31"/>
      <c r="D27" s="31">
        <f>IFERROR(ROUND(D15/'Rate Class Energy Model'!D15,4),0)</f>
        <v>2.5999999999999999E-3</v>
      </c>
      <c r="E27" s="31"/>
      <c r="F27" s="31"/>
      <c r="G27" s="31"/>
      <c r="H27" s="31">
        <f>IFERROR(ROUND(H15/'Rate Class Energy Model'!F15,4),0)</f>
        <v>1.9E-3</v>
      </c>
      <c r="I27" s="31">
        <f>IFERROR(ROUND(I15/'Rate Class Energy Model'!G15,4),0)</f>
        <v>2.8E-3</v>
      </c>
      <c r="J27" s="31">
        <f>IFERROR(ROUND(J15/'Rate Class Energy Model'!H15,4),0)</f>
        <v>2.7000000000000001E-3</v>
      </c>
      <c r="K27" s="31"/>
      <c r="L27" s="10"/>
    </row>
    <row r="28" spans="1:18" x14ac:dyDescent="0.25">
      <c r="A28" s="22">
        <v>2013</v>
      </c>
      <c r="B28" s="31"/>
      <c r="C28" s="31" t="s">
        <v>174</v>
      </c>
      <c r="D28" s="31">
        <f>IFERROR(ROUND(D16/'Rate Class Energy Model'!D16,4),0)</f>
        <v>2.5999999999999999E-3</v>
      </c>
      <c r="E28" s="31"/>
      <c r="F28" s="31"/>
      <c r="G28" s="31"/>
      <c r="H28" s="31">
        <f>IFERROR(ROUND(H16/'Rate Class Energy Model'!F16,4),0)</f>
        <v>1.9E-3</v>
      </c>
      <c r="I28" s="31">
        <f>IFERROR(ROUND(I16/'Rate Class Energy Model'!G16,4),0)</f>
        <v>2.8E-3</v>
      </c>
      <c r="J28" s="31">
        <f>IFERROR(ROUND(J16/'Rate Class Energy Model'!H16,4),0)</f>
        <v>2.7000000000000001E-3</v>
      </c>
      <c r="K28" s="31"/>
      <c r="L28" s="10"/>
    </row>
    <row r="29" spans="1:18" x14ac:dyDescent="0.25">
      <c r="A29" s="22">
        <v>2014</v>
      </c>
      <c r="B29" s="31"/>
      <c r="C29" s="31"/>
      <c r="D29" s="31">
        <f>IFERROR(ROUND(D17/'Rate Class Energy Model'!D17,4),0)</f>
        <v>2.5000000000000001E-3</v>
      </c>
      <c r="E29" s="31"/>
      <c r="F29" s="31"/>
      <c r="G29" s="31"/>
      <c r="H29" s="31">
        <f>IFERROR(ROUND(H17/'Rate Class Energy Model'!F17,4),0)</f>
        <v>2E-3</v>
      </c>
      <c r="I29" s="31">
        <f>IFERROR(ROUND(I17/'Rate Class Energy Model'!G17,4),0)</f>
        <v>2.8E-3</v>
      </c>
      <c r="J29" s="31">
        <f>IFERROR(ROUND(J17/'Rate Class Energy Model'!H17,4),0)</f>
        <v>2.7000000000000001E-3</v>
      </c>
      <c r="K29" s="31"/>
      <c r="L29" s="10"/>
    </row>
    <row r="30" spans="1:18" x14ac:dyDescent="0.25">
      <c r="A30" s="22">
        <v>2015</v>
      </c>
      <c r="B30" s="31"/>
      <c r="C30" s="31"/>
      <c r="D30" s="31">
        <f>IFERROR(ROUND(D18/'Rate Class Energy Model'!D18,4),0)</f>
        <v>2.5000000000000001E-3</v>
      </c>
      <c r="E30" s="31"/>
      <c r="F30" s="31"/>
      <c r="G30" s="31"/>
      <c r="H30" s="31">
        <f>IFERROR(ROUND(H18/'Rate Class Energy Model'!F18,4),0)</f>
        <v>1.9E-3</v>
      </c>
      <c r="I30" s="31">
        <f>IFERROR(ROUND(I18/'Rate Class Energy Model'!G18,4),0)</f>
        <v>2.8E-3</v>
      </c>
      <c r="J30" s="31">
        <f>IFERROR(ROUND(J18/'Rate Class Energy Model'!H18,4),0)</f>
        <v>2.7000000000000001E-3</v>
      </c>
      <c r="K30" s="31"/>
      <c r="L30" s="10"/>
    </row>
    <row r="31" spans="1:18" x14ac:dyDescent="0.25">
      <c r="A31" s="253" t="s">
        <v>241</v>
      </c>
      <c r="B31" s="240"/>
      <c r="C31" s="240"/>
      <c r="D31" s="240">
        <f>AVERAGE(D27:D30)</f>
        <v>2.5500000000000002E-3</v>
      </c>
      <c r="E31" s="240"/>
      <c r="F31" s="240"/>
      <c r="G31" s="240"/>
      <c r="H31" s="240">
        <f t="shared" ref="H31:J31" si="8">AVERAGE(H27:H30)</f>
        <v>1.9249999999999998E-3</v>
      </c>
      <c r="I31" s="240">
        <f t="shared" si="8"/>
        <v>2.8E-3</v>
      </c>
      <c r="J31" s="240">
        <f t="shared" si="8"/>
        <v>2.7000000000000001E-3</v>
      </c>
      <c r="K31" s="240"/>
      <c r="L31" s="240"/>
    </row>
    <row r="32" spans="1:18" ht="18.75" x14ac:dyDescent="0.3">
      <c r="A32" s="330" t="s">
        <v>157</v>
      </c>
      <c r="B32" s="331"/>
      <c r="C32" s="331"/>
      <c r="D32" s="331"/>
      <c r="E32" s="331"/>
      <c r="F32" s="331"/>
      <c r="G32" s="331"/>
      <c r="H32" s="331"/>
      <c r="I32" s="331"/>
      <c r="J32" s="331"/>
      <c r="K32" s="331"/>
      <c r="L32" s="332"/>
    </row>
    <row r="33" spans="1:12" s="28" customFormat="1" ht="23.25" customHeight="1" x14ac:dyDescent="0.25">
      <c r="A33" s="236">
        <v>2016</v>
      </c>
      <c r="B33" s="75">
        <f>ROUND(B31*('Rate Class Energy Model'!B58+'Rate Class Energy Model'!B61),0)</f>
        <v>0</v>
      </c>
      <c r="C33" s="75">
        <f>ROUND(C31*('Rate Class Energy Model'!C58+'Rate Class Energy Model'!C61),0)</f>
        <v>0</v>
      </c>
      <c r="D33" s="75">
        <f>ROUND(D31*('Rate Class Energy Model'!D58+'Rate Class Energy Model'!D61),0)</f>
        <v>3818819</v>
      </c>
      <c r="E33" s="75">
        <f>E18</f>
        <v>154800</v>
      </c>
      <c r="F33" s="75">
        <f>F19</f>
        <v>72320.243986216883</v>
      </c>
      <c r="G33" s="75">
        <f>SUM(E33:F33)</f>
        <v>227120.2439862169</v>
      </c>
      <c r="H33" s="75">
        <f>ROUND(H31*('Rate Class Energy Model'!F58+'Rate Class Energy Model'!F61),0)</f>
        <v>200298</v>
      </c>
      <c r="I33" s="75">
        <f>ROUND(I31*('Rate Class Energy Model'!G58+'Rate Class Energy Model'!G61),0)</f>
        <v>61956</v>
      </c>
      <c r="J33" s="75">
        <f>ROUND(J31*('Rate Class Energy Model'!H58+'Rate Class Energy Model'!H61),0)</f>
        <v>1929</v>
      </c>
      <c r="K33" s="75">
        <f>ROUND(K31*('Rate Class Energy Model'!I58+'Rate Class Energy Model'!I61),0)</f>
        <v>0</v>
      </c>
      <c r="L33" s="237">
        <f>SUM(B33:F33,H33:K33)</f>
        <v>4310122.2439862173</v>
      </c>
    </row>
    <row r="34" spans="1:12" s="28" customFormat="1" ht="23.25" customHeight="1" x14ac:dyDescent="0.25">
      <c r="A34" s="238">
        <v>2017</v>
      </c>
      <c r="B34" s="90">
        <f>ROUND(B31*('Rate Class Energy Model'!B59+'Rate Class Energy Model'!B62),0)</f>
        <v>0</v>
      </c>
      <c r="C34" s="90">
        <f>ROUND(C31*('Rate Class Energy Model'!C59+'Rate Class Energy Model'!C62),0)</f>
        <v>0</v>
      </c>
      <c r="D34" s="90">
        <f>ROUND(D31*('Rate Class Energy Model'!D59+'Rate Class Energy Model'!D62),0)</f>
        <v>3751052</v>
      </c>
      <c r="E34" s="90">
        <f>E33</f>
        <v>154800</v>
      </c>
      <c r="F34" s="90">
        <f>F33</f>
        <v>72320.243986216883</v>
      </c>
      <c r="G34" s="75">
        <f>SUM(E34:F34)</f>
        <v>227120.2439862169</v>
      </c>
      <c r="H34" s="90">
        <f>ROUND(H31*('Rate Class Energy Model'!F59+'Rate Class Energy Model'!F62),0)</f>
        <v>171301</v>
      </c>
      <c r="I34" s="90">
        <f>ROUND(I31*('Rate Class Energy Model'!G59+'Rate Class Energy Model'!G62),0)</f>
        <v>54873</v>
      </c>
      <c r="J34" s="90">
        <f>ROUND(J31*('Rate Class Energy Model'!H59+'Rate Class Energy Model'!H62),0)</f>
        <v>1882</v>
      </c>
      <c r="K34" s="90">
        <f>ROUND(K31*('Rate Class Energy Model'!I59+'Rate Class Energy Model'!I62),0)</f>
        <v>0</v>
      </c>
      <c r="L34" s="237">
        <f>SUM(B34:F34,H34:K34)</f>
        <v>4206228.2439862173</v>
      </c>
    </row>
    <row r="35" spans="1:12" ht="18.75" x14ac:dyDescent="0.3">
      <c r="A35" s="333" t="s">
        <v>154</v>
      </c>
      <c r="B35" s="325"/>
      <c r="C35" s="325"/>
      <c r="D35" s="325"/>
      <c r="E35" s="325"/>
      <c r="F35" s="325"/>
      <c r="G35" s="325"/>
      <c r="H35" s="325"/>
      <c r="I35" s="325"/>
      <c r="J35" s="325"/>
      <c r="K35" s="325"/>
      <c r="L35" s="334"/>
    </row>
    <row r="36" spans="1:12" x14ac:dyDescent="0.25">
      <c r="A36" s="236">
        <v>2016</v>
      </c>
      <c r="B36" s="75">
        <f>WMP!B49</f>
        <v>0</v>
      </c>
      <c r="C36" s="75">
        <f>WMP!C49</f>
        <v>0</v>
      </c>
      <c r="D36" s="75">
        <f>WMP!D49</f>
        <v>32063.982604633686</v>
      </c>
      <c r="E36" s="75">
        <f>WMP!E49</f>
        <v>0</v>
      </c>
      <c r="F36" s="75">
        <f>WMP!F49</f>
        <v>0</v>
      </c>
      <c r="G36" s="75">
        <f>WMP!G49</f>
        <v>0</v>
      </c>
      <c r="H36" s="75">
        <f>WMP!H49</f>
        <v>0</v>
      </c>
      <c r="I36" s="75">
        <f>WMP!G49</f>
        <v>0</v>
      </c>
      <c r="J36" s="75">
        <f>WMP!H49</f>
        <v>0</v>
      </c>
      <c r="K36" s="75">
        <f>WMP!I49</f>
        <v>0</v>
      </c>
      <c r="L36" s="237">
        <f>SUM(B36:K36)</f>
        <v>32063.982604633686</v>
      </c>
    </row>
    <row r="37" spans="1:12" x14ac:dyDescent="0.25">
      <c r="A37" s="238">
        <v>2017</v>
      </c>
      <c r="B37" s="90">
        <f>WMP!B50</f>
        <v>0</v>
      </c>
      <c r="C37" s="90">
        <f>WMP!C50</f>
        <v>0</v>
      </c>
      <c r="D37" s="90">
        <f>WMP!D50</f>
        <v>32066.218633143475</v>
      </c>
      <c r="E37" s="90">
        <f>WMP!E50</f>
        <v>0</v>
      </c>
      <c r="F37" s="90">
        <f>WMP!F50</f>
        <v>0</v>
      </c>
      <c r="G37" s="90">
        <f>WMP!G50</f>
        <v>0</v>
      </c>
      <c r="H37" s="90">
        <f>WMP!H50</f>
        <v>0</v>
      </c>
      <c r="I37" s="90">
        <f>WMP!G50</f>
        <v>0</v>
      </c>
      <c r="J37" s="90">
        <f>WMP!H50</f>
        <v>0</v>
      </c>
      <c r="K37" s="90">
        <f>WMP!I50</f>
        <v>0</v>
      </c>
      <c r="L37" s="91">
        <f>SUM(B37:K37)</f>
        <v>32066.218633143475</v>
      </c>
    </row>
    <row r="38" spans="1:12" ht="18.75" x14ac:dyDescent="0.3">
      <c r="A38" s="330" t="s">
        <v>156</v>
      </c>
      <c r="B38" s="331"/>
      <c r="C38" s="331"/>
      <c r="D38" s="331"/>
      <c r="E38" s="331"/>
      <c r="F38" s="331"/>
      <c r="G38" s="331"/>
      <c r="H38" s="331"/>
      <c r="I38" s="331"/>
      <c r="J38" s="331"/>
      <c r="K38" s="331"/>
      <c r="L38" s="332"/>
    </row>
    <row r="39" spans="1:12" s="28" customFormat="1" ht="23.25" customHeight="1" x14ac:dyDescent="0.25">
      <c r="A39" s="236">
        <v>2016</v>
      </c>
      <c r="B39" s="75">
        <f>B33+B36</f>
        <v>0</v>
      </c>
      <c r="C39" s="75">
        <f t="shared" ref="C39:K40" si="9">C33+C36</f>
        <v>0</v>
      </c>
      <c r="D39" s="75">
        <f t="shared" si="9"/>
        <v>3850882.9826046336</v>
      </c>
      <c r="E39" s="75">
        <f t="shared" ref="E39:H39" si="10">E33+E36</f>
        <v>154800</v>
      </c>
      <c r="F39" s="75">
        <f t="shared" si="10"/>
        <v>72320.243986216883</v>
      </c>
      <c r="G39" s="75">
        <f t="shared" si="10"/>
        <v>227120.2439862169</v>
      </c>
      <c r="H39" s="75">
        <f t="shared" si="10"/>
        <v>200298</v>
      </c>
      <c r="I39" s="75">
        <f t="shared" si="9"/>
        <v>61956</v>
      </c>
      <c r="J39" s="75">
        <f t="shared" si="9"/>
        <v>1929</v>
      </c>
      <c r="K39" s="75">
        <f t="shared" si="9"/>
        <v>0</v>
      </c>
      <c r="L39" s="237">
        <f>SUM(B39:F39,H39:K39)</f>
        <v>4342186.2265908504</v>
      </c>
    </row>
    <row r="40" spans="1:12" s="28" customFormat="1" ht="23.25" customHeight="1" x14ac:dyDescent="0.25">
      <c r="A40" s="238">
        <v>2017</v>
      </c>
      <c r="B40" s="90">
        <f>B34+B37</f>
        <v>0</v>
      </c>
      <c r="C40" s="90">
        <f t="shared" si="9"/>
        <v>0</v>
      </c>
      <c r="D40" s="90">
        <f t="shared" si="9"/>
        <v>3783118.2186331437</v>
      </c>
      <c r="E40" s="90">
        <f t="shared" ref="E40:H40" si="11">E34+E37</f>
        <v>154800</v>
      </c>
      <c r="F40" s="90">
        <f t="shared" si="11"/>
        <v>72320.243986216883</v>
      </c>
      <c r="G40" s="90">
        <f t="shared" si="11"/>
        <v>227120.2439862169</v>
      </c>
      <c r="H40" s="90">
        <f t="shared" si="11"/>
        <v>171301</v>
      </c>
      <c r="I40" s="90">
        <f t="shared" si="9"/>
        <v>54873</v>
      </c>
      <c r="J40" s="90">
        <f t="shared" si="9"/>
        <v>1882</v>
      </c>
      <c r="K40" s="90">
        <f t="shared" si="9"/>
        <v>0</v>
      </c>
      <c r="L40" s="91">
        <f>SUM(B40:F40,H40:K40)</f>
        <v>4238294.4626193605</v>
      </c>
    </row>
  </sheetData>
  <pageMargins left="0.7" right="0.7" top="0.75" bottom="0.75" header="0.3" footer="0.3"/>
  <pageSetup scale="75"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Admin</vt:lpstr>
      <vt:lpstr>Wholesale Forecast</vt:lpstr>
      <vt:lpstr>Forecast Accuracy</vt:lpstr>
      <vt:lpstr>Rate Class Customer Model</vt:lpstr>
      <vt:lpstr>Generation Customer Model</vt:lpstr>
      <vt:lpstr>WMP</vt:lpstr>
      <vt:lpstr>CDM</vt:lpstr>
      <vt:lpstr>Rate Class Energy Model</vt:lpstr>
      <vt:lpstr>Rate Class Demand Model</vt:lpstr>
      <vt:lpstr>Transformer Allowance</vt:lpstr>
      <vt:lpstr>Detailed Summary</vt:lpstr>
      <vt:lpstr>Summary</vt:lpstr>
      <vt:lpstr>COP Rates</vt:lpstr>
      <vt:lpstr>COP Forecast</vt:lpstr>
      <vt:lpstr>2016 Revenue at Old Rates</vt:lpstr>
      <vt:lpstr>Market Participant</vt:lpstr>
      <vt:lpstr>'2016 Revenue at Old Rates'!Print_Area</vt:lpstr>
      <vt:lpstr>CDM!Print_Area</vt:lpstr>
      <vt:lpstr>'COP Forecast'!Print_Area</vt:lpstr>
      <vt:lpstr>'COP Rates'!Print_Area</vt:lpstr>
      <vt:lpstr>'Detailed Summary'!Print_Area</vt:lpstr>
      <vt:lpstr>'Forecast Accuracy'!Print_Area</vt:lpstr>
      <vt:lpstr>'Market Participant'!Print_Area</vt:lpstr>
      <vt:lpstr>'Rate Class Customer Model'!Print_Area</vt:lpstr>
      <vt:lpstr>'Rate Class Demand Model'!Print_Area</vt:lpstr>
      <vt:lpstr>'Rate Class Energy Model'!Print_Area</vt:lpstr>
      <vt:lpstr>Summary!Print_Area</vt:lpstr>
      <vt:lpstr>'Rate Class Energy Model'!Print_Titles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andrya.eagen</dc:creator>
  <cp:lastModifiedBy>Martin Benum</cp:lastModifiedBy>
  <cp:lastPrinted>2016-12-19T20:38:08Z</cp:lastPrinted>
  <dcterms:created xsi:type="dcterms:W3CDTF">2015-05-05T17:44:18Z</dcterms:created>
  <dcterms:modified xsi:type="dcterms:W3CDTF">2017-01-06T19:40:48Z</dcterms:modified>
</cp:coreProperties>
</file>