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4505" yWindow="-15" windowWidth="14340" windowHeight="12930" tabRatio="751"/>
  </bookViews>
  <sheets>
    <sheet name="Input Appendices removing ICM" sheetId="2" r:id="rId1"/>
    <sheet name="ROE Summary removing ICM" sheetId="1" r:id="rId2"/>
    <sheet name="Overearning" sheetId="9" r:id="rId3"/>
    <sheet name="Table 7.2" sheetId="8" r:id="rId4"/>
  </sheets>
  <definedNames>
    <definedName name="_xlnm.Print_Area" localSheetId="0">'Input Appendices removing ICM'!$A$2:$J$163</definedName>
    <definedName name="_xlnm.Print_Area" localSheetId="1">'ROE Summary removing ICM'!$A$1:$M$94</definedName>
    <definedName name="_xlnm.Print_Titles" localSheetId="1">'ROE Summary removing ICM'!$2:$14</definedName>
  </definedNames>
  <calcPr calcId="125725"/>
</workbook>
</file>

<file path=xl/calcChain.xml><?xml version="1.0" encoding="utf-8"?>
<calcChain xmlns="http://schemas.openxmlformats.org/spreadsheetml/2006/main">
  <c r="H70" i="9"/>
  <c r="H68"/>
  <c r="H65"/>
  <c r="H60"/>
  <c r="G60"/>
  <c r="F60"/>
  <c r="H61"/>
  <c r="H57"/>
  <c r="H59" s="1"/>
  <c r="H56"/>
  <c r="H55"/>
  <c r="G57"/>
  <c r="G59" s="1"/>
  <c r="H25" l="1"/>
  <c r="F25"/>
  <c r="H16"/>
  <c r="I2"/>
  <c r="F19"/>
  <c r="F42" l="1"/>
  <c r="H42"/>
  <c r="G35"/>
  <c r="G37" s="1"/>
  <c r="G50" s="1"/>
  <c r="F57"/>
  <c r="F59" s="1"/>
  <c r="H45"/>
  <c r="H39"/>
  <c r="G27"/>
  <c r="F35" l="1"/>
  <c r="F37" s="1"/>
  <c r="H37" s="1"/>
  <c r="F24" l="1"/>
  <c r="F20"/>
  <c r="F22" s="1"/>
  <c r="H12" l="1"/>
  <c r="H7"/>
  <c r="H14" s="1"/>
  <c r="B11" i="8"/>
  <c r="C9"/>
  <c r="E29" i="1"/>
  <c r="C108" i="2"/>
  <c r="C3" i="8"/>
  <c r="B21"/>
  <c r="B23" s="1"/>
  <c r="D9" l="1"/>
  <c r="D7" l="1"/>
  <c r="D6"/>
  <c r="D5"/>
  <c r="D4"/>
  <c r="C4"/>
  <c r="D3"/>
  <c r="D2"/>
  <c r="E140" i="2" l="1"/>
  <c r="C124" l="1"/>
  <c r="E75" i="1" s="1"/>
  <c r="C29" i="2" l="1"/>
  <c r="C25"/>
  <c r="E156"/>
  <c r="E155"/>
  <c r="E154"/>
  <c r="E151"/>
  <c r="E150"/>
  <c r="E149"/>
  <c r="E145"/>
  <c r="C109"/>
  <c r="C85"/>
  <c r="C92" s="1"/>
  <c r="C147" s="1"/>
  <c r="E147" s="1"/>
  <c r="C78"/>
  <c r="C146" s="1"/>
  <c r="E146" s="1"/>
  <c r="C70"/>
  <c r="C144" s="1"/>
  <c r="E144" s="1"/>
  <c r="C33"/>
  <c r="C55" l="1"/>
  <c r="C143" s="1"/>
  <c r="E143" s="1"/>
  <c r="E72" i="1"/>
  <c r="E64"/>
  <c r="E67" s="1"/>
  <c r="E69" s="1"/>
  <c r="E38"/>
  <c r="E37"/>
  <c r="E32" l="1"/>
  <c r="E77" l="1"/>
  <c r="E78" l="1"/>
  <c r="E80" s="1"/>
  <c r="C10" i="8"/>
  <c r="E82" i="1" l="1"/>
  <c r="D10" i="8"/>
  <c r="C11"/>
  <c r="D11" s="1"/>
  <c r="E81" i="1"/>
  <c r="C94" i="2" s="1"/>
  <c r="C97" s="1"/>
  <c r="C148" s="1"/>
  <c r="E148" s="1"/>
  <c r="E158" s="1"/>
  <c r="E160" s="1"/>
  <c r="C99" l="1"/>
  <c r="E39" i="1" s="1"/>
  <c r="E41" s="1"/>
  <c r="E48" l="1"/>
  <c r="E52" s="1"/>
  <c r="E85" s="1"/>
  <c r="C158" i="2"/>
  <c r="E89" i="1" l="1"/>
  <c r="E91" l="1"/>
</calcChain>
</file>

<file path=xl/sharedStrings.xml><?xml version="1.0" encoding="utf-8"?>
<sst xmlns="http://schemas.openxmlformats.org/spreadsheetml/2006/main" count="374" uniqueCount="352">
  <si>
    <t>a</t>
  </si>
  <si>
    <t>Add back:</t>
  </si>
  <si>
    <t>b</t>
  </si>
  <si>
    <t>Deduct:</t>
  </si>
  <si>
    <t>c</t>
  </si>
  <si>
    <t>Adjustment items:</t>
  </si>
  <si>
    <t>e</t>
  </si>
  <si>
    <t>f</t>
  </si>
  <si>
    <t>g</t>
  </si>
  <si>
    <t>i</t>
  </si>
  <si>
    <t>j</t>
  </si>
  <si>
    <t>k</t>
  </si>
  <si>
    <t>Deemed Equity</t>
  </si>
  <si>
    <t>Cost of power</t>
  </si>
  <si>
    <t>m</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</si>
  <si>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</si>
  <si>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</si>
  <si>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</si>
  <si>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</si>
  <si>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</si>
  <si>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</si>
  <si>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</si>
  <si>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</si>
  <si>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</si>
  <si>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</si>
  <si>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</si>
  <si>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</si>
  <si>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</si>
  <si>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</si>
  <si>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</si>
  <si>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</si>
  <si>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</si>
  <si>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</si>
  <si>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</si>
  <si>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</si>
  <si>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</si>
  <si>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</si>
  <si>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</si>
  <si>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</si>
  <si>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</si>
  <si>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</si>
  <si>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</si>
  <si>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</si>
  <si>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</si>
  <si>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</si>
  <si>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</si>
  <si>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</si>
  <si>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</si>
  <si>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</si>
  <si>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RRR 2.1.7 - USoA 6110</t>
  </si>
  <si>
    <t>RRR 2.1.7- Control account USoA 6205</t>
  </si>
  <si>
    <t>Data source:</t>
  </si>
  <si>
    <t>RRR 2.1.7 - Sum of USoA 4705 - 4751 inclusive</t>
  </si>
  <si>
    <t>Less:</t>
  </si>
  <si>
    <t>RRR 2.1.7- Sum of USoA 6005-6045 inclusive</t>
  </si>
  <si>
    <t>%</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</si>
  <si>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</si>
  <si>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</si>
  <si>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</si>
  <si>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</si>
  <si>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</si>
  <si>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</si>
  <si>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</si>
  <si>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</si>
  <si>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</si>
  <si>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</si>
  <si>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</si>
  <si>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</si>
  <si>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</si>
  <si>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</si>
  <si>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</si>
  <si>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</si>
  <si>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</si>
  <si>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</si>
  <si>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</si>
  <si>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</si>
  <si>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</si>
  <si>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</si>
  <si>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</si>
  <si>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</si>
  <si>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Renewable generation - Net revenues/expenses</t>
  </si>
  <si>
    <t>Water services - Net revenues/expenses</t>
  </si>
  <si>
    <t xml:space="preserve">Interest expense as per RRR 2.1.7 </t>
  </si>
  <si>
    <t>Non-recoverable donations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</si>
  <si>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</si>
  <si>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</si>
  <si>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</si>
  <si>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</si>
  <si>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</si>
  <si>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</si>
  <si>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</si>
  <si>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</si>
  <si>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</si>
  <si>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</si>
  <si>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</si>
  <si>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</si>
  <si>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</si>
  <si>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</si>
  <si>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</si>
  <si>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</si>
  <si>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</si>
  <si>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</si>
  <si>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</si>
  <si>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</si>
  <si>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</si>
  <si>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</si>
  <si>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</si>
  <si>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</si>
  <si>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</si>
  <si>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</si>
  <si>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</si>
  <si>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</si>
  <si>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</si>
  <si>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</si>
  <si>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</si>
  <si>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</si>
  <si>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</si>
  <si>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</si>
  <si>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</si>
  <si>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</si>
  <si>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</si>
  <si>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</si>
  <si>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</si>
  <si>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</si>
  <si>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</si>
  <si>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</si>
  <si>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</si>
  <si>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</si>
  <si>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</si>
  <si>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</si>
  <si>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</si>
  <si>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</si>
  <si>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</si>
  <si>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</si>
  <si>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</si>
  <si>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</si>
  <si>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</si>
  <si>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</si>
  <si>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</si>
  <si>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</si>
  <si>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</si>
  <si>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</si>
  <si>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</si>
  <si>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</si>
  <si>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</si>
  <si>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</si>
  <si>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</si>
  <si>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</si>
  <si>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</si>
  <si>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</si>
  <si>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</si>
  <si>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</si>
  <si>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</si>
  <si>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</si>
  <si>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</si>
  <si>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</si>
  <si>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</si>
  <si>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</si>
  <si>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</si>
  <si>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</si>
  <si>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</si>
  <si>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</si>
  <si>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Adjustment Items:</t>
  </si>
  <si>
    <t>Less other adjustments, please specify:</t>
  </si>
  <si>
    <t>ee</t>
  </si>
  <si>
    <t>RRR 2.1.7- Sum of USoA 1605-2075,2440 and 2105-2180 inclusive</t>
  </si>
  <si>
    <t>Appendix 2 cell (be)</t>
  </si>
  <si>
    <t>Current Tax Provision/(Recovery) as per RRR 2.1.7 USoA 6110</t>
  </si>
  <si>
    <t>(Income)/Expense</t>
  </si>
  <si>
    <t>xx</t>
  </si>
  <si>
    <t>yy</t>
  </si>
  <si>
    <t>Opening balance - regulated PP&amp;E (NBV)</t>
  </si>
  <si>
    <t>Prior year "Closing balance - regulated PP&amp;E (NBV)"</t>
  </si>
  <si>
    <t xml:space="preserve">Prior year "Closing balance - regulated PP&amp;E (NBV)" data in RRR 2.1.5.6 </t>
  </si>
  <si>
    <t xml:space="preserve">PP&amp;E </t>
  </si>
  <si>
    <t>Average regulated PP&amp;E</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</si>
  <si>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</si>
  <si>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</si>
  <si>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</si>
  <si>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</si>
  <si>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</si>
  <si>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</si>
  <si>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</si>
  <si>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</si>
  <si>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</si>
  <si>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</si>
  <si>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</si>
  <si>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</si>
  <si>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</si>
  <si>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</si>
  <si>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</si>
  <si>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</si>
  <si>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</si>
  <si>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</si>
  <si>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</si>
  <si>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</si>
  <si>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</si>
  <si>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</si>
  <si>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</si>
  <si>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</si>
  <si>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</si>
  <si>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</si>
  <si>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</si>
  <si>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</si>
  <si>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</si>
  <si>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</si>
  <si>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</si>
  <si>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</si>
  <si>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</si>
  <si>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</si>
  <si>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</si>
  <si>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</si>
  <si>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</si>
  <si>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</si>
  <si>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Interest expense after adjustments</t>
  </si>
  <si>
    <t xml:space="preserve">r </t>
  </si>
  <si>
    <t xml:space="preserve">s </t>
  </si>
  <si>
    <t>gi= - df</t>
  </si>
  <si>
    <t>Adjusted closing balance - regulated PP&amp;E (NBV)</t>
  </si>
  <si>
    <t>Regulated net income (loss), as per RRR 2.1.7</t>
  </si>
  <si>
    <t>All inputs are in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</si>
  <si>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</si>
  <si>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</si>
  <si>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</si>
  <si>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</si>
  <si>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</si>
  <si>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</si>
  <si>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</si>
  <si>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</si>
  <si>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</si>
  <si>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</si>
  <si>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</si>
  <si>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</si>
  <si>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</si>
  <si>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</si>
  <si>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</si>
  <si>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</si>
  <si>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</si>
  <si>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</si>
  <si>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</si>
  <si>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</si>
  <si>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</si>
  <si>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</si>
  <si>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</si>
  <si>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</si>
  <si>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</si>
  <si>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</si>
  <si>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</si>
  <si>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Current Tax Provision/(Recovery) for the purposes of calculating Regulated ROE</t>
  </si>
  <si>
    <t>Adjusted regulated net income before tax adjustments</t>
  </si>
  <si>
    <t>Adjusted regulated net income</t>
  </si>
  <si>
    <t>Adjustments if required, please explain the nature</t>
  </si>
  <si>
    <t>fa2</t>
  </si>
  <si>
    <t xml:space="preserve">Loss carry forward from prior years included in current tax provision as per AFS </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</si>
  <si>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</si>
  <si>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</si>
  <si>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</si>
  <si>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</si>
  <si>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</si>
  <si>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</si>
  <si>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</si>
  <si>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</si>
  <si>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</si>
  <si>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</si>
  <si>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</si>
  <si>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</si>
  <si>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t>Working capital allowance % as approved in the distributor's last CoS Decision and Order</t>
  </si>
  <si>
    <t>MIFRS</t>
  </si>
  <si>
    <t>EB-2014-0000</t>
  </si>
  <si>
    <t>Check balance  - Does fa+fb=fc?</t>
  </si>
  <si>
    <t>Rate of return charged on 1575/1576</t>
  </si>
  <si>
    <t>COS</t>
  </si>
  <si>
    <t>USOA</t>
  </si>
  <si>
    <t>Distribution Revenue</t>
  </si>
  <si>
    <t>Other revenue</t>
  </si>
  <si>
    <t>OM&amp;A</t>
  </si>
  <si>
    <t>Amortization</t>
  </si>
  <si>
    <t>Other expenses</t>
  </si>
  <si>
    <t>Current tax expense</t>
  </si>
  <si>
    <t>Working capital allowance</t>
  </si>
  <si>
    <t>Avg NBV</t>
  </si>
  <si>
    <t>Changes to opening NBV</t>
  </si>
  <si>
    <t>TS added in</t>
  </si>
  <si>
    <t>Acc. Dep on TS added in</t>
  </si>
  <si>
    <t>Bypass removed</t>
  </si>
  <si>
    <t>Acc. Dep on bypass removed</t>
  </si>
  <si>
    <t>Net adj to opening NBV</t>
  </si>
  <si>
    <t>NBV ICM DVA Account assets at Dec 31 14 included in 2015 rate base &amp; Goodwill</t>
  </si>
  <si>
    <t>Remove 2015 Goodwill NBV</t>
  </si>
  <si>
    <t>Less goodwill in intangibles</t>
  </si>
  <si>
    <t>2014</t>
  </si>
  <si>
    <t>Note:  Goodwill needs adjusted out from intanbgilbes in both 2014and 2015</t>
  </si>
  <si>
    <t>Unrealized loss on swap</t>
  </si>
  <si>
    <t>Overearning calculation</t>
  </si>
  <si>
    <t>2.1.7</t>
  </si>
  <si>
    <t>Difference</t>
  </si>
  <si>
    <t>Collected via rate riders</t>
  </si>
  <si>
    <t>GL</t>
  </si>
  <si>
    <t>Less OPA incentives</t>
  </si>
  <si>
    <t>Solar Gen</t>
  </si>
  <si>
    <t>Distribution Expenses</t>
  </si>
  <si>
    <t>Biiling</t>
  </si>
  <si>
    <t>Community Relations</t>
  </si>
  <si>
    <t>Admin</t>
  </si>
  <si>
    <t>ROE Amount</t>
  </si>
  <si>
    <t>Deemed per COS</t>
  </si>
  <si>
    <t>Achieved</t>
  </si>
  <si>
    <t>Overage</t>
  </si>
  <si>
    <t>Depreciation</t>
  </si>
  <si>
    <t>Deemed Interest</t>
  </si>
  <si>
    <t>Deemed ROE</t>
  </si>
  <si>
    <t>Income tax gross up</t>
  </si>
  <si>
    <t>Operatine expenses</t>
  </si>
  <si>
    <t>Average reg rate base</t>
  </si>
  <si>
    <t>taxes</t>
  </si>
  <si>
    <t>donations</t>
  </si>
  <si>
    <t>less non leap donations</t>
  </si>
  <si>
    <t>ICM Rate Riders - new rater rider for sevenmonths 2015</t>
  </si>
  <si>
    <t>ICM Rate Riders  to April 30, 2015.  Aproved disposition</t>
  </si>
  <si>
    <t>Other Operating  Revenue</t>
  </si>
  <si>
    <t>$40,000 related to disposition of TS expenses May 1, 2015</t>
  </si>
  <si>
    <t xml:space="preserve">365,781 adjustment for OEB apispoistion of ICM.  Other $19K due to actual </t>
  </si>
  <si>
    <t>coming in slightly less than budget'</t>
  </si>
  <si>
    <t xml:space="preserve">Most ICM rate rider items were taxed in previous year when collected </t>
  </si>
  <si>
    <t>Slight increase in actual borrowing costs - primarily related ot overdraft interst</t>
  </si>
  <si>
    <t xml:space="preserve">Includes $232,377 related to dispostion of ICM carrying charges approved </t>
  </si>
  <si>
    <t>FESTIVAL HYDRO INC - 2.15.6</t>
  </si>
  <si>
    <t>Distribiotn revenu higher than COS due to GS &gt; 50 and Large Use sales</t>
  </si>
  <si>
    <t>being higher than COS forecast.  Within 0.5% of budget</t>
  </si>
  <si>
    <t>Distribution Revenues</t>
  </si>
  <si>
    <t>Total reveneu overage</t>
  </si>
  <si>
    <t>Other income less 4305 tax</t>
  </si>
  <si>
    <t>4082 to 4084 income</t>
  </si>
  <si>
    <t>intest income exclude DVA int</t>
  </si>
  <si>
    <t>for 2015 COS.  Remaining $11,184 made up of smaller items and within 1.5% of budget</t>
  </si>
  <si>
    <t>Remaining $75K overage due to a combination of OM &amp; A expenditures, within 1.5 % of budget</t>
  </si>
  <si>
    <t>O, M &amp; A (All)</t>
  </si>
  <si>
    <t>Total Service Revenue Requirement per RRWF</t>
  </si>
  <si>
    <t>Cost of Power</t>
  </si>
  <si>
    <t>Cost of Power $2.6 M higher than used for forecasting 2015 COS</t>
  </si>
  <si>
    <t>Change in Avge PPE</t>
  </si>
  <si>
    <t>Spending slightly higher in 2015 than pojectd in COS - $70K due to CCRA higher than expected</t>
  </si>
  <si>
    <t>Operating expenses higher than projected in COS - $40K due to ICM disposition</t>
  </si>
  <si>
    <t>Per 2.1.7</t>
  </si>
  <si>
    <t xml:space="preserve">Per 2015 COS RRWF </t>
  </si>
  <si>
    <t>Change in working capital allowance:</t>
  </si>
  <si>
    <t>REMOVAL OF ICM</t>
  </si>
  <si>
    <t>INCOME</t>
  </si>
  <si>
    <t>Carrying charges</t>
  </si>
  <si>
    <t>Depreciaiotn</t>
  </si>
  <si>
    <t>removal of icm rate rider impact</t>
  </si>
  <si>
    <t>Add back amounjt due in 4 months 2015</t>
  </si>
</sst>
</file>

<file path=xl/styles.xml><?xml version="1.0" encoding="utf-8"?>
<styleSheet xmlns="http://schemas.openxmlformats.org/spreadsheetml/2006/main">
  <numFmts count="6">
    <numFmt numFmtId="7" formatCode="&quot;$&quot;#,##0.00;\-&quot;$&quot;#,##0.00"/>
    <numFmt numFmtId="44" formatCode="_-&quot;$&quot;* #,##0.00_-;\-&quot;$&quot;* #,##0.00_-;_-&quot;$&quot;* &quot;-&quot;??_-;_-@_-"/>
    <numFmt numFmtId="43" formatCode="_-* #,##0.00_-;\-* #,##0.00_-;_-* &quot;-&quot;??_-;_-@_-"/>
    <numFmt numFmtId="164" formatCode="&quot;$&quot;#,##0_);\(&quot;$&quot;#,##0\)"/>
    <numFmt numFmtId="165" formatCode="_-* #,##0_-;\-* #,##0_-;_-* &quot;-&quot;??_-;_-@_-"/>
    <numFmt numFmtId="166" formatCode="&quot;$&quot;#,##0.00"/>
  </numFmts>
  <fonts count="4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sz val="12"/>
      <color theme="1"/>
      <name val="Calibri"/>
      <family val="2"/>
      <scheme val="minor"/>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
      <b/>
      <sz val="11"/>
      <color theme="1"/>
      <name val="Calibri"/>
      <family val="2"/>
      <scheme val="minor"/>
    </font>
    <font>
      <u val="singleAccounting"/>
      <sz val="11"/>
      <color theme="1"/>
      <name val="Calibri"/>
      <family val="2"/>
      <scheme val="minor"/>
    </font>
    <font>
      <b/>
      <u/>
      <sz val="11"/>
      <color theme="1"/>
      <name val="Calibri"/>
      <family val="2"/>
      <scheme val="minor"/>
    </font>
    <font>
      <b/>
      <u val="singleAccounting"/>
      <sz val="11"/>
      <color theme="1"/>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6">
    <xf numFmtId="0" fontId="0" fillId="0" borderId="0"/>
    <xf numFmtId="0" fontId="12" fillId="0" borderId="0"/>
    <xf numFmtId="0" fontId="15" fillId="0" borderId="0"/>
    <xf numFmtId="44" fontId="15" fillId="0" borderId="0" applyFont="0" applyFill="0" applyBorder="0" applyAlignment="0" applyProtection="0"/>
    <xf numFmtId="9" fontId="15" fillId="0" borderId="0" applyFont="0" applyFill="0" applyBorder="0" applyAlignment="0" applyProtection="0"/>
    <xf numFmtId="43" fontId="18" fillId="0" borderId="0" applyFont="0" applyFill="0" applyBorder="0" applyAlignment="0" applyProtection="0"/>
  </cellStyleXfs>
  <cellXfs count="264">
    <xf numFmtId="0" fontId="0" fillId="0" borderId="0" xfId="0"/>
    <xf numFmtId="0" fontId="14" fillId="0" borderId="0" xfId="0" applyFont="1" applyFill="1" applyBorder="1" applyAlignment="1">
      <alignment vertical="top" wrapText="1"/>
    </xf>
    <xf numFmtId="0" fontId="14" fillId="0" borderId="0" xfId="0" applyFont="1" applyFill="1" applyBorder="1" applyAlignment="1">
      <alignment vertical="top"/>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8"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0" fillId="0" borderId="0" xfId="0" applyBorder="1" applyAlignment="1">
      <alignment vertical="top"/>
    </xf>
    <xf numFmtId="3" fontId="1" fillId="0" borderId="0" xfId="0" applyNumberFormat="1" applyFont="1" applyFill="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4" fillId="0" borderId="2" xfId="0" applyFont="1" applyFill="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Fill="1" applyBorder="1" applyAlignment="1">
      <alignment vertical="top"/>
    </xf>
    <xf numFmtId="0" fontId="8"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8" fillId="0" borderId="6" xfId="0" applyFont="1" applyBorder="1" applyAlignment="1">
      <alignment vertical="top"/>
    </xf>
    <xf numFmtId="0" fontId="9" fillId="0" borderId="6" xfId="0" applyFont="1" applyBorder="1" applyAlignment="1">
      <alignment vertical="top"/>
    </xf>
    <xf numFmtId="0" fontId="2" fillId="0" borderId="0" xfId="0" applyFont="1" applyFill="1" applyBorder="1" applyAlignment="1">
      <alignment vertical="top"/>
    </xf>
    <xf numFmtId="0" fontId="10" fillId="0" borderId="6" xfId="0" applyFont="1" applyBorder="1" applyAlignment="1">
      <alignment vertical="top"/>
    </xf>
    <xf numFmtId="0" fontId="11" fillId="0" borderId="6" xfId="0" applyFont="1" applyBorder="1" applyAlignment="1">
      <alignment vertical="top"/>
    </xf>
    <xf numFmtId="0" fontId="9" fillId="0" borderId="6" xfId="0" applyFont="1" applyFill="1" applyBorder="1" applyAlignment="1">
      <alignment vertical="top"/>
    </xf>
    <xf numFmtId="0" fontId="2" fillId="0" borderId="0" xfId="0" applyFont="1" applyFill="1" applyAlignment="1">
      <alignment vertical="top"/>
    </xf>
    <xf numFmtId="0" fontId="3" fillId="0" borderId="10" xfId="0" applyFont="1" applyBorder="1" applyAlignment="1">
      <alignment vertical="top"/>
    </xf>
    <xf numFmtId="3" fontId="1" fillId="0" borderId="0" xfId="0" applyNumberFormat="1" applyFont="1" applyFill="1" applyAlignment="1">
      <alignment vertical="top"/>
    </xf>
    <xf numFmtId="0" fontId="8" fillId="0" borderId="0" xfId="0" applyFont="1" applyAlignment="1">
      <alignment vertical="top"/>
    </xf>
    <xf numFmtId="3" fontId="19" fillId="2" borderId="0" xfId="0" applyNumberFormat="1" applyFont="1" applyFill="1" applyAlignment="1">
      <alignment vertical="top"/>
    </xf>
    <xf numFmtId="3" fontId="19" fillId="0" borderId="0" xfId="0" applyNumberFormat="1" applyFont="1" applyBorder="1" applyAlignment="1">
      <alignment vertical="top"/>
    </xf>
    <xf numFmtId="3" fontId="19" fillId="0" borderId="3" xfId="0" applyNumberFormat="1" applyFont="1" applyBorder="1" applyAlignment="1">
      <alignment vertical="top"/>
    </xf>
    <xf numFmtId="0" fontId="20" fillId="0" borderId="0" xfId="0" applyFont="1" applyAlignment="1">
      <alignment vertical="top"/>
    </xf>
    <xf numFmtId="3" fontId="19" fillId="0" borderId="0" xfId="0" applyNumberFormat="1" applyFont="1" applyAlignment="1">
      <alignment vertical="top"/>
    </xf>
    <xf numFmtId="3" fontId="14" fillId="2" borderId="0" xfId="0" applyNumberFormat="1" applyFont="1" applyFill="1" applyAlignment="1">
      <alignment vertical="top"/>
    </xf>
    <xf numFmtId="0" fontId="14" fillId="2" borderId="0" xfId="0" applyFont="1" applyFill="1" applyAlignment="1">
      <alignment vertical="top"/>
    </xf>
    <xf numFmtId="0" fontId="14" fillId="0" borderId="0" xfId="0" applyFont="1" applyAlignment="1">
      <alignment vertical="top"/>
    </xf>
    <xf numFmtId="3" fontId="14" fillId="0" borderId="0" xfId="0" applyNumberFormat="1" applyFont="1" applyBorder="1" applyAlignment="1">
      <alignment vertical="top"/>
    </xf>
    <xf numFmtId="0" fontId="16" fillId="0" borderId="0" xfId="0" applyFont="1" applyBorder="1" applyAlignment="1">
      <alignment vertical="top"/>
    </xf>
    <xf numFmtId="3" fontId="14" fillId="0" borderId="0" xfId="0" applyNumberFormat="1" applyFont="1" applyFill="1" applyBorder="1" applyAlignment="1">
      <alignment vertical="top"/>
    </xf>
    <xf numFmtId="0" fontId="16" fillId="0" borderId="0" xfId="0" applyFont="1" applyFill="1" applyBorder="1" applyAlignment="1">
      <alignment vertical="top"/>
    </xf>
    <xf numFmtId="0" fontId="14" fillId="0" borderId="0" xfId="0" applyFont="1" applyFill="1" applyAlignment="1">
      <alignment vertical="top"/>
    </xf>
    <xf numFmtId="0" fontId="13" fillId="0" borderId="5" xfId="0" applyFont="1" applyBorder="1" applyAlignment="1">
      <alignment vertical="top"/>
    </xf>
    <xf numFmtId="0" fontId="14" fillId="0" borderId="5" xfId="0" applyFont="1" applyBorder="1" applyAlignment="1">
      <alignment vertical="top"/>
    </xf>
    <xf numFmtId="3" fontId="14" fillId="0" borderId="7" xfId="0" applyNumberFormat="1" applyFont="1" applyFill="1" applyBorder="1" applyAlignment="1">
      <alignment vertical="top"/>
    </xf>
    <xf numFmtId="0" fontId="14" fillId="0" borderId="0" xfId="0" applyFont="1" applyBorder="1" applyAlignment="1">
      <alignment vertical="top"/>
    </xf>
    <xf numFmtId="3" fontId="14" fillId="0" borderId="7" xfId="0" applyNumberFormat="1" applyFont="1" applyBorder="1" applyAlignment="1">
      <alignment vertical="top"/>
    </xf>
    <xf numFmtId="0" fontId="13" fillId="0" borderId="0" xfId="0" applyFont="1" applyFill="1" applyBorder="1" applyAlignment="1">
      <alignment vertical="top"/>
    </xf>
    <xf numFmtId="0" fontId="14" fillId="0" borderId="9" xfId="0" applyFont="1" applyBorder="1" applyAlignment="1">
      <alignment vertical="top"/>
    </xf>
    <xf numFmtId="3" fontId="14" fillId="0" borderId="0" xfId="0" applyNumberFormat="1" applyFont="1" applyAlignment="1">
      <alignment vertical="top"/>
    </xf>
    <xf numFmtId="0" fontId="14" fillId="0" borderId="8" xfId="0" applyFont="1" applyBorder="1" applyAlignment="1">
      <alignment vertical="top"/>
    </xf>
    <xf numFmtId="0" fontId="14" fillId="0" borderId="5" xfId="0" applyFont="1" applyFill="1" applyBorder="1" applyAlignment="1">
      <alignment horizontal="left" vertical="top"/>
    </xf>
    <xf numFmtId="0" fontId="14" fillId="0" borderId="7" xfId="0" applyFont="1" applyFill="1" applyBorder="1" applyAlignment="1">
      <alignment vertical="top"/>
    </xf>
    <xf numFmtId="0" fontId="17" fillId="0" borderId="0" xfId="0" applyFont="1" applyFill="1" applyBorder="1" applyAlignment="1">
      <alignment vertical="top"/>
    </xf>
    <xf numFmtId="3" fontId="14" fillId="0" borderId="14" xfId="0" applyNumberFormat="1" applyFont="1" applyFill="1" applyBorder="1" applyAlignment="1">
      <alignment vertical="top"/>
    </xf>
    <xf numFmtId="0" fontId="14" fillId="0" borderId="0" xfId="0" applyFont="1" applyBorder="1" applyAlignment="1">
      <alignment vertical="top" wrapText="1"/>
    </xf>
    <xf numFmtId="0" fontId="7" fillId="0" borderId="0" xfId="0" applyFont="1" applyBorder="1" applyAlignment="1">
      <alignment horizontal="right"/>
    </xf>
    <xf numFmtId="0" fontId="14" fillId="0" borderId="7" xfId="0" applyFont="1" applyBorder="1" applyAlignment="1">
      <alignment vertical="top"/>
    </xf>
    <xf numFmtId="0" fontId="21" fillId="0" borderId="0" xfId="0" applyFont="1"/>
    <xf numFmtId="0" fontId="14" fillId="0" borderId="5" xfId="0" applyFont="1" applyFill="1" applyBorder="1" applyAlignment="1">
      <alignment vertical="top"/>
    </xf>
    <xf numFmtId="0" fontId="5" fillId="0" borderId="0" xfId="0" applyFont="1" applyFill="1" applyBorder="1" applyAlignment="1">
      <alignment vertical="top"/>
    </xf>
    <xf numFmtId="0" fontId="22" fillId="0" borderId="5" xfId="0" applyFont="1" applyFill="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1" xfId="0" applyFont="1" applyFill="1" applyBorder="1" applyAlignment="1">
      <alignment vertical="top"/>
    </xf>
    <xf numFmtId="0" fontId="13" fillId="6" borderId="2" xfId="0" applyFont="1" applyFill="1" applyBorder="1" applyAlignment="1">
      <alignment vertical="top"/>
    </xf>
    <xf numFmtId="3" fontId="14" fillId="6" borderId="3" xfId="0" applyNumberFormat="1" applyFont="1" applyFill="1" applyBorder="1" applyAlignment="1">
      <alignment vertical="top"/>
    </xf>
    <xf numFmtId="0" fontId="16" fillId="6" borderId="3" xfId="0" applyFont="1" applyFill="1" applyBorder="1" applyAlignment="1">
      <alignment vertical="top"/>
    </xf>
    <xf numFmtId="0" fontId="14" fillId="6" borderId="3" xfId="0" applyFont="1" applyFill="1" applyBorder="1" applyAlignment="1">
      <alignment vertical="top"/>
    </xf>
    <xf numFmtId="0" fontId="2" fillId="0" borderId="0" xfId="0" applyFont="1"/>
    <xf numFmtId="0" fontId="14" fillId="0" borderId="0" xfId="0" applyFont="1"/>
    <xf numFmtId="0" fontId="7" fillId="0" borderId="0" xfId="0" applyFont="1" applyBorder="1" applyAlignment="1">
      <alignment horizontal="left"/>
    </xf>
    <xf numFmtId="0" fontId="2" fillId="5" borderId="0" xfId="0" applyFont="1" applyFill="1" applyAlignment="1">
      <alignment vertical="top"/>
    </xf>
    <xf numFmtId="0" fontId="8" fillId="0" borderId="0" xfId="0" applyFont="1"/>
    <xf numFmtId="0" fontId="2" fillId="2" borderId="0" xfId="0" applyFont="1" applyFill="1" applyBorder="1" applyAlignment="1">
      <alignment vertical="top"/>
    </xf>
    <xf numFmtId="0" fontId="16" fillId="2" borderId="0" xfId="0" applyFont="1" applyFill="1" applyBorder="1" applyAlignment="1">
      <alignment vertical="top"/>
    </xf>
    <xf numFmtId="0" fontId="0" fillId="2" borderId="0" xfId="0" applyFill="1"/>
    <xf numFmtId="0" fontId="17" fillId="0" borderId="0" xfId="0" applyFont="1" applyBorder="1" applyAlignment="1">
      <alignment vertical="top"/>
    </xf>
    <xf numFmtId="0" fontId="17" fillId="0" borderId="0" xfId="0" applyFont="1" applyBorder="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5" fontId="0" fillId="3" borderId="7" xfId="5" applyNumberFormat="1" applyFont="1" applyFill="1" applyBorder="1"/>
    <xf numFmtId="3" fontId="19" fillId="0" borderId="7" xfId="0" applyNumberFormat="1" applyFont="1" applyBorder="1" applyAlignment="1">
      <alignment vertical="top"/>
    </xf>
    <xf numFmtId="3" fontId="1" fillId="0" borderId="4" xfId="0" applyNumberFormat="1" applyFont="1" applyFill="1" applyBorder="1" applyAlignment="1">
      <alignment vertical="top"/>
    </xf>
    <xf numFmtId="3" fontId="1" fillId="0" borderId="6" xfId="0" applyNumberFormat="1" applyFont="1" applyFill="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Fill="1" applyBorder="1" applyAlignment="1">
      <alignment vertical="top"/>
    </xf>
    <xf numFmtId="0" fontId="6" fillId="0" borderId="0" xfId="0" applyFont="1" applyAlignment="1">
      <alignment vertical="top" wrapText="1"/>
    </xf>
    <xf numFmtId="0" fontId="6" fillId="0" borderId="2" xfId="0" applyFont="1" applyFill="1" applyBorder="1" applyAlignment="1">
      <alignment vertical="top"/>
    </xf>
    <xf numFmtId="0" fontId="2" fillId="0" borderId="0" xfId="0" applyFont="1" applyBorder="1" applyAlignment="1">
      <alignment horizontal="left" vertical="top" wrapText="1"/>
    </xf>
    <xf numFmtId="0" fontId="14" fillId="0" borderId="0" xfId="0" applyFont="1" applyBorder="1" applyAlignment="1">
      <alignment horizontal="left" vertical="top" wrapText="1"/>
    </xf>
    <xf numFmtId="0" fontId="6" fillId="0" borderId="0" xfId="0" applyFont="1" applyFill="1" applyAlignment="1">
      <alignment vertical="top" wrapText="1"/>
    </xf>
    <xf numFmtId="0" fontId="2" fillId="0" borderId="5" xfId="0" applyFont="1" applyFill="1" applyBorder="1" applyAlignment="1">
      <alignment vertical="top"/>
    </xf>
    <xf numFmtId="0" fontId="7" fillId="0" borderId="0" xfId="0" applyFont="1" applyFill="1" applyBorder="1" applyAlignment="1">
      <alignment horizontal="left"/>
    </xf>
    <xf numFmtId="0" fontId="13" fillId="0" borderId="5" xfId="0" applyFont="1" applyFill="1" applyBorder="1" applyAlignment="1">
      <alignment vertical="top"/>
    </xf>
    <xf numFmtId="3" fontId="14" fillId="0" borderId="0" xfId="0" applyNumberFormat="1" applyFont="1" applyFill="1" applyAlignment="1">
      <alignment vertical="top"/>
    </xf>
    <xf numFmtId="3" fontId="13" fillId="6" borderId="3" xfId="0" applyNumberFormat="1" applyFont="1" applyFill="1" applyBorder="1" applyAlignment="1">
      <alignment vertical="top"/>
    </xf>
    <xf numFmtId="0" fontId="7" fillId="0" borderId="3" xfId="0" applyFont="1" applyFill="1" applyBorder="1" applyAlignment="1">
      <alignment vertical="top"/>
    </xf>
    <xf numFmtId="166" fontId="14" fillId="0" borderId="7" xfId="0" applyNumberFormat="1" applyFont="1" applyFill="1" applyBorder="1" applyAlignment="1">
      <alignment vertical="top"/>
    </xf>
    <xf numFmtId="166" fontId="14" fillId="4" borderId="7" xfId="0" applyNumberFormat="1" applyFont="1" applyFill="1" applyBorder="1" applyAlignment="1">
      <alignment vertical="top"/>
    </xf>
    <xf numFmtId="166" fontId="13" fillId="4" borderId="7" xfId="0" applyNumberFormat="1" applyFont="1" applyFill="1" applyBorder="1" applyAlignment="1">
      <alignment vertical="top"/>
    </xf>
    <xf numFmtId="10" fontId="0" fillId="3" borderId="7" xfId="5" applyNumberFormat="1" applyFont="1" applyFill="1" applyBorder="1"/>
    <xf numFmtId="7" fontId="0" fillId="3" borderId="7" xfId="5" applyNumberFormat="1" applyFont="1" applyFill="1" applyBorder="1"/>
    <xf numFmtId="0" fontId="14"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Alignment="1">
      <alignment wrapText="1"/>
    </xf>
    <xf numFmtId="0" fontId="14" fillId="0" borderId="0" xfId="0" applyFont="1" applyFill="1" applyAlignment="1">
      <alignment horizontal="center" vertical="top"/>
    </xf>
    <xf numFmtId="0" fontId="14" fillId="0" borderId="0" xfId="0" applyFont="1" applyBorder="1"/>
    <xf numFmtId="0" fontId="23" fillId="2" borderId="0" xfId="0" applyFont="1" applyFill="1" applyBorder="1"/>
    <xf numFmtId="164" fontId="17" fillId="0" borderId="0" xfId="5" applyNumberFormat="1" applyFont="1" applyBorder="1"/>
    <xf numFmtId="164" fontId="17" fillId="0" borderId="0" xfId="5" applyNumberFormat="1" applyFont="1" applyFill="1" applyBorder="1"/>
    <xf numFmtId="0" fontId="14" fillId="0" borderId="0" xfId="0" applyFont="1" applyFill="1" applyBorder="1"/>
    <xf numFmtId="0" fontId="17" fillId="0" borderId="0" xfId="0" applyFont="1" applyAlignment="1">
      <alignment wrapText="1"/>
    </xf>
    <xf numFmtId="10" fontId="14" fillId="0" borderId="7" xfId="0" applyNumberFormat="1" applyFont="1" applyBorder="1" applyAlignment="1">
      <alignment vertical="top"/>
    </xf>
    <xf numFmtId="0" fontId="24" fillId="0" borderId="0" xfId="0" applyFont="1" applyFill="1" applyAlignment="1">
      <alignment wrapText="1"/>
    </xf>
    <xf numFmtId="0" fontId="17" fillId="0" borderId="0" xfId="0" applyFont="1" applyBorder="1" applyAlignment="1">
      <alignment wrapText="1"/>
    </xf>
    <xf numFmtId="0" fontId="23" fillId="2" borderId="0" xfId="0" applyFont="1" applyFill="1"/>
    <xf numFmtId="0" fontId="17" fillId="0" borderId="0" xfId="0" applyFont="1" applyFill="1" applyAlignment="1">
      <alignment horizontal="center" vertical="center"/>
    </xf>
    <xf numFmtId="7" fontId="23" fillId="3" borderId="7" xfId="5" applyNumberFormat="1" applyFont="1" applyFill="1" applyBorder="1"/>
    <xf numFmtId="0" fontId="14" fillId="0" borderId="0" xfId="0" applyFont="1" applyBorder="1" applyAlignment="1">
      <alignment wrapText="1"/>
    </xf>
    <xf numFmtId="0" fontId="23" fillId="2" borderId="0" xfId="0" applyFont="1" applyFill="1" applyBorder="1" applyAlignment="1">
      <alignment wrapText="1"/>
    </xf>
    <xf numFmtId="0" fontId="24" fillId="0" borderId="0" xfId="0" applyFont="1" applyAlignment="1">
      <alignment wrapText="1"/>
    </xf>
    <xf numFmtId="164" fontId="17" fillId="0" borderId="0" xfId="5" applyNumberFormat="1" applyFont="1" applyFill="1" applyBorder="1" applyAlignment="1">
      <alignment horizontal="center" vertical="center"/>
    </xf>
    <xf numFmtId="164" fontId="17" fillId="4" borderId="7" xfId="5" applyNumberFormat="1" applyFont="1" applyFill="1" applyBorder="1" applyAlignment="1">
      <alignment horizontal="center" vertical="center"/>
    </xf>
    <xf numFmtId="0" fontId="13" fillId="0" borderId="0" xfId="0" applyFont="1" applyAlignment="1">
      <alignment horizontal="center" vertical="top" wrapText="1"/>
    </xf>
    <xf numFmtId="164" fontId="17" fillId="0" borderId="0" xfId="5" applyNumberFormat="1" applyFont="1" applyFill="1" applyBorder="1" applyAlignment="1">
      <alignment vertical="top"/>
    </xf>
    <xf numFmtId="0" fontId="25" fillId="0" borderId="0" xfId="0" applyFont="1" applyAlignment="1">
      <alignment wrapText="1"/>
    </xf>
    <xf numFmtId="0" fontId="13" fillId="0" borderId="0" xfId="0" applyFont="1" applyBorder="1" applyAlignment="1">
      <alignment horizontal="center" vertical="center"/>
    </xf>
    <xf numFmtId="0" fontId="26" fillId="2" borderId="0" xfId="0" applyFont="1" applyFill="1" applyBorder="1" applyAlignment="1">
      <alignment horizontal="center" vertical="center"/>
    </xf>
    <xf numFmtId="10" fontId="23" fillId="2" borderId="0" xfId="5" applyNumberFormat="1" applyFont="1" applyFill="1" applyBorder="1"/>
    <xf numFmtId="0" fontId="23" fillId="2" borderId="0" xfId="0" applyFont="1" applyFill="1" applyAlignment="1">
      <alignment horizontal="left" wrapText="1"/>
    </xf>
    <xf numFmtId="0" fontId="14" fillId="0" borderId="0" xfId="0" applyFont="1" applyAlignment="1">
      <alignment wrapText="1"/>
    </xf>
    <xf numFmtId="0" fontId="14" fillId="0" borderId="0" xfId="0" applyFont="1" applyAlignment="1">
      <alignment horizontal="left" wrapText="1"/>
    </xf>
    <xf numFmtId="164" fontId="17" fillId="0" borderId="0" xfId="0" applyNumberFormat="1" applyFont="1"/>
    <xf numFmtId="164" fontId="17" fillId="0" borderId="0" xfId="5" applyNumberFormat="1" applyFont="1"/>
    <xf numFmtId="43" fontId="14" fillId="0" borderId="0" xfId="5" applyFont="1"/>
    <xf numFmtId="43" fontId="23" fillId="2" borderId="0" xfId="5" applyFont="1" applyFill="1"/>
    <xf numFmtId="0" fontId="17" fillId="0" borderId="7" xfId="0" applyFont="1" applyFill="1" applyBorder="1" applyAlignment="1">
      <alignment wrapText="1"/>
    </xf>
    <xf numFmtId="0" fontId="13" fillId="0" borderId="0" xfId="0" applyFont="1" applyAlignment="1">
      <alignment vertical="top"/>
    </xf>
    <xf numFmtId="0" fontId="14" fillId="2" borderId="0" xfId="0" applyFont="1" applyFill="1" applyBorder="1" applyAlignment="1">
      <alignment vertical="top"/>
    </xf>
    <xf numFmtId="0" fontId="13" fillId="0" borderId="2" xfId="0" applyFont="1" applyBorder="1" applyAlignment="1">
      <alignment vertical="top"/>
    </xf>
    <xf numFmtId="0" fontId="23" fillId="0" borderId="3" xfId="0" applyFont="1" applyBorder="1" applyAlignment="1">
      <alignment vertical="top"/>
    </xf>
    <xf numFmtId="3" fontId="27" fillId="0" borderId="3" xfId="0" applyNumberFormat="1" applyFont="1" applyBorder="1" applyAlignment="1">
      <alignment vertical="top"/>
    </xf>
    <xf numFmtId="3" fontId="23" fillId="0" borderId="4" xfId="0" applyNumberFormat="1" applyFont="1" applyFill="1" applyBorder="1" applyAlignment="1">
      <alignment vertical="top"/>
    </xf>
    <xf numFmtId="0" fontId="28" fillId="0" borderId="6" xfId="0" applyFont="1" applyBorder="1" applyAlignment="1">
      <alignment vertical="top"/>
    </xf>
    <xf numFmtId="0" fontId="23" fillId="0" borderId="0" xfId="0" applyFont="1" applyBorder="1" applyAlignment="1">
      <alignment vertical="top"/>
    </xf>
    <xf numFmtId="3" fontId="27" fillId="0" borderId="0" xfId="0" applyNumberFormat="1" applyFont="1" applyBorder="1" applyAlignment="1">
      <alignment vertical="top"/>
    </xf>
    <xf numFmtId="3" fontId="23" fillId="0" borderId="6" xfId="0" applyNumberFormat="1" applyFont="1" applyFill="1" applyBorder="1" applyAlignment="1">
      <alignment vertical="top"/>
    </xf>
    <xf numFmtId="0" fontId="14" fillId="4" borderId="7" xfId="0" applyFont="1" applyFill="1" applyBorder="1" applyAlignment="1">
      <alignment vertical="top"/>
    </xf>
    <xf numFmtId="165" fontId="23" fillId="3" borderId="7" xfId="5" applyNumberFormat="1" applyFont="1" applyFill="1" applyBorder="1"/>
    <xf numFmtId="3" fontId="27" fillId="0" borderId="7" xfId="0" applyNumberFormat="1" applyFont="1" applyBorder="1" applyAlignment="1">
      <alignment vertical="top"/>
    </xf>
    <xf numFmtId="0" fontId="23" fillId="0" borderId="9" xfId="0" applyFont="1" applyBorder="1" applyAlignment="1">
      <alignment vertical="top"/>
    </xf>
    <xf numFmtId="3" fontId="27" fillId="0" borderId="9" xfId="0" applyNumberFormat="1" applyFont="1" applyBorder="1" applyAlignment="1">
      <alignment vertical="top"/>
    </xf>
    <xf numFmtId="3" fontId="23" fillId="0" borderId="10" xfId="0" applyNumberFormat="1" applyFont="1" applyFill="1" applyBorder="1" applyAlignment="1">
      <alignment vertical="top"/>
    </xf>
    <xf numFmtId="3" fontId="23" fillId="0" borderId="0" xfId="0" applyNumberFormat="1" applyFont="1" applyFill="1" applyBorder="1" applyAlignment="1">
      <alignment vertical="top"/>
    </xf>
    <xf numFmtId="0" fontId="13" fillId="0" borderId="17" xfId="0" applyFont="1" applyBorder="1" applyAlignment="1">
      <alignment vertical="top"/>
    </xf>
    <xf numFmtId="0" fontId="23" fillId="0" borderId="15" xfId="0" applyFont="1" applyBorder="1" applyAlignment="1">
      <alignment vertical="top"/>
    </xf>
    <xf numFmtId="3" fontId="27" fillId="0" borderId="15" xfId="0" applyNumberFormat="1" applyFont="1" applyBorder="1" applyAlignment="1">
      <alignment vertical="top"/>
    </xf>
    <xf numFmtId="3" fontId="23" fillId="0" borderId="15" xfId="0" applyNumberFormat="1" applyFont="1" applyFill="1" applyBorder="1" applyAlignment="1">
      <alignment vertical="top"/>
    </xf>
    <xf numFmtId="0" fontId="17" fillId="0" borderId="15" xfId="0" applyFont="1" applyFill="1" applyBorder="1" applyAlignment="1">
      <alignment vertical="top"/>
    </xf>
    <xf numFmtId="0" fontId="13" fillId="0" borderId="15" xfId="0" applyFont="1" applyFill="1" applyBorder="1" applyAlignment="1">
      <alignment horizontal="left" vertical="top" wrapText="1"/>
    </xf>
    <xf numFmtId="0" fontId="13" fillId="0" borderId="15" xfId="0" applyFont="1" applyBorder="1" applyAlignment="1">
      <alignment vertical="top"/>
    </xf>
    <xf numFmtId="0" fontId="28" fillId="0" borderId="18" xfId="0" applyFont="1" applyBorder="1" applyAlignment="1">
      <alignment vertical="top"/>
    </xf>
    <xf numFmtId="3" fontId="29" fillId="0" borderId="0" xfId="0" applyNumberFormat="1" applyFont="1" applyFill="1" applyBorder="1" applyAlignment="1">
      <alignment vertical="top"/>
    </xf>
    <xf numFmtId="0" fontId="14" fillId="0" borderId="0" xfId="0" applyFont="1" applyFill="1" applyBorder="1" applyAlignment="1">
      <alignment horizontal="left" vertical="top"/>
    </xf>
    <xf numFmtId="0" fontId="14" fillId="0" borderId="19" xfId="0" applyFont="1" applyBorder="1" applyAlignment="1">
      <alignment vertical="top"/>
    </xf>
    <xf numFmtId="0" fontId="23" fillId="0" borderId="16" xfId="0" applyFont="1" applyBorder="1" applyAlignment="1">
      <alignment vertical="top"/>
    </xf>
    <xf numFmtId="3" fontId="27" fillId="0" borderId="16" xfId="0" applyNumberFormat="1" applyFont="1" applyBorder="1" applyAlignment="1">
      <alignment vertical="top"/>
    </xf>
    <xf numFmtId="3" fontId="23" fillId="0" borderId="16" xfId="0" applyNumberFormat="1" applyFont="1" applyFill="1" applyBorder="1" applyAlignment="1">
      <alignment vertical="top"/>
    </xf>
    <xf numFmtId="0" fontId="17" fillId="0" borderId="16" xfId="0" applyFont="1" applyFill="1" applyBorder="1" applyAlignment="1">
      <alignment vertical="top"/>
    </xf>
    <xf numFmtId="0" fontId="14" fillId="0" borderId="16" xfId="0" applyFont="1" applyFill="1" applyBorder="1" applyAlignment="1">
      <alignment horizontal="left" vertical="top" wrapText="1"/>
    </xf>
    <xf numFmtId="0" fontId="14" fillId="0" borderId="16" xfId="0" applyFont="1" applyBorder="1" applyAlignment="1">
      <alignment vertical="top"/>
    </xf>
    <xf numFmtId="0" fontId="28" fillId="0" borderId="20" xfId="0" applyFont="1" applyBorder="1" applyAlignment="1">
      <alignment vertical="top"/>
    </xf>
    <xf numFmtId="0" fontId="24" fillId="0" borderId="17" xfId="0" applyFont="1" applyFill="1" applyBorder="1" applyAlignment="1">
      <alignment vertical="top"/>
    </xf>
    <xf numFmtId="0" fontId="17" fillId="0" borderId="15" xfId="0" applyFont="1" applyBorder="1" applyAlignment="1">
      <alignment vertical="top"/>
    </xf>
    <xf numFmtId="0" fontId="14" fillId="0" borderId="15" xfId="0" applyFont="1" applyBorder="1" applyAlignment="1">
      <alignment horizontal="left" vertical="top" wrapText="1"/>
    </xf>
    <xf numFmtId="0" fontId="14" fillId="0" borderId="15" xfId="0" applyFont="1" applyBorder="1" applyAlignment="1">
      <alignment vertical="top"/>
    </xf>
    <xf numFmtId="0" fontId="13" fillId="0" borderId="0" xfId="0" applyFont="1" applyBorder="1" applyAlignment="1">
      <alignment vertical="top"/>
    </xf>
    <xf numFmtId="0" fontId="17" fillId="0" borderId="5" xfId="0" applyFont="1" applyFill="1" applyBorder="1" applyAlignment="1">
      <alignment horizontal="left" vertical="top"/>
    </xf>
    <xf numFmtId="0" fontId="13" fillId="0" borderId="0" xfId="0" applyFont="1" applyBorder="1" applyAlignment="1">
      <alignment vertical="top" wrapText="1"/>
    </xf>
    <xf numFmtId="3" fontId="30" fillId="0" borderId="0" xfId="0" applyNumberFormat="1" applyFont="1" applyFill="1" applyBorder="1" applyAlignment="1">
      <alignment vertical="top"/>
    </xf>
    <xf numFmtId="0" fontId="31" fillId="0" borderId="6" xfId="0" applyFont="1" applyBorder="1" applyAlignment="1">
      <alignment vertical="top"/>
    </xf>
    <xf numFmtId="0" fontId="32" fillId="0" borderId="0" xfId="0" applyFont="1" applyFill="1" applyBorder="1" applyAlignment="1">
      <alignment vertical="top"/>
    </xf>
    <xf numFmtId="166" fontId="27" fillId="4" borderId="7" xfId="0" applyNumberFormat="1" applyFont="1" applyFill="1" applyBorder="1" applyAlignment="1">
      <alignment vertical="top"/>
    </xf>
    <xf numFmtId="0" fontId="24" fillId="0" borderId="13" xfId="0" applyFont="1" applyFill="1" applyBorder="1" applyAlignment="1">
      <alignment horizontal="left"/>
    </xf>
    <xf numFmtId="0" fontId="14" fillId="0" borderId="5" xfId="0" applyFont="1" applyFill="1" applyBorder="1" applyAlignment="1">
      <alignment horizontal="left" vertical="top" wrapText="1"/>
    </xf>
    <xf numFmtId="0" fontId="31" fillId="0" borderId="7" xfId="0" applyFont="1" applyFill="1" applyBorder="1" applyAlignment="1">
      <alignment horizontal="left"/>
    </xf>
    <xf numFmtId="0" fontId="23" fillId="0" borderId="0" xfId="0" applyFont="1" applyFill="1" applyBorder="1" applyAlignment="1">
      <alignment vertical="top"/>
    </xf>
    <xf numFmtId="3" fontId="27" fillId="0" borderId="0" xfId="0" applyNumberFormat="1" applyFont="1" applyFill="1" applyBorder="1" applyAlignment="1">
      <alignment vertical="top"/>
    </xf>
    <xf numFmtId="0" fontId="23" fillId="0" borderId="6" xfId="0" applyFont="1" applyFill="1" applyBorder="1" applyAlignment="1">
      <alignment vertical="top"/>
    </xf>
    <xf numFmtId="0" fontId="13" fillId="0" borderId="5" xfId="0" applyFont="1" applyFill="1" applyBorder="1" applyAlignment="1">
      <alignment horizontal="left" vertical="top"/>
    </xf>
    <xf numFmtId="0" fontId="16" fillId="0" borderId="6" xfId="0" applyFont="1" applyBorder="1" applyAlignment="1">
      <alignment vertical="top"/>
    </xf>
    <xf numFmtId="0" fontId="17" fillId="0" borderId="5" xfId="0" applyFont="1" applyBorder="1" applyAlignment="1">
      <alignment horizontal="left" vertical="top"/>
    </xf>
    <xf numFmtId="0" fontId="33" fillId="0" borderId="6" xfId="0" applyFont="1" applyBorder="1" applyAlignment="1">
      <alignment vertical="top"/>
    </xf>
    <xf numFmtId="0" fontId="14" fillId="0" borderId="5" xfId="0" applyFont="1" applyBorder="1" applyAlignment="1">
      <alignment horizontal="left" vertical="top" wrapText="1"/>
    </xf>
    <xf numFmtId="0" fontId="14" fillId="0" borderId="5" xfId="0" applyFont="1" applyBorder="1" applyAlignment="1">
      <alignment horizontal="left" vertical="top"/>
    </xf>
    <xf numFmtId="0" fontId="34" fillId="0" borderId="5" xfId="0" applyFont="1" applyFill="1" applyBorder="1" applyAlignment="1">
      <alignment horizontal="left" vertical="top"/>
    </xf>
    <xf numFmtId="0" fontId="17" fillId="0" borderId="16" xfId="0" applyFont="1" applyBorder="1" applyAlignment="1">
      <alignment vertical="top"/>
    </xf>
    <xf numFmtId="0" fontId="14" fillId="0" borderId="16" xfId="0" applyFont="1" applyBorder="1" applyAlignment="1">
      <alignment horizontal="left" vertical="top" wrapText="1"/>
    </xf>
    <xf numFmtId="0" fontId="24" fillId="0" borderId="17" xfId="1" applyFont="1" applyBorder="1" applyAlignment="1" applyProtection="1">
      <alignment horizontal="left" vertical="top"/>
      <protection locked="0"/>
    </xf>
    <xf numFmtId="0" fontId="17" fillId="0" borderId="5" xfId="1" applyFont="1" applyBorder="1" applyAlignment="1" applyProtection="1">
      <alignment horizontal="left" vertical="top"/>
      <protection locked="0"/>
    </xf>
    <xf numFmtId="0" fontId="17" fillId="0" borderId="5" xfId="1" applyFont="1" applyFill="1" applyBorder="1" applyAlignment="1" applyProtection="1">
      <alignment horizontal="left" vertical="top"/>
      <protection locked="0"/>
    </xf>
    <xf numFmtId="0" fontId="34" fillId="0" borderId="5" xfId="1" applyFont="1" applyFill="1" applyBorder="1" applyAlignment="1" applyProtection="1">
      <alignment horizontal="left" vertical="top"/>
      <protection locked="0"/>
    </xf>
    <xf numFmtId="0" fontId="31" fillId="0" borderId="6" xfId="0" applyFont="1" applyFill="1" applyBorder="1" applyAlignment="1">
      <alignment vertical="top"/>
    </xf>
    <xf numFmtId="0" fontId="34" fillId="0" borderId="12" xfId="1" applyFont="1" applyFill="1" applyBorder="1" applyAlignment="1" applyProtection="1">
      <alignment horizontal="left" vertical="top"/>
      <protection locked="0"/>
    </xf>
    <xf numFmtId="0" fontId="31" fillId="0" borderId="0" xfId="0" applyFont="1" applyFill="1" applyBorder="1" applyAlignment="1">
      <alignment horizontal="left"/>
    </xf>
    <xf numFmtId="0" fontId="31" fillId="0" borderId="6" xfId="0" applyFont="1" applyBorder="1" applyAlignment="1">
      <alignment horizontal="center" vertical="top"/>
    </xf>
    <xf numFmtId="0" fontId="28" fillId="0" borderId="6" xfId="0" applyFont="1" applyFill="1" applyBorder="1" applyAlignment="1">
      <alignment vertical="top"/>
    </xf>
    <xf numFmtId="10" fontId="23" fillId="3" borderId="7" xfId="5" applyNumberFormat="1" applyFont="1" applyFill="1" applyBorder="1"/>
    <xf numFmtId="0" fontId="35" fillId="0" borderId="0" xfId="0" applyFont="1" applyFill="1" applyBorder="1" applyAlignment="1">
      <alignment vertical="top"/>
    </xf>
    <xf numFmtId="0" fontId="16" fillId="0" borderId="6" xfId="0" applyFont="1" applyFill="1" applyBorder="1" applyAlignment="1">
      <alignment vertical="top"/>
    </xf>
    <xf numFmtId="0" fontId="17" fillId="0" borderId="19" xfId="0" applyFont="1" applyFill="1" applyBorder="1" applyAlignment="1">
      <alignment vertical="top"/>
    </xf>
    <xf numFmtId="0" fontId="23" fillId="0" borderId="16" xfId="0" applyFont="1" applyFill="1" applyBorder="1" applyAlignment="1">
      <alignment vertical="top"/>
    </xf>
    <xf numFmtId="0" fontId="24" fillId="0" borderId="17" xfId="0" applyFont="1" applyFill="1" applyBorder="1" applyAlignment="1">
      <alignment horizontal="left" vertical="top"/>
    </xf>
    <xf numFmtId="10" fontId="27" fillId="4" borderId="7" xfId="0" applyNumberFormat="1" applyFont="1" applyFill="1" applyBorder="1" applyAlignment="1">
      <alignment vertical="top"/>
    </xf>
    <xf numFmtId="0" fontId="17" fillId="0" borderId="5" xfId="1" applyFont="1" applyBorder="1" applyAlignment="1" applyProtection="1">
      <alignment horizontal="left" vertical="top" wrapText="1"/>
      <protection locked="0"/>
    </xf>
    <xf numFmtId="4" fontId="27" fillId="0" borderId="0" xfId="0" applyNumberFormat="1" applyFont="1" applyBorder="1" applyAlignment="1">
      <alignment vertical="top"/>
    </xf>
    <xf numFmtId="0" fontId="36" fillId="0" borderId="5" xfId="1" applyFont="1" applyFill="1" applyBorder="1" applyAlignment="1" applyProtection="1">
      <alignment horizontal="left" vertical="top" wrapText="1"/>
      <protection locked="0"/>
    </xf>
    <xf numFmtId="3" fontId="27" fillId="4" borderId="7" xfId="0" applyNumberFormat="1" applyFont="1" applyFill="1" applyBorder="1" applyAlignment="1">
      <alignment vertical="center"/>
    </xf>
    <xf numFmtId="0" fontId="23" fillId="0" borderId="5" xfId="0" applyFont="1" applyBorder="1" applyAlignment="1">
      <alignment vertical="top"/>
    </xf>
    <xf numFmtId="0" fontId="23" fillId="0" borderId="8" xfId="0" applyFont="1" applyBorder="1" applyAlignment="1">
      <alignment vertical="top"/>
    </xf>
    <xf numFmtId="3" fontId="23" fillId="0" borderId="9" xfId="0" applyNumberFormat="1" applyFont="1" applyFill="1" applyBorder="1" applyAlignment="1">
      <alignment vertical="top"/>
    </xf>
    <xf numFmtId="0" fontId="17" fillId="0" borderId="9" xfId="0" applyFont="1" applyBorder="1" applyAlignment="1">
      <alignment vertical="top"/>
    </xf>
    <xf numFmtId="0" fontId="14" fillId="0" borderId="9" xfId="0" applyFont="1" applyBorder="1" applyAlignment="1">
      <alignment horizontal="left" vertical="top" wrapText="1"/>
    </xf>
    <xf numFmtId="0" fontId="28" fillId="0" borderId="10" xfId="0" applyFont="1" applyBorder="1" applyAlignment="1">
      <alignment vertical="top"/>
    </xf>
    <xf numFmtId="4" fontId="14" fillId="0" borderId="0" xfId="0" applyNumberFormat="1" applyFont="1" applyFill="1" applyAlignment="1">
      <alignment vertical="top"/>
    </xf>
    <xf numFmtId="0" fontId="17" fillId="0" borderId="5" xfId="1" applyFont="1" applyFill="1" applyBorder="1" applyAlignment="1" applyProtection="1">
      <alignment horizontal="left" vertical="top" wrapText="1"/>
      <protection locked="0"/>
    </xf>
    <xf numFmtId="3" fontId="14" fillId="0" borderId="7" xfId="0" applyNumberFormat="1" applyFont="1" applyFill="1" applyBorder="1" applyAlignment="1" applyProtection="1">
      <alignment vertical="top"/>
    </xf>
    <xf numFmtId="166" fontId="14" fillId="0" borderId="7" xfId="0" applyNumberFormat="1" applyFont="1" applyFill="1" applyBorder="1" applyAlignment="1" applyProtection="1">
      <alignment vertical="top"/>
    </xf>
    <xf numFmtId="0" fontId="14" fillId="0" borderId="7" xfId="0" applyFont="1" applyBorder="1" applyAlignment="1" applyProtection="1">
      <alignment vertical="top"/>
    </xf>
    <xf numFmtId="43" fontId="0" fillId="0" borderId="0" xfId="5" applyFont="1"/>
    <xf numFmtId="43" fontId="38" fillId="0" borderId="0" xfId="5" applyFont="1"/>
    <xf numFmtId="43" fontId="0" fillId="0" borderId="21" xfId="5" applyFont="1" applyBorder="1"/>
    <xf numFmtId="43" fontId="0" fillId="0" borderId="0" xfId="5" quotePrefix="1" applyFont="1"/>
    <xf numFmtId="43" fontId="0" fillId="0" borderId="14" xfId="5" applyFont="1" applyBorder="1"/>
    <xf numFmtId="43" fontId="0" fillId="0" borderId="22" xfId="5" applyFont="1" applyBorder="1"/>
    <xf numFmtId="9" fontId="0" fillId="0" borderId="0" xfId="5" applyNumberFormat="1" applyFont="1"/>
    <xf numFmtId="43" fontId="18" fillId="0" borderId="0" xfId="5" applyFont="1"/>
    <xf numFmtId="43" fontId="0" fillId="0" borderId="0" xfId="5" applyFont="1" applyBorder="1"/>
    <xf numFmtId="0" fontId="37" fillId="0" borderId="0" xfId="0" applyFont="1"/>
    <xf numFmtId="0" fontId="39" fillId="0" borderId="0" xfId="0" applyFont="1"/>
    <xf numFmtId="43" fontId="37" fillId="0" borderId="0" xfId="5" applyFont="1"/>
    <xf numFmtId="43" fontId="40" fillId="0" borderId="0" xfId="5" applyFont="1"/>
    <xf numFmtId="43" fontId="37" fillId="0" borderId="21" xfId="5" applyFont="1" applyBorder="1"/>
    <xf numFmtId="43" fontId="37" fillId="0" borderId="22" xfId="5" applyFont="1" applyBorder="1"/>
    <xf numFmtId="0" fontId="39" fillId="0" borderId="0" xfId="0" applyFont="1" applyAlignment="1">
      <alignment horizontal="center"/>
    </xf>
    <xf numFmtId="43" fontId="39" fillId="0" borderId="0" xfId="5" applyFont="1" applyAlignment="1">
      <alignment horizontal="center"/>
    </xf>
    <xf numFmtId="0" fontId="6" fillId="0" borderId="0" xfId="0" applyFont="1" applyFill="1" applyAlignment="1">
      <alignment horizontal="center" vertical="top" wrapText="1"/>
    </xf>
    <xf numFmtId="0" fontId="14" fillId="0"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14" fillId="0" borderId="6" xfId="0" applyFont="1" applyFill="1" applyBorder="1" applyAlignment="1">
      <alignment horizontal="left" vertical="top" wrapText="1"/>
    </xf>
  </cellXfs>
  <cellStyles count="6">
    <cellStyle name="Comma" xfId="5" builtinId="3"/>
    <cellStyle name="Currency 2" xfId="3"/>
    <cellStyle name="Normal" xfId="0" builtinId="0"/>
    <cellStyle name="Normal 2" xfId="2"/>
    <cellStyle name="Normal_Horizon 2010 ROE (May2-11) (2)" xfId="1"/>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00B050"/>
  </sheetPr>
  <dimension ref="A1:L163"/>
  <sheetViews>
    <sheetView tabSelected="1" view="pageBreakPreview" zoomScaleNormal="100" zoomScaleSheetLayoutView="100" workbookViewId="0">
      <selection activeCell="A43" sqref="A43"/>
    </sheetView>
  </sheetViews>
  <sheetFormatPr defaultColWidth="8.85546875" defaultRowHeight="15"/>
  <cols>
    <col min="1" max="1" width="72.85546875" style="12" customWidth="1"/>
    <col min="2" max="2" width="22.28515625" style="60" customWidth="1"/>
    <col min="3" max="3" width="21" style="60" customWidth="1"/>
    <col min="4" max="4" width="49.85546875" style="47" customWidth="1"/>
    <col min="5" max="5" width="31.140625" style="47" customWidth="1"/>
    <col min="6" max="6" width="11" style="47" customWidth="1"/>
    <col min="7" max="7" width="23.5703125" style="83" bestFit="1" customWidth="1"/>
    <col min="8" max="8" width="4.42578125" style="12" customWidth="1"/>
    <col min="9" max="9" width="5.85546875" style="12" customWidth="1"/>
    <col min="10" max="10" width="2.5703125" style="36" customWidth="1"/>
    <col min="11" max="16384" width="8.85546875" style="12"/>
  </cols>
  <sheetData>
    <row r="1" spans="1:10" ht="10.5" customHeight="1" thickBot="1">
      <c r="A1" s="9"/>
      <c r="B1" s="45"/>
      <c r="C1" s="45"/>
      <c r="D1" s="46"/>
      <c r="E1" s="46"/>
      <c r="F1" s="46"/>
      <c r="G1" s="46"/>
      <c r="H1" s="46"/>
      <c r="I1" s="46"/>
      <c r="J1" s="46"/>
    </row>
    <row r="2" spans="1:10" ht="18.75" thickBot="1">
      <c r="A2" s="75" t="s">
        <v>99</v>
      </c>
      <c r="B2" s="75"/>
      <c r="C2" s="48"/>
      <c r="D2" s="49"/>
      <c r="E2" s="49"/>
      <c r="F2" s="49"/>
      <c r="G2" s="49"/>
      <c r="H2" s="32"/>
      <c r="I2" s="32"/>
      <c r="J2" s="85"/>
    </row>
    <row r="3" spans="1:10" s="36" customFormat="1" ht="18">
      <c r="A3" s="71"/>
      <c r="B3" s="50"/>
      <c r="C3" s="50"/>
      <c r="D3" s="51"/>
      <c r="E3" s="51"/>
      <c r="F3" s="51"/>
      <c r="G3" s="51"/>
      <c r="H3" s="32"/>
      <c r="I3" s="32"/>
      <c r="J3" s="85"/>
    </row>
    <row r="4" spans="1:10" s="36" customFormat="1">
      <c r="A4" s="54" t="s">
        <v>104</v>
      </c>
      <c r="B4" s="54"/>
      <c r="C4" s="50"/>
      <c r="D4" s="51"/>
      <c r="E4" s="51"/>
      <c r="F4" s="51"/>
      <c r="G4" s="51"/>
      <c r="H4" s="32"/>
      <c r="I4" s="32"/>
      <c r="J4" s="85"/>
    </row>
    <row r="5" spans="1:10" s="36" customFormat="1">
      <c r="A5" s="54"/>
      <c r="B5" s="56"/>
      <c r="C5" s="50"/>
      <c r="D5" s="51"/>
      <c r="E5" s="51"/>
      <c r="F5" s="51"/>
      <c r="G5" s="51"/>
      <c r="H5" s="32"/>
      <c r="I5" s="32"/>
      <c r="J5" s="85"/>
    </row>
    <row r="6" spans="1:10" s="36" customFormat="1">
      <c r="A6" s="54" t="s">
        <v>254</v>
      </c>
      <c r="B6" s="56"/>
      <c r="C6" s="50"/>
      <c r="D6" s="51"/>
      <c r="E6" s="51"/>
      <c r="F6" s="51"/>
      <c r="G6" s="51"/>
      <c r="H6" s="32"/>
      <c r="I6" s="32"/>
      <c r="J6" s="85"/>
    </row>
    <row r="7" spans="1:10" s="36" customFormat="1">
      <c r="A7" s="54"/>
      <c r="B7" s="56"/>
      <c r="C7" s="50"/>
      <c r="D7" s="51"/>
      <c r="E7" s="51"/>
      <c r="F7" s="51"/>
      <c r="G7" s="51"/>
      <c r="H7" s="32"/>
      <c r="I7" s="32"/>
      <c r="J7" s="85"/>
    </row>
    <row r="8" spans="1:10" s="36" customFormat="1">
      <c r="A8" s="54" t="s">
        <v>193</v>
      </c>
      <c r="B8" s="56"/>
      <c r="C8" s="50"/>
      <c r="D8" s="51"/>
      <c r="E8" s="51"/>
      <c r="F8" s="51"/>
      <c r="G8" s="51"/>
      <c r="H8" s="32"/>
      <c r="I8" s="32"/>
      <c r="J8" s="85"/>
    </row>
    <row r="9" spans="1:10" s="36" customFormat="1">
      <c r="A9" s="54"/>
      <c r="B9" s="56"/>
      <c r="C9" s="50"/>
      <c r="D9" s="51"/>
      <c r="E9" s="51"/>
      <c r="F9" s="51"/>
      <c r="G9" s="51"/>
      <c r="H9" s="32"/>
      <c r="I9" s="32"/>
      <c r="J9" s="85"/>
    </row>
    <row r="10" spans="1:10" s="36" customFormat="1">
      <c r="A10" s="54" t="s">
        <v>220</v>
      </c>
      <c r="B10" s="56"/>
      <c r="C10" s="50"/>
      <c r="D10" s="51"/>
      <c r="E10" s="51"/>
      <c r="F10" s="51"/>
      <c r="G10" s="51"/>
      <c r="H10" s="32"/>
      <c r="I10" s="32"/>
      <c r="J10" s="85"/>
    </row>
    <row r="11" spans="1:10" s="36" customFormat="1">
      <c r="A11" s="54"/>
      <c r="B11" s="56"/>
      <c r="C11" s="50"/>
      <c r="D11" s="51"/>
      <c r="E11" s="51"/>
      <c r="F11" s="51"/>
      <c r="G11" s="51"/>
      <c r="H11" s="32"/>
      <c r="I11" s="32"/>
      <c r="J11" s="85"/>
    </row>
    <row r="12" spans="1:10" s="36" customFormat="1">
      <c r="A12" s="54" t="s">
        <v>199</v>
      </c>
      <c r="B12" s="54"/>
      <c r="C12" s="50"/>
      <c r="D12" s="51"/>
      <c r="E12" s="51"/>
      <c r="F12" s="51"/>
      <c r="G12" s="51"/>
      <c r="H12" s="32"/>
      <c r="I12" s="32"/>
      <c r="J12" s="85"/>
    </row>
    <row r="13" spans="1:10" s="36" customFormat="1" ht="18.75" thickBot="1">
      <c r="A13" s="72"/>
      <c r="B13" s="50"/>
      <c r="C13" s="50"/>
      <c r="D13" s="51"/>
      <c r="E13" s="51"/>
      <c r="F13" s="51"/>
      <c r="G13" s="51"/>
      <c r="H13" s="32"/>
      <c r="I13" s="32"/>
      <c r="J13" s="85"/>
    </row>
    <row r="14" spans="1:10" s="36" customFormat="1">
      <c r="A14" s="20" t="s">
        <v>90</v>
      </c>
      <c r="B14" s="21"/>
      <c r="C14" s="21"/>
      <c r="D14" s="94"/>
      <c r="E14" s="41"/>
      <c r="G14" s="51"/>
      <c r="H14" s="32"/>
      <c r="I14" s="32"/>
      <c r="J14" s="85"/>
    </row>
    <row r="15" spans="1:10" s="36" customFormat="1">
      <c r="A15" s="27"/>
      <c r="B15" s="14"/>
      <c r="C15" s="14"/>
      <c r="D15" s="95"/>
      <c r="E15" s="41"/>
      <c r="G15" s="51"/>
      <c r="H15" s="32"/>
      <c r="I15" s="32"/>
      <c r="J15" s="85"/>
    </row>
    <row r="16" spans="1:10" s="36" customFormat="1">
      <c r="A16" s="54" t="s">
        <v>91</v>
      </c>
      <c r="B16" s="14"/>
      <c r="C16" s="91"/>
      <c r="D16" s="95"/>
      <c r="G16" s="51"/>
      <c r="H16" s="32"/>
      <c r="I16" s="32"/>
      <c r="J16" s="85"/>
    </row>
    <row r="17" spans="1:10" s="36" customFormat="1">
      <c r="A17" s="54" t="s">
        <v>259</v>
      </c>
      <c r="B17" s="14"/>
      <c r="C17" s="92"/>
      <c r="D17" s="95"/>
      <c r="G17" s="51"/>
      <c r="H17" s="32"/>
      <c r="I17" s="32"/>
      <c r="J17" s="85"/>
    </row>
    <row r="18" spans="1:10" s="36" customFormat="1">
      <c r="A18" s="54" t="s">
        <v>92</v>
      </c>
      <c r="B18" s="14"/>
      <c r="C18" s="93"/>
      <c r="D18" s="95"/>
      <c r="G18" s="51"/>
      <c r="H18" s="32"/>
      <c r="I18" s="32"/>
      <c r="J18" s="85"/>
    </row>
    <row r="19" spans="1:10" s="36" customFormat="1" ht="15.75" thickBot="1">
      <c r="A19" s="96"/>
      <c r="B19" s="97"/>
      <c r="C19" s="97"/>
      <c r="D19" s="98"/>
      <c r="E19" s="41"/>
      <c r="G19" s="51"/>
      <c r="H19" s="32"/>
      <c r="I19" s="32"/>
      <c r="J19" s="85"/>
    </row>
    <row r="20" spans="1:10" s="36" customFormat="1" ht="18.75" thickBot="1">
      <c r="A20" s="72"/>
      <c r="B20" s="50"/>
      <c r="C20" s="50"/>
      <c r="D20" s="51"/>
      <c r="E20" s="51"/>
      <c r="F20" s="51"/>
      <c r="G20" s="51"/>
      <c r="H20" s="32"/>
      <c r="I20" s="32"/>
      <c r="J20" s="85"/>
    </row>
    <row r="21" spans="1:10" ht="15.75">
      <c r="A21" s="76" t="s">
        <v>234</v>
      </c>
      <c r="B21" s="77"/>
      <c r="C21" s="77"/>
      <c r="D21" s="78"/>
      <c r="E21" s="78"/>
      <c r="F21" s="78"/>
      <c r="G21" s="78"/>
      <c r="H21" s="78"/>
      <c r="I21" s="78"/>
      <c r="J21" s="85"/>
    </row>
    <row r="22" spans="1:10">
      <c r="A22" s="54"/>
      <c r="B22" s="103"/>
      <c r="C22" s="48"/>
      <c r="D22" s="49"/>
      <c r="E22" s="49"/>
      <c r="F22" s="49"/>
      <c r="G22" s="49"/>
      <c r="H22" s="32"/>
      <c r="I22" s="32"/>
      <c r="J22" s="85"/>
    </row>
    <row r="23" spans="1:10">
      <c r="A23" s="54" t="s">
        <v>256</v>
      </c>
      <c r="B23" s="99"/>
      <c r="C23" s="110">
        <v>-221926.75</v>
      </c>
      <c r="D23" s="56" t="s">
        <v>28</v>
      </c>
      <c r="E23" s="56"/>
      <c r="F23" s="56"/>
      <c r="G23" s="56"/>
      <c r="H23" s="32"/>
      <c r="I23" s="32"/>
      <c r="J23" s="85"/>
    </row>
    <row r="24" spans="1:10">
      <c r="A24" s="54" t="s">
        <v>257</v>
      </c>
      <c r="B24" s="48"/>
      <c r="C24" s="110">
        <v>0</v>
      </c>
      <c r="D24" s="56" t="s">
        <v>29</v>
      </c>
      <c r="E24" s="56"/>
      <c r="F24" s="56"/>
      <c r="G24" s="56"/>
      <c r="H24" s="32"/>
      <c r="I24" s="32"/>
      <c r="J24" s="85"/>
    </row>
    <row r="25" spans="1:10">
      <c r="A25" s="70" t="s">
        <v>258</v>
      </c>
      <c r="B25" s="48"/>
      <c r="C25" s="111">
        <f>C23+C24</f>
        <v>-221926.75</v>
      </c>
      <c r="D25" s="56" t="s">
        <v>30</v>
      </c>
      <c r="E25" s="56"/>
      <c r="F25" s="56"/>
      <c r="G25" s="56"/>
      <c r="J25" s="9"/>
    </row>
    <row r="26" spans="1:10">
      <c r="A26" s="54"/>
      <c r="B26" s="48"/>
      <c r="C26" s="48"/>
      <c r="D26" s="56"/>
      <c r="E26" s="56"/>
      <c r="F26" s="56"/>
      <c r="G26" s="56"/>
      <c r="J26" s="9"/>
    </row>
    <row r="27" spans="1:10" ht="18" customHeight="1">
      <c r="A27" s="70" t="s">
        <v>201</v>
      </c>
      <c r="B27" s="48"/>
      <c r="C27" s="110">
        <v>-37609.5</v>
      </c>
      <c r="D27" s="2" t="s">
        <v>31</v>
      </c>
      <c r="E27" s="2"/>
      <c r="F27" s="2"/>
      <c r="G27" s="2"/>
      <c r="J27" s="9"/>
    </row>
    <row r="28" spans="1:10" ht="17.25" customHeight="1">
      <c r="A28" s="70" t="s">
        <v>202</v>
      </c>
      <c r="B28" s="48"/>
      <c r="C28" s="110">
        <v>2089.65</v>
      </c>
      <c r="D28" s="2" t="s">
        <v>32</v>
      </c>
      <c r="E28" s="2"/>
      <c r="F28" s="2"/>
      <c r="G28" s="2"/>
      <c r="J28" s="9"/>
    </row>
    <row r="29" spans="1:10" ht="18.75" customHeight="1">
      <c r="A29" s="70" t="s">
        <v>80</v>
      </c>
      <c r="B29" s="48"/>
      <c r="C29" s="111">
        <f>C27+C28</f>
        <v>-35519.85</v>
      </c>
      <c r="D29" s="2" t="s">
        <v>33</v>
      </c>
      <c r="E29" s="2"/>
      <c r="F29" s="2"/>
      <c r="G29" s="2"/>
      <c r="J29" s="9"/>
    </row>
    <row r="30" spans="1:10">
      <c r="A30" s="70"/>
      <c r="B30" s="48"/>
      <c r="C30" s="48"/>
      <c r="D30" s="2"/>
      <c r="E30" s="2"/>
      <c r="F30" s="2"/>
      <c r="G30" s="56"/>
      <c r="J30" s="9"/>
    </row>
    <row r="31" spans="1:10">
      <c r="A31" s="70" t="s">
        <v>75</v>
      </c>
      <c r="B31" s="48"/>
      <c r="C31" s="110"/>
      <c r="D31" s="2" t="s">
        <v>34</v>
      </c>
      <c r="E31" s="2"/>
      <c r="F31" s="2"/>
      <c r="G31" s="2"/>
      <c r="J31" s="9"/>
    </row>
    <row r="32" spans="1:10">
      <c r="A32" s="70" t="s">
        <v>76</v>
      </c>
      <c r="B32" s="48"/>
      <c r="C32" s="110"/>
      <c r="D32" s="2" t="s">
        <v>35</v>
      </c>
      <c r="E32" s="2"/>
      <c r="F32" s="2"/>
      <c r="G32" s="2"/>
      <c r="J32" s="9"/>
    </row>
    <row r="33" spans="1:10">
      <c r="A33" s="70" t="s">
        <v>81</v>
      </c>
      <c r="B33" s="48"/>
      <c r="C33" s="111">
        <f>C31+C32</f>
        <v>0</v>
      </c>
      <c r="D33" s="2" t="s">
        <v>36</v>
      </c>
      <c r="E33" s="52"/>
      <c r="F33" s="52"/>
      <c r="G33" s="47"/>
      <c r="J33" s="9"/>
    </row>
    <row r="34" spans="1:10" ht="15.75">
      <c r="A34" s="70"/>
      <c r="B34" s="48"/>
      <c r="C34" s="48"/>
      <c r="D34" s="2"/>
      <c r="E34" s="58"/>
      <c r="F34" s="58"/>
      <c r="G34" s="58"/>
      <c r="J34" s="9"/>
    </row>
    <row r="35" spans="1:10">
      <c r="A35" s="70" t="s">
        <v>176</v>
      </c>
      <c r="B35" s="48"/>
      <c r="C35" s="110">
        <v>0</v>
      </c>
      <c r="D35" s="2" t="s">
        <v>37</v>
      </c>
      <c r="E35" s="2"/>
      <c r="F35" s="2"/>
      <c r="G35" s="2"/>
      <c r="J35" s="9"/>
    </row>
    <row r="36" spans="1:10">
      <c r="A36" s="104"/>
      <c r="B36" s="48"/>
      <c r="C36" s="48"/>
      <c r="D36" s="2"/>
      <c r="E36" s="105" t="s">
        <v>246</v>
      </c>
      <c r="F36" s="2"/>
      <c r="G36" s="56"/>
      <c r="J36" s="9"/>
    </row>
    <row r="37" spans="1:10">
      <c r="A37" s="70" t="s">
        <v>195</v>
      </c>
      <c r="B37" s="48"/>
      <c r="C37" s="110">
        <v>15350.48</v>
      </c>
      <c r="D37" s="2" t="s">
        <v>38</v>
      </c>
      <c r="E37" s="63">
        <v>4380</v>
      </c>
      <c r="F37" s="2"/>
      <c r="G37" s="56"/>
      <c r="J37" s="9"/>
    </row>
    <row r="38" spans="1:10">
      <c r="A38" s="70"/>
      <c r="B38" s="48"/>
      <c r="C38" s="48"/>
      <c r="D38" s="2"/>
      <c r="E38" s="2"/>
      <c r="F38" s="2"/>
      <c r="G38" s="56"/>
      <c r="J38" s="9"/>
    </row>
    <row r="39" spans="1:10">
      <c r="A39" s="70"/>
      <c r="B39" s="48"/>
      <c r="C39" s="48"/>
      <c r="D39" s="2"/>
      <c r="E39" s="2"/>
      <c r="F39" s="2"/>
      <c r="G39" s="56"/>
      <c r="J39" s="9"/>
    </row>
    <row r="40" spans="1:10">
      <c r="A40" s="70" t="s">
        <v>233</v>
      </c>
      <c r="B40" s="48"/>
      <c r="C40" s="48"/>
      <c r="D40" s="56"/>
      <c r="E40" s="56"/>
      <c r="F40" s="56"/>
      <c r="G40" s="56"/>
      <c r="J40" s="9"/>
    </row>
    <row r="41" spans="1:10">
      <c r="A41" s="70" t="s">
        <v>264</v>
      </c>
      <c r="B41" s="48"/>
      <c r="C41" s="48"/>
      <c r="D41" s="56"/>
      <c r="E41" s="82"/>
      <c r="F41" s="67"/>
      <c r="G41" s="67"/>
      <c r="J41" s="9"/>
    </row>
    <row r="42" spans="1:10">
      <c r="A42" s="70"/>
      <c r="B42" s="48"/>
      <c r="C42" s="48"/>
      <c r="D42" s="56"/>
      <c r="E42" s="56"/>
      <c r="F42" s="56"/>
      <c r="G42" s="56"/>
      <c r="J42" s="9"/>
    </row>
    <row r="43" spans="1:10">
      <c r="A43" s="55" t="s">
        <v>350</v>
      </c>
      <c r="B43" s="48"/>
      <c r="C43" s="110">
        <v>-889845</v>
      </c>
      <c r="D43" s="56" t="s">
        <v>39</v>
      </c>
      <c r="E43" s="68">
        <v>4305</v>
      </c>
      <c r="F43" s="56"/>
      <c r="G43" s="56"/>
      <c r="J43" s="9"/>
    </row>
    <row r="44" spans="1:10">
      <c r="A44" s="2"/>
      <c r="B44" s="48"/>
      <c r="C44" s="48"/>
      <c r="D44" s="56"/>
      <c r="E44" s="56"/>
      <c r="F44" s="56"/>
      <c r="G44" s="56"/>
      <c r="J44" s="9"/>
    </row>
    <row r="45" spans="1:10">
      <c r="A45" s="239"/>
      <c r="B45" s="48"/>
      <c r="C45" s="110"/>
      <c r="D45" s="56" t="s">
        <v>40</v>
      </c>
      <c r="E45" s="68"/>
      <c r="F45" s="56"/>
      <c r="G45" s="56"/>
      <c r="J45" s="9"/>
    </row>
    <row r="46" spans="1:10">
      <c r="A46" s="70"/>
      <c r="B46" s="48"/>
      <c r="C46" s="48"/>
      <c r="D46" s="56"/>
      <c r="E46" s="56"/>
      <c r="F46" s="56"/>
      <c r="G46" s="56"/>
      <c r="J46" s="9"/>
    </row>
    <row r="47" spans="1:10">
      <c r="A47" s="70" t="s">
        <v>265</v>
      </c>
      <c r="B47" s="48"/>
      <c r="C47" s="48"/>
      <c r="D47" s="56"/>
      <c r="E47" s="56"/>
      <c r="F47" s="56"/>
      <c r="G47" s="56"/>
      <c r="J47" s="9"/>
    </row>
    <row r="48" spans="1:10">
      <c r="A48" s="239"/>
      <c r="B48" s="48"/>
      <c r="C48" s="240"/>
      <c r="D48" s="2" t="s">
        <v>41</v>
      </c>
      <c r="E48" s="241"/>
      <c r="F48" s="56"/>
      <c r="G48" s="56"/>
      <c r="J48" s="9"/>
    </row>
    <row r="49" spans="1:10">
      <c r="A49" s="54"/>
      <c r="B49" s="48"/>
      <c r="C49" s="48"/>
      <c r="D49" s="2"/>
      <c r="E49" s="56"/>
      <c r="F49" s="56"/>
      <c r="G49" s="56"/>
      <c r="J49" s="9"/>
    </row>
    <row r="50" spans="1:10">
      <c r="A50" s="57"/>
      <c r="B50" s="48"/>
      <c r="C50" s="110"/>
      <c r="D50" s="2" t="s">
        <v>42</v>
      </c>
      <c r="E50" s="68"/>
      <c r="F50" s="56"/>
      <c r="G50" s="56"/>
      <c r="J50" s="9"/>
    </row>
    <row r="51" spans="1:10">
      <c r="A51" s="54"/>
      <c r="B51" s="48"/>
      <c r="C51" s="48"/>
      <c r="D51" s="12"/>
      <c r="E51" s="2"/>
      <c r="F51" s="2"/>
      <c r="G51" s="56"/>
      <c r="J51" s="9"/>
    </row>
    <row r="52" spans="1:10">
      <c r="A52" s="57" t="s">
        <v>270</v>
      </c>
      <c r="B52" s="48"/>
      <c r="C52" s="110">
        <v>89789</v>
      </c>
      <c r="D52" s="2" t="s">
        <v>100</v>
      </c>
      <c r="E52" s="68">
        <v>4305</v>
      </c>
      <c r="F52" s="56"/>
      <c r="G52" s="56"/>
      <c r="J52" s="9"/>
    </row>
    <row r="53" spans="1:10">
      <c r="A53" s="54"/>
      <c r="B53" s="48"/>
      <c r="C53" s="48"/>
      <c r="D53" s="56"/>
      <c r="E53" s="56"/>
      <c r="F53" s="56"/>
      <c r="G53" s="56"/>
      <c r="J53" s="9"/>
    </row>
    <row r="54" spans="1:10">
      <c r="A54" s="54"/>
      <c r="B54" s="48"/>
      <c r="C54" s="48"/>
      <c r="D54" s="56"/>
      <c r="E54" s="56"/>
      <c r="F54" s="56"/>
      <c r="G54" s="56"/>
      <c r="J54" s="9"/>
    </row>
    <row r="55" spans="1:10" ht="15.6" customHeight="1">
      <c r="A55" s="106" t="s">
        <v>232</v>
      </c>
      <c r="B55" s="48"/>
      <c r="C55" s="111">
        <f>C25+C29+C33+C35+C43+C45+C48+C50+C52+C37</f>
        <v>-1042152.1200000001</v>
      </c>
      <c r="D55" s="2" t="s">
        <v>101</v>
      </c>
      <c r="E55" s="2"/>
      <c r="F55" s="2"/>
      <c r="G55" s="56"/>
      <c r="J55" s="9"/>
    </row>
    <row r="56" spans="1:10" ht="15.75">
      <c r="A56" s="53"/>
      <c r="B56" s="48"/>
      <c r="C56" s="2"/>
      <c r="D56" s="2"/>
      <c r="E56" s="2"/>
      <c r="F56" s="2"/>
      <c r="G56" s="56"/>
      <c r="J56" s="9"/>
    </row>
    <row r="57" spans="1:10" ht="15.75" thickBot="1">
      <c r="A57" s="73"/>
      <c r="B57" s="48"/>
      <c r="C57" s="48"/>
      <c r="D57" s="56"/>
      <c r="E57" s="56"/>
      <c r="F57" s="56"/>
      <c r="G57" s="56"/>
      <c r="J57" s="9"/>
    </row>
    <row r="58" spans="1:10" ht="15.75">
      <c r="A58" s="76" t="s">
        <v>117</v>
      </c>
      <c r="B58" s="77"/>
      <c r="C58" s="77"/>
      <c r="D58" s="79"/>
      <c r="E58" s="79"/>
      <c r="F58" s="79"/>
      <c r="G58" s="79"/>
      <c r="H58" s="79"/>
      <c r="I58" s="79"/>
      <c r="J58" s="9"/>
    </row>
    <row r="59" spans="1:10" ht="15.75">
      <c r="A59" s="104"/>
      <c r="B59" s="103"/>
      <c r="C59" s="48"/>
      <c r="D59" s="48"/>
      <c r="E59" s="58" t="s">
        <v>51</v>
      </c>
      <c r="G59" s="66"/>
      <c r="J59" s="9"/>
    </row>
    <row r="60" spans="1:10" ht="30">
      <c r="A60" s="70" t="s">
        <v>115</v>
      </c>
      <c r="B60" s="107"/>
      <c r="C60" s="114">
        <v>63100</v>
      </c>
      <c r="D60" s="56" t="s">
        <v>43</v>
      </c>
      <c r="E60" s="1" t="s">
        <v>50</v>
      </c>
      <c r="G60" s="66"/>
      <c r="J60" s="9"/>
    </row>
    <row r="61" spans="1:10">
      <c r="A61" s="70"/>
      <c r="B61" s="107"/>
      <c r="C61" s="48"/>
      <c r="D61" s="56"/>
      <c r="E61" s="2"/>
      <c r="G61" s="66"/>
      <c r="J61" s="9"/>
    </row>
    <row r="62" spans="1:10">
      <c r="A62" s="70" t="s">
        <v>116</v>
      </c>
      <c r="B62" s="107"/>
      <c r="C62" s="48"/>
      <c r="D62" s="56"/>
      <c r="E62" s="2"/>
      <c r="G62" s="66"/>
      <c r="J62" s="9"/>
    </row>
    <row r="63" spans="1:10" ht="30">
      <c r="A63" s="70" t="s">
        <v>236</v>
      </c>
      <c r="B63" s="107"/>
      <c r="C63" s="114">
        <v>13000</v>
      </c>
      <c r="D63" s="56" t="s">
        <v>44</v>
      </c>
      <c r="E63" s="1" t="s">
        <v>235</v>
      </c>
      <c r="F63" s="12"/>
      <c r="G63" s="66"/>
      <c r="J63" s="9"/>
    </row>
    <row r="64" spans="1:10">
      <c r="A64" s="70"/>
      <c r="B64" s="107"/>
      <c r="C64" s="12"/>
      <c r="D64" s="56"/>
      <c r="E64" s="1"/>
      <c r="F64" s="12"/>
      <c r="G64" s="66"/>
      <c r="J64" s="9"/>
    </row>
    <row r="65" spans="1:10" ht="31.5">
      <c r="A65" s="70" t="s">
        <v>237</v>
      </c>
      <c r="B65" s="107"/>
      <c r="C65" s="114">
        <v>13452.99</v>
      </c>
      <c r="D65" s="64" t="s">
        <v>144</v>
      </c>
      <c r="E65" s="1" t="s">
        <v>177</v>
      </c>
      <c r="F65" s="12"/>
      <c r="G65" s="66"/>
      <c r="J65" s="9"/>
    </row>
    <row r="66" spans="1:10">
      <c r="A66" s="70" t="s">
        <v>114</v>
      </c>
      <c r="B66" s="107"/>
      <c r="C66" s="12"/>
      <c r="D66" s="56"/>
      <c r="E66" s="52"/>
      <c r="F66" s="1"/>
      <c r="G66" s="66"/>
      <c r="J66" s="9"/>
    </row>
    <row r="67" spans="1:10">
      <c r="A67" s="55"/>
      <c r="B67" s="107"/>
      <c r="C67" s="110"/>
      <c r="D67" s="56" t="s">
        <v>84</v>
      </c>
      <c r="F67" s="1"/>
      <c r="G67" s="66"/>
      <c r="J67" s="9"/>
    </row>
    <row r="68" spans="1:10">
      <c r="A68" s="55"/>
      <c r="B68" s="107"/>
      <c r="C68" s="110"/>
      <c r="D68" s="56" t="s">
        <v>85</v>
      </c>
      <c r="F68" s="1"/>
      <c r="G68" s="66"/>
      <c r="J68" s="9"/>
    </row>
    <row r="69" spans="1:10">
      <c r="A69" s="54"/>
      <c r="C69" s="48"/>
      <c r="D69" s="56"/>
      <c r="F69" s="2"/>
      <c r="G69" s="66"/>
      <c r="J69" s="9"/>
    </row>
    <row r="70" spans="1:10">
      <c r="A70" s="70" t="s">
        <v>83</v>
      </c>
      <c r="C70" s="111">
        <f>C60-C63-C67-C68</f>
        <v>50100</v>
      </c>
      <c r="D70" s="56" t="s">
        <v>86</v>
      </c>
      <c r="F70" s="51"/>
      <c r="G70" s="66"/>
      <c r="J70" s="9"/>
    </row>
    <row r="71" spans="1:10">
      <c r="A71" s="54"/>
      <c r="B71" s="48"/>
      <c r="C71" s="48"/>
      <c r="D71" s="56"/>
      <c r="E71" s="56"/>
      <c r="F71" s="56"/>
      <c r="G71" s="66"/>
      <c r="J71" s="9"/>
    </row>
    <row r="72" spans="1:10" ht="15.75" thickBot="1">
      <c r="A72" s="17"/>
      <c r="B72" s="48"/>
      <c r="C72" s="48"/>
      <c r="D72" s="56"/>
      <c r="E72" s="56"/>
      <c r="F72" s="56"/>
      <c r="G72" s="66"/>
      <c r="J72" s="9"/>
    </row>
    <row r="73" spans="1:10" ht="15.75">
      <c r="A73" s="108" t="s">
        <v>203</v>
      </c>
      <c r="B73" s="108"/>
      <c r="C73" s="108"/>
      <c r="D73" s="79"/>
      <c r="E73" s="79"/>
      <c r="F73" s="79"/>
      <c r="G73" s="79"/>
      <c r="H73" s="79"/>
      <c r="I73" s="79"/>
      <c r="J73" s="9"/>
    </row>
    <row r="74" spans="1:10">
      <c r="A74" s="73"/>
      <c r="B74" s="103"/>
      <c r="C74" s="48"/>
      <c r="D74" s="56"/>
      <c r="E74" s="56"/>
      <c r="F74" s="56"/>
      <c r="G74" s="56"/>
      <c r="J74" s="9"/>
    </row>
    <row r="75" spans="1:10">
      <c r="A75" s="54" t="s">
        <v>178</v>
      </c>
      <c r="B75" s="48"/>
      <c r="C75" s="110">
        <v>22119.439999999999</v>
      </c>
      <c r="D75" s="56" t="s">
        <v>45</v>
      </c>
      <c r="E75" s="56"/>
      <c r="F75" s="56"/>
      <c r="G75" s="56"/>
      <c r="J75" s="9"/>
    </row>
    <row r="76" spans="1:10">
      <c r="A76" s="54" t="s">
        <v>179</v>
      </c>
      <c r="B76" s="48"/>
      <c r="C76" s="110">
        <v>-39414.949999999997</v>
      </c>
      <c r="D76" s="56" t="s">
        <v>46</v>
      </c>
      <c r="E76" s="56"/>
      <c r="F76" s="56"/>
      <c r="G76" s="56"/>
      <c r="J76" s="9"/>
    </row>
    <row r="77" spans="1:10">
      <c r="A77" s="54"/>
      <c r="B77" s="48"/>
      <c r="C77" s="48"/>
      <c r="D77" s="56"/>
      <c r="E77" s="56"/>
      <c r="F77" s="56"/>
      <c r="G77" s="56"/>
      <c r="J77" s="9"/>
    </row>
    <row r="78" spans="1:10">
      <c r="A78" s="70" t="s">
        <v>204</v>
      </c>
      <c r="B78" s="50"/>
      <c r="C78" s="111">
        <f>C75+C76</f>
        <v>-17295.509999999998</v>
      </c>
      <c r="D78" s="56" t="s">
        <v>47</v>
      </c>
      <c r="E78" s="49"/>
      <c r="F78" s="49"/>
      <c r="G78" s="56"/>
      <c r="J78" s="9"/>
    </row>
    <row r="79" spans="1:10">
      <c r="A79" s="104"/>
      <c r="B79" s="50"/>
      <c r="C79" s="48"/>
      <c r="D79" s="56"/>
      <c r="E79" s="56"/>
      <c r="F79" s="56"/>
      <c r="G79" s="56"/>
      <c r="J79" s="9"/>
    </row>
    <row r="80" spans="1:10" ht="15.75" thickBot="1">
      <c r="A80" s="17"/>
      <c r="B80" s="48"/>
      <c r="G80" s="56"/>
      <c r="J80" s="9"/>
    </row>
    <row r="81" spans="1:10" ht="15.75">
      <c r="A81" s="76" t="s">
        <v>205</v>
      </c>
      <c r="B81" s="77"/>
      <c r="C81" s="77"/>
      <c r="D81" s="79"/>
      <c r="E81" s="79"/>
      <c r="F81" s="79"/>
      <c r="G81" s="79"/>
      <c r="H81" s="79"/>
      <c r="I81" s="79"/>
      <c r="J81" s="9"/>
    </row>
    <row r="82" spans="1:10" ht="15.75">
      <c r="A82" s="53"/>
      <c r="B82" s="103"/>
      <c r="C82" s="48"/>
      <c r="D82" s="2"/>
      <c r="E82" s="58" t="s">
        <v>51</v>
      </c>
      <c r="F82" s="58"/>
      <c r="G82" s="49"/>
      <c r="J82" s="9"/>
    </row>
    <row r="83" spans="1:10" ht="30">
      <c r="A83" s="70" t="s">
        <v>82</v>
      </c>
      <c r="B83" s="48"/>
      <c r="C83" s="114">
        <v>1971975.39</v>
      </c>
      <c r="D83" s="2" t="s">
        <v>58</v>
      </c>
      <c r="E83" s="1" t="s">
        <v>54</v>
      </c>
      <c r="F83" s="1"/>
      <c r="G83" s="49"/>
      <c r="J83" s="9"/>
    </row>
    <row r="84" spans="1:10">
      <c r="A84" s="70" t="s">
        <v>53</v>
      </c>
      <c r="B84" s="48"/>
      <c r="C84" s="48"/>
      <c r="D84" s="2"/>
      <c r="E84" s="1"/>
      <c r="F84" s="1"/>
      <c r="G84" s="49"/>
      <c r="J84" s="9"/>
    </row>
    <row r="85" spans="1:10">
      <c r="A85" s="62" t="s">
        <v>178</v>
      </c>
      <c r="B85" s="48"/>
      <c r="C85" s="111">
        <f>C75</f>
        <v>22119.439999999999</v>
      </c>
      <c r="D85" s="2" t="s">
        <v>77</v>
      </c>
      <c r="E85" s="1" t="s">
        <v>71</v>
      </c>
      <c r="F85" s="1"/>
      <c r="G85" s="49"/>
      <c r="J85" s="9"/>
    </row>
    <row r="86" spans="1:10">
      <c r="A86" s="62" t="s">
        <v>238</v>
      </c>
      <c r="B86" s="48"/>
      <c r="C86" s="110"/>
      <c r="D86" s="2" t="s">
        <v>62</v>
      </c>
      <c r="E86" s="1"/>
      <c r="F86" s="1"/>
      <c r="G86" s="49"/>
      <c r="J86" s="9"/>
    </row>
    <row r="87" spans="1:10">
      <c r="A87" s="62" t="s">
        <v>103</v>
      </c>
      <c r="B87" s="48"/>
      <c r="C87" s="48"/>
      <c r="D87" s="2"/>
      <c r="E87" s="1"/>
      <c r="F87" s="1"/>
      <c r="G87" s="49"/>
      <c r="J87" s="9"/>
    </row>
    <row r="88" spans="1:10">
      <c r="A88" s="63" t="s">
        <v>292</v>
      </c>
      <c r="B88" s="48"/>
      <c r="C88" s="110">
        <v>262014</v>
      </c>
      <c r="D88" s="2" t="s">
        <v>63</v>
      </c>
      <c r="E88" s="2"/>
      <c r="F88" s="56"/>
      <c r="G88" s="49"/>
      <c r="J88" s="9"/>
    </row>
    <row r="89" spans="1:10">
      <c r="A89" s="63"/>
      <c r="B89" s="48"/>
      <c r="C89" s="110"/>
      <c r="D89" s="2" t="s">
        <v>78</v>
      </c>
      <c r="E89" s="2"/>
      <c r="F89" s="56"/>
      <c r="G89" s="49"/>
      <c r="J89" s="9"/>
    </row>
    <row r="90" spans="1:10">
      <c r="A90" s="2"/>
      <c r="B90" s="48"/>
      <c r="C90" s="48"/>
      <c r="D90" s="2"/>
      <c r="E90" s="2"/>
      <c r="F90" s="56"/>
      <c r="G90" s="49"/>
      <c r="J90" s="9"/>
    </row>
    <row r="91" spans="1:10">
      <c r="A91" s="70"/>
      <c r="B91" s="48"/>
      <c r="C91" s="48"/>
      <c r="D91" s="2"/>
      <c r="E91" s="2"/>
      <c r="F91" s="56"/>
      <c r="G91" s="49"/>
      <c r="J91" s="9"/>
    </row>
    <row r="92" spans="1:10">
      <c r="A92" s="70" t="s">
        <v>214</v>
      </c>
      <c r="B92" s="48"/>
      <c r="C92" s="111">
        <f>C83-C85-C86-C88-C89</f>
        <v>1687841.95</v>
      </c>
      <c r="D92" s="64" t="s">
        <v>79</v>
      </c>
      <c r="E92" s="1"/>
      <c r="F92" s="1"/>
      <c r="G92" s="49"/>
      <c r="J92" s="9"/>
    </row>
    <row r="93" spans="1:10" s="36" customFormat="1">
      <c r="A93" s="70"/>
      <c r="B93" s="50"/>
      <c r="C93" s="65"/>
      <c r="D93" s="51"/>
      <c r="E93" s="1"/>
      <c r="F93" s="1"/>
      <c r="G93" s="49"/>
      <c r="J93" s="9"/>
    </row>
    <row r="94" spans="1:10">
      <c r="A94" s="70" t="s">
        <v>206</v>
      </c>
      <c r="B94" s="48"/>
      <c r="C94" s="111">
        <f>'ROE Summary removing ICM'!E80+'ROE Summary removing ICM'!E81</f>
        <v>37458250.439760007</v>
      </c>
      <c r="D94" s="2" t="s">
        <v>59</v>
      </c>
      <c r="E94" s="2" t="s">
        <v>180</v>
      </c>
      <c r="F94" s="2"/>
      <c r="G94" s="49"/>
      <c r="J94" s="9"/>
    </row>
    <row r="95" spans="1:10">
      <c r="A95" s="70" t="s">
        <v>239</v>
      </c>
      <c r="B95" s="48"/>
      <c r="C95" s="113">
        <v>4.0500000000000001E-2</v>
      </c>
      <c r="D95" s="2" t="s">
        <v>57</v>
      </c>
      <c r="E95" s="2" t="s">
        <v>64</v>
      </c>
      <c r="F95" s="2"/>
      <c r="G95" s="49"/>
      <c r="J95" s="9"/>
    </row>
    <row r="96" spans="1:10">
      <c r="A96" s="70"/>
      <c r="B96" s="48"/>
      <c r="C96" s="48"/>
      <c r="D96" s="2"/>
      <c r="E96" s="2"/>
      <c r="F96" s="56"/>
      <c r="G96" s="49"/>
      <c r="J96" s="9"/>
    </row>
    <row r="97" spans="1:10">
      <c r="A97" s="70" t="s">
        <v>48</v>
      </c>
      <c r="B97" s="48"/>
      <c r="C97" s="111">
        <f>C94*C95</f>
        <v>1517059.1428102804</v>
      </c>
      <c r="D97" s="2" t="s">
        <v>60</v>
      </c>
      <c r="E97" s="52"/>
      <c r="G97" s="49"/>
      <c r="J97" s="9"/>
    </row>
    <row r="98" spans="1:10">
      <c r="A98" s="70"/>
      <c r="B98" s="48"/>
      <c r="C98" s="48"/>
      <c r="D98" s="2"/>
      <c r="E98" s="2"/>
      <c r="F98" s="56"/>
      <c r="G98" s="49"/>
      <c r="J98" s="9"/>
    </row>
    <row r="99" spans="1:10">
      <c r="A99" s="70" t="s">
        <v>207</v>
      </c>
      <c r="B99" s="48"/>
      <c r="C99" s="111">
        <f>C92-C97</f>
        <v>170782.80718971952</v>
      </c>
      <c r="D99" s="2" t="s">
        <v>61</v>
      </c>
      <c r="E99" s="49"/>
      <c r="F99" s="49"/>
      <c r="G99" s="49"/>
      <c r="J99" s="9"/>
    </row>
    <row r="100" spans="1:10">
      <c r="A100" s="73"/>
      <c r="B100" s="48"/>
      <c r="C100" s="48"/>
      <c r="D100" s="56"/>
      <c r="E100" s="56"/>
      <c r="F100" s="56"/>
      <c r="G100" s="49"/>
      <c r="J100" s="9"/>
    </row>
    <row r="101" spans="1:10" ht="15.75" thickBot="1">
      <c r="A101" s="17"/>
      <c r="B101" s="48"/>
      <c r="C101" s="48"/>
      <c r="D101" s="56"/>
      <c r="E101" s="56"/>
      <c r="F101" s="56"/>
      <c r="G101" s="49"/>
      <c r="J101" s="9"/>
    </row>
    <row r="102" spans="1:10" ht="15.75">
      <c r="A102" s="76" t="s">
        <v>181</v>
      </c>
      <c r="B102" s="77"/>
      <c r="C102" s="77"/>
      <c r="D102" s="79"/>
      <c r="E102" s="79"/>
      <c r="F102" s="79"/>
      <c r="G102" s="79"/>
      <c r="H102" s="79"/>
      <c r="I102" s="79"/>
      <c r="J102" s="9"/>
    </row>
    <row r="103" spans="1:10">
      <c r="A103" s="36"/>
      <c r="B103" s="103"/>
      <c r="G103" s="49"/>
      <c r="J103" s="9"/>
    </row>
    <row r="104" spans="1:10" ht="15.75">
      <c r="A104" s="106"/>
      <c r="B104" s="107"/>
      <c r="G104" s="49"/>
      <c r="J104" s="9"/>
    </row>
    <row r="105" spans="1:10" ht="15.75">
      <c r="A105" s="36"/>
      <c r="B105" s="107"/>
      <c r="E105" s="58" t="s">
        <v>51</v>
      </c>
      <c r="F105" s="58"/>
      <c r="G105" s="49"/>
      <c r="J105" s="9"/>
    </row>
    <row r="106" spans="1:10">
      <c r="A106" s="70" t="s">
        <v>172</v>
      </c>
      <c r="B106" s="107"/>
      <c r="C106" s="114">
        <v>38227021</v>
      </c>
      <c r="D106" s="47" t="s">
        <v>93</v>
      </c>
      <c r="E106" s="2" t="s">
        <v>173</v>
      </c>
      <c r="F106" s="2"/>
      <c r="G106" s="49"/>
      <c r="J106" s="9"/>
    </row>
    <row r="107" spans="1:10">
      <c r="A107" s="70" t="s">
        <v>251</v>
      </c>
      <c r="B107" s="107"/>
      <c r="D107" s="52"/>
      <c r="E107" s="2"/>
      <c r="F107" s="2"/>
      <c r="G107" s="2"/>
      <c r="J107" s="9"/>
    </row>
    <row r="108" spans="1:10">
      <c r="A108" s="63" t="s">
        <v>287</v>
      </c>
      <c r="B108" s="107"/>
      <c r="C108" s="110">
        <f>14946000.74-1431117-515359</f>
        <v>12999524.74</v>
      </c>
      <c r="D108" s="52" t="s">
        <v>94</v>
      </c>
      <c r="E108" s="2"/>
      <c r="F108" s="2"/>
      <c r="G108" s="49"/>
      <c r="J108" s="9"/>
    </row>
    <row r="109" spans="1:10">
      <c r="A109" s="70" t="s">
        <v>171</v>
      </c>
      <c r="B109" s="107"/>
      <c r="C109" s="111">
        <f>C106+C108</f>
        <v>51226545.740000002</v>
      </c>
      <c r="D109" s="52" t="s">
        <v>196</v>
      </c>
      <c r="E109" s="2"/>
      <c r="F109" s="2"/>
      <c r="G109" s="49"/>
      <c r="J109" s="9"/>
    </row>
    <row r="110" spans="1:10">
      <c r="A110" s="70"/>
      <c r="B110" s="107"/>
      <c r="D110" s="52"/>
      <c r="E110" s="2"/>
      <c r="F110" s="2"/>
      <c r="G110" s="49"/>
      <c r="J110" s="9"/>
    </row>
    <row r="111" spans="1:10">
      <c r="A111" s="36"/>
      <c r="B111" s="107"/>
      <c r="D111" s="52"/>
      <c r="E111" s="2"/>
      <c r="F111" s="2"/>
      <c r="G111" s="49"/>
      <c r="J111" s="9"/>
    </row>
    <row r="112" spans="1:10" ht="15.75" customHeight="1">
      <c r="A112" s="106"/>
      <c r="B112" s="107"/>
      <c r="D112" s="52"/>
      <c r="E112" s="2"/>
      <c r="F112" s="2"/>
      <c r="G112" s="49"/>
      <c r="J112" s="9"/>
    </row>
    <row r="113" spans="1:10">
      <c r="A113" s="70" t="s">
        <v>255</v>
      </c>
      <c r="B113" s="107"/>
      <c r="C113" s="114">
        <v>53396117.990000002</v>
      </c>
      <c r="D113" s="52" t="s">
        <v>197</v>
      </c>
      <c r="E113" s="2" t="s">
        <v>165</v>
      </c>
      <c r="F113" s="2"/>
      <c r="G113" s="49"/>
      <c r="J113" s="9"/>
    </row>
    <row r="114" spans="1:10">
      <c r="A114" s="70"/>
      <c r="B114" s="2"/>
      <c r="C114" s="2"/>
      <c r="D114" s="52"/>
      <c r="E114" s="2"/>
      <c r="F114" s="2"/>
      <c r="G114" s="49"/>
      <c r="J114" s="9"/>
    </row>
    <row r="115" spans="1:10">
      <c r="A115" s="70" t="s">
        <v>162</v>
      </c>
      <c r="B115" s="2"/>
      <c r="C115" s="2"/>
      <c r="D115" s="52"/>
      <c r="E115" s="2"/>
      <c r="F115" s="2"/>
      <c r="G115" s="49"/>
      <c r="J115" s="9"/>
    </row>
    <row r="116" spans="1:10" ht="18.75" customHeight="1">
      <c r="A116" s="70" t="s">
        <v>182</v>
      </c>
      <c r="B116" s="107"/>
      <c r="C116" s="114"/>
      <c r="D116" s="52" t="s">
        <v>164</v>
      </c>
      <c r="E116" s="2" t="s">
        <v>88</v>
      </c>
      <c r="F116" s="2"/>
      <c r="G116" s="49"/>
      <c r="J116" s="9"/>
    </row>
    <row r="117" spans="1:10" ht="19.5" customHeight="1">
      <c r="A117" s="70" t="s">
        <v>89</v>
      </c>
      <c r="B117" s="107"/>
      <c r="C117" s="114">
        <v>239276.94</v>
      </c>
      <c r="D117" s="52" t="s">
        <v>95</v>
      </c>
      <c r="E117" s="2" t="s">
        <v>122</v>
      </c>
      <c r="F117" s="2"/>
      <c r="G117" s="49"/>
      <c r="J117" s="9"/>
    </row>
    <row r="118" spans="1:10">
      <c r="A118" s="70" t="s">
        <v>163</v>
      </c>
      <c r="B118" s="107"/>
      <c r="D118" s="52"/>
      <c r="E118" s="52"/>
      <c r="G118" s="49"/>
      <c r="J118" s="9"/>
    </row>
    <row r="119" spans="1:10">
      <c r="A119" s="63"/>
      <c r="B119" s="107"/>
      <c r="C119" s="110"/>
      <c r="D119" s="52" t="s">
        <v>96</v>
      </c>
      <c r="G119" s="49"/>
      <c r="J119" s="9"/>
    </row>
    <row r="120" spans="1:10">
      <c r="A120" s="63"/>
      <c r="B120" s="107"/>
      <c r="C120" s="110"/>
      <c r="D120" s="52" t="s">
        <v>97</v>
      </c>
      <c r="G120" s="49"/>
      <c r="J120" s="9"/>
    </row>
    <row r="121" spans="1:10">
      <c r="A121" s="63"/>
      <c r="B121" s="107"/>
      <c r="C121" s="110"/>
      <c r="D121" s="52" t="s">
        <v>98</v>
      </c>
      <c r="G121" s="49"/>
      <c r="J121" s="9"/>
    </row>
    <row r="122" spans="1:10">
      <c r="A122" s="63" t="s">
        <v>288</v>
      </c>
      <c r="B122" s="107"/>
      <c r="C122" s="110">
        <v>-515359</v>
      </c>
      <c r="D122" s="52" t="s">
        <v>260</v>
      </c>
      <c r="G122" s="49"/>
      <c r="J122" s="9"/>
    </row>
    <row r="123" spans="1:10">
      <c r="A123" s="63"/>
      <c r="B123" s="107"/>
      <c r="C123" s="110"/>
      <c r="D123" s="52" t="s">
        <v>261</v>
      </c>
      <c r="G123" s="49"/>
      <c r="J123" s="9"/>
    </row>
    <row r="124" spans="1:10">
      <c r="A124" s="70" t="s">
        <v>218</v>
      </c>
      <c r="B124" s="107"/>
      <c r="C124" s="111">
        <f>C113-C116-C117-C119-C120-C121-C122-C123</f>
        <v>53672200.050000004</v>
      </c>
      <c r="D124" s="52" t="s">
        <v>262</v>
      </c>
      <c r="G124" s="49"/>
      <c r="J124" s="9"/>
    </row>
    <row r="125" spans="1:10">
      <c r="A125" s="70"/>
      <c r="D125" s="52"/>
      <c r="G125" s="49"/>
      <c r="J125" s="9"/>
    </row>
    <row r="126" spans="1:10" ht="15.75" thickBot="1">
      <c r="G126" s="49"/>
      <c r="J126" s="9"/>
    </row>
    <row r="127" spans="1:10" ht="15.75">
      <c r="A127" s="76" t="s">
        <v>118</v>
      </c>
      <c r="B127" s="77"/>
      <c r="C127" s="77"/>
      <c r="D127" s="79"/>
      <c r="E127" s="79"/>
      <c r="F127" s="79"/>
      <c r="G127" s="79"/>
      <c r="H127" s="79"/>
      <c r="I127" s="79"/>
      <c r="J127" s="86"/>
    </row>
    <row r="128" spans="1:10">
      <c r="A128" s="27"/>
      <c r="B128" s="48"/>
      <c r="C128" s="48"/>
      <c r="D128" s="49"/>
      <c r="E128" s="49"/>
      <c r="F128" s="49"/>
      <c r="G128" s="12"/>
      <c r="H128" s="32"/>
      <c r="I128" s="32"/>
      <c r="J128" s="85"/>
    </row>
    <row r="129" spans="1:12">
      <c r="A129" s="69"/>
      <c r="B129" s="259"/>
      <c r="C129" s="12"/>
      <c r="D129" s="12"/>
      <c r="E129" s="90" t="s">
        <v>123</v>
      </c>
      <c r="F129" s="49"/>
      <c r="G129" s="261"/>
      <c r="H129" s="32"/>
      <c r="I129" s="32"/>
      <c r="J129" s="85"/>
    </row>
    <row r="130" spans="1:12" ht="28.5" customHeight="1">
      <c r="A130" s="84"/>
      <c r="B130" s="259"/>
      <c r="D130" s="90"/>
      <c r="F130" s="88"/>
      <c r="G130" s="262"/>
      <c r="H130" s="80"/>
      <c r="I130" s="80"/>
      <c r="J130" s="87"/>
    </row>
    <row r="131" spans="1:12" ht="30.75">
      <c r="A131" s="117" t="s">
        <v>124</v>
      </c>
      <c r="B131" s="118"/>
      <c r="C131" s="47"/>
      <c r="E131" s="110">
        <v>94000</v>
      </c>
      <c r="F131" s="89" t="s">
        <v>120</v>
      </c>
      <c r="G131" s="89"/>
      <c r="H131" s="119"/>
      <c r="I131" s="47"/>
      <c r="J131" s="120"/>
      <c r="K131" s="47"/>
      <c r="L131" s="47"/>
    </row>
    <row r="132" spans="1:12" ht="30.75">
      <c r="A132" s="117" t="s">
        <v>208</v>
      </c>
      <c r="B132" s="118"/>
      <c r="C132" s="110">
        <v>0</v>
      </c>
      <c r="D132" s="56" t="s">
        <v>125</v>
      </c>
      <c r="E132" s="121"/>
      <c r="F132" s="89"/>
      <c r="G132" s="89"/>
      <c r="H132" s="119"/>
      <c r="I132" s="56"/>
      <c r="J132" s="120"/>
      <c r="K132" s="47"/>
      <c r="L132" s="47"/>
    </row>
    <row r="133" spans="1:12" s="36" customFormat="1" ht="30.75">
      <c r="A133" s="117" t="s">
        <v>253</v>
      </c>
      <c r="B133" s="118"/>
      <c r="C133" s="110">
        <v>0</v>
      </c>
      <c r="D133" s="2" t="s">
        <v>252</v>
      </c>
      <c r="E133" s="122"/>
      <c r="F133" s="116"/>
      <c r="G133" s="116"/>
      <c r="H133" s="123"/>
      <c r="I133" s="2"/>
      <c r="J133" s="120"/>
      <c r="K133" s="52"/>
      <c r="L133" s="52"/>
    </row>
    <row r="134" spans="1:12" ht="21.75" customHeight="1">
      <c r="A134" s="117" t="s">
        <v>128</v>
      </c>
      <c r="B134" s="118"/>
      <c r="C134" s="125">
        <v>0.26500000000000001</v>
      </c>
      <c r="D134" s="126" t="s">
        <v>186</v>
      </c>
      <c r="E134" s="89"/>
      <c r="F134" s="89"/>
      <c r="G134" s="89"/>
      <c r="H134" s="119"/>
      <c r="I134" s="56"/>
      <c r="J134" s="120"/>
      <c r="K134" s="47"/>
      <c r="L134" s="47"/>
    </row>
    <row r="135" spans="1:12" ht="15" customHeight="1">
      <c r="A135" s="124"/>
      <c r="B135" s="118"/>
      <c r="C135" s="56"/>
      <c r="E135" s="89"/>
      <c r="F135" s="89"/>
      <c r="G135" s="89"/>
      <c r="H135" s="119"/>
      <c r="I135" s="56"/>
      <c r="J135" s="120"/>
      <c r="K135" s="47"/>
      <c r="L135" s="47"/>
    </row>
    <row r="136" spans="1:12" ht="30.75">
      <c r="A136" s="127" t="s">
        <v>183</v>
      </c>
      <c r="B136" s="118"/>
      <c r="C136" s="47"/>
      <c r="E136" s="110"/>
      <c r="F136" s="89" t="s">
        <v>121</v>
      </c>
      <c r="G136" s="88"/>
      <c r="H136" s="81"/>
      <c r="I136" s="81"/>
      <c r="J136" s="128"/>
      <c r="K136" s="47"/>
      <c r="L136" s="47"/>
    </row>
    <row r="137" spans="1:12" ht="15.75">
      <c r="A137" s="127"/>
      <c r="B137" s="118"/>
      <c r="C137" s="47"/>
      <c r="E137" s="121"/>
      <c r="F137" s="89"/>
      <c r="G137" s="88"/>
      <c r="H137" s="81"/>
      <c r="I137" s="81"/>
      <c r="J137" s="128"/>
      <c r="K137" s="47"/>
      <c r="L137" s="47"/>
    </row>
    <row r="138" spans="1:12" ht="15.75">
      <c r="A138" s="126" t="s">
        <v>167</v>
      </c>
      <c r="B138" s="129"/>
      <c r="C138" s="47"/>
      <c r="E138" s="130">
        <v>94000</v>
      </c>
      <c r="F138" s="88" t="s">
        <v>126</v>
      </c>
      <c r="G138" s="47"/>
      <c r="H138" s="131"/>
      <c r="I138" s="131"/>
      <c r="J138" s="132"/>
      <c r="K138" s="260"/>
      <c r="L138" s="260"/>
    </row>
    <row r="139" spans="1:12" ht="15.75">
      <c r="A139" s="133"/>
      <c r="B139" s="129"/>
      <c r="C139" s="47"/>
      <c r="E139" s="122"/>
      <c r="F139" s="64"/>
      <c r="G139" s="134"/>
      <c r="H139" s="131"/>
      <c r="I139" s="131"/>
      <c r="J139" s="132"/>
      <c r="K139" s="47"/>
      <c r="L139" s="47"/>
    </row>
    <row r="140" spans="1:12" ht="22.5" customHeight="1">
      <c r="A140" s="117" t="s">
        <v>269</v>
      </c>
      <c r="B140" s="129"/>
      <c r="C140" s="47"/>
      <c r="E140" s="135" t="str">
        <f>IF(ROUND(E131+E136-E138,2)&lt;3, "CORRECT", "ERROR")</f>
        <v>CORRECT</v>
      </c>
      <c r="F140" s="64"/>
      <c r="G140" s="134"/>
      <c r="H140" s="131"/>
      <c r="I140" s="131"/>
      <c r="J140" s="132"/>
      <c r="K140" s="47"/>
      <c r="L140" s="47"/>
    </row>
    <row r="141" spans="1:12" ht="31.5">
      <c r="A141" s="133"/>
      <c r="B141" s="129"/>
      <c r="C141" s="136" t="s">
        <v>168</v>
      </c>
      <c r="D141" s="137"/>
      <c r="E141" s="122"/>
      <c r="F141" s="64"/>
      <c r="G141" s="134"/>
      <c r="H141" s="131"/>
      <c r="I141" s="131"/>
      <c r="J141" s="132"/>
      <c r="K141" s="47"/>
      <c r="L141" s="47"/>
    </row>
    <row r="142" spans="1:12" ht="15.75">
      <c r="A142" s="138" t="s">
        <v>187</v>
      </c>
      <c r="B142" s="129"/>
      <c r="C142" s="47"/>
      <c r="G142" s="60"/>
      <c r="H142" s="81"/>
      <c r="I142" s="81"/>
      <c r="J142" s="128"/>
      <c r="K142" s="47"/>
      <c r="L142" s="47"/>
    </row>
    <row r="143" spans="1:12" ht="15.75">
      <c r="A143" s="124" t="s">
        <v>127</v>
      </c>
      <c r="B143" s="129"/>
      <c r="C143" s="111">
        <f>C55</f>
        <v>-1042152.1200000001</v>
      </c>
      <c r="D143" s="47" t="s">
        <v>145</v>
      </c>
      <c r="E143" s="111">
        <f t="shared" ref="E143:E151" si="0">C143*$C$134</f>
        <v>-276170.31180000002</v>
      </c>
      <c r="F143" s="64" t="s">
        <v>146</v>
      </c>
      <c r="G143" s="237"/>
      <c r="H143" s="60"/>
      <c r="I143" s="139"/>
      <c r="J143" s="140"/>
      <c r="K143" s="47"/>
      <c r="L143" s="47"/>
    </row>
    <row r="144" spans="1:12" ht="15.75">
      <c r="A144" s="117" t="s">
        <v>111</v>
      </c>
      <c r="B144" s="129"/>
      <c r="C144" s="111">
        <f>C70</f>
        <v>50100</v>
      </c>
      <c r="D144" s="47" t="s">
        <v>147</v>
      </c>
      <c r="E144" s="111">
        <f t="shared" si="0"/>
        <v>13276.5</v>
      </c>
      <c r="F144" s="64" t="s">
        <v>148</v>
      </c>
      <c r="G144" s="107"/>
      <c r="H144" s="60"/>
      <c r="I144" s="60"/>
      <c r="J144" s="141"/>
      <c r="K144" s="47"/>
      <c r="L144" s="47"/>
    </row>
    <row r="145" spans="1:12" ht="30.75">
      <c r="A145" s="117" t="s">
        <v>129</v>
      </c>
      <c r="B145" s="129"/>
      <c r="C145" s="110"/>
      <c r="D145" s="47" t="s">
        <v>130</v>
      </c>
      <c r="E145" s="111">
        <f t="shared" si="0"/>
        <v>0</v>
      </c>
      <c r="F145" s="64" t="s">
        <v>149</v>
      </c>
      <c r="G145" s="107"/>
      <c r="H145" s="60"/>
      <c r="I145" s="81"/>
      <c r="J145" s="142"/>
      <c r="K145" s="47"/>
      <c r="L145" s="47"/>
    </row>
    <row r="146" spans="1:12" ht="15.75">
      <c r="A146" s="117" t="s">
        <v>131</v>
      </c>
      <c r="B146" s="129"/>
      <c r="C146" s="111">
        <f>C78</f>
        <v>-17295.509999999998</v>
      </c>
      <c r="D146" s="47" t="s">
        <v>150</v>
      </c>
      <c r="E146" s="111">
        <f t="shared" si="0"/>
        <v>-4583.3101500000002</v>
      </c>
      <c r="F146" s="64" t="s">
        <v>151</v>
      </c>
      <c r="G146" s="107"/>
      <c r="H146" s="143"/>
      <c r="I146" s="144"/>
      <c r="J146" s="142"/>
      <c r="K146" s="47"/>
      <c r="L146" s="47"/>
    </row>
    <row r="147" spans="1:12" ht="15.75">
      <c r="A147" s="117" t="s">
        <v>132</v>
      </c>
      <c r="B147" s="129"/>
      <c r="C147" s="111">
        <f>C92</f>
        <v>1687841.95</v>
      </c>
      <c r="D147" s="47" t="s">
        <v>152</v>
      </c>
      <c r="E147" s="111">
        <f t="shared" si="0"/>
        <v>447278.11674999999</v>
      </c>
      <c r="F147" s="64" t="s">
        <v>161</v>
      </c>
      <c r="G147" s="107"/>
      <c r="H147" s="81"/>
      <c r="I147" s="81"/>
      <c r="J147" s="128"/>
      <c r="K147" s="47"/>
      <c r="L147" s="47"/>
    </row>
    <row r="148" spans="1:12" ht="15.75">
      <c r="A148" s="117" t="s">
        <v>133</v>
      </c>
      <c r="B148" s="129"/>
      <c r="C148" s="111">
        <f>-C97</f>
        <v>-1517059.1428102804</v>
      </c>
      <c r="D148" s="52" t="s">
        <v>217</v>
      </c>
      <c r="E148" s="111">
        <f t="shared" si="0"/>
        <v>-402020.67284472432</v>
      </c>
      <c r="F148" s="64" t="s">
        <v>153</v>
      </c>
      <c r="G148" s="107"/>
      <c r="H148" s="81"/>
      <c r="I148" s="81"/>
      <c r="J148" s="128"/>
      <c r="K148" s="47"/>
      <c r="L148" s="47"/>
    </row>
    <row r="149" spans="1:12" ht="15.75">
      <c r="A149" s="117" t="s">
        <v>119</v>
      </c>
      <c r="B149" s="129"/>
      <c r="C149" s="110">
        <v>13861</v>
      </c>
      <c r="D149" s="47" t="s">
        <v>134</v>
      </c>
      <c r="E149" s="111">
        <f t="shared" si="0"/>
        <v>3673.165</v>
      </c>
      <c r="F149" s="64" t="s">
        <v>154</v>
      </c>
      <c r="G149" s="107"/>
      <c r="H149" s="143"/>
      <c r="I149" s="144"/>
      <c r="J149" s="142"/>
      <c r="K149" s="47"/>
      <c r="L149" s="47"/>
    </row>
    <row r="150" spans="1:12" ht="30.75">
      <c r="A150" s="117" t="s">
        <v>184</v>
      </c>
      <c r="B150" s="129"/>
      <c r="C150" s="110"/>
      <c r="D150" s="47" t="s">
        <v>135</v>
      </c>
      <c r="E150" s="111">
        <f t="shared" si="0"/>
        <v>0</v>
      </c>
      <c r="F150" s="64" t="s">
        <v>155</v>
      </c>
      <c r="G150" s="107"/>
      <c r="H150" s="143"/>
      <c r="I150" s="144"/>
      <c r="J150" s="142"/>
      <c r="K150" s="47"/>
      <c r="L150" s="47"/>
    </row>
    <row r="151" spans="1:12" ht="31.9" customHeight="1">
      <c r="A151" s="117" t="s">
        <v>185</v>
      </c>
      <c r="B151" s="129"/>
      <c r="C151" s="110"/>
      <c r="D151" s="47" t="s">
        <v>136</v>
      </c>
      <c r="E151" s="111">
        <f t="shared" si="0"/>
        <v>0</v>
      </c>
      <c r="F151" s="64" t="s">
        <v>156</v>
      </c>
      <c r="G151" s="107"/>
      <c r="H151" s="143"/>
      <c r="I151" s="144"/>
      <c r="J151" s="142"/>
      <c r="K151" s="47"/>
      <c r="L151" s="47"/>
    </row>
    <row r="152" spans="1:12" ht="15.75">
      <c r="A152" s="117"/>
      <c r="B152" s="129"/>
      <c r="C152" s="145"/>
      <c r="E152" s="146"/>
      <c r="F152" s="64"/>
      <c r="G152" s="107"/>
      <c r="H152" s="81"/>
      <c r="I152" s="81"/>
      <c r="J152" s="128"/>
      <c r="K152" s="47"/>
      <c r="L152" s="47"/>
    </row>
    <row r="153" spans="1:12" ht="15.75">
      <c r="A153" s="126" t="s">
        <v>240</v>
      </c>
      <c r="B153" s="129"/>
      <c r="C153" s="145"/>
      <c r="E153" s="145"/>
      <c r="F153" s="64"/>
      <c r="G153" s="107"/>
      <c r="H153" s="147"/>
      <c r="I153" s="147"/>
      <c r="J153" s="148"/>
      <c r="K153" s="47"/>
      <c r="L153" s="47"/>
    </row>
    <row r="154" spans="1:12" ht="15.75">
      <c r="A154" s="149"/>
      <c r="B154" s="129"/>
      <c r="C154" s="110">
        <v>0</v>
      </c>
      <c r="D154" s="47" t="s">
        <v>137</v>
      </c>
      <c r="E154" s="111">
        <f>C154*$C$134</f>
        <v>0</v>
      </c>
      <c r="F154" s="64" t="s">
        <v>157</v>
      </c>
      <c r="G154" s="107"/>
      <c r="H154" s="81"/>
      <c r="I154" s="81"/>
      <c r="J154" s="128"/>
      <c r="K154" s="47"/>
      <c r="L154" s="47"/>
    </row>
    <row r="155" spans="1:12" ht="15.75">
      <c r="A155" s="149"/>
      <c r="B155" s="129"/>
      <c r="C155" s="110"/>
      <c r="D155" s="47" t="s">
        <v>138</v>
      </c>
      <c r="E155" s="111">
        <f>C155*$C$134</f>
        <v>0</v>
      </c>
      <c r="F155" s="64" t="s">
        <v>158</v>
      </c>
      <c r="G155" s="107"/>
      <c r="H155" s="81"/>
      <c r="I155" s="81"/>
      <c r="J155" s="128"/>
      <c r="K155" s="47"/>
      <c r="L155" s="47"/>
    </row>
    <row r="156" spans="1:12" ht="15.75">
      <c r="A156" s="149"/>
      <c r="B156" s="129"/>
      <c r="C156" s="110"/>
      <c r="D156" s="47" t="s">
        <v>139</v>
      </c>
      <c r="E156" s="111">
        <f>C156*$C$134</f>
        <v>0</v>
      </c>
      <c r="F156" s="64" t="s">
        <v>159</v>
      </c>
      <c r="G156" s="107"/>
      <c r="H156" s="81"/>
      <c r="I156" s="81"/>
      <c r="J156" s="128"/>
      <c r="K156" s="47"/>
      <c r="L156" s="47"/>
    </row>
    <row r="157" spans="1:12" ht="15.75">
      <c r="A157" s="117"/>
      <c r="B157" s="129"/>
      <c r="C157" s="145"/>
      <c r="E157" s="145"/>
      <c r="F157" s="64"/>
      <c r="G157" s="107"/>
      <c r="H157" s="81"/>
      <c r="I157" s="81"/>
      <c r="J157" s="128"/>
      <c r="K157" s="47"/>
      <c r="L157" s="47"/>
    </row>
    <row r="158" spans="1:12" ht="15.75">
      <c r="A158" s="126" t="s">
        <v>200</v>
      </c>
      <c r="B158" s="129"/>
      <c r="C158" s="111">
        <f>SUM(C143:C151)+SUM(C154:C156)</f>
        <v>-824703.8228102806</v>
      </c>
      <c r="D158" s="47" t="s">
        <v>160</v>
      </c>
      <c r="E158" s="111">
        <f>SUM(E143:E151)+SUM(E154:E156)</f>
        <v>-218546.51304472433</v>
      </c>
      <c r="F158" s="64" t="s">
        <v>140</v>
      </c>
      <c r="G158" s="107"/>
      <c r="H158" s="81"/>
      <c r="I158" s="81"/>
      <c r="J158" s="128"/>
      <c r="K158" s="47"/>
      <c r="L158" s="47"/>
    </row>
    <row r="159" spans="1:12" ht="15.75">
      <c r="A159" s="117"/>
      <c r="B159" s="129"/>
      <c r="C159" s="145"/>
      <c r="E159" s="145"/>
      <c r="F159" s="64"/>
      <c r="G159" s="107"/>
      <c r="H159" s="81"/>
      <c r="I159" s="81"/>
      <c r="J159" s="128"/>
      <c r="K159" s="47"/>
      <c r="L159" s="47"/>
    </row>
    <row r="160" spans="1:12" ht="31.5">
      <c r="A160" s="126" t="s">
        <v>248</v>
      </c>
      <c r="B160" s="129"/>
      <c r="C160" s="81"/>
      <c r="D160" s="150"/>
      <c r="E160" s="112">
        <f>E138+E158</f>
        <v>-124546.51304472433</v>
      </c>
      <c r="F160" s="88" t="s">
        <v>141</v>
      </c>
      <c r="G160" s="60"/>
      <c r="H160" s="81"/>
      <c r="I160" s="81"/>
      <c r="J160" s="128"/>
      <c r="K160" s="47"/>
      <c r="L160" s="47"/>
    </row>
    <row r="161" spans="1:12">
      <c r="A161" s="81"/>
      <c r="B161" s="81"/>
      <c r="C161" s="81"/>
      <c r="E161" s="81"/>
      <c r="F161" s="88"/>
      <c r="G161" s="60"/>
      <c r="H161" s="2"/>
      <c r="I161" s="2"/>
      <c r="J161" s="151"/>
      <c r="K161" s="47"/>
      <c r="L161" s="47"/>
    </row>
    <row r="162" spans="1:12" ht="15.75">
      <c r="A162" s="53"/>
      <c r="B162" s="48"/>
      <c r="C162" s="48"/>
      <c r="D162" s="49"/>
      <c r="E162" s="49"/>
      <c r="F162" s="49"/>
      <c r="G162" s="60"/>
      <c r="H162" s="2"/>
      <c r="I162" s="2"/>
      <c r="J162" s="151"/>
      <c r="K162" s="47"/>
      <c r="L162" s="47"/>
    </row>
    <row r="163" spans="1:12" ht="11.25" customHeight="1">
      <c r="A163" s="9"/>
      <c r="B163" s="45"/>
      <c r="C163" s="45"/>
      <c r="D163" s="46"/>
      <c r="E163" s="46"/>
      <c r="F163" s="46"/>
      <c r="G163" s="9"/>
      <c r="H163" s="45"/>
      <c r="I163" s="45"/>
      <c r="J163" s="9"/>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scale="60" fitToHeight="4" orientation="landscape" r:id="rId1"/>
  <headerFooter>
    <oddHeader>&amp;C&amp;20Regulated Return on Equity (ROE) - Input Appendices 1 to 6</oddHeader>
    <oddFooter>&amp;C&amp;20
&amp;R&amp;20Page 2</oddFooter>
  </headerFooter>
</worksheet>
</file>

<file path=xl/worksheets/sheet2.xml><?xml version="1.0" encoding="utf-8"?>
<worksheet xmlns="http://schemas.openxmlformats.org/spreadsheetml/2006/main" xmlns:r="http://schemas.openxmlformats.org/officeDocument/2006/relationships">
  <sheetPr>
    <tabColor rgb="FF00B050"/>
  </sheetPr>
  <dimension ref="A1:AH98"/>
  <sheetViews>
    <sheetView view="pageBreakPreview" topLeftCell="A68" zoomScale="85" zoomScaleNormal="100" zoomScaleSheetLayoutView="85" zoomScalePageLayoutView="70" workbookViewId="0">
      <selection activeCell="B68" sqref="B68"/>
    </sheetView>
  </sheetViews>
  <sheetFormatPr defaultColWidth="9.140625" defaultRowHeight="15"/>
  <cols>
    <col min="1" max="1" width="56.5703125" style="13" customWidth="1"/>
    <col min="2" max="2" width="13.42578125" style="13" customWidth="1"/>
    <col min="3" max="3" width="3.28515625" style="13" customWidth="1"/>
    <col min="4" max="4" width="3.140625" style="13" customWidth="1"/>
    <col min="5" max="5" width="19.7109375" style="44" bestFit="1" customWidth="1"/>
    <col min="6" max="6" width="3.42578125" style="38" customWidth="1"/>
    <col min="7" max="7" width="10.28515625" style="39" customWidth="1"/>
    <col min="8" max="8" width="28.42578125" style="4" customWidth="1"/>
    <col min="9" max="9" width="17" style="12" customWidth="1"/>
    <col min="10" max="10" width="24.28515625" style="12" customWidth="1"/>
    <col min="11" max="11" width="43" style="29" customWidth="1"/>
    <col min="12" max="12" width="1" style="29" customWidth="1"/>
    <col min="13" max="13" width="2.140625" style="13" customWidth="1"/>
    <col min="14" max="34" width="9.140625" style="12"/>
    <col min="35" max="16384" width="9.140625" style="13"/>
  </cols>
  <sheetData>
    <row r="1" spans="1:13" ht="10.5" customHeight="1" thickBot="1">
      <c r="A1" s="5"/>
      <c r="B1" s="5"/>
      <c r="C1" s="5"/>
      <c r="D1" s="5"/>
      <c r="E1" s="40"/>
      <c r="F1" s="6"/>
      <c r="G1" s="7"/>
      <c r="H1" s="8"/>
      <c r="I1" s="9"/>
      <c r="J1" s="9"/>
      <c r="K1" s="10"/>
      <c r="L1" s="10"/>
      <c r="M1" s="5"/>
    </row>
    <row r="2" spans="1:13" ht="19.5" thickBot="1">
      <c r="A2" s="74" t="s">
        <v>56</v>
      </c>
      <c r="B2" s="14"/>
      <c r="C2" s="14"/>
      <c r="D2" s="14"/>
      <c r="E2" s="41"/>
      <c r="F2" s="15"/>
      <c r="G2" s="16"/>
      <c r="H2" s="3"/>
      <c r="I2" s="17"/>
      <c r="J2" s="17"/>
      <c r="K2" s="18"/>
      <c r="L2" s="18"/>
      <c r="M2" s="5"/>
    </row>
    <row r="3" spans="1:13" ht="6.75" customHeight="1" thickBot="1">
      <c r="A3" s="19"/>
      <c r="B3" s="14"/>
      <c r="C3" s="14"/>
      <c r="D3" s="14"/>
      <c r="E3" s="41"/>
      <c r="F3" s="15"/>
      <c r="G3" s="16"/>
      <c r="H3" s="3"/>
      <c r="I3" s="17"/>
      <c r="J3" s="17"/>
      <c r="K3" s="18"/>
      <c r="L3" s="18"/>
      <c r="M3" s="5"/>
    </row>
    <row r="4" spans="1:13">
      <c r="A4" s="100" t="s">
        <v>211</v>
      </c>
      <c r="B4" s="109"/>
      <c r="C4" s="21"/>
      <c r="D4" s="21"/>
      <c r="E4" s="42"/>
      <c r="F4" s="22"/>
      <c r="G4" s="23"/>
      <c r="H4" s="24"/>
      <c r="I4" s="25"/>
      <c r="J4" s="25"/>
      <c r="K4" s="26"/>
      <c r="L4" s="26"/>
      <c r="M4" s="5"/>
    </row>
    <row r="5" spans="1:13" ht="2.25" customHeight="1">
      <c r="A5" s="27"/>
      <c r="B5" s="14"/>
      <c r="C5" s="14"/>
      <c r="D5" s="14"/>
      <c r="E5" s="41"/>
      <c r="F5" s="15"/>
      <c r="G5" s="16"/>
      <c r="H5" s="101"/>
      <c r="I5" s="17"/>
      <c r="J5" s="17"/>
      <c r="K5" s="28"/>
      <c r="L5" s="28"/>
      <c r="M5" s="5"/>
    </row>
    <row r="6" spans="1:13" ht="14.45" customHeight="1">
      <c r="A6" s="27"/>
      <c r="B6" s="14"/>
      <c r="C6" s="14"/>
      <c r="D6" s="14"/>
      <c r="E6" s="41"/>
      <c r="F6" s="15"/>
      <c r="G6" s="16"/>
      <c r="H6" s="101"/>
      <c r="I6" s="17"/>
      <c r="J6" s="17"/>
      <c r="K6" s="28"/>
      <c r="L6" s="28"/>
      <c r="M6" s="5"/>
    </row>
    <row r="7" spans="1:13">
      <c r="A7" s="27"/>
      <c r="B7" s="14"/>
      <c r="C7" s="14"/>
      <c r="D7" s="14"/>
      <c r="E7" s="41"/>
      <c r="F7" s="15"/>
      <c r="G7" s="16"/>
      <c r="H7" s="101"/>
      <c r="I7" s="17"/>
      <c r="J7" s="17"/>
      <c r="K7" s="28"/>
      <c r="L7" s="28"/>
      <c r="M7" s="5"/>
    </row>
    <row r="8" spans="1:13">
      <c r="A8" s="27"/>
      <c r="B8" s="14"/>
      <c r="C8" s="14"/>
      <c r="D8" s="14"/>
      <c r="E8" s="41"/>
      <c r="F8" s="15"/>
      <c r="G8" s="16"/>
      <c r="H8" s="101"/>
      <c r="I8" s="17"/>
      <c r="J8" s="17"/>
      <c r="K8" s="28"/>
      <c r="L8" s="28"/>
      <c r="M8" s="5"/>
    </row>
    <row r="9" spans="1:13">
      <c r="A9" s="27"/>
      <c r="B9" s="14"/>
      <c r="C9" s="14"/>
      <c r="D9" s="14"/>
      <c r="E9" s="41"/>
      <c r="F9" s="15"/>
      <c r="G9" s="16"/>
      <c r="H9" s="101"/>
      <c r="I9" s="17"/>
      <c r="J9" s="17"/>
      <c r="K9" s="28"/>
      <c r="L9" s="28"/>
      <c r="M9" s="5"/>
    </row>
    <row r="10" spans="1:13">
      <c r="A10" s="27"/>
      <c r="B10" s="14"/>
      <c r="C10" s="14"/>
      <c r="D10" s="14"/>
      <c r="E10" s="41"/>
      <c r="F10" s="15"/>
      <c r="G10" s="16"/>
      <c r="H10" s="101"/>
      <c r="I10" s="17"/>
      <c r="J10" s="17"/>
      <c r="K10" s="28"/>
      <c r="L10" s="28"/>
      <c r="M10" s="5"/>
    </row>
    <row r="11" spans="1:13">
      <c r="A11" s="27"/>
      <c r="B11" s="14"/>
      <c r="C11" s="14"/>
      <c r="D11" s="14"/>
      <c r="E11" s="41"/>
      <c r="F11" s="15"/>
      <c r="G11" s="16"/>
      <c r="H11" s="101"/>
      <c r="I11" s="17"/>
      <c r="J11" s="17"/>
      <c r="K11" s="28"/>
      <c r="L11" s="28"/>
      <c r="M11" s="5"/>
    </row>
    <row r="12" spans="1:13">
      <c r="A12" s="27"/>
      <c r="B12" s="14"/>
      <c r="C12" s="14"/>
      <c r="D12" s="14"/>
      <c r="E12" s="41"/>
      <c r="F12" s="15"/>
      <c r="G12" s="16"/>
      <c r="H12" s="101"/>
      <c r="I12" s="17"/>
      <c r="J12" s="17"/>
      <c r="K12" s="28"/>
      <c r="L12" s="28"/>
      <c r="M12" s="5"/>
    </row>
    <row r="13" spans="1:13">
      <c r="A13" s="27"/>
      <c r="B13" s="14"/>
      <c r="C13" s="14"/>
      <c r="D13" s="14"/>
      <c r="E13" s="41"/>
      <c r="F13" s="15"/>
      <c r="G13" s="16"/>
      <c r="H13" s="101"/>
      <c r="I13" s="17"/>
      <c r="J13" s="17"/>
      <c r="K13" s="28"/>
      <c r="L13" s="28"/>
      <c r="M13" s="5"/>
    </row>
    <row r="14" spans="1:13">
      <c r="A14" s="27"/>
      <c r="B14" s="14"/>
      <c r="C14" s="14"/>
      <c r="D14" s="14"/>
      <c r="E14" s="41"/>
      <c r="F14" s="15"/>
      <c r="G14" s="16"/>
      <c r="H14" s="101"/>
      <c r="I14" s="17"/>
      <c r="J14" s="17"/>
      <c r="K14" s="28"/>
      <c r="L14" s="28"/>
      <c r="M14" s="5"/>
    </row>
    <row r="15" spans="1:13" ht="15.75" thickBot="1">
      <c r="A15" s="27"/>
      <c r="B15" s="14"/>
      <c r="C15" s="14"/>
      <c r="D15" s="14"/>
      <c r="E15" s="41"/>
      <c r="F15" s="15"/>
      <c r="G15" s="16"/>
      <c r="H15" s="101"/>
      <c r="I15" s="17"/>
      <c r="J15" s="17"/>
      <c r="K15" s="28"/>
      <c r="L15" s="28"/>
      <c r="M15" s="5"/>
    </row>
    <row r="16" spans="1:13" ht="15.75">
      <c r="A16" s="152" t="s">
        <v>90</v>
      </c>
      <c r="B16" s="153"/>
      <c r="C16" s="153"/>
      <c r="D16" s="153"/>
      <c r="E16" s="154"/>
      <c r="F16" s="155"/>
      <c r="G16" s="88"/>
      <c r="H16" s="102"/>
      <c r="I16" s="56"/>
      <c r="J16" s="56"/>
      <c r="K16" s="156"/>
      <c r="L16" s="28"/>
      <c r="M16" s="5"/>
    </row>
    <row r="17" spans="1:13" ht="15.75">
      <c r="A17" s="53"/>
      <c r="B17" s="157"/>
      <c r="C17" s="157"/>
      <c r="D17" s="157"/>
      <c r="E17" s="158"/>
      <c r="F17" s="159"/>
      <c r="G17" s="88"/>
      <c r="H17" s="102"/>
      <c r="I17" s="56"/>
      <c r="J17" s="56"/>
      <c r="K17" s="156"/>
      <c r="L17" s="28"/>
      <c r="M17" s="5"/>
    </row>
    <row r="18" spans="1:13" ht="15.75">
      <c r="A18" s="54" t="s">
        <v>91</v>
      </c>
      <c r="B18" s="157"/>
      <c r="C18" s="157"/>
      <c r="D18" s="157"/>
      <c r="E18" s="160"/>
      <c r="F18" s="159"/>
      <c r="G18" s="88"/>
      <c r="H18" s="102"/>
      <c r="I18" s="56"/>
      <c r="J18" s="56"/>
      <c r="K18" s="156"/>
      <c r="L18" s="28"/>
      <c r="M18" s="5"/>
    </row>
    <row r="19" spans="1:13" ht="15.75">
      <c r="A19" s="54" t="s">
        <v>259</v>
      </c>
      <c r="B19" s="157"/>
      <c r="C19" s="157"/>
      <c r="D19" s="157"/>
      <c r="E19" s="161"/>
      <c r="F19" s="159"/>
      <c r="G19" s="88"/>
      <c r="H19" s="102"/>
      <c r="I19" s="56"/>
      <c r="J19" s="56"/>
      <c r="K19" s="156"/>
      <c r="L19" s="28"/>
      <c r="M19" s="5"/>
    </row>
    <row r="20" spans="1:13" ht="15.75">
      <c r="A20" s="54" t="s">
        <v>92</v>
      </c>
      <c r="B20" s="157"/>
      <c r="C20" s="157"/>
      <c r="D20" s="157"/>
      <c r="E20" s="162"/>
      <c r="F20" s="159"/>
      <c r="G20" s="88"/>
      <c r="H20" s="102"/>
      <c r="I20" s="56"/>
      <c r="J20" s="56"/>
      <c r="K20" s="156"/>
      <c r="L20" s="28"/>
      <c r="M20" s="5"/>
    </row>
    <row r="21" spans="1:13" ht="16.5" thickBot="1">
      <c r="A21" s="61"/>
      <c r="B21" s="163"/>
      <c r="C21" s="163"/>
      <c r="D21" s="163"/>
      <c r="E21" s="164"/>
      <c r="F21" s="165"/>
      <c r="G21" s="88"/>
      <c r="H21" s="102"/>
      <c r="I21" s="56"/>
      <c r="J21" s="56"/>
      <c r="K21" s="156"/>
      <c r="L21" s="28"/>
      <c r="M21" s="5"/>
    </row>
    <row r="22" spans="1:13" ht="15.75">
      <c r="A22" s="53"/>
      <c r="B22" s="157"/>
      <c r="C22" s="157"/>
      <c r="D22" s="157"/>
      <c r="E22" s="158"/>
      <c r="F22" s="166"/>
      <c r="G22" s="64"/>
      <c r="H22" s="115"/>
      <c r="I22" s="56"/>
      <c r="J22" s="56"/>
      <c r="K22" s="156"/>
      <c r="L22" s="28"/>
      <c r="M22" s="5"/>
    </row>
    <row r="23" spans="1:13" ht="15.75">
      <c r="A23" s="167"/>
      <c r="B23" s="168"/>
      <c r="C23" s="168"/>
      <c r="D23" s="168"/>
      <c r="E23" s="169"/>
      <c r="F23" s="170"/>
      <c r="G23" s="171"/>
      <c r="H23" s="172" t="s">
        <v>51</v>
      </c>
      <c r="I23" s="173"/>
      <c r="J23" s="173"/>
      <c r="K23" s="174"/>
      <c r="L23" s="28"/>
      <c r="M23" s="5"/>
    </row>
    <row r="24" spans="1:13" ht="15.75">
      <c r="A24" s="54" t="s">
        <v>191</v>
      </c>
      <c r="B24" s="157"/>
      <c r="C24" s="157"/>
      <c r="D24" s="157"/>
      <c r="E24" s="161" t="s">
        <v>268</v>
      </c>
      <c r="F24" s="175"/>
      <c r="G24" s="64" t="s">
        <v>169</v>
      </c>
      <c r="H24" s="176" t="s">
        <v>192</v>
      </c>
      <c r="I24" s="56"/>
      <c r="J24" s="56"/>
      <c r="K24" s="156"/>
      <c r="L24" s="28"/>
      <c r="M24" s="5"/>
    </row>
    <row r="25" spans="1:13" ht="15.75">
      <c r="A25" s="54" t="s">
        <v>110</v>
      </c>
      <c r="B25" s="157"/>
      <c r="C25" s="157"/>
      <c r="D25" s="157"/>
      <c r="E25" s="161" t="s">
        <v>267</v>
      </c>
      <c r="F25" s="175"/>
      <c r="G25" s="64" t="s">
        <v>170</v>
      </c>
      <c r="H25" s="115" t="s">
        <v>64</v>
      </c>
      <c r="I25" s="56"/>
      <c r="J25" s="56"/>
      <c r="K25" s="156"/>
      <c r="L25" s="28"/>
      <c r="M25" s="5"/>
    </row>
    <row r="26" spans="1:13" ht="15.75">
      <c r="A26" s="177"/>
      <c r="B26" s="178"/>
      <c r="C26" s="178"/>
      <c r="D26" s="178"/>
      <c r="E26" s="179"/>
      <c r="F26" s="180"/>
      <c r="G26" s="181"/>
      <c r="H26" s="182"/>
      <c r="I26" s="183"/>
      <c r="J26" s="183"/>
      <c r="K26" s="184"/>
      <c r="L26" s="28"/>
      <c r="M26" s="5"/>
    </row>
    <row r="27" spans="1:13" ht="15.75">
      <c r="A27" s="185" t="s">
        <v>72</v>
      </c>
      <c r="B27" s="168"/>
      <c r="C27" s="168"/>
      <c r="D27" s="168"/>
      <c r="E27" s="169"/>
      <c r="F27" s="170"/>
      <c r="G27" s="186"/>
      <c r="H27" s="187"/>
      <c r="I27" s="188"/>
      <c r="J27" s="188"/>
      <c r="K27" s="174"/>
      <c r="L27" s="28"/>
      <c r="M27" s="5"/>
    </row>
    <row r="28" spans="1:13" ht="14.45" customHeight="1">
      <c r="A28" s="54"/>
      <c r="B28" s="189"/>
      <c r="C28" s="157"/>
      <c r="D28" s="157"/>
      <c r="E28" s="158"/>
      <c r="F28" s="166"/>
      <c r="G28" s="88"/>
      <c r="H28" s="102"/>
      <c r="I28" s="56"/>
      <c r="J28" s="56"/>
      <c r="K28" s="156"/>
      <c r="L28" s="30"/>
      <c r="M28" s="5"/>
    </row>
    <row r="29" spans="1:13" ht="33" customHeight="1">
      <c r="A29" s="190" t="s">
        <v>219</v>
      </c>
      <c r="B29" s="191"/>
      <c r="C29" s="157"/>
      <c r="D29" s="157"/>
      <c r="E29" s="130">
        <f>3240329.03+18518</f>
        <v>3258847.03</v>
      </c>
      <c r="F29" s="192"/>
      <c r="G29" s="88" t="s">
        <v>0</v>
      </c>
      <c r="H29" s="115" t="s">
        <v>68</v>
      </c>
      <c r="I29" s="2"/>
      <c r="J29" s="2"/>
      <c r="K29" s="193"/>
      <c r="L29" s="31"/>
      <c r="M29" s="5"/>
    </row>
    <row r="30" spans="1:13" ht="15.75">
      <c r="A30" s="62"/>
      <c r="B30" s="157"/>
      <c r="C30" s="157"/>
      <c r="D30" s="157"/>
      <c r="E30" s="158"/>
      <c r="F30" s="166"/>
      <c r="G30" s="88"/>
      <c r="H30" s="115"/>
      <c r="I30" s="2"/>
      <c r="J30" s="2"/>
      <c r="K30" s="156"/>
      <c r="L30" s="28"/>
      <c r="M30" s="5"/>
    </row>
    <row r="31" spans="1:13" ht="15.75">
      <c r="A31" s="62" t="s">
        <v>5</v>
      </c>
      <c r="B31" s="157"/>
      <c r="C31" s="157"/>
      <c r="D31" s="157"/>
      <c r="E31" s="158"/>
      <c r="F31" s="166"/>
      <c r="G31" s="88"/>
      <c r="H31" s="115"/>
      <c r="I31" s="194"/>
      <c r="J31" s="2"/>
      <c r="K31" s="156"/>
      <c r="L31" s="28"/>
      <c r="M31" s="5"/>
    </row>
    <row r="32" spans="1:13" ht="15.75">
      <c r="A32" s="190" t="s">
        <v>231</v>
      </c>
      <c r="B32" s="157"/>
      <c r="C32" s="157"/>
      <c r="D32" s="157"/>
      <c r="E32" s="195">
        <f>'Input Appendices removing ICM'!C55</f>
        <v>-1042152.1200000001</v>
      </c>
      <c r="F32" s="166"/>
      <c r="G32" s="88" t="s">
        <v>2</v>
      </c>
      <c r="H32" s="115" t="s">
        <v>102</v>
      </c>
      <c r="I32" s="196" t="s">
        <v>227</v>
      </c>
      <c r="J32" s="2"/>
      <c r="K32" s="156"/>
      <c r="L32" s="28"/>
      <c r="M32" s="5"/>
    </row>
    <row r="33" spans="1:34" ht="45">
      <c r="A33" s="197" t="s">
        <v>209</v>
      </c>
      <c r="B33" s="157"/>
      <c r="C33" s="157"/>
      <c r="D33" s="157"/>
      <c r="E33" s="110">
        <v>262014</v>
      </c>
      <c r="F33" s="166"/>
      <c r="G33" s="88" t="s">
        <v>4</v>
      </c>
      <c r="H33" s="115"/>
      <c r="I33" s="198">
        <v>6035</v>
      </c>
      <c r="J33" s="2"/>
      <c r="K33" s="156"/>
      <c r="L33" s="31"/>
      <c r="M33" s="5"/>
    </row>
    <row r="34" spans="1:34" ht="15.75">
      <c r="A34" s="62"/>
      <c r="B34" s="157"/>
      <c r="C34" s="157"/>
      <c r="D34" s="157"/>
      <c r="E34" s="158"/>
      <c r="F34" s="166"/>
      <c r="G34" s="88"/>
      <c r="H34" s="115"/>
      <c r="I34" s="196" t="s">
        <v>227</v>
      </c>
      <c r="J34" s="2"/>
      <c r="K34" s="156"/>
      <c r="L34" s="31"/>
      <c r="M34" s="5"/>
    </row>
    <row r="35" spans="1:34" ht="30">
      <c r="A35" s="197" t="s">
        <v>210</v>
      </c>
      <c r="B35" s="157"/>
      <c r="C35" s="157"/>
      <c r="D35" s="157"/>
      <c r="E35" s="110"/>
      <c r="F35" s="166"/>
      <c r="G35" s="88" t="s">
        <v>105</v>
      </c>
      <c r="H35" s="115"/>
      <c r="I35" s="198"/>
      <c r="J35" s="2"/>
      <c r="K35" s="156"/>
      <c r="L35" s="31"/>
      <c r="M35" s="5"/>
    </row>
    <row r="36" spans="1:34" s="11" customFormat="1" ht="15.75">
      <c r="A36" s="62"/>
      <c r="B36" s="199"/>
      <c r="C36" s="199"/>
      <c r="D36" s="199"/>
      <c r="E36" s="200"/>
      <c r="F36" s="166"/>
      <c r="G36" s="64"/>
      <c r="H36" s="115"/>
      <c r="I36" s="2"/>
      <c r="J36" s="199"/>
      <c r="K36" s="201"/>
      <c r="L36" s="35"/>
      <c r="M36" s="5"/>
      <c r="N36" s="36"/>
      <c r="O36" s="36"/>
      <c r="P36" s="36"/>
      <c r="Q36" s="36"/>
      <c r="R36" s="36"/>
      <c r="S36" s="36"/>
      <c r="T36" s="36"/>
      <c r="U36" s="36"/>
      <c r="V36" s="36"/>
      <c r="W36" s="36"/>
      <c r="X36" s="36"/>
      <c r="Y36" s="36"/>
      <c r="Z36" s="36"/>
      <c r="AA36" s="36"/>
      <c r="AB36" s="36"/>
      <c r="AC36" s="36"/>
      <c r="AD36" s="36"/>
      <c r="AE36" s="36"/>
      <c r="AF36" s="36"/>
      <c r="AG36" s="36"/>
      <c r="AH36" s="36"/>
    </row>
    <row r="37" spans="1:34" ht="15.75">
      <c r="A37" s="62" t="s">
        <v>111</v>
      </c>
      <c r="B37" s="157"/>
      <c r="C37" s="157"/>
      <c r="D37" s="157"/>
      <c r="E37" s="195">
        <f>'Input Appendices removing ICM'!C70</f>
        <v>50100</v>
      </c>
      <c r="F37" s="166"/>
      <c r="G37" s="88" t="s">
        <v>6</v>
      </c>
      <c r="H37" s="115" t="s">
        <v>166</v>
      </c>
      <c r="I37" s="2"/>
      <c r="J37" s="2"/>
      <c r="K37" s="156"/>
      <c r="L37" s="28"/>
      <c r="M37" s="5"/>
    </row>
    <row r="38" spans="1:34" ht="15.75">
      <c r="A38" s="62" t="s">
        <v>244</v>
      </c>
      <c r="B38" s="157"/>
      <c r="C38" s="157"/>
      <c r="D38" s="157"/>
      <c r="E38" s="195">
        <f>'Input Appendices removing ICM'!C78</f>
        <v>-17295.509999999998</v>
      </c>
      <c r="F38" s="166"/>
      <c r="G38" s="88" t="s">
        <v>7</v>
      </c>
      <c r="H38" s="115" t="s">
        <v>69</v>
      </c>
      <c r="I38" s="2"/>
      <c r="J38" s="2"/>
      <c r="K38" s="156"/>
      <c r="L38" s="28"/>
      <c r="M38" s="5"/>
    </row>
    <row r="39" spans="1:34" ht="15.75">
      <c r="A39" s="62" t="s">
        <v>243</v>
      </c>
      <c r="B39" s="157"/>
      <c r="C39" s="157"/>
      <c r="D39" s="199"/>
      <c r="E39" s="195">
        <f>'Input Appendices removing ICM'!C99</f>
        <v>170782.80718971952</v>
      </c>
      <c r="F39" s="166"/>
      <c r="G39" s="88" t="s">
        <v>8</v>
      </c>
      <c r="H39" s="115" t="s">
        <v>70</v>
      </c>
      <c r="I39" s="2"/>
      <c r="J39" s="2"/>
      <c r="K39" s="156"/>
      <c r="L39" s="28"/>
      <c r="M39" s="5"/>
    </row>
    <row r="40" spans="1:34" ht="15.75">
      <c r="A40" s="62"/>
      <c r="B40" s="157"/>
      <c r="C40" s="157"/>
      <c r="D40" s="157"/>
      <c r="E40" s="158"/>
      <c r="F40" s="166"/>
      <c r="G40" s="88"/>
      <c r="H40" s="102"/>
      <c r="I40" s="56"/>
      <c r="J40" s="56"/>
      <c r="K40" s="156"/>
      <c r="L40" s="28"/>
      <c r="M40" s="5"/>
    </row>
    <row r="41" spans="1:34" ht="15.75">
      <c r="A41" s="202" t="s">
        <v>249</v>
      </c>
      <c r="B41" s="157"/>
      <c r="C41" s="157"/>
      <c r="D41" s="157"/>
      <c r="E41" s="195">
        <f>E29+E32+E33+E35+E37+E38+E39</f>
        <v>2682296.2071897192</v>
      </c>
      <c r="F41" s="166"/>
      <c r="G41" s="64" t="s">
        <v>106</v>
      </c>
      <c r="H41" s="115"/>
      <c r="I41" s="2"/>
      <c r="J41" s="56"/>
      <c r="K41" s="156"/>
      <c r="L41" s="28"/>
      <c r="M41" s="5"/>
    </row>
    <row r="42" spans="1:34" ht="15.75">
      <c r="A42" s="70"/>
      <c r="B42" s="157"/>
      <c r="C42" s="157"/>
      <c r="D42" s="157"/>
      <c r="E42" s="158"/>
      <c r="F42" s="166"/>
      <c r="G42" s="88"/>
      <c r="H42" s="102"/>
      <c r="I42" s="56"/>
      <c r="J42" s="56"/>
      <c r="K42" s="156"/>
      <c r="L42" s="28"/>
      <c r="M42" s="5"/>
    </row>
    <row r="43" spans="1:34" ht="15.75">
      <c r="A43" s="62" t="s">
        <v>1</v>
      </c>
      <c r="B43" s="157"/>
      <c r="C43" s="157"/>
      <c r="D43" s="157"/>
      <c r="E43" s="158"/>
      <c r="F43" s="166"/>
      <c r="G43" s="88"/>
      <c r="H43" s="102"/>
      <c r="I43" s="56"/>
      <c r="J43" s="56"/>
      <c r="K43" s="203"/>
      <c r="L43" s="33"/>
      <c r="M43" s="5"/>
    </row>
    <row r="44" spans="1:34" ht="15.75">
      <c r="A44" s="204" t="s">
        <v>87</v>
      </c>
      <c r="B44" s="157"/>
      <c r="C44" s="157"/>
      <c r="D44" s="157"/>
      <c r="E44" s="130">
        <v>0</v>
      </c>
      <c r="F44" s="166"/>
      <c r="G44" s="64" t="s">
        <v>9</v>
      </c>
      <c r="H44" s="2" t="s">
        <v>107</v>
      </c>
      <c r="I44" s="56"/>
      <c r="J44" s="56"/>
      <c r="K44" s="205"/>
      <c r="L44" s="31"/>
      <c r="M44" s="5"/>
    </row>
    <row r="45" spans="1:34" ht="30">
      <c r="A45" s="206" t="s">
        <v>109</v>
      </c>
      <c r="B45" s="157"/>
      <c r="C45" s="157"/>
      <c r="D45" s="157"/>
      <c r="E45" s="130">
        <v>94000</v>
      </c>
      <c r="F45" s="192"/>
      <c r="G45" s="88" t="s">
        <v>10</v>
      </c>
      <c r="H45" s="115" t="s">
        <v>49</v>
      </c>
      <c r="I45" s="56"/>
      <c r="J45" s="56"/>
      <c r="K45" s="193"/>
      <c r="L45" s="31"/>
      <c r="M45" s="5"/>
    </row>
    <row r="46" spans="1:34" ht="15.75">
      <c r="A46" s="207"/>
      <c r="B46" s="157"/>
      <c r="C46" s="157"/>
      <c r="D46" s="157"/>
      <c r="E46" s="200"/>
      <c r="F46" s="192"/>
      <c r="G46" s="88"/>
      <c r="H46" s="115"/>
      <c r="I46" s="56"/>
      <c r="J46" s="56"/>
      <c r="K46" s="193"/>
      <c r="L46" s="31"/>
      <c r="M46" s="5"/>
    </row>
    <row r="47" spans="1:34" ht="15.75">
      <c r="A47" s="62" t="s">
        <v>3</v>
      </c>
      <c r="B47" s="157"/>
      <c r="C47" s="157"/>
      <c r="D47" s="157"/>
      <c r="E47" s="158"/>
      <c r="F47" s="166"/>
      <c r="G47" s="88"/>
      <c r="H47" s="102"/>
      <c r="I47" s="56"/>
      <c r="J47" s="56"/>
      <c r="K47" s="156"/>
      <c r="L47" s="28"/>
      <c r="M47" s="5"/>
    </row>
    <row r="48" spans="1:34" ht="15.75">
      <c r="A48" s="62" t="s">
        <v>245</v>
      </c>
      <c r="B48" s="199"/>
      <c r="C48" s="157"/>
      <c r="D48" s="157"/>
      <c r="E48" s="195">
        <f>'Input Appendices removing ICM'!E160</f>
        <v>-124546.51304472433</v>
      </c>
      <c r="F48" s="192"/>
      <c r="G48" s="88" t="s">
        <v>11</v>
      </c>
      <c r="H48" s="102" t="s">
        <v>142</v>
      </c>
      <c r="I48" s="56"/>
      <c r="J48" s="56"/>
      <c r="K48" s="156"/>
      <c r="L48" s="28"/>
      <c r="M48" s="5"/>
    </row>
    <row r="49" spans="1:34" ht="15.75">
      <c r="A49" s="190"/>
      <c r="B49" s="199"/>
      <c r="C49" s="157"/>
      <c r="D49" s="157"/>
      <c r="E49" s="158"/>
      <c r="F49" s="192"/>
      <c r="G49" s="88"/>
      <c r="H49" s="102"/>
      <c r="I49" s="56"/>
      <c r="J49" s="56"/>
      <c r="K49" s="205"/>
      <c r="L49" s="34"/>
      <c r="M49" s="5"/>
    </row>
    <row r="50" spans="1:34" ht="15.75">
      <c r="A50" s="70"/>
      <c r="B50" s="199"/>
      <c r="C50" s="157"/>
      <c r="D50" s="157"/>
      <c r="E50" s="158"/>
      <c r="F50" s="166"/>
      <c r="G50" s="88"/>
      <c r="H50" s="102"/>
      <c r="I50" s="56"/>
      <c r="J50" s="56"/>
      <c r="K50" s="156"/>
      <c r="L50" s="28"/>
      <c r="M50" s="5"/>
    </row>
    <row r="51" spans="1:34" ht="15.75">
      <c r="A51" s="208"/>
      <c r="B51" s="199"/>
      <c r="C51" s="157"/>
      <c r="D51" s="157"/>
      <c r="E51" s="158"/>
      <c r="F51" s="166"/>
      <c r="G51" s="88"/>
      <c r="H51" s="157"/>
      <c r="I51" s="56"/>
      <c r="J51" s="56"/>
      <c r="K51" s="205"/>
      <c r="L51" s="31"/>
      <c r="M51" s="5"/>
    </row>
    <row r="52" spans="1:34" ht="15.75">
      <c r="A52" s="202" t="s">
        <v>250</v>
      </c>
      <c r="B52" s="199"/>
      <c r="C52" s="157"/>
      <c r="D52" s="157"/>
      <c r="E52" s="195">
        <f>E41+E44+E45-E48</f>
        <v>2900842.7202344434</v>
      </c>
      <c r="F52" s="166"/>
      <c r="G52" s="64" t="s">
        <v>108</v>
      </c>
      <c r="H52" s="102"/>
      <c r="I52" s="56"/>
      <c r="J52" s="56"/>
      <c r="K52" s="205"/>
      <c r="L52" s="28"/>
      <c r="M52" s="5"/>
    </row>
    <row r="53" spans="1:34" ht="15.75">
      <c r="A53" s="54"/>
      <c r="B53" s="157"/>
      <c r="C53" s="157"/>
      <c r="D53" s="157"/>
      <c r="E53" s="158"/>
      <c r="F53" s="166"/>
      <c r="G53" s="88"/>
      <c r="H53" s="102"/>
      <c r="I53" s="56"/>
      <c r="J53" s="56"/>
      <c r="K53" s="156"/>
      <c r="L53" s="28"/>
      <c r="M53" s="5"/>
    </row>
    <row r="54" spans="1:34" ht="15.75">
      <c r="A54" s="177"/>
      <c r="B54" s="178"/>
      <c r="C54" s="178"/>
      <c r="D54" s="178"/>
      <c r="E54" s="179"/>
      <c r="F54" s="180"/>
      <c r="G54" s="209"/>
      <c r="H54" s="210"/>
      <c r="I54" s="183"/>
      <c r="J54" s="183"/>
      <c r="K54" s="184"/>
      <c r="L54" s="28"/>
      <c r="M54" s="5"/>
    </row>
    <row r="55" spans="1:34" ht="15.75">
      <c r="A55" s="211" t="s">
        <v>12</v>
      </c>
      <c r="B55" s="168"/>
      <c r="C55" s="168"/>
      <c r="D55" s="168"/>
      <c r="E55" s="169"/>
      <c r="F55" s="170"/>
      <c r="G55" s="186"/>
      <c r="H55" s="187"/>
      <c r="I55" s="188"/>
      <c r="J55" s="188"/>
      <c r="K55" s="174"/>
      <c r="L55" s="28"/>
      <c r="M55" s="5"/>
    </row>
    <row r="56" spans="1:34" ht="15.75">
      <c r="A56" s="212" t="s">
        <v>112</v>
      </c>
      <c r="B56" s="157"/>
      <c r="C56" s="157"/>
      <c r="D56" s="157"/>
      <c r="E56" s="158"/>
      <c r="F56" s="166"/>
      <c r="G56" s="64"/>
      <c r="H56" s="115"/>
      <c r="I56" s="56"/>
      <c r="J56" s="56"/>
      <c r="K56" s="156"/>
      <c r="L56" s="28"/>
      <c r="M56" s="5"/>
    </row>
    <row r="57" spans="1:34" ht="30">
      <c r="A57" s="212" t="s">
        <v>13</v>
      </c>
      <c r="B57" s="157"/>
      <c r="C57" s="157"/>
      <c r="D57" s="157"/>
      <c r="E57" s="130">
        <v>71472888.040000007</v>
      </c>
      <c r="F57" s="166"/>
      <c r="G57" s="64" t="s">
        <v>14</v>
      </c>
      <c r="H57" s="115" t="s">
        <v>52</v>
      </c>
      <c r="I57" s="56"/>
      <c r="J57" s="56"/>
      <c r="K57" s="156"/>
      <c r="L57" s="28"/>
      <c r="M57" s="5"/>
    </row>
    <row r="58" spans="1:34" ht="132.75" customHeight="1">
      <c r="A58" s="213" t="s">
        <v>226</v>
      </c>
      <c r="B58" s="157"/>
      <c r="C58" s="157"/>
      <c r="D58" s="157"/>
      <c r="E58" s="130">
        <v>5304377.38</v>
      </c>
      <c r="F58" s="166"/>
      <c r="G58" s="64" t="s">
        <v>222</v>
      </c>
      <c r="H58" s="1" t="s">
        <v>225</v>
      </c>
      <c r="I58" s="102"/>
      <c r="J58" s="102"/>
      <c r="K58" s="193"/>
      <c r="L58" s="31"/>
      <c r="M58" s="5"/>
    </row>
    <row r="59" spans="1:34" s="11" customFormat="1" ht="15.75">
      <c r="A59" s="214"/>
      <c r="B59" s="199"/>
      <c r="C59" s="199"/>
      <c r="D59" s="199"/>
      <c r="E59" s="200"/>
      <c r="F59" s="166"/>
      <c r="G59" s="64"/>
      <c r="H59" s="1"/>
      <c r="I59" s="102"/>
      <c r="J59" s="102"/>
      <c r="K59" s="215"/>
      <c r="L59" s="35"/>
      <c r="M59" s="5"/>
      <c r="N59" s="36"/>
      <c r="O59" s="36"/>
      <c r="P59" s="36"/>
      <c r="Q59" s="36"/>
      <c r="R59" s="36"/>
      <c r="S59" s="36"/>
      <c r="T59" s="36"/>
      <c r="U59" s="36"/>
      <c r="V59" s="36"/>
      <c r="W59" s="36"/>
      <c r="X59" s="36"/>
      <c r="Y59" s="36"/>
      <c r="Z59" s="36"/>
      <c r="AA59" s="36"/>
      <c r="AB59" s="36"/>
      <c r="AC59" s="36"/>
      <c r="AD59" s="36"/>
      <c r="AE59" s="36"/>
      <c r="AF59" s="36"/>
      <c r="AG59" s="36"/>
      <c r="AH59" s="36"/>
    </row>
    <row r="60" spans="1:34" s="11" customFormat="1" ht="15.75">
      <c r="A60" s="213" t="s">
        <v>221</v>
      </c>
      <c r="B60" s="199"/>
      <c r="C60" s="199"/>
      <c r="D60" s="199"/>
      <c r="E60" s="200"/>
      <c r="F60" s="166"/>
      <c r="G60" s="64"/>
      <c r="H60" s="1"/>
      <c r="I60" s="102"/>
      <c r="J60" s="102"/>
      <c r="K60" s="215"/>
      <c r="L60" s="35"/>
      <c r="M60" s="5"/>
      <c r="N60" s="36"/>
      <c r="O60" s="36"/>
      <c r="P60" s="36"/>
      <c r="Q60" s="36"/>
      <c r="R60" s="36"/>
      <c r="S60" s="36"/>
      <c r="T60" s="36"/>
      <c r="U60" s="36"/>
      <c r="V60" s="36"/>
      <c r="W60" s="36"/>
      <c r="X60" s="36"/>
      <c r="Y60" s="36"/>
      <c r="Z60" s="36"/>
      <c r="AA60" s="36"/>
      <c r="AB60" s="36"/>
      <c r="AC60" s="36"/>
      <c r="AD60" s="36"/>
      <c r="AE60" s="36"/>
      <c r="AF60" s="36"/>
      <c r="AG60" s="36"/>
      <c r="AH60" s="36"/>
    </row>
    <row r="61" spans="1:34" s="11" customFormat="1" ht="15.75">
      <c r="A61" s="214"/>
      <c r="B61" s="199"/>
      <c r="C61" s="199"/>
      <c r="D61" s="199"/>
      <c r="E61" s="200"/>
      <c r="F61" s="166"/>
      <c r="G61" s="64"/>
      <c r="H61" s="1"/>
      <c r="I61" s="196" t="s">
        <v>227</v>
      </c>
      <c r="J61" s="102"/>
      <c r="K61" s="215"/>
      <c r="L61" s="35"/>
      <c r="M61" s="5"/>
      <c r="N61" s="36"/>
      <c r="O61" s="36"/>
      <c r="P61" s="36"/>
      <c r="Q61" s="36"/>
      <c r="R61" s="36"/>
      <c r="S61" s="36"/>
      <c r="T61" s="36"/>
      <c r="U61" s="36"/>
      <c r="V61" s="36"/>
      <c r="W61" s="36"/>
      <c r="X61" s="36"/>
      <c r="Y61" s="36"/>
      <c r="Z61" s="36"/>
      <c r="AA61" s="36"/>
      <c r="AB61" s="36"/>
      <c r="AC61" s="36"/>
      <c r="AD61" s="36"/>
      <c r="AE61" s="36"/>
      <c r="AF61" s="36"/>
      <c r="AG61" s="36"/>
      <c r="AH61" s="36"/>
    </row>
    <row r="62" spans="1:34" s="11" customFormat="1" ht="15.75">
      <c r="A62" s="216"/>
      <c r="B62" s="199"/>
      <c r="C62" s="199"/>
      <c r="D62" s="199"/>
      <c r="E62" s="110"/>
      <c r="F62" s="166"/>
      <c r="G62" s="64" t="s">
        <v>223</v>
      </c>
      <c r="H62" s="1"/>
      <c r="I62" s="198"/>
      <c r="J62" s="102"/>
      <c r="K62" s="215"/>
      <c r="L62" s="35"/>
      <c r="M62" s="5"/>
      <c r="N62" s="36"/>
      <c r="O62" s="36"/>
      <c r="P62" s="36"/>
      <c r="Q62" s="36"/>
      <c r="R62" s="36"/>
      <c r="S62" s="36"/>
      <c r="T62" s="36"/>
      <c r="U62" s="36"/>
      <c r="V62" s="36"/>
      <c r="W62" s="36"/>
      <c r="X62" s="36"/>
      <c r="Y62" s="36"/>
      <c r="Z62" s="36"/>
      <c r="AA62" s="36"/>
      <c r="AB62" s="36"/>
      <c r="AC62" s="36"/>
      <c r="AD62" s="36"/>
      <c r="AE62" s="36"/>
      <c r="AF62" s="36"/>
      <c r="AG62" s="36"/>
      <c r="AH62" s="36"/>
    </row>
    <row r="63" spans="1:34" s="11" customFormat="1" ht="15.75">
      <c r="A63" s="214"/>
      <c r="B63" s="199"/>
      <c r="C63" s="199"/>
      <c r="D63" s="199"/>
      <c r="E63" s="200"/>
      <c r="F63" s="166"/>
      <c r="G63" s="64"/>
      <c r="H63" s="1"/>
      <c r="I63" s="217"/>
      <c r="J63" s="102"/>
      <c r="K63" s="215"/>
      <c r="L63" s="35"/>
      <c r="M63" s="5"/>
      <c r="N63" s="36"/>
      <c r="O63" s="36"/>
      <c r="P63" s="36"/>
      <c r="Q63" s="36"/>
      <c r="R63" s="36"/>
      <c r="S63" s="36"/>
      <c r="T63" s="36"/>
      <c r="U63" s="36"/>
      <c r="V63" s="36"/>
      <c r="W63" s="36"/>
      <c r="X63" s="36"/>
      <c r="Y63" s="36"/>
      <c r="Z63" s="36"/>
      <c r="AA63" s="36"/>
      <c r="AB63" s="36"/>
      <c r="AC63" s="36"/>
      <c r="AD63" s="36"/>
      <c r="AE63" s="36"/>
      <c r="AF63" s="36"/>
      <c r="AG63" s="36"/>
      <c r="AH63" s="36"/>
    </row>
    <row r="64" spans="1:34" s="11" customFormat="1" ht="15.75">
      <c r="A64" s="213" t="s">
        <v>247</v>
      </c>
      <c r="B64" s="199"/>
      <c r="C64" s="199"/>
      <c r="D64" s="199"/>
      <c r="E64" s="195">
        <f>E58-E62</f>
        <v>5304377.38</v>
      </c>
      <c r="F64" s="166"/>
      <c r="G64" s="64" t="s">
        <v>224</v>
      </c>
      <c r="H64" s="1"/>
      <c r="I64" s="102"/>
      <c r="J64" s="102"/>
      <c r="K64" s="215"/>
      <c r="L64" s="35"/>
      <c r="M64" s="5"/>
      <c r="N64" s="36"/>
      <c r="O64" s="36"/>
      <c r="P64" s="36"/>
      <c r="Q64" s="36"/>
      <c r="R64" s="36"/>
      <c r="S64" s="36"/>
      <c r="T64" s="36"/>
      <c r="U64" s="36"/>
      <c r="V64" s="36"/>
      <c r="W64" s="36"/>
      <c r="X64" s="36"/>
      <c r="Y64" s="36"/>
      <c r="Z64" s="36"/>
      <c r="AA64" s="36"/>
      <c r="AB64" s="36"/>
      <c r="AC64" s="36"/>
      <c r="AD64" s="36"/>
      <c r="AE64" s="36"/>
      <c r="AF64" s="36"/>
      <c r="AG64" s="36"/>
      <c r="AH64" s="36"/>
    </row>
    <row r="65" spans="1:34" s="11" customFormat="1" ht="15.75">
      <c r="A65" s="213"/>
      <c r="B65" s="199"/>
      <c r="C65" s="199"/>
      <c r="D65" s="199"/>
      <c r="E65" s="200"/>
      <c r="F65" s="166"/>
      <c r="G65" s="64"/>
      <c r="H65" s="1"/>
      <c r="I65" s="102"/>
      <c r="J65" s="102"/>
      <c r="K65" s="215"/>
      <c r="L65" s="35"/>
      <c r="M65" s="5"/>
      <c r="N65" s="36"/>
      <c r="O65" s="36"/>
      <c r="P65" s="36"/>
      <c r="Q65" s="36"/>
      <c r="R65" s="36"/>
      <c r="S65" s="36"/>
      <c r="T65" s="36"/>
      <c r="U65" s="36"/>
      <c r="V65" s="36"/>
      <c r="W65" s="36"/>
      <c r="X65" s="36"/>
      <c r="Y65" s="36"/>
      <c r="Z65" s="36"/>
      <c r="AA65" s="36"/>
      <c r="AB65" s="36"/>
      <c r="AC65" s="36"/>
      <c r="AD65" s="36"/>
      <c r="AE65" s="36"/>
      <c r="AF65" s="36"/>
      <c r="AG65" s="36"/>
      <c r="AH65" s="36"/>
    </row>
    <row r="66" spans="1:34" s="11" customFormat="1" ht="15.75">
      <c r="A66" s="214"/>
      <c r="B66" s="199"/>
      <c r="C66" s="199"/>
      <c r="D66" s="199"/>
      <c r="E66" s="200"/>
      <c r="F66" s="166"/>
      <c r="G66" s="64"/>
      <c r="H66" s="115"/>
      <c r="I66" s="102"/>
      <c r="J66" s="102"/>
      <c r="K66" s="218"/>
      <c r="L66" s="35"/>
      <c r="M66" s="5"/>
      <c r="N66" s="36"/>
      <c r="O66" s="36"/>
      <c r="P66" s="36"/>
      <c r="Q66" s="36"/>
      <c r="R66" s="36"/>
      <c r="S66" s="36"/>
      <c r="T66" s="36"/>
      <c r="U66" s="36"/>
      <c r="V66" s="36"/>
      <c r="W66" s="36"/>
      <c r="X66" s="36"/>
      <c r="Y66" s="36"/>
      <c r="Z66" s="36"/>
      <c r="AA66" s="36"/>
      <c r="AB66" s="36"/>
      <c r="AC66" s="36"/>
      <c r="AD66" s="36"/>
      <c r="AE66" s="36"/>
      <c r="AF66" s="36"/>
      <c r="AG66" s="36"/>
      <c r="AH66" s="36"/>
    </row>
    <row r="67" spans="1:34" ht="15.75">
      <c r="A67" s="213" t="s">
        <v>212</v>
      </c>
      <c r="B67" s="199"/>
      <c r="C67" s="199"/>
      <c r="D67" s="199"/>
      <c r="E67" s="195">
        <f>E57+E64</f>
        <v>76777265.420000002</v>
      </c>
      <c r="F67" s="166"/>
      <c r="G67" s="64" t="s">
        <v>15</v>
      </c>
      <c r="H67" s="115"/>
      <c r="I67" s="56"/>
      <c r="J67" s="2"/>
      <c r="K67" s="219"/>
      <c r="L67" s="28"/>
      <c r="M67" s="5"/>
    </row>
    <row r="68" spans="1:34" ht="30">
      <c r="A68" s="238" t="s">
        <v>266</v>
      </c>
      <c r="B68" s="199"/>
      <c r="C68" s="199"/>
      <c r="D68" s="199"/>
      <c r="E68" s="220">
        <v>0.13</v>
      </c>
      <c r="F68" s="166" t="s">
        <v>55</v>
      </c>
      <c r="G68" s="64" t="s">
        <v>16</v>
      </c>
      <c r="H68" s="115" t="s">
        <v>64</v>
      </c>
      <c r="I68" s="56"/>
      <c r="J68" s="56"/>
      <c r="K68" s="156"/>
      <c r="L68" s="28"/>
      <c r="M68" s="5"/>
    </row>
    <row r="69" spans="1:34" ht="15.75">
      <c r="A69" s="213" t="s">
        <v>188</v>
      </c>
      <c r="B69" s="199"/>
      <c r="C69" s="199"/>
      <c r="D69" s="199"/>
      <c r="E69" s="195">
        <f>E67*E68</f>
        <v>9981044.5046000015</v>
      </c>
      <c r="F69" s="166"/>
      <c r="G69" s="64" t="s">
        <v>17</v>
      </c>
      <c r="H69" s="115"/>
      <c r="I69" s="221"/>
      <c r="J69" s="2"/>
      <c r="K69" s="219"/>
      <c r="L69" s="28"/>
      <c r="M69" s="5"/>
    </row>
    <row r="70" spans="1:34" ht="15.75">
      <c r="A70" s="213"/>
      <c r="B70" s="199"/>
      <c r="C70" s="199"/>
      <c r="D70" s="199"/>
      <c r="E70" s="64"/>
      <c r="F70" s="166"/>
      <c r="G70" s="64"/>
      <c r="H70" s="115"/>
      <c r="I70" s="221"/>
      <c r="J70" s="2"/>
      <c r="K70" s="219"/>
      <c r="L70" s="28"/>
      <c r="M70" s="5"/>
    </row>
    <row r="71" spans="1:34" ht="15.75">
      <c r="A71" s="213" t="s">
        <v>174</v>
      </c>
      <c r="B71" s="199"/>
      <c r="C71" s="199"/>
      <c r="D71" s="199"/>
      <c r="E71" s="200"/>
      <c r="F71" s="166"/>
      <c r="G71" s="64"/>
      <c r="H71" s="115"/>
      <c r="I71" s="194"/>
      <c r="J71" s="2"/>
      <c r="K71" s="219"/>
      <c r="L71" s="28"/>
      <c r="M71" s="5"/>
    </row>
    <row r="72" spans="1:34" ht="15.75">
      <c r="A72" s="213" t="s">
        <v>242</v>
      </c>
      <c r="B72" s="199"/>
      <c r="C72" s="199"/>
      <c r="D72" s="199"/>
      <c r="E72" s="195">
        <f>'Input Appendices removing ICM'!C109</f>
        <v>51226545.740000002</v>
      </c>
      <c r="F72" s="166"/>
      <c r="G72" s="64" t="s">
        <v>215</v>
      </c>
      <c r="H72" s="1" t="s">
        <v>198</v>
      </c>
      <c r="I72" s="2"/>
      <c r="J72" s="115"/>
      <c r="K72" s="219"/>
      <c r="L72" s="31"/>
      <c r="M72" s="5"/>
    </row>
    <row r="73" spans="1:34" s="11" customFormat="1" ht="15.75">
      <c r="A73" s="213"/>
      <c r="B73" s="199"/>
      <c r="C73" s="199"/>
      <c r="D73" s="199"/>
      <c r="E73" s="200"/>
      <c r="F73" s="166"/>
      <c r="G73" s="64"/>
      <c r="H73" s="1"/>
      <c r="I73" s="2"/>
      <c r="J73" s="115"/>
      <c r="K73" s="219"/>
      <c r="L73" s="35"/>
      <c r="M73" s="5"/>
      <c r="N73" s="36"/>
      <c r="O73" s="36"/>
      <c r="P73" s="36"/>
      <c r="Q73" s="36"/>
      <c r="R73" s="36"/>
      <c r="S73" s="36"/>
      <c r="T73" s="36"/>
      <c r="U73" s="36"/>
      <c r="V73" s="36"/>
      <c r="W73" s="36"/>
      <c r="X73" s="36"/>
      <c r="Y73" s="36"/>
      <c r="Z73" s="36"/>
      <c r="AA73" s="36"/>
      <c r="AB73" s="36"/>
      <c r="AC73" s="36"/>
      <c r="AD73" s="36"/>
      <c r="AE73" s="36"/>
      <c r="AF73" s="36"/>
      <c r="AG73" s="36"/>
      <c r="AH73" s="36"/>
    </row>
    <row r="74" spans="1:34" s="11" customFormat="1" ht="15.75">
      <c r="A74" s="213"/>
      <c r="B74" s="199"/>
      <c r="C74" s="199"/>
      <c r="D74" s="199"/>
      <c r="E74" s="200"/>
      <c r="F74" s="166"/>
      <c r="G74" s="64"/>
      <c r="H74" s="115"/>
      <c r="I74" s="194"/>
      <c r="J74" s="2"/>
      <c r="K74" s="219"/>
      <c r="L74" s="35"/>
      <c r="M74" s="5"/>
      <c r="N74" s="36"/>
      <c r="O74" s="36"/>
      <c r="P74" s="36"/>
      <c r="Q74" s="36"/>
      <c r="R74" s="36"/>
      <c r="S74" s="36"/>
      <c r="T74" s="36"/>
      <c r="U74" s="36"/>
      <c r="V74" s="36"/>
      <c r="W74" s="36"/>
      <c r="X74" s="36"/>
      <c r="Y74" s="36"/>
      <c r="Z74" s="36"/>
      <c r="AA74" s="36"/>
      <c r="AB74" s="36"/>
      <c r="AC74" s="36"/>
      <c r="AD74" s="36"/>
      <c r="AE74" s="36"/>
      <c r="AF74" s="36"/>
      <c r="AG74" s="36"/>
      <c r="AH74" s="36"/>
    </row>
    <row r="75" spans="1:34" ht="15.75">
      <c r="A75" s="213" t="s">
        <v>241</v>
      </c>
      <c r="B75" s="199"/>
      <c r="C75" s="199"/>
      <c r="D75" s="199"/>
      <c r="E75" s="195">
        <f>'Input Appendices removing ICM'!C124</f>
        <v>53672200.050000004</v>
      </c>
      <c r="F75" s="166"/>
      <c r="G75" s="64" t="s">
        <v>216</v>
      </c>
      <c r="H75" s="1" t="s">
        <v>263</v>
      </c>
      <c r="I75" s="2"/>
      <c r="J75" s="115"/>
      <c r="K75" s="219"/>
      <c r="L75" s="31"/>
      <c r="M75" s="5"/>
    </row>
    <row r="76" spans="1:34" s="11" customFormat="1" ht="15.75">
      <c r="A76" s="213"/>
      <c r="B76" s="199"/>
      <c r="C76" s="199"/>
      <c r="D76" s="199"/>
      <c r="E76" s="200"/>
      <c r="F76" s="166"/>
      <c r="G76" s="64"/>
      <c r="H76" s="115"/>
      <c r="I76" s="115"/>
      <c r="J76" s="115"/>
      <c r="K76" s="219"/>
      <c r="L76" s="35"/>
      <c r="M76" s="5"/>
      <c r="N76" s="36"/>
      <c r="O76" s="36"/>
      <c r="P76" s="36"/>
      <c r="Q76" s="36"/>
      <c r="R76" s="36"/>
      <c r="S76" s="36"/>
      <c r="T76" s="36"/>
      <c r="U76" s="36"/>
      <c r="V76" s="36"/>
      <c r="W76" s="36"/>
      <c r="X76" s="36"/>
      <c r="Y76" s="36"/>
      <c r="Z76" s="36"/>
      <c r="AA76" s="36"/>
      <c r="AB76" s="36"/>
      <c r="AC76" s="36"/>
      <c r="AD76" s="36"/>
      <c r="AE76" s="36"/>
      <c r="AF76" s="36"/>
      <c r="AG76" s="36"/>
      <c r="AH76" s="36"/>
    </row>
    <row r="77" spans="1:34" ht="15.75">
      <c r="A77" s="213" t="s">
        <v>175</v>
      </c>
      <c r="B77" s="199"/>
      <c r="C77" s="199"/>
      <c r="D77" s="199"/>
      <c r="E77" s="195">
        <f>AVERAGE(E72, E75)</f>
        <v>52449372.895000003</v>
      </c>
      <c r="F77" s="50"/>
      <c r="G77" s="64" t="s">
        <v>143</v>
      </c>
      <c r="H77" s="115"/>
      <c r="I77" s="2"/>
      <c r="J77" s="2"/>
      <c r="K77" s="219"/>
      <c r="L77" s="28"/>
      <c r="M77" s="5"/>
    </row>
    <row r="78" spans="1:34" ht="15.75">
      <c r="A78" s="213" t="s">
        <v>18</v>
      </c>
      <c r="B78" s="199"/>
      <c r="C78" s="199"/>
      <c r="D78" s="199"/>
      <c r="E78" s="195">
        <f>E69+E77</f>
        <v>62430417.399600007</v>
      </c>
      <c r="F78" s="166"/>
      <c r="G78" s="64" t="s">
        <v>19</v>
      </c>
      <c r="H78" s="115"/>
      <c r="I78" s="50"/>
      <c r="J78" s="2"/>
      <c r="K78" s="219"/>
      <c r="L78" s="28"/>
      <c r="M78" s="5"/>
    </row>
    <row r="79" spans="1:34" ht="15.75">
      <c r="A79" s="213"/>
      <c r="B79" s="199"/>
      <c r="C79" s="199"/>
      <c r="D79" s="199"/>
      <c r="E79" s="200"/>
      <c r="F79" s="166"/>
      <c r="G79" s="64"/>
      <c r="H79" s="115"/>
      <c r="I79" s="2"/>
      <c r="J79" s="2"/>
      <c r="K79" s="219"/>
      <c r="L79" s="28"/>
      <c r="M79" s="5"/>
    </row>
    <row r="80" spans="1:34" ht="30">
      <c r="A80" s="213" t="s">
        <v>228</v>
      </c>
      <c r="B80" s="220">
        <v>0.04</v>
      </c>
      <c r="C80" s="166" t="s">
        <v>55</v>
      </c>
      <c r="D80" s="199" t="s">
        <v>20</v>
      </c>
      <c r="E80" s="195">
        <f>B80*E78</f>
        <v>2497216.6959840003</v>
      </c>
      <c r="F80" s="166"/>
      <c r="G80" s="64" t="s">
        <v>21</v>
      </c>
      <c r="H80" s="115" t="s">
        <v>65</v>
      </c>
      <c r="I80" s="2"/>
      <c r="J80" s="2"/>
      <c r="K80" s="222"/>
      <c r="L80" s="28"/>
      <c r="M80" s="5"/>
    </row>
    <row r="81" spans="1:34" ht="30">
      <c r="A81" s="213" t="s">
        <v>229</v>
      </c>
      <c r="B81" s="220">
        <v>0.56000000000000005</v>
      </c>
      <c r="C81" s="166" t="s">
        <v>55</v>
      </c>
      <c r="D81" s="199" t="s">
        <v>22</v>
      </c>
      <c r="E81" s="195">
        <f>B81*E78</f>
        <v>34961033.743776008</v>
      </c>
      <c r="F81" s="166"/>
      <c r="G81" s="64" t="s">
        <v>23</v>
      </c>
      <c r="H81" s="115" t="s">
        <v>66</v>
      </c>
      <c r="I81" s="2"/>
      <c r="J81" s="2"/>
      <c r="K81" s="222"/>
      <c r="L81" s="28"/>
      <c r="M81" s="5"/>
    </row>
    <row r="82" spans="1:34" ht="30">
      <c r="A82" s="213" t="s">
        <v>230</v>
      </c>
      <c r="B82" s="220">
        <v>0.4</v>
      </c>
      <c r="C82" s="166" t="s">
        <v>55</v>
      </c>
      <c r="D82" s="199" t="s">
        <v>24</v>
      </c>
      <c r="E82" s="195">
        <f>B82*E78</f>
        <v>24972166.959840003</v>
      </c>
      <c r="F82" s="166"/>
      <c r="G82" s="64" t="s">
        <v>25</v>
      </c>
      <c r="H82" s="115" t="s">
        <v>67</v>
      </c>
      <c r="I82" s="2"/>
      <c r="J82" s="2"/>
      <c r="K82" s="222"/>
      <c r="L82" s="28"/>
      <c r="M82" s="5"/>
    </row>
    <row r="83" spans="1:34" s="12" customFormat="1" ht="15.75">
      <c r="A83" s="223"/>
      <c r="B83" s="178"/>
      <c r="C83" s="224"/>
      <c r="D83" s="178"/>
      <c r="E83" s="179"/>
      <c r="F83" s="180"/>
      <c r="G83" s="209"/>
      <c r="H83" s="210"/>
      <c r="I83" s="183"/>
      <c r="J83" s="183"/>
      <c r="K83" s="184"/>
      <c r="L83" s="28"/>
      <c r="M83" s="5"/>
    </row>
    <row r="84" spans="1:34" s="12" customFormat="1" ht="15.75">
      <c r="A84" s="225" t="s">
        <v>211</v>
      </c>
      <c r="B84" s="168"/>
      <c r="C84" s="168"/>
      <c r="D84" s="168"/>
      <c r="E84" s="169"/>
      <c r="F84" s="170"/>
      <c r="G84" s="186"/>
      <c r="H84" s="187"/>
      <c r="I84" s="188"/>
      <c r="J84" s="188"/>
      <c r="K84" s="174"/>
      <c r="L84" s="28"/>
      <c r="M84" s="5"/>
    </row>
    <row r="85" spans="1:34" s="12" customFormat="1" ht="15.75">
      <c r="A85" s="212" t="s">
        <v>190</v>
      </c>
      <c r="B85" s="157"/>
      <c r="C85" s="157"/>
      <c r="D85" s="157"/>
      <c r="E85" s="226">
        <f>(E52/E82)</f>
        <v>0.11616303562680606</v>
      </c>
      <c r="F85" s="166" t="s">
        <v>55</v>
      </c>
      <c r="G85" s="64" t="s">
        <v>194</v>
      </c>
      <c r="H85" s="115"/>
      <c r="I85" s="2"/>
      <c r="J85" s="2"/>
      <c r="K85" s="219"/>
      <c r="L85" s="28"/>
      <c r="M85" s="5"/>
    </row>
    <row r="86" spans="1:34" s="12" customFormat="1" ht="15.75">
      <c r="A86" s="212"/>
      <c r="B86" s="157"/>
      <c r="C86" s="157"/>
      <c r="D86" s="157"/>
      <c r="E86" s="158"/>
      <c r="F86" s="166"/>
      <c r="G86" s="64"/>
      <c r="H86" s="115"/>
      <c r="I86" s="2"/>
      <c r="J86" s="2"/>
      <c r="K86" s="219"/>
      <c r="L86" s="28"/>
      <c r="M86" s="5"/>
    </row>
    <row r="87" spans="1:34" s="12" customFormat="1" ht="30">
      <c r="A87" s="227" t="s">
        <v>189</v>
      </c>
      <c r="B87" s="157"/>
      <c r="C87" s="157"/>
      <c r="D87" s="157"/>
      <c r="E87" s="220">
        <v>9.2999999999999999E-2</v>
      </c>
      <c r="F87" s="166" t="s">
        <v>55</v>
      </c>
      <c r="G87" s="64" t="s">
        <v>26</v>
      </c>
      <c r="H87" s="115" t="s">
        <v>64</v>
      </c>
      <c r="I87" s="2"/>
      <c r="J87" s="2"/>
      <c r="K87" s="219"/>
      <c r="L87" s="28"/>
      <c r="M87" s="5"/>
    </row>
    <row r="88" spans="1:34" s="12" customFormat="1" ht="15.75">
      <c r="A88" s="212"/>
      <c r="B88" s="157"/>
      <c r="C88" s="157"/>
      <c r="D88" s="157"/>
      <c r="E88" s="158"/>
      <c r="F88" s="166"/>
      <c r="G88" s="64"/>
      <c r="H88" s="115"/>
      <c r="I88" s="2"/>
      <c r="J88" s="2"/>
      <c r="K88" s="219"/>
      <c r="L88" s="28"/>
      <c r="M88" s="5"/>
    </row>
    <row r="89" spans="1:34" s="12" customFormat="1" ht="15.75">
      <c r="A89" s="212" t="s">
        <v>27</v>
      </c>
      <c r="B89" s="157"/>
      <c r="C89" s="157"/>
      <c r="D89" s="157"/>
      <c r="E89" s="226">
        <f>E85-E87</f>
        <v>2.3163035626806064E-2</v>
      </c>
      <c r="F89" s="166" t="s">
        <v>55</v>
      </c>
      <c r="G89" s="64" t="s">
        <v>73</v>
      </c>
      <c r="H89" s="115"/>
      <c r="I89" s="2"/>
      <c r="J89" s="2"/>
      <c r="K89" s="219"/>
      <c r="L89" s="28"/>
      <c r="M89" s="5"/>
    </row>
    <row r="90" spans="1:34" s="12" customFormat="1" ht="15.75">
      <c r="A90" s="212"/>
      <c r="B90" s="157"/>
      <c r="C90" s="157"/>
      <c r="D90" s="157"/>
      <c r="E90" s="228"/>
      <c r="F90" s="166"/>
      <c r="G90" s="64"/>
      <c r="H90" s="115"/>
      <c r="I90" s="2"/>
      <c r="J90" s="2"/>
      <c r="K90" s="219"/>
      <c r="L90" s="28"/>
      <c r="M90" s="5"/>
    </row>
    <row r="91" spans="1:34" s="12" customFormat="1" ht="60" customHeight="1">
      <c r="A91" s="229" t="s">
        <v>113</v>
      </c>
      <c r="B91" s="157"/>
      <c r="C91" s="157"/>
      <c r="D91" s="157"/>
      <c r="E91" s="230" t="str">
        <f>IF(E89&lt;-3%,"Under-earning",IF(E89&gt;3%,"Over-earning","Within 300 basis points deadband"))</f>
        <v>Within 300 basis points deadband</v>
      </c>
      <c r="F91" s="166"/>
      <c r="G91" s="64" t="s">
        <v>74</v>
      </c>
      <c r="H91" s="115"/>
      <c r="I91" s="260" t="s">
        <v>213</v>
      </c>
      <c r="J91" s="260"/>
      <c r="K91" s="263"/>
      <c r="L91" s="28"/>
      <c r="M91" s="5"/>
    </row>
    <row r="92" spans="1:34" s="12" customFormat="1" ht="15.75">
      <c r="A92" s="231"/>
      <c r="B92" s="157"/>
      <c r="C92" s="157"/>
      <c r="D92" s="157"/>
      <c r="E92" s="158"/>
      <c r="F92" s="166"/>
      <c r="G92" s="88"/>
      <c r="H92" s="115"/>
      <c r="I92" s="56"/>
      <c r="J92" s="2"/>
      <c r="K92" s="156"/>
      <c r="L92" s="28"/>
      <c r="M92" s="5"/>
    </row>
    <row r="93" spans="1:34" s="11" customFormat="1" ht="16.5" thickBot="1">
      <c r="A93" s="232"/>
      <c r="B93" s="163"/>
      <c r="C93" s="163"/>
      <c r="D93" s="163"/>
      <c r="E93" s="164"/>
      <c r="F93" s="233"/>
      <c r="G93" s="234"/>
      <c r="H93" s="235"/>
      <c r="I93" s="59"/>
      <c r="J93" s="59"/>
      <c r="K93" s="236"/>
      <c r="L93" s="37"/>
      <c r="M93" s="5"/>
      <c r="N93" s="12"/>
      <c r="O93" s="12"/>
      <c r="P93" s="12"/>
      <c r="Q93" s="12"/>
      <c r="R93" s="12"/>
      <c r="S93" s="12"/>
      <c r="T93" s="12"/>
      <c r="U93" s="12"/>
      <c r="V93" s="12"/>
      <c r="W93" s="12"/>
      <c r="X93" s="12"/>
      <c r="Y93" s="12"/>
      <c r="Z93" s="12"/>
      <c r="AA93" s="12"/>
      <c r="AB93" s="12"/>
      <c r="AC93" s="12"/>
      <c r="AD93" s="12"/>
      <c r="AE93" s="12"/>
      <c r="AF93" s="12"/>
      <c r="AG93" s="12"/>
      <c r="AH93" s="12"/>
    </row>
    <row r="94" spans="1:34" s="11" customFormat="1" ht="12" customHeight="1">
      <c r="A94" s="5"/>
      <c r="B94" s="5"/>
      <c r="C94" s="5"/>
      <c r="D94" s="5"/>
      <c r="E94" s="40"/>
      <c r="F94" s="6"/>
      <c r="G94" s="7"/>
      <c r="H94" s="8"/>
      <c r="I94" s="9"/>
      <c r="J94" s="9"/>
      <c r="K94" s="10"/>
      <c r="L94" s="10"/>
      <c r="M94" s="5"/>
      <c r="N94" s="12"/>
      <c r="O94" s="12"/>
      <c r="P94" s="12"/>
      <c r="Q94" s="12"/>
      <c r="R94" s="12"/>
      <c r="S94" s="12"/>
      <c r="T94" s="12"/>
      <c r="U94" s="12"/>
      <c r="V94" s="12"/>
      <c r="W94" s="12"/>
      <c r="X94" s="12"/>
      <c r="Y94" s="12"/>
      <c r="Z94" s="12"/>
      <c r="AA94" s="12"/>
      <c r="AB94" s="12"/>
      <c r="AC94" s="12"/>
      <c r="AD94" s="12"/>
      <c r="AE94" s="12"/>
      <c r="AF94" s="12"/>
      <c r="AG94" s="12"/>
      <c r="AH94" s="12"/>
    </row>
    <row r="98" spans="5:5">
      <c r="E98" s="43"/>
    </row>
  </sheetData>
  <sheetProtection password="D12D" sheet="1" objects="1" scenarios="1"/>
  <protectedRanges>
    <protectedRange sqref="E24 E25 E29 E33 I33 E35 I35 E44 E45 E57 E58 A62 E62 I62 E68 B80 B81 B82 E87" name="ROE Summary"/>
  </protectedRanges>
  <mergeCells count="1">
    <mergeCell ref="I91:K91"/>
  </mergeCells>
  <printOptions horizontalCentered="1" headings="1" gridLines="1"/>
  <pageMargins left="0.23622047244094491" right="0.23622047244094491" top="0.74803149606299213" bottom="0.74803149606299213" header="0.31496062992125984" footer="0.31496062992125984"/>
  <pageSetup scale="70" fitToHeight="4" orientation="portrait" r:id="rId1"/>
  <headerFooter>
    <oddHeader xml:space="preserve">&amp;C&amp;20Regulated Return on Equity (ROE) - Summary
</oddHeader>
    <oddFooter>&amp;R&amp;20Page 3</oddFooter>
  </headerFooter>
  <ignoredErrors>
    <ignoredError sqref="E91 E89 E85" evalError="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A1:N70"/>
  <sheetViews>
    <sheetView topLeftCell="A42" workbookViewId="0">
      <selection activeCell="H70" sqref="H70"/>
    </sheetView>
  </sheetViews>
  <sheetFormatPr defaultRowHeight="15"/>
  <cols>
    <col min="1" max="1" width="5.5703125" customWidth="1"/>
    <col min="6" max="6" width="20.85546875" style="242" customWidth="1"/>
    <col min="7" max="7" width="18" style="242" customWidth="1"/>
    <col min="8" max="8" width="23.5703125" style="242" customWidth="1"/>
    <col min="9" max="9" width="15.7109375" customWidth="1"/>
  </cols>
  <sheetData>
    <row r="1" spans="1:14" ht="17.25">
      <c r="A1" s="252" t="s">
        <v>326</v>
      </c>
      <c r="G1" s="254" t="s">
        <v>305</v>
      </c>
      <c r="H1" s="254" t="s">
        <v>306</v>
      </c>
      <c r="I1" s="252" t="s">
        <v>307</v>
      </c>
    </row>
    <row r="2" spans="1:14" ht="17.25">
      <c r="B2" s="252" t="s">
        <v>293</v>
      </c>
      <c r="F2" s="254" t="s">
        <v>304</v>
      </c>
      <c r="G2" s="242">
        <v>2298170</v>
      </c>
      <c r="H2" s="242">
        <v>3554879</v>
      </c>
      <c r="I2" s="242">
        <f>+H2-G2</f>
        <v>1256709</v>
      </c>
    </row>
    <row r="5" spans="1:14">
      <c r="E5" s="257" t="s">
        <v>297</v>
      </c>
      <c r="F5" s="258" t="s">
        <v>343</v>
      </c>
      <c r="G5" s="258" t="s">
        <v>344</v>
      </c>
      <c r="H5" s="258" t="s">
        <v>295</v>
      </c>
    </row>
    <row r="7" spans="1:14">
      <c r="A7" t="s">
        <v>294</v>
      </c>
      <c r="B7" s="251" t="s">
        <v>329</v>
      </c>
      <c r="E7">
        <v>4080</v>
      </c>
      <c r="F7" s="242">
        <v>12404295.449999999</v>
      </c>
      <c r="G7" s="242">
        <v>10455129</v>
      </c>
      <c r="H7" s="242">
        <f>+F7-G7</f>
        <v>1949166.4499999993</v>
      </c>
      <c r="I7" s="242"/>
      <c r="J7" s="242"/>
      <c r="K7" s="242"/>
      <c r="L7" s="242"/>
      <c r="M7" s="242"/>
      <c r="N7" s="242"/>
    </row>
    <row r="8" spans="1:14">
      <c r="I8" s="242"/>
      <c r="J8" s="242"/>
      <c r="K8" s="242"/>
      <c r="L8" s="242"/>
      <c r="M8" s="242"/>
      <c r="N8" s="242"/>
    </row>
    <row r="9" spans="1:14">
      <c r="I9" s="242" t="s">
        <v>296</v>
      </c>
      <c r="J9" s="242"/>
      <c r="K9" s="242"/>
      <c r="L9" s="242"/>
      <c r="M9" s="242"/>
      <c r="N9" s="242"/>
    </row>
    <row r="10" spans="1:14">
      <c r="H10" s="242">
        <v>1369599</v>
      </c>
      <c r="I10" s="242" t="s">
        <v>318</v>
      </c>
      <c r="J10" s="242"/>
      <c r="K10" s="242"/>
      <c r="L10" s="242"/>
      <c r="M10" s="242"/>
      <c r="N10" s="242"/>
    </row>
    <row r="11" spans="1:14">
      <c r="H11" s="242">
        <v>528558</v>
      </c>
      <c r="I11" s="242" t="s">
        <v>317</v>
      </c>
      <c r="J11" s="242"/>
      <c r="K11" s="242"/>
      <c r="L11" s="242"/>
      <c r="M11" s="242"/>
      <c r="N11" s="242"/>
    </row>
    <row r="12" spans="1:14">
      <c r="H12" s="246">
        <f>+H11+H10</f>
        <v>1898157</v>
      </c>
      <c r="I12" s="242"/>
      <c r="J12" s="242"/>
      <c r="K12" s="242"/>
      <c r="L12" s="242"/>
      <c r="M12" s="242"/>
      <c r="N12" s="242"/>
    </row>
    <row r="13" spans="1:14">
      <c r="I13" s="242"/>
      <c r="J13" s="242"/>
      <c r="K13" s="242"/>
      <c r="L13" s="242"/>
      <c r="M13" s="242"/>
      <c r="N13" s="242"/>
    </row>
    <row r="14" spans="1:14">
      <c r="H14" s="242">
        <f>+H7-H12</f>
        <v>51009.449999999255</v>
      </c>
      <c r="I14" s="242" t="s">
        <v>327</v>
      </c>
      <c r="J14" s="242"/>
      <c r="K14" s="242"/>
      <c r="L14" s="242"/>
      <c r="M14" s="242"/>
      <c r="N14" s="242"/>
    </row>
    <row r="15" spans="1:14">
      <c r="H15" s="250"/>
      <c r="I15" s="250" t="s">
        <v>328</v>
      </c>
      <c r="J15" s="250"/>
      <c r="K15" s="250"/>
      <c r="L15" s="242"/>
      <c r="M15" s="242"/>
      <c r="N15" s="242"/>
    </row>
    <row r="16" spans="1:14" ht="15.75" thickBot="1">
      <c r="H16" s="255">
        <f>+H14+H12</f>
        <v>1949166.4499999993</v>
      </c>
      <c r="I16" s="253" t="s">
        <v>330</v>
      </c>
      <c r="J16" s="242"/>
      <c r="K16" s="242"/>
      <c r="L16" s="242"/>
      <c r="M16" s="242"/>
      <c r="N16" s="242"/>
    </row>
    <row r="17" spans="2:14" ht="15.75" thickTop="1">
      <c r="B17" s="251" t="s">
        <v>274</v>
      </c>
      <c r="I17" s="242"/>
      <c r="J17" s="242"/>
      <c r="K17" s="242"/>
      <c r="L17" s="242"/>
      <c r="M17" s="242"/>
      <c r="N17" s="242"/>
    </row>
    <row r="18" spans="2:14">
      <c r="C18" t="s">
        <v>319</v>
      </c>
      <c r="F18" s="242">
        <v>477004.82</v>
      </c>
      <c r="I18" s="242"/>
      <c r="J18" s="242"/>
      <c r="K18" s="242"/>
      <c r="L18" s="242"/>
      <c r="M18" s="242"/>
      <c r="N18" s="242"/>
    </row>
    <row r="19" spans="2:14">
      <c r="C19" t="s">
        <v>331</v>
      </c>
      <c r="F19" s="242">
        <f>1881781-1495988-232376.75</f>
        <v>153416.25</v>
      </c>
      <c r="I19" s="242"/>
      <c r="J19" s="242"/>
      <c r="K19" s="242"/>
      <c r="L19" s="242"/>
      <c r="M19" s="242"/>
      <c r="N19" s="242"/>
    </row>
    <row r="20" spans="2:14">
      <c r="C20" t="s">
        <v>332</v>
      </c>
      <c r="F20" s="249">
        <f>12482548-12404295</f>
        <v>78253</v>
      </c>
      <c r="I20" s="242"/>
      <c r="J20" s="242"/>
      <c r="K20" s="242"/>
      <c r="L20" s="242"/>
      <c r="M20" s="242"/>
      <c r="N20" s="242"/>
    </row>
    <row r="21" spans="2:14" ht="17.25">
      <c r="C21" t="s">
        <v>333</v>
      </c>
      <c r="F21" s="243">
        <v>45560.26</v>
      </c>
      <c r="I21" s="242"/>
      <c r="J21" s="242"/>
      <c r="K21" s="242"/>
      <c r="L21" s="242"/>
      <c r="M21" s="242"/>
      <c r="N21" s="242"/>
    </row>
    <row r="22" spans="2:14">
      <c r="F22" s="242">
        <f>SUM(F18:F21)</f>
        <v>754234.33000000007</v>
      </c>
      <c r="I22" s="242"/>
      <c r="J22" s="242"/>
      <c r="K22" s="242"/>
      <c r="L22" s="242"/>
      <c r="M22" s="242"/>
      <c r="N22" s="242"/>
    </row>
    <row r="23" spans="2:14">
      <c r="C23" t="s">
        <v>298</v>
      </c>
      <c r="F23" s="242">
        <v>-221927</v>
      </c>
      <c r="I23" s="242"/>
      <c r="J23" s="242"/>
      <c r="K23" s="242"/>
      <c r="L23" s="242"/>
      <c r="M23" s="242"/>
      <c r="N23" s="242"/>
    </row>
    <row r="24" spans="2:14">
      <c r="C24" t="s">
        <v>299</v>
      </c>
      <c r="F24" s="242">
        <f>-35519+15350</f>
        <v>-20169</v>
      </c>
      <c r="I24" s="242"/>
      <c r="J24" s="242"/>
      <c r="K24" s="242"/>
      <c r="L24" s="242"/>
      <c r="M24" s="242"/>
      <c r="N24" s="242"/>
    </row>
    <row r="25" spans="2:14">
      <c r="F25" s="246">
        <f>+F22+F23+F24</f>
        <v>512138.33000000007</v>
      </c>
      <c r="G25" s="242">
        <v>755699</v>
      </c>
      <c r="H25" s="253">
        <f>+F25-G25</f>
        <v>-243560.66999999993</v>
      </c>
      <c r="I25" s="242" t="s">
        <v>325</v>
      </c>
      <c r="J25" s="242"/>
      <c r="K25" s="242"/>
      <c r="L25" s="242"/>
      <c r="M25" s="242"/>
      <c r="N25" s="242"/>
    </row>
    <row r="26" spans="2:14">
      <c r="I26" s="242" t="s">
        <v>334</v>
      </c>
      <c r="J26" s="242"/>
      <c r="K26" s="242"/>
      <c r="L26" s="242"/>
      <c r="M26" s="242"/>
      <c r="N26" s="242"/>
    </row>
    <row r="27" spans="2:14" ht="15.75" thickBot="1">
      <c r="G27" s="247">
        <f>+G25+G7</f>
        <v>11210828</v>
      </c>
      <c r="J27" s="242"/>
      <c r="K27" s="242"/>
      <c r="L27" s="242"/>
      <c r="M27" s="242"/>
      <c r="N27" s="242"/>
    </row>
    <row r="28" spans="2:14">
      <c r="B28" s="251" t="s">
        <v>336</v>
      </c>
      <c r="I28" s="242"/>
      <c r="J28" s="242"/>
      <c r="K28" s="242"/>
      <c r="L28" s="242"/>
      <c r="M28" s="242"/>
      <c r="N28" s="242"/>
    </row>
    <row r="29" spans="2:14">
      <c r="C29" t="s">
        <v>300</v>
      </c>
      <c r="F29" s="242">
        <v>2195605</v>
      </c>
      <c r="I29" s="242"/>
      <c r="J29" s="242"/>
      <c r="K29" s="242"/>
      <c r="L29" s="242"/>
      <c r="M29" s="242"/>
      <c r="N29" s="242"/>
    </row>
    <row r="30" spans="2:14">
      <c r="C30" t="s">
        <v>301</v>
      </c>
      <c r="F30" s="242">
        <v>1251776</v>
      </c>
      <c r="I30" s="242"/>
      <c r="J30" s="242"/>
      <c r="K30" s="242"/>
      <c r="L30" s="242"/>
      <c r="M30" s="242"/>
      <c r="N30" s="242"/>
    </row>
    <row r="31" spans="2:14">
      <c r="C31" t="s">
        <v>302</v>
      </c>
      <c r="F31" s="242">
        <v>11632.26</v>
      </c>
      <c r="I31" s="242"/>
      <c r="J31" s="242"/>
      <c r="K31" s="242"/>
      <c r="L31" s="242"/>
      <c r="M31" s="242"/>
      <c r="N31" s="242"/>
    </row>
    <row r="32" spans="2:14">
      <c r="C32" t="s">
        <v>314</v>
      </c>
      <c r="D32">
        <v>6105</v>
      </c>
      <c r="F32" s="242">
        <v>5645.52</v>
      </c>
      <c r="G32" s="242">
        <v>19225</v>
      </c>
      <c r="I32" s="242"/>
      <c r="J32" s="242"/>
      <c r="K32" s="242"/>
      <c r="L32" s="242"/>
      <c r="M32" s="242"/>
      <c r="N32" s="242"/>
    </row>
    <row r="33" spans="2:14">
      <c r="C33" t="s">
        <v>315</v>
      </c>
      <c r="F33" s="242">
        <v>63000</v>
      </c>
      <c r="G33" s="242">
        <v>13000</v>
      </c>
      <c r="I33" s="242"/>
      <c r="J33" s="242"/>
      <c r="K33" s="242"/>
      <c r="L33" s="242"/>
      <c r="M33" s="242"/>
      <c r="N33" s="242"/>
    </row>
    <row r="34" spans="2:14">
      <c r="C34" t="s">
        <v>303</v>
      </c>
      <c r="F34" s="242">
        <v>1826719.1</v>
      </c>
      <c r="G34" s="242">
        <v>5156282</v>
      </c>
      <c r="I34" s="242"/>
      <c r="J34" s="242"/>
      <c r="K34" s="242"/>
      <c r="L34" s="242"/>
      <c r="M34" s="242"/>
      <c r="N34" s="242"/>
    </row>
    <row r="35" spans="2:14">
      <c r="F35" s="246">
        <f>SUM(F29:F34)</f>
        <v>5354377.88</v>
      </c>
      <c r="G35" s="242">
        <f>SUM(G32:G34)</f>
        <v>5188507</v>
      </c>
      <c r="I35" s="242"/>
      <c r="J35" s="242"/>
      <c r="K35" s="242"/>
      <c r="L35" s="242"/>
      <c r="M35" s="242"/>
      <c r="N35" s="242"/>
    </row>
    <row r="36" spans="2:14">
      <c r="C36" t="s">
        <v>316</v>
      </c>
      <c r="F36" s="242">
        <v>-50000</v>
      </c>
      <c r="I36" s="242"/>
      <c r="J36" s="242"/>
      <c r="K36" s="242"/>
      <c r="L36" s="242"/>
      <c r="M36" s="242"/>
      <c r="N36" s="242"/>
    </row>
    <row r="37" spans="2:14" ht="15.75" thickBot="1">
      <c r="F37" s="244">
        <f>+F35+F36</f>
        <v>5304377.88</v>
      </c>
      <c r="G37" s="242">
        <f>+G35</f>
        <v>5188507</v>
      </c>
      <c r="H37" s="253">
        <f>+F37-G37</f>
        <v>115870.87999999989</v>
      </c>
      <c r="I37" s="242" t="s">
        <v>320</v>
      </c>
      <c r="J37" s="242"/>
      <c r="K37" s="242"/>
      <c r="L37" s="242"/>
      <c r="M37" s="242"/>
      <c r="N37" s="242"/>
    </row>
    <row r="38" spans="2:14" ht="15.75" thickTop="1">
      <c r="I38" s="242" t="s">
        <v>335</v>
      </c>
      <c r="J38" s="242"/>
      <c r="K38" s="242"/>
      <c r="L38" s="242"/>
      <c r="M38" s="242"/>
      <c r="N38" s="242"/>
    </row>
    <row r="39" spans="2:14">
      <c r="B39" s="251" t="s">
        <v>308</v>
      </c>
      <c r="F39" s="242">
        <v>2428856.27</v>
      </c>
      <c r="G39" s="242">
        <v>2082559</v>
      </c>
      <c r="H39" s="242">
        <f>+F39-G39</f>
        <v>346297.27</v>
      </c>
      <c r="I39" t="s">
        <v>321</v>
      </c>
    </row>
    <row r="40" spans="2:14">
      <c r="I40" s="242" t="s">
        <v>322</v>
      </c>
    </row>
    <row r="42" spans="2:14">
      <c r="B42" s="251" t="s">
        <v>311</v>
      </c>
      <c r="F42" s="242">
        <f>94000*1.26</f>
        <v>118440</v>
      </c>
      <c r="G42" s="242">
        <v>142098</v>
      </c>
      <c r="H42" s="242">
        <f>+F42-G42</f>
        <v>-23658</v>
      </c>
      <c r="I42" s="242" t="s">
        <v>323</v>
      </c>
    </row>
    <row r="45" spans="2:14">
      <c r="B45" s="251" t="s">
        <v>309</v>
      </c>
      <c r="F45" s="242">
        <v>1517059.14</v>
      </c>
      <c r="G45" s="242">
        <v>1499494</v>
      </c>
      <c r="H45" s="242">
        <f>+F45-G45</f>
        <v>17565.139999999898</v>
      </c>
      <c r="I45" t="s">
        <v>324</v>
      </c>
    </row>
    <row r="48" spans="2:14">
      <c r="B48" s="251" t="s">
        <v>310</v>
      </c>
      <c r="G48" s="242">
        <v>2298170</v>
      </c>
    </row>
    <row r="50" spans="2:9" ht="15.75" thickBot="1">
      <c r="B50" s="251" t="s">
        <v>337</v>
      </c>
      <c r="G50" s="256">
        <f>SUM(G37:G49)</f>
        <v>11210828</v>
      </c>
    </row>
    <row r="53" spans="2:9">
      <c r="B53" s="252" t="s">
        <v>345</v>
      </c>
    </row>
    <row r="55" spans="2:9">
      <c r="C55" t="s">
        <v>338</v>
      </c>
      <c r="F55" s="242">
        <v>71472888</v>
      </c>
      <c r="G55" s="242">
        <v>68871222</v>
      </c>
      <c r="H55" s="242">
        <f>+F55-G55</f>
        <v>2601666</v>
      </c>
    </row>
    <row r="56" spans="2:9" ht="17.25">
      <c r="C56" t="s">
        <v>312</v>
      </c>
      <c r="F56" s="243">
        <v>5304377</v>
      </c>
      <c r="G56" s="243">
        <v>5031511</v>
      </c>
      <c r="H56" s="242">
        <f>+F56-G56</f>
        <v>272866</v>
      </c>
    </row>
    <row r="57" spans="2:9">
      <c r="F57" s="242">
        <f>+F56+F55</f>
        <v>76777265</v>
      </c>
      <c r="G57" s="242">
        <f>+G56+G55</f>
        <v>73902733</v>
      </c>
      <c r="H57" s="242">
        <f>+H56+H55</f>
        <v>2874532</v>
      </c>
      <c r="I57" t="s">
        <v>339</v>
      </c>
    </row>
    <row r="58" spans="2:9">
      <c r="F58" s="248">
        <v>0.13</v>
      </c>
      <c r="G58" s="248">
        <v>0.13</v>
      </c>
      <c r="H58" s="248">
        <v>0.13</v>
      </c>
      <c r="I58" t="s">
        <v>342</v>
      </c>
    </row>
    <row r="59" spans="2:9" ht="15.75" thickBot="1">
      <c r="F59" s="247">
        <f>+F57*F58</f>
        <v>9981044.4500000011</v>
      </c>
      <c r="G59" s="247">
        <f>+G57*G58</f>
        <v>9607355.290000001</v>
      </c>
      <c r="H59" s="247">
        <f>+H57*H58</f>
        <v>373689.16000000003</v>
      </c>
    </row>
    <row r="60" spans="2:9">
      <c r="C60" t="s">
        <v>340</v>
      </c>
      <c r="F60" s="242">
        <f>+F61-F59</f>
        <v>52449373.549999997</v>
      </c>
      <c r="G60" s="242">
        <f>+G61-G59</f>
        <v>52171403.710000001</v>
      </c>
      <c r="H60" s="242">
        <f>+H61-H59</f>
        <v>277969.83999999997</v>
      </c>
      <c r="I60" t="s">
        <v>341</v>
      </c>
    </row>
    <row r="61" spans="2:9" ht="15.75" thickBot="1">
      <c r="C61" s="251" t="s">
        <v>313</v>
      </c>
      <c r="F61" s="255">
        <v>62430418</v>
      </c>
      <c r="G61" s="255">
        <v>61778759</v>
      </c>
      <c r="H61" s="255">
        <f>+F61-G61</f>
        <v>651659</v>
      </c>
    </row>
    <row r="62" spans="2:9" ht="15.75" thickTop="1"/>
    <row r="64" spans="2:9">
      <c r="I64" t="s">
        <v>346</v>
      </c>
    </row>
    <row r="65" spans="8:9">
      <c r="H65" s="242">
        <f>+H12</f>
        <v>1898157</v>
      </c>
      <c r="I65" t="s">
        <v>347</v>
      </c>
    </row>
    <row r="66" spans="8:9">
      <c r="H66" s="242">
        <v>-232377</v>
      </c>
      <c r="I66" t="s">
        <v>348</v>
      </c>
    </row>
    <row r="67" spans="8:9">
      <c r="H67" s="242">
        <v>-365781</v>
      </c>
      <c r="I67" t="s">
        <v>349</v>
      </c>
    </row>
    <row r="68" spans="8:9" ht="15.75" thickBot="1">
      <c r="H68" s="244">
        <f>+H67+H66+H65</f>
        <v>1299999</v>
      </c>
    </row>
    <row r="69" spans="8:9" ht="15.75" thickTop="1">
      <c r="H69" s="242">
        <v>410154</v>
      </c>
      <c r="I69" t="s">
        <v>351</v>
      </c>
    </row>
    <row r="70" spans="8:9">
      <c r="H70" s="242">
        <f>+H68-H69</f>
        <v>889845</v>
      </c>
    </row>
  </sheetData>
  <pageMargins left="0.70866141732283472" right="0.70866141732283472" top="0.74803149606299213" bottom="0.74803149606299213" header="0.31496062992125984" footer="0.31496062992125984"/>
  <pageSetup scale="58" orientation="portrait" r:id="rId1"/>
</worksheet>
</file>

<file path=xl/worksheets/sheet4.xml><?xml version="1.0" encoding="utf-8"?>
<worksheet xmlns="http://schemas.openxmlformats.org/spreadsheetml/2006/main" xmlns:r="http://schemas.openxmlformats.org/officeDocument/2006/relationships">
  <dimension ref="A1:F25"/>
  <sheetViews>
    <sheetView workbookViewId="0">
      <selection activeCell="E20" sqref="E20"/>
    </sheetView>
  </sheetViews>
  <sheetFormatPr defaultRowHeight="15"/>
  <cols>
    <col min="1" max="1" width="24.5703125" bestFit="1" customWidth="1"/>
    <col min="2" max="2" width="14.42578125" style="242" bestFit="1" customWidth="1"/>
    <col min="3" max="3" width="14.28515625" style="242" bestFit="1" customWidth="1"/>
    <col min="4" max="4" width="13.28515625" style="242" bestFit="1" customWidth="1"/>
    <col min="6" max="6" width="13.28515625" style="242" bestFit="1" customWidth="1"/>
  </cols>
  <sheetData>
    <row r="1" spans="1:4">
      <c r="B1" s="242" t="s">
        <v>271</v>
      </c>
      <c r="C1" s="242" t="s">
        <v>272</v>
      </c>
    </row>
    <row r="2" spans="1:4">
      <c r="A2" t="s">
        <v>273</v>
      </c>
      <c r="B2" s="242">
        <v>-10455129</v>
      </c>
      <c r="C2" s="242">
        <v>-12482549</v>
      </c>
      <c r="D2" s="242">
        <f t="shared" ref="D2:D7" si="0">B2-C2</f>
        <v>2027420</v>
      </c>
    </row>
    <row r="3" spans="1:4">
      <c r="A3" t="s">
        <v>274</v>
      </c>
      <c r="B3" s="242">
        <v>-755699</v>
      </c>
      <c r="C3" s="242">
        <f>-477005</f>
        <v>-477005</v>
      </c>
      <c r="D3" s="242">
        <f t="shared" si="0"/>
        <v>-278694</v>
      </c>
    </row>
    <row r="4" spans="1:4">
      <c r="A4" t="s">
        <v>275</v>
      </c>
      <c r="B4" s="242">
        <v>5156282</v>
      </c>
      <c r="C4" s="242">
        <f>2195605+1251776+11632+1826719</f>
        <v>5285732</v>
      </c>
      <c r="D4" s="242">
        <f t="shared" si="0"/>
        <v>-129450</v>
      </c>
    </row>
    <row r="5" spans="1:4">
      <c r="A5" t="s">
        <v>276</v>
      </c>
      <c r="B5" s="242">
        <v>2082559</v>
      </c>
      <c r="C5" s="242">
        <v>2428856</v>
      </c>
      <c r="D5" s="242">
        <f t="shared" si="0"/>
        <v>-346297</v>
      </c>
    </row>
    <row r="6" spans="1:4">
      <c r="A6" t="s">
        <v>277</v>
      </c>
      <c r="B6" s="242">
        <v>13000</v>
      </c>
      <c r="C6" s="242">
        <v>63100</v>
      </c>
      <c r="D6" s="242">
        <f t="shared" si="0"/>
        <v>-50100</v>
      </c>
    </row>
    <row r="7" spans="1:4">
      <c r="A7" t="s">
        <v>278</v>
      </c>
      <c r="B7" s="242">
        <v>142098</v>
      </c>
      <c r="C7" s="242">
        <v>172311</v>
      </c>
      <c r="D7" s="242">
        <f t="shared" si="0"/>
        <v>-30213</v>
      </c>
    </row>
    <row r="9" spans="1:4">
      <c r="A9" t="s">
        <v>279</v>
      </c>
      <c r="B9" s="242">
        <v>9607355</v>
      </c>
      <c r="C9" s="242">
        <f>+'ROE Summary removing ICM'!E69</f>
        <v>9981044.5046000015</v>
      </c>
      <c r="D9" s="242">
        <f>B9-C9</f>
        <v>-373689.5046000015</v>
      </c>
    </row>
    <row r="10" spans="1:4">
      <c r="A10" t="s">
        <v>280</v>
      </c>
      <c r="B10" s="242">
        <v>52171404</v>
      </c>
      <c r="C10" s="242">
        <f>+'ROE Summary removing ICM'!E77</f>
        <v>52449372.895000003</v>
      </c>
      <c r="D10" s="242">
        <f>B10-C10</f>
        <v>-277968.89500000328</v>
      </c>
    </row>
    <row r="11" spans="1:4" ht="15.75" thickBot="1">
      <c r="B11" s="244">
        <f>+B10+B9</f>
        <v>61778759</v>
      </c>
      <c r="C11" s="244">
        <f>+C10+C9</f>
        <v>62430417.399600007</v>
      </c>
      <c r="D11" s="242">
        <f>B11-C11</f>
        <v>-651658.39960000664</v>
      </c>
    </row>
    <row r="12" spans="1:4" ht="15.75" thickTop="1"/>
    <row r="15" spans="1:4">
      <c r="B15" s="245" t="s">
        <v>290</v>
      </c>
    </row>
    <row r="16" spans="1:4">
      <c r="A16" t="s">
        <v>281</v>
      </c>
    </row>
    <row r="17" spans="1:2">
      <c r="A17" t="s">
        <v>282</v>
      </c>
      <c r="B17" s="242">
        <v>15311782</v>
      </c>
    </row>
    <row r="18" spans="1:2">
      <c r="A18" t="s">
        <v>283</v>
      </c>
      <c r="B18" s="242">
        <v>-365781</v>
      </c>
    </row>
    <row r="19" spans="1:2">
      <c r="A19" t="s">
        <v>284</v>
      </c>
      <c r="B19" s="242">
        <v>-1463321</v>
      </c>
    </row>
    <row r="20" spans="1:2" ht="17.25">
      <c r="A20" t="s">
        <v>285</v>
      </c>
      <c r="B20" s="243">
        <v>32204</v>
      </c>
    </row>
    <row r="21" spans="1:2">
      <c r="B21" s="242">
        <f>SUM(B17:B20)</f>
        <v>13514884</v>
      </c>
    </row>
    <row r="22" spans="1:2">
      <c r="A22" t="s">
        <v>289</v>
      </c>
      <c r="B22" s="242">
        <v>-515359</v>
      </c>
    </row>
    <row r="23" spans="1:2" ht="15.75" thickBot="1">
      <c r="A23" t="s">
        <v>286</v>
      </c>
      <c r="B23" s="244">
        <f>+B22+B21</f>
        <v>12999525</v>
      </c>
    </row>
    <row r="24" spans="1:2" ht="15.75" thickTop="1"/>
    <row r="25" spans="1:2">
      <c r="A25" t="s">
        <v>291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 Appendices removing ICM</vt:lpstr>
      <vt:lpstr>ROE Summary removing ICM</vt:lpstr>
      <vt:lpstr>Overearning</vt:lpstr>
      <vt:lpstr>Table 7.2</vt:lpstr>
      <vt:lpstr>'Input Appendices removing ICM'!Print_Area</vt:lpstr>
      <vt:lpstr>'ROE Summary removing ICM'!Print_Area</vt:lpstr>
      <vt:lpstr>'ROE Summary removing ICM'!Print_Titles</vt:lpstr>
    </vt:vector>
  </TitlesOfParts>
  <Company>OEB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reeced</cp:lastModifiedBy>
  <cp:lastPrinted>2016-06-13T13:33:56Z</cp:lastPrinted>
  <dcterms:created xsi:type="dcterms:W3CDTF">2015-11-09T17:08:12Z</dcterms:created>
  <dcterms:modified xsi:type="dcterms:W3CDTF">2016-11-14T21:13:16Z</dcterms:modified>
</cp:coreProperties>
</file>