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ACTIVE APPLICATIONS\API 2016 IRM\2016 Rate Design\"/>
    </mc:Choice>
  </mc:AlternateContent>
  <bookViews>
    <workbookView xWindow="0" yWindow="0" windowWidth="28800" windowHeight="12435"/>
  </bookViews>
  <sheets>
    <sheet name="Cover Sheet" sheetId="3" r:id="rId1"/>
    <sheet name="Forecast" sheetId="2" r:id="rId2"/>
    <sheet name="Tariff Sheet" sheetId="4" r:id="rId3"/>
    <sheet name="2015 BA Cost Allocation" sheetId="5" r:id="rId4"/>
    <sheet name="2015 BA RC Ratios" sheetId="1" r:id="rId5"/>
    <sheet name="2015 Allocated Revenues" sheetId="6" r:id="rId6"/>
    <sheet name="2015 RRRP Rate Design" sheetId="7" r:id="rId7"/>
    <sheet name="2015 Non-RRRP Rate Design" sheetId="8" r:id="rId8"/>
    <sheet name="2016 Proposed RC Ratios" sheetId="10" r:id="rId9"/>
    <sheet name="2016 Allocated Revenues" sheetId="11" r:id="rId10"/>
    <sheet name="IRM Adjustment Factor" sheetId="14" r:id="rId11"/>
    <sheet name="2016 Indexed Allocated Revenues" sheetId="15" r:id="rId12"/>
    <sheet name="2016 RRRP Rate Design" sheetId="12" r:id="rId13"/>
    <sheet name="2016 Non-RRRP Rate Design" sheetId="13" r:id="rId14"/>
    <sheet name="Decoupling" sheetId="16" r:id="rId15"/>
    <sheet name="Proposed Rates" sheetId="17"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0" l="1"/>
  <c r="C18" i="10"/>
  <c r="C17" i="10"/>
  <c r="C16" i="10"/>
  <c r="M13" i="4" l="1"/>
  <c r="M12" i="4"/>
  <c r="J13" i="4"/>
  <c r="J12" i="4"/>
  <c r="F21" i="16"/>
  <c r="L33" i="16"/>
  <c r="L31" i="16"/>
  <c r="D31" i="16"/>
  <c r="L16" i="16" l="1"/>
  <c r="D16" i="16"/>
  <c r="E8" i="16" l="1"/>
  <c r="D8" i="16"/>
  <c r="G8" i="13" l="1"/>
  <c r="G7" i="13"/>
  <c r="D8" i="14"/>
  <c r="J12" i="12" l="1"/>
  <c r="E9" i="17" s="1"/>
  <c r="J18" i="4" s="1"/>
  <c r="M18" i="4" s="1"/>
  <c r="I12" i="12"/>
  <c r="C9" i="17" s="1"/>
  <c r="J17" i="4" s="1"/>
  <c r="M17" i="4" s="1"/>
  <c r="J11" i="12"/>
  <c r="I11" i="12"/>
  <c r="H8" i="13"/>
  <c r="H7" i="13"/>
  <c r="L13" i="12"/>
  <c r="M13" i="12" s="1"/>
  <c r="M9" i="11"/>
  <c r="M10" i="11"/>
  <c r="K10" i="11" s="1"/>
  <c r="M11" i="11"/>
  <c r="K11" i="11" s="1"/>
  <c r="H11" i="11"/>
  <c r="E11" i="11"/>
  <c r="E8" i="13" s="1"/>
  <c r="D11" i="11"/>
  <c r="D8" i="13" s="1"/>
  <c r="H10" i="11"/>
  <c r="L10" i="11" s="1"/>
  <c r="E10" i="11"/>
  <c r="E7" i="13" s="1"/>
  <c r="D10" i="11"/>
  <c r="D7" i="13" s="1"/>
  <c r="H9" i="11"/>
  <c r="F9" i="11"/>
  <c r="F12" i="12" s="1"/>
  <c r="D9" i="11"/>
  <c r="D12" i="12" s="1"/>
  <c r="H8" i="11"/>
  <c r="E8" i="11"/>
  <c r="E11" i="12" s="1"/>
  <c r="D8" i="11"/>
  <c r="D11" i="12" s="1"/>
  <c r="H6" i="10"/>
  <c r="G6" i="10" s="1"/>
  <c r="F10" i="10"/>
  <c r="D10" i="10"/>
  <c r="C10" i="10"/>
  <c r="E10" i="10" s="1"/>
  <c r="G9" i="10"/>
  <c r="E9" i="10"/>
  <c r="G8" i="10"/>
  <c r="E8" i="10"/>
  <c r="G7" i="10"/>
  <c r="E7" i="10"/>
  <c r="E6" i="10"/>
  <c r="C17" i="1"/>
  <c r="C18" i="1"/>
  <c r="C19" i="1"/>
  <c r="C16" i="1"/>
  <c r="M8" i="8"/>
  <c r="K8" i="8" s="1"/>
  <c r="I8" i="8" s="1"/>
  <c r="M7" i="8"/>
  <c r="M9" i="8" s="1"/>
  <c r="E8" i="8"/>
  <c r="E7" i="8"/>
  <c r="D8" i="8"/>
  <c r="D7" i="8"/>
  <c r="H8" i="8"/>
  <c r="H7" i="8"/>
  <c r="L19" i="7"/>
  <c r="M14" i="7"/>
  <c r="L8" i="7"/>
  <c r="M8" i="7"/>
  <c r="K8" i="7"/>
  <c r="K10" i="7" s="1"/>
  <c r="L7" i="7"/>
  <c r="M7" i="7"/>
  <c r="K7" i="7"/>
  <c r="J7" i="7"/>
  <c r="J8" i="7"/>
  <c r="I8" i="7"/>
  <c r="I7" i="7"/>
  <c r="H8" i="7"/>
  <c r="G8" i="7"/>
  <c r="H7" i="7"/>
  <c r="G7" i="7"/>
  <c r="F8" i="7"/>
  <c r="E7" i="7"/>
  <c r="E17" i="7" s="1"/>
  <c r="D8" i="7"/>
  <c r="D18" i="7" s="1"/>
  <c r="D7" i="7"/>
  <c r="M19" i="7"/>
  <c r="F18" i="7"/>
  <c r="M10" i="7"/>
  <c r="L10" i="7"/>
  <c r="D17" i="7"/>
  <c r="K17" i="7" s="1"/>
  <c r="M11" i="6"/>
  <c r="M10" i="6"/>
  <c r="M9" i="6"/>
  <c r="M8" i="6"/>
  <c r="E11" i="6"/>
  <c r="E10" i="6"/>
  <c r="F9" i="6"/>
  <c r="E8" i="6"/>
  <c r="D10" i="6"/>
  <c r="D9" i="6"/>
  <c r="D11" i="6"/>
  <c r="D8" i="6"/>
  <c r="H8" i="6"/>
  <c r="L8" i="6" s="1"/>
  <c r="K8" i="6"/>
  <c r="H9" i="6"/>
  <c r="K9" i="6"/>
  <c r="H10" i="6"/>
  <c r="K10" i="6"/>
  <c r="I10" i="6" s="1"/>
  <c r="L10" i="6"/>
  <c r="H11" i="6"/>
  <c r="K11" i="6"/>
  <c r="I11" i="6" s="1"/>
  <c r="I34" i="2"/>
  <c r="H34" i="2"/>
  <c r="F34" i="2"/>
  <c r="E34" i="2"/>
  <c r="D34" i="2"/>
  <c r="I27" i="2"/>
  <c r="I19" i="2"/>
  <c r="H12" i="1"/>
  <c r="G9" i="1"/>
  <c r="E8" i="1"/>
  <c r="G8" i="1"/>
  <c r="H7" i="1"/>
  <c r="E7" i="1"/>
  <c r="F10" i="1"/>
  <c r="G6" i="1"/>
  <c r="M8" i="11" l="1"/>
  <c r="M12" i="11" s="1"/>
  <c r="I10" i="11"/>
  <c r="N10" i="11" s="1"/>
  <c r="C8" i="15"/>
  <c r="I11" i="11"/>
  <c r="C9" i="15"/>
  <c r="J10" i="11"/>
  <c r="D8" i="15"/>
  <c r="C8" i="17"/>
  <c r="G8" i="16"/>
  <c r="D8" i="17"/>
  <c r="H8" i="16"/>
  <c r="K12" i="12"/>
  <c r="K11" i="12"/>
  <c r="J8" i="16" s="1"/>
  <c r="L12" i="12"/>
  <c r="L11" i="12"/>
  <c r="K8" i="16" s="1"/>
  <c r="L9" i="11"/>
  <c r="L11" i="11"/>
  <c r="K9" i="11"/>
  <c r="C7" i="15" s="1"/>
  <c r="H12" i="10"/>
  <c r="L8" i="8"/>
  <c r="J8" i="8" s="1"/>
  <c r="L7" i="8"/>
  <c r="K7" i="8"/>
  <c r="L18" i="7"/>
  <c r="K18" i="7"/>
  <c r="L17" i="7"/>
  <c r="L9" i="6"/>
  <c r="J9" i="6" s="1"/>
  <c r="J10" i="6"/>
  <c r="I9" i="6"/>
  <c r="N9" i="6" s="1"/>
  <c r="K12" i="6"/>
  <c r="I8" i="6"/>
  <c r="J8" i="6"/>
  <c r="L12" i="6"/>
  <c r="N10" i="6"/>
  <c r="M12" i="6"/>
  <c r="L11" i="6"/>
  <c r="J11" i="6" s="1"/>
  <c r="N11" i="6" s="1"/>
  <c r="G7" i="1"/>
  <c r="C10" i="1"/>
  <c r="E6" i="1"/>
  <c r="E9" i="1"/>
  <c r="D10" i="1"/>
  <c r="K8" i="11" l="1"/>
  <c r="K12" i="11" s="1"/>
  <c r="L8" i="11"/>
  <c r="D6" i="15" s="1"/>
  <c r="E8" i="15"/>
  <c r="M7" i="13" s="1"/>
  <c r="K7" i="13" s="1"/>
  <c r="J11" i="11"/>
  <c r="N11" i="11" s="1"/>
  <c r="D9" i="15"/>
  <c r="E9" i="15" s="1"/>
  <c r="M8" i="13" s="1"/>
  <c r="J9" i="11"/>
  <c r="D7" i="15"/>
  <c r="H14" i="16"/>
  <c r="H15" i="16"/>
  <c r="G14" i="16"/>
  <c r="J14" i="16" s="1"/>
  <c r="F20" i="16"/>
  <c r="F22" i="16" s="1"/>
  <c r="F24" i="16" s="1"/>
  <c r="G31" i="16" s="1"/>
  <c r="G15" i="16"/>
  <c r="J15" i="16" s="1"/>
  <c r="M12" i="12"/>
  <c r="G12" i="12" s="1"/>
  <c r="M11" i="12"/>
  <c r="L8" i="16" s="1"/>
  <c r="N8" i="16" s="1"/>
  <c r="I9" i="11"/>
  <c r="L9" i="8"/>
  <c r="J7" i="8"/>
  <c r="I7" i="8"/>
  <c r="K9" i="8"/>
  <c r="L11" i="8" s="1"/>
  <c r="M18" i="7"/>
  <c r="G18" i="7" s="1"/>
  <c r="M17" i="7"/>
  <c r="M14" i="6"/>
  <c r="N8" i="6"/>
  <c r="N12" i="6" s="1"/>
  <c r="E10" i="1"/>
  <c r="L12" i="11" l="1"/>
  <c r="D10" i="15"/>
  <c r="I8" i="11"/>
  <c r="C6" i="15"/>
  <c r="J8" i="11"/>
  <c r="L7" i="13"/>
  <c r="J7" i="13" s="1"/>
  <c r="D10" i="17" s="1"/>
  <c r="J22" i="4" s="1"/>
  <c r="M22" i="4" s="1"/>
  <c r="N9" i="11"/>
  <c r="K8" i="13"/>
  <c r="I8" i="13" s="1"/>
  <c r="C11" i="17" s="1"/>
  <c r="J25" i="4" s="1"/>
  <c r="M25" i="4" s="1"/>
  <c r="L8" i="13"/>
  <c r="M9" i="13"/>
  <c r="L11" i="13" s="1"/>
  <c r="I7" i="13"/>
  <c r="C10" i="17" s="1"/>
  <c r="J21" i="4" s="1"/>
  <c r="M21" i="4" s="1"/>
  <c r="E7" i="15"/>
  <c r="K14" i="16"/>
  <c r="M14" i="16"/>
  <c r="J16" i="16"/>
  <c r="M8" i="16"/>
  <c r="K15" i="16"/>
  <c r="M15" i="16"/>
  <c r="J31" i="16"/>
  <c r="C7" i="17"/>
  <c r="J9" i="4" s="1"/>
  <c r="M9" i="4" s="1"/>
  <c r="H11" i="12"/>
  <c r="H12" i="12"/>
  <c r="G11" i="12"/>
  <c r="H18" i="7"/>
  <c r="G17" i="7"/>
  <c r="M21" i="7"/>
  <c r="M23" i="7" s="1"/>
  <c r="H17" i="7"/>
  <c r="N8" i="11" l="1"/>
  <c r="N12" i="11" s="1"/>
  <c r="C10" i="15"/>
  <c r="E6" i="15"/>
  <c r="E10" i="15" s="1"/>
  <c r="E14" i="15" s="1"/>
  <c r="J8" i="13"/>
  <c r="D11" i="17" s="1"/>
  <c r="J26" i="4" s="1"/>
  <c r="M26" i="4" s="1"/>
  <c r="L9" i="13"/>
  <c r="K9" i="13"/>
  <c r="M31" i="16"/>
  <c r="E15" i="16"/>
  <c r="N15" i="16"/>
  <c r="N14" i="16"/>
  <c r="E14" i="16"/>
  <c r="E31" i="16" s="1"/>
  <c r="K16" i="16"/>
  <c r="M4" i="12" l="1"/>
  <c r="H31" i="16"/>
  <c r="D7" i="17" s="1"/>
  <c r="J10" i="4" s="1"/>
  <c r="M10" i="4" s="1"/>
  <c r="M15" i="12" l="1"/>
  <c r="J28" i="4" s="1"/>
  <c r="M28" i="4" s="1"/>
  <c r="K31" i="16"/>
  <c r="N31" i="16" s="1"/>
  <c r="M16" i="12" l="1"/>
</calcChain>
</file>

<file path=xl/sharedStrings.xml><?xml version="1.0" encoding="utf-8"?>
<sst xmlns="http://schemas.openxmlformats.org/spreadsheetml/2006/main" count="530" uniqueCount="218">
  <si>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</si>
  <si>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</si>
  <si>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</si>
  <si>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</si>
  <si>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</si>
  <si>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</si>
  <si>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</si>
  <si>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</si>
  <si>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</si>
  <si>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</si>
  <si>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</si>
  <si>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</si>
  <si>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</si>
  <si>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</si>
  <si>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</si>
  <si>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</si>
  <si>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</si>
  <si>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</si>
  <si>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</si>
  <si>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</si>
  <si>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</si>
  <si>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</si>
  <si>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</si>
  <si>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</si>
  <si>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</si>
  <si>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</si>
  <si>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</si>
  <si>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</si>
  <si>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</si>
  <si>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</si>
  <si>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</si>
  <si>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</si>
  <si>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</si>
  <si>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</si>
  <si>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</si>
  <si>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</si>
  <si>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</si>
  <si>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</si>
  <si>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</si>
  <si>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EB-2014-0055</t>
  </si>
  <si>
    <t>Approved</t>
  </si>
  <si>
    <t>Distribution Charges</t>
  </si>
  <si>
    <t>Delivery Charges</t>
  </si>
  <si>
    <t>Proposed Distribution Charges</t>
  </si>
  <si>
    <t>Monthly Rates and Charges</t>
  </si>
  <si>
    <t>Metric</t>
  </si>
  <si>
    <t>Effective January 1, 2015</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</si>
  <si>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</si>
  <si>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</si>
  <si>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</si>
  <si>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</si>
  <si>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</si>
  <si>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</si>
  <si>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</si>
  <si>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</si>
  <si>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</si>
  <si>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</si>
  <si>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</si>
  <si>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</si>
  <si>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</si>
  <si>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</si>
  <si>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</si>
  <si>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</si>
  <si>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</si>
  <si>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</si>
  <si>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</si>
  <si>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</si>
  <si>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</si>
  <si>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</si>
  <si>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</si>
  <si>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</si>
  <si>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</si>
  <si>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</si>
  <si>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</si>
  <si>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</si>
  <si>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</si>
  <si>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</si>
  <si>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</si>
  <si>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</si>
  <si>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</si>
  <si>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</si>
  <si>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</si>
  <si>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</si>
  <si>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</si>
  <si>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</si>
  <si>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</si>
  <si>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</si>
  <si>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</si>
  <si>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</si>
  <si>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</si>
  <si>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</si>
  <si>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</si>
  <si>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</si>
  <si>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</si>
  <si>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</si>
  <si>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</si>
  <si>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</si>
  <si>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</si>
  <si>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</si>
  <si>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</si>
  <si>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</si>
  <si>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</si>
  <si>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</si>
  <si>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</si>
  <si>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</si>
  <si>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</si>
  <si>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</si>
  <si>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</si>
  <si>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</si>
  <si>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</si>
  <si>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</si>
  <si>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</si>
  <si>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</si>
  <si>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</si>
  <si>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</si>
  <si>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</si>
  <si>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</si>
  <si>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</si>
  <si>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</si>
  <si>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</si>
  <si>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</si>
  <si>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</si>
  <si>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</si>
  <si>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</si>
  <si>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</si>
  <si>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</si>
  <si>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</si>
  <si>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</si>
  <si>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</si>
  <si>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</si>
  <si>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</si>
  <si>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</si>
  <si>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</si>
  <si>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</si>
  <si>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</si>
  <si>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</si>
  <si>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</si>
  <si>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</si>
  <si>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</si>
  <si>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</si>
  <si>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</si>
  <si>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</si>
  <si>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</si>
  <si>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</si>
  <si>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</si>
  <si>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</si>
  <si>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</si>
  <si>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</si>
  <si>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Effective January 1, 2016</t>
  </si>
  <si>
    <t>2016 IRM</t>
  </si>
  <si>
    <t>EB-2015-0051</t>
  </si>
  <si>
    <t>The Rural and Remote Rate Protection Amount Required for 2016</t>
  </si>
  <si>
    <t>2016 IRM Electricity Distribution Rate Application</t>
  </si>
  <si>
    <t xml:space="preserve">Incentive Rate-setting Mechanism </t>
  </si>
  <si>
    <t>Application</t>
  </si>
  <si>
    <t>Price Cap Metric</t>
  </si>
  <si>
    <t>Status</t>
  </si>
  <si>
    <t>Value</t>
  </si>
  <si>
    <t>Inflation Factor</t>
  </si>
  <si>
    <t>Estimated</t>
  </si>
  <si>
    <t>Productivity Factor</t>
  </si>
  <si>
    <t>Stretch Factor</t>
  </si>
  <si>
    <t>Assigned</t>
  </si>
  <si>
    <t>Price Index</t>
  </si>
  <si>
    <t>Calculated</t>
  </si>
  <si>
    <t>Balance Check</t>
  </si>
  <si>
    <t>Determination of Residential R1 &amp; R2 2016 Electricity Distribution Rates and RRRP Funding</t>
  </si>
  <si>
    <t>Residential Decoupling</t>
  </si>
  <si>
    <t>Current Monthly Service Charge (post IRM adjustment)</t>
  </si>
  <si>
    <t>Monthly Service Charge to Achieve 100% Recovery</t>
  </si>
  <si>
    <t>Four Year Annual Increment Required</t>
  </si>
  <si>
    <t>First Incremental Monthly Service Charge</t>
  </si>
  <si>
    <t>Decoupled Residential Rates</t>
  </si>
  <si>
    <t>Rate Class</t>
  </si>
  <si>
    <t>Customers/ Connections</t>
  </si>
  <si>
    <t>Test Year Consumption</t>
  </si>
  <si>
    <t>Proposed Rates</t>
  </si>
  <si>
    <t>Proposed Revenues</t>
  </si>
  <si>
    <t>Existing Split</t>
  </si>
  <si>
    <t>Average for 2013</t>
  </si>
  <si>
    <t>Volumetric</t>
  </si>
  <si>
    <t>Residential</t>
  </si>
  <si>
    <t>Customers</t>
  </si>
  <si>
    <t>Revenue Decoupling for the Residential Rate Class - 1st Increment</t>
  </si>
  <si>
    <t>Cap Applied to the Annual Increment</t>
  </si>
  <si>
    <t>Volumetric Charge</t>
  </si>
  <si>
    <t>microFIT Generator</t>
  </si>
  <si>
    <t>Percent Change</t>
  </si>
  <si>
    <t>Non - Residential</t>
  </si>
  <si>
    <t>Total Residential - R1</t>
  </si>
  <si>
    <t>kWh
(Calculated)</t>
  </si>
  <si>
    <t>Residential - R1 (General Service)</t>
  </si>
  <si>
    <t>The Accepted 2015 Test Year Normalized Customer and Load Forecast Information - EB-2014-0055</t>
  </si>
  <si>
    <t>Proposed Distribution Charges and RRRP Funding for 2016 Rate Year</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</si>
  <si>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</si>
  <si>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</si>
  <si>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</si>
  <si>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</si>
  <si>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</si>
  <si>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</si>
  <si>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</si>
  <si>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</si>
  <si>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</si>
  <si>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2016 Proposed Revenue to Cost Ratios - EB-2015-0051</t>
  </si>
  <si>
    <t>Future Revenue to Cost Ratio Design Criteria from EB-2014-0055</t>
  </si>
  <si>
    <t>2016 Proposed Equivalent Electricity Distribution Rates</t>
  </si>
  <si>
    <t>Equivalent Distribution Rates Required to Recover the Proposed 2015 Base Revenue Requirement at the Proposed 2016 Revenue to Cost Ratios</t>
  </si>
  <si>
    <t>IRM Indexed Revenue Requirement for 2016
Using the Estimated 2016 Price Cap</t>
  </si>
  <si>
    <t>Note that the Class revenues are indexed using the Price Cap following the changes to the Revenue to Cost Ratios.  This step is necessary to determine the overall revenue requirement for 2016 before the RRRP Adjustment Factor is applied.</t>
  </si>
  <si>
    <t>2016 Application of Rate Indexing Methodology</t>
  </si>
  <si>
    <t>Simple Average Increase in Delivery Charge for 2016 using the 2015 Board Approved RRRP Adjustment Factor</t>
  </si>
  <si>
    <t>Indexed Revenues Allocated to the Residential R1 &amp; R2 Classes for 2016</t>
  </si>
  <si>
    <t>2016 Distribution Base Rate Determination for Non-RRRP Rate Classes</t>
  </si>
  <si>
    <t>API 2016 4th Generation Incentive Regulation
Proposed Electricity Distribution Rates</t>
  </si>
  <si>
    <t>Accepted Seasonal and Street Lighting Distribution Rates - EB-2014-0055</t>
  </si>
  <si>
    <t>Note that the Total Revenue remains at $22,816,181, as accepted in EB-2014-0055.  Only the Class Shares have changed as a result of the proposed 2016 revenue to cost ratios.  The fixed/variable splits are the same as accepted in EB-2014-0055.</t>
  </si>
  <si>
    <t>EB-2015-0051 Estimated Price Cap for 2016 Electricity Distribution Rates</t>
  </si>
  <si>
    <t>August 11,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</si>
</sst>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_(* #,##0.00_);_(* \(#,##0.00\);_(* &quot;-&quot;??_);_(@_)"/>
    <numFmt numFmtId="165" formatCode="_(* #,##0_);_(* \(#,##0\);_(* &quot;-&quot;??_);_(@_)"/>
    <numFmt numFmtId="166" formatCode="0.000%"/>
    <numFmt numFmtId="167" formatCode="_(* #,##0.0000_);_(* \(#,##0.0000\);_(* &quot;-&quot;??_);_(@_)"/>
    <numFmt numFmtId="168" formatCode="[$-F800]dddd\,\ mmmm\ dd\,\ yyyy"/>
    <numFmt numFmtId="169" formatCode="&quot;$&quot;#,##0_);[Red]\(&quot;$&quot;#,##0\)"/>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6"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71">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5" fontId="1" fillId="0" borderId="11" xfId="1" applyNumberFormat="1" applyBorder="1"/>
    <xf numFmtId="10" fontId="1" fillId="0" borderId="11" xfId="3" applyNumberFormat="1" applyBorder="1" applyAlignment="1">
      <alignment horizontal="center"/>
    </xf>
    <xf numFmtId="0" fontId="0" fillId="0" borderId="12" xfId="0" applyBorder="1"/>
    <xf numFmtId="165" fontId="0" fillId="0" borderId="13" xfId="0" applyNumberFormat="1" applyBorder="1"/>
    <xf numFmtId="165"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6"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2" fillId="0" borderId="0" xfId="0" applyFont="1" applyAlignment="1">
      <alignment horizontal="center"/>
    </xf>
    <xf numFmtId="0" fontId="0" fillId="0" borderId="2" xfId="0" applyBorder="1"/>
    <xf numFmtId="0" fontId="2" fillId="0" borderId="19"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43" fontId="0" fillId="0" borderId="26" xfId="1" applyFont="1" applyBorder="1"/>
    <xf numFmtId="0" fontId="0" fillId="0" borderId="27" xfId="0" applyBorder="1"/>
    <xf numFmtId="167" fontId="0" fillId="4" borderId="14" xfId="1" applyNumberFormat="1" applyFont="1" applyFill="1" applyBorder="1"/>
    <xf numFmtId="167" fontId="0" fillId="0" borderId="15" xfId="1" applyNumberFormat="1" applyFont="1" applyBorder="1"/>
    <xf numFmtId="164"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5"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9" fontId="17" fillId="5" borderId="3" xfId="0" applyNumberFormat="1" applyFont="1" applyFill="1" applyBorder="1"/>
    <xf numFmtId="169" fontId="4" fillId="5" borderId="29" xfId="0" applyNumberFormat="1" applyFont="1" applyFill="1" applyBorder="1"/>
    <xf numFmtId="169" fontId="17" fillId="5" borderId="33" xfId="0" applyNumberFormat="1" applyFont="1" applyFill="1" applyBorder="1"/>
    <xf numFmtId="169" fontId="4" fillId="5" borderId="33" xfId="0" applyNumberFormat="1" applyFont="1" applyFill="1" applyBorder="1"/>
    <xf numFmtId="169" fontId="4" fillId="5" borderId="34" xfId="0" applyNumberFormat="1" applyFont="1" applyFill="1" applyBorder="1"/>
    <xf numFmtId="0" fontId="3" fillId="4" borderId="31" xfId="0" applyFont="1" applyFill="1" applyBorder="1"/>
    <xf numFmtId="169" fontId="17" fillId="4" borderId="35" xfId="0" applyNumberFormat="1" applyFont="1" applyFill="1" applyBorder="1"/>
    <xf numFmtId="169"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9" fontId="17" fillId="5" borderId="6" xfId="0" applyNumberFormat="1" applyFont="1" applyFill="1" applyBorder="1"/>
    <xf numFmtId="169" fontId="17" fillId="5" borderId="31" xfId="0" applyNumberFormat="1" applyFont="1" applyFill="1" applyBorder="1"/>
    <xf numFmtId="0" fontId="3" fillId="5" borderId="31" xfId="0" applyFont="1" applyFill="1" applyBorder="1"/>
    <xf numFmtId="169" fontId="17" fillId="5" borderId="31" xfId="0" applyNumberFormat="1" applyFont="1" applyFill="1" applyBorder="1" applyAlignment="1">
      <alignment horizontal="right"/>
    </xf>
    <xf numFmtId="169" fontId="4" fillId="5" borderId="33" xfId="0" applyNumberFormat="1" applyFont="1" applyFill="1" applyBorder="1" applyAlignment="1">
      <alignment horizontal="right"/>
    </xf>
    <xf numFmtId="169" fontId="3" fillId="5" borderId="33" xfId="0" applyNumberFormat="1" applyFont="1" applyFill="1" applyBorder="1"/>
    <xf numFmtId="169"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9" fontId="17" fillId="5" borderId="6" xfId="0" applyNumberFormat="1" applyFont="1" applyFill="1" applyBorder="1" applyAlignment="1">
      <alignment horizontal="right"/>
    </xf>
    <xf numFmtId="169"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9" fontId="19" fillId="4" borderId="31" xfId="0" applyNumberFormat="1" applyFont="1" applyFill="1" applyBorder="1"/>
    <xf numFmtId="169" fontId="8" fillId="4" borderId="33" xfId="0" applyNumberFormat="1" applyFont="1" applyFill="1" applyBorder="1"/>
    <xf numFmtId="169" fontId="4" fillId="5" borderId="31" xfId="0" applyNumberFormat="1" applyFont="1" applyFill="1" applyBorder="1"/>
    <xf numFmtId="169" fontId="17" fillId="4" borderId="37" xfId="0" applyNumberFormat="1" applyFont="1" applyFill="1" applyBorder="1"/>
    <xf numFmtId="169" fontId="3" fillId="4" borderId="38" xfId="0" applyNumberFormat="1" applyFont="1" applyFill="1" applyBorder="1"/>
    <xf numFmtId="169" fontId="17" fillId="4" borderId="31" xfId="0" applyNumberFormat="1" applyFont="1" applyFill="1" applyBorder="1"/>
    <xf numFmtId="169"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7" fontId="1" fillId="0" borderId="11" xfId="1" applyNumberFormat="1" applyBorder="1"/>
    <xf numFmtId="165" fontId="0" fillId="0" borderId="11" xfId="0" applyNumberFormat="1" applyBorder="1"/>
    <xf numFmtId="165" fontId="0" fillId="0" borderId="43" xfId="0" applyNumberFormat="1" applyBorder="1"/>
    <xf numFmtId="165" fontId="3" fillId="0" borderId="13" xfId="0" applyNumberFormat="1" applyFont="1" applyBorder="1"/>
    <xf numFmtId="165"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5" fontId="3" fillId="0" borderId="11" xfId="0" applyNumberFormat="1" applyFont="1" applyBorder="1"/>
    <xf numFmtId="165"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5"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7" fontId="1" fillId="0" borderId="11" xfId="1" applyNumberFormat="1" applyFill="1" applyBorder="1"/>
    <xf numFmtId="165"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7" fontId="1" fillId="0" borderId="11" xfId="1" applyNumberFormat="1" applyBorder="1" applyAlignment="1">
      <alignment horizontal="center"/>
    </xf>
    <xf numFmtId="165" fontId="1" fillId="0" borderId="11" xfId="1" applyNumberFormat="1" applyBorder="1" applyAlignment="1">
      <alignment horizontal="center"/>
    </xf>
    <xf numFmtId="165"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13" xfId="0"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5" fontId="1" fillId="0" borderId="14" xfId="1" applyNumberFormat="1" applyBorder="1"/>
    <xf numFmtId="165" fontId="1" fillId="0" borderId="16"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0" borderId="16"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5"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5"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0" fontId="0" fillId="0" borderId="0" xfId="0" applyAlignment="1">
      <alignment horizontal="left"/>
    </xf>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1"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0" fontId="0" fillId="0" borderId="11" xfId="0" applyBorder="1" applyAlignment="1">
      <alignment horizontal="center"/>
    </xf>
    <xf numFmtId="0" fontId="0" fillId="0" borderId="43" xfId="0" applyBorder="1" applyAlignment="1">
      <alignment horizontal="center"/>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5"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5" fontId="0" fillId="0" borderId="44" xfId="0" applyNumberFormat="1" applyBorder="1"/>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11" xfId="0"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8" fontId="11" fillId="5" borderId="0" xfId="0" applyNumberFormat="1" applyFont="1" applyFill="1" applyAlignment="1">
      <alignment horizontal="left" indent="10"/>
    </xf>
    <xf numFmtId="169"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Alignment="1">
      <alignment horizontal="left" vertical="top" wrapText="1"/>
    </xf>
    <xf numFmtId="0" fontId="0" fillId="0" borderId="0" xfId="0" applyBorder="1" applyAlignment="1">
      <alignment horizontal="left"/>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43" xfId="0" applyFont="1" applyBorder="1" applyAlignment="1">
      <alignment horizontal="center"/>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2" xfId="0" applyFont="1"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21" fillId="0" borderId="0" xfId="0" applyFont="1" applyAlignment="1">
      <alignment horizontal="left"/>
    </xf>
    <xf numFmtId="0" fontId="0" fillId="0" borderId="0" xfId="0" applyAlignment="1">
      <alignment horizontal="left"/>
    </xf>
    <xf numFmtId="0" fontId="3" fillId="0" borderId="22" xfId="0" applyFont="1" applyFill="1" applyBorder="1" applyAlignment="1">
      <alignment horizontal="center" vertical="center" wrapText="1"/>
    </xf>
    <xf numFmtId="0" fontId="0" fillId="0" borderId="0" xfId="0" applyAlignment="1">
      <alignment horizontal="right"/>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0"/>
  <sheetViews>
    <sheetView tabSelected="1" topLeftCell="A16" workbookViewId="0">
      <selection activeCell="F35" sqref="F35"/>
    </sheetView>
  </sheetViews>
  <sheetFormatPr defaultRowHeight="15" x14ac:dyDescent="0.25"/>
  <cols>
    <col min="1" max="1" width="5" customWidth="1"/>
    <col min="2" max="2" width="18.5703125" customWidth="1"/>
    <col min="9" max="9" width="47" customWidth="1"/>
  </cols>
  <sheetData>
    <row r="20" spans="2:9" ht="33.75" x14ac:dyDescent="0.5">
      <c r="B20" s="243" t="s">
        <v>37</v>
      </c>
      <c r="C20" s="243"/>
      <c r="D20" s="243"/>
      <c r="E20" s="243"/>
      <c r="F20" s="243"/>
      <c r="G20" s="243"/>
      <c r="H20" s="243"/>
      <c r="I20" s="243"/>
    </row>
    <row r="21" spans="2:9" ht="33.75" x14ac:dyDescent="0.5">
      <c r="B21" s="243" t="s">
        <v>152</v>
      </c>
      <c r="C21" s="243"/>
      <c r="D21" s="243"/>
      <c r="E21" s="243"/>
      <c r="F21" s="243"/>
      <c r="G21" s="243"/>
      <c r="H21" s="243"/>
      <c r="I21" s="243"/>
    </row>
    <row r="22" spans="2:9" ht="33.75" x14ac:dyDescent="0.5">
      <c r="B22" s="243" t="s">
        <v>153</v>
      </c>
      <c r="C22" s="243"/>
      <c r="D22" s="243"/>
      <c r="E22" s="243"/>
      <c r="F22" s="243"/>
      <c r="G22" s="243"/>
      <c r="H22" s="243"/>
      <c r="I22" s="243"/>
    </row>
    <row r="25" spans="2:9" ht="30" x14ac:dyDescent="0.4">
      <c r="B25" s="247" t="s">
        <v>38</v>
      </c>
      <c r="C25" s="247"/>
      <c r="D25" s="247"/>
      <c r="E25" s="247"/>
      <c r="F25" s="247"/>
      <c r="G25" s="247"/>
      <c r="H25" s="247"/>
      <c r="I25" s="247"/>
    </row>
    <row r="26" spans="2:9" ht="30" x14ac:dyDescent="0.4">
      <c r="B26" s="247" t="s">
        <v>154</v>
      </c>
      <c r="C26" s="247"/>
      <c r="D26" s="247"/>
      <c r="E26" s="247"/>
      <c r="F26" s="247"/>
      <c r="G26" s="247"/>
      <c r="H26" s="247"/>
      <c r="I26" s="247"/>
    </row>
    <row r="27" spans="2:9" ht="33.75" x14ac:dyDescent="0.5">
      <c r="B27" s="243" t="s">
        <v>150</v>
      </c>
      <c r="C27" s="243"/>
      <c r="D27" s="243"/>
      <c r="E27" s="243"/>
      <c r="F27" s="243"/>
      <c r="G27" s="243"/>
      <c r="H27" s="243"/>
      <c r="I27" s="243"/>
    </row>
    <row r="28" spans="2:9" ht="33.75" x14ac:dyDescent="0.5">
      <c r="B28" s="243"/>
      <c r="C28" s="244"/>
      <c r="D28" s="244"/>
      <c r="E28" s="244"/>
      <c r="F28" s="244"/>
      <c r="G28" s="244"/>
      <c r="H28" s="244"/>
      <c r="I28" s="244"/>
    </row>
    <row r="29" spans="2:9" ht="33.75" x14ac:dyDescent="0.5">
      <c r="B29" s="245"/>
      <c r="C29" s="246"/>
      <c r="D29" s="246"/>
      <c r="E29" s="246"/>
      <c r="F29" s="246"/>
      <c r="G29" s="246"/>
      <c r="H29" s="246"/>
      <c r="I29" s="246"/>
    </row>
    <row r="30" spans="2:9" ht="33.75" x14ac:dyDescent="0.5">
      <c r="B30" s="246" t="s">
        <v>217</v>
      </c>
      <c r="C30" s="246"/>
      <c r="D30" s="246"/>
      <c r="E30" s="246"/>
      <c r="F30" s="246"/>
      <c r="G30" s="246"/>
      <c r="H30" s="246"/>
      <c r="I30" s="246"/>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4"/>
  <sheetViews>
    <sheetView showGridLines="0" workbookViewId="0">
      <selection activeCell="B3" sqref="B3:N14"/>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08" t="s">
        <v>206</v>
      </c>
      <c r="C3" s="309"/>
      <c r="D3" s="309"/>
      <c r="E3" s="309"/>
      <c r="F3" s="309"/>
      <c r="G3" s="309"/>
      <c r="H3" s="309"/>
      <c r="I3" s="309"/>
      <c r="J3" s="309"/>
      <c r="K3" s="309"/>
      <c r="L3" s="309"/>
      <c r="M3" s="309"/>
      <c r="N3" s="310"/>
    </row>
    <row r="4" spans="2:14" ht="15.75" x14ac:dyDescent="0.25">
      <c r="B4" s="311" t="s">
        <v>125</v>
      </c>
      <c r="C4" s="312"/>
      <c r="D4" s="312"/>
      <c r="E4" s="312"/>
      <c r="F4" s="312"/>
      <c r="G4" s="312"/>
      <c r="H4" s="312"/>
      <c r="I4" s="312"/>
      <c r="J4" s="312"/>
      <c r="K4" s="312"/>
      <c r="L4" s="312"/>
      <c r="M4" s="312"/>
      <c r="N4" s="313"/>
    </row>
    <row r="5" spans="2:14" x14ac:dyDescent="0.25">
      <c r="B5" s="314" t="s">
        <v>205</v>
      </c>
      <c r="C5" s="315"/>
      <c r="D5" s="315"/>
      <c r="E5" s="315"/>
      <c r="F5" s="315"/>
      <c r="G5" s="315"/>
      <c r="H5" s="315"/>
      <c r="I5" s="315"/>
      <c r="J5" s="315"/>
      <c r="K5" s="315"/>
      <c r="L5" s="315"/>
      <c r="M5" s="315"/>
      <c r="N5" s="316"/>
    </row>
    <row r="6" spans="2:14" ht="15" customHeight="1" x14ac:dyDescent="0.25">
      <c r="B6" s="317" t="s">
        <v>126</v>
      </c>
      <c r="C6" s="319" t="s">
        <v>45</v>
      </c>
      <c r="D6" s="321" t="s">
        <v>127</v>
      </c>
      <c r="E6" s="323" t="s">
        <v>128</v>
      </c>
      <c r="F6" s="324"/>
      <c r="G6" s="323" t="s">
        <v>129</v>
      </c>
      <c r="H6" s="324"/>
      <c r="I6" s="323" t="s">
        <v>130</v>
      </c>
      <c r="J6" s="324"/>
      <c r="K6" s="323" t="s">
        <v>131</v>
      </c>
      <c r="L6" s="315"/>
      <c r="M6" s="315"/>
      <c r="N6" s="316"/>
    </row>
    <row r="7" spans="2:14" ht="38.25" x14ac:dyDescent="0.25">
      <c r="B7" s="318"/>
      <c r="C7" s="320"/>
      <c r="D7" s="322"/>
      <c r="E7" s="43" t="s">
        <v>132</v>
      </c>
      <c r="F7" s="43" t="s">
        <v>35</v>
      </c>
      <c r="G7" s="126" t="s">
        <v>133</v>
      </c>
      <c r="H7" s="126" t="s">
        <v>134</v>
      </c>
      <c r="I7" s="126" t="s">
        <v>47</v>
      </c>
      <c r="J7" s="126" t="s">
        <v>135</v>
      </c>
      <c r="K7" s="126" t="s">
        <v>136</v>
      </c>
      <c r="L7" s="126" t="s">
        <v>137</v>
      </c>
      <c r="M7" s="126" t="s">
        <v>138</v>
      </c>
      <c r="N7" s="127" t="s">
        <v>139</v>
      </c>
    </row>
    <row r="8" spans="2:14" x14ac:dyDescent="0.25">
      <c r="B8" s="42" t="s">
        <v>6</v>
      </c>
      <c r="C8" s="45" t="s">
        <v>132</v>
      </c>
      <c r="D8" s="128">
        <f>ROUND((Forecast!H7+Forecast!I7)/2,0)</f>
        <v>8496</v>
      </c>
      <c r="E8" s="5">
        <f>Forecast!I15</f>
        <v>105791701</v>
      </c>
      <c r="F8" s="5"/>
      <c r="G8" s="129">
        <v>0.13646721756898086</v>
      </c>
      <c r="H8" s="129">
        <f>1-G8</f>
        <v>0.86353278243101916</v>
      </c>
      <c r="I8" s="130">
        <f>K8/(D8*12)</f>
        <v>21.750939313749999</v>
      </c>
      <c r="J8" s="131">
        <f>L8/E8</f>
        <v>0.13263943368964343</v>
      </c>
      <c r="K8" s="5">
        <f>G8*M8</f>
        <v>2217551.7649154398</v>
      </c>
      <c r="L8" s="5">
        <f>H8*M8</f>
        <v>14032151.309704084</v>
      </c>
      <c r="M8" s="132">
        <f>'2016 Proposed RC Ratios'!H6</f>
        <v>16249703.074619522</v>
      </c>
      <c r="N8" s="133">
        <f>(D8*I8*12+E8*J8+F8*J8)-M8</f>
        <v>0</v>
      </c>
    </row>
    <row r="9" spans="2:14" x14ac:dyDescent="0.25">
      <c r="B9" s="42" t="s">
        <v>7</v>
      </c>
      <c r="C9" s="45" t="s">
        <v>35</v>
      </c>
      <c r="D9" s="128">
        <f>ROUND((Forecast!H9+Forecast!I9)/2,0)</f>
        <v>50</v>
      </c>
      <c r="E9" s="5"/>
      <c r="F9" s="5">
        <f>Forecast!I25</f>
        <v>198901</v>
      </c>
      <c r="G9" s="129">
        <v>0.1200968956263495</v>
      </c>
      <c r="H9" s="129">
        <f t="shared" ref="H9:H11" si="0">1-G9</f>
        <v>0.87990310437365049</v>
      </c>
      <c r="I9" s="130">
        <f t="shared" ref="I9:I11" si="1">K9/(D9*12)</f>
        <v>801.24645532046168</v>
      </c>
      <c r="J9" s="131">
        <f>L9/F9</f>
        <v>17.708569221913027</v>
      </c>
      <c r="K9" s="5">
        <f t="shared" ref="K9:K11" si="2">G9*M9</f>
        <v>480747.87319227704</v>
      </c>
      <c r="L9" s="5">
        <f t="shared" ref="L9:L11" si="3">H9*M9</f>
        <v>3522252.1268077227</v>
      </c>
      <c r="M9" s="132">
        <f>'2016 Proposed RC Ratios'!H7</f>
        <v>4003000</v>
      </c>
      <c r="N9" s="133">
        <f t="shared" ref="N9:N11" si="4">(D9*I9*12+E9*J9+F9*J9)-M9</f>
        <v>0</v>
      </c>
    </row>
    <row r="10" spans="2:14" x14ac:dyDescent="0.25">
      <c r="B10" s="42" t="s">
        <v>8</v>
      </c>
      <c r="C10" s="45" t="s">
        <v>132</v>
      </c>
      <c r="D10" s="128">
        <f>ROUND((Forecast!H8+Forecast!I8)/2,0)</f>
        <v>3138</v>
      </c>
      <c r="E10" s="5">
        <f>Forecast!I16</f>
        <v>7731414</v>
      </c>
      <c r="F10" s="5"/>
      <c r="G10" s="129">
        <v>0.43756357758419168</v>
      </c>
      <c r="H10" s="129">
        <f t="shared" si="0"/>
        <v>0.56243642241580827</v>
      </c>
      <c r="I10" s="130">
        <f t="shared" si="1"/>
        <v>27.606007677278974</v>
      </c>
      <c r="J10" s="131">
        <f t="shared" ref="J10:J11" si="5">L10/E10</f>
        <v>0.17282681755269122</v>
      </c>
      <c r="K10" s="5">
        <f t="shared" si="2"/>
        <v>1039531.8250956171</v>
      </c>
      <c r="L10" s="5">
        <f t="shared" si="3"/>
        <v>1336195.6768023227</v>
      </c>
      <c r="M10" s="132">
        <f>'2016 Proposed RC Ratios'!H8</f>
        <v>2375727.5018979399</v>
      </c>
      <c r="N10" s="133">
        <f t="shared" si="4"/>
        <v>0</v>
      </c>
    </row>
    <row r="11" spans="2:14" x14ac:dyDescent="0.25">
      <c r="B11" s="42" t="s">
        <v>9</v>
      </c>
      <c r="C11" s="45" t="s">
        <v>132</v>
      </c>
      <c r="D11" s="128">
        <f>ROUND((Forecast!H10+Forecast!I10)/2,0)</f>
        <v>1018</v>
      </c>
      <c r="E11" s="5">
        <f>Forecast!I18</f>
        <v>804705</v>
      </c>
      <c r="F11" s="5"/>
      <c r="G11" s="129">
        <v>0</v>
      </c>
      <c r="H11" s="129">
        <f t="shared" si="0"/>
        <v>1</v>
      </c>
      <c r="I11" s="130">
        <f t="shared" si="1"/>
        <v>0</v>
      </c>
      <c r="J11" s="131">
        <f t="shared" si="5"/>
        <v>0.23331531430772767</v>
      </c>
      <c r="K11" s="5">
        <f t="shared" si="2"/>
        <v>0</v>
      </c>
      <c r="L11" s="5">
        <f t="shared" si="3"/>
        <v>187750</v>
      </c>
      <c r="M11" s="132">
        <f>'2016 Proposed RC Ratios'!H9</f>
        <v>187750</v>
      </c>
      <c r="N11" s="133">
        <f t="shared" si="4"/>
        <v>0</v>
      </c>
    </row>
    <row r="12" spans="2:14" ht="15.75" thickBot="1" x14ac:dyDescent="0.3">
      <c r="B12" s="7"/>
      <c r="C12" s="10"/>
      <c r="D12" s="10"/>
      <c r="E12" s="10"/>
      <c r="F12" s="10"/>
      <c r="G12" s="10"/>
      <c r="H12" s="10"/>
      <c r="I12" s="10"/>
      <c r="J12" s="10"/>
      <c r="K12" s="134">
        <f>SUM(K8:K11)</f>
        <v>3737831.4632033342</v>
      </c>
      <c r="L12" s="134">
        <f>SUM(L8:L11)</f>
        <v>19078349.113314129</v>
      </c>
      <c r="M12" s="134">
        <f>SUM(M8:M11)</f>
        <v>22816180.576517463</v>
      </c>
      <c r="N12" s="135">
        <f>SUM(N8:N11)</f>
        <v>0</v>
      </c>
    </row>
    <row r="14" spans="2:14" ht="30" customHeight="1" x14ac:dyDescent="0.25">
      <c r="B14" s="343" t="s">
        <v>215</v>
      </c>
      <c r="C14" s="343"/>
      <c r="D14" s="343"/>
      <c r="E14" s="343"/>
      <c r="F14" s="343"/>
      <c r="G14" s="343"/>
      <c r="H14" s="343"/>
      <c r="I14" s="343"/>
      <c r="J14" s="343"/>
      <c r="K14" s="343"/>
      <c r="L14" s="343"/>
      <c r="M14" s="343"/>
      <c r="N14" s="343"/>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showGridLines="0" workbookViewId="0">
      <selection activeCell="B2" sqref="B2:D8"/>
    </sheetView>
  </sheetViews>
  <sheetFormatPr defaultRowHeight="15" x14ac:dyDescent="0.25"/>
  <cols>
    <col min="1" max="1" width="2.7109375" customWidth="1"/>
    <col min="2" max="2" width="28.42578125" bestFit="1" customWidth="1"/>
    <col min="3" max="3" width="10.28515625" bestFit="1" customWidth="1"/>
    <col min="4" max="4" width="11.42578125" customWidth="1"/>
  </cols>
  <sheetData>
    <row r="2" spans="2:4" ht="30.75" customHeight="1" x14ac:dyDescent="0.25">
      <c r="B2" s="344" t="s">
        <v>216</v>
      </c>
      <c r="C2" s="344"/>
      <c r="D2" s="344"/>
    </row>
    <row r="3" spans="2:4" ht="15.75" thickBot="1" x14ac:dyDescent="0.3"/>
    <row r="4" spans="2:4" x14ac:dyDescent="0.25">
      <c r="B4" s="176" t="s">
        <v>155</v>
      </c>
      <c r="C4" s="177" t="s">
        <v>156</v>
      </c>
      <c r="D4" s="178" t="s">
        <v>157</v>
      </c>
    </row>
    <row r="5" spans="2:4" x14ac:dyDescent="0.25">
      <c r="B5" s="4" t="s">
        <v>158</v>
      </c>
      <c r="C5" s="157" t="s">
        <v>159</v>
      </c>
      <c r="D5" s="179">
        <v>1.6E-2</v>
      </c>
    </row>
    <row r="6" spans="2:4" x14ac:dyDescent="0.25">
      <c r="B6" s="4" t="s">
        <v>160</v>
      </c>
      <c r="C6" s="157" t="s">
        <v>159</v>
      </c>
      <c r="D6" s="179">
        <v>0</v>
      </c>
    </row>
    <row r="7" spans="2:4" x14ac:dyDescent="0.25">
      <c r="B7" s="4" t="s">
        <v>161</v>
      </c>
      <c r="C7" s="157" t="s">
        <v>162</v>
      </c>
      <c r="D7" s="180">
        <v>6.0000000000000001E-3</v>
      </c>
    </row>
    <row r="8" spans="2:4" ht="15.75" thickBot="1" x14ac:dyDescent="0.3">
      <c r="B8" s="7" t="s">
        <v>163</v>
      </c>
      <c r="C8" s="160" t="s">
        <v>164</v>
      </c>
      <c r="D8" s="181">
        <f>D5-D6-D7</f>
        <v>0.01</v>
      </c>
    </row>
  </sheetData>
  <mergeCells count="1">
    <mergeCell ref="B2:D2"/>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4"/>
  <sheetViews>
    <sheetView showGridLines="0" workbookViewId="0">
      <selection activeCell="B2" sqref="B2:E12"/>
    </sheetView>
  </sheetViews>
  <sheetFormatPr defaultRowHeight="15" x14ac:dyDescent="0.25"/>
  <cols>
    <col min="1" max="1" width="2.7109375" customWidth="1"/>
    <col min="2" max="2" width="24.7109375" customWidth="1"/>
    <col min="3" max="3" width="10.5703125" bestFit="1" customWidth="1"/>
    <col min="4" max="5" width="11.5703125" bestFit="1" customWidth="1"/>
  </cols>
  <sheetData>
    <row r="1" spans="2:5" ht="15.75" thickBot="1" x14ac:dyDescent="0.3"/>
    <row r="2" spans="2:5" ht="33.75" customHeight="1" x14ac:dyDescent="0.25">
      <c r="B2" s="347" t="s">
        <v>207</v>
      </c>
      <c r="C2" s="348"/>
      <c r="D2" s="348"/>
      <c r="E2" s="349"/>
    </row>
    <row r="3" spans="2:5" ht="15.75" x14ac:dyDescent="0.25">
      <c r="B3" s="350" t="s">
        <v>125</v>
      </c>
      <c r="C3" s="351"/>
      <c r="D3" s="351"/>
      <c r="E3" s="352"/>
    </row>
    <row r="4" spans="2:5" ht="15" customHeight="1" x14ac:dyDescent="0.25">
      <c r="B4" s="333" t="s">
        <v>126</v>
      </c>
      <c r="C4" s="325" t="s">
        <v>131</v>
      </c>
      <c r="D4" s="325"/>
      <c r="E4" s="326"/>
    </row>
    <row r="5" spans="2:5" ht="25.5" x14ac:dyDescent="0.25">
      <c r="B5" s="333"/>
      <c r="C5" s="126" t="s">
        <v>136</v>
      </c>
      <c r="D5" s="126" t="s">
        <v>137</v>
      </c>
      <c r="E5" s="137" t="s">
        <v>138</v>
      </c>
    </row>
    <row r="6" spans="2:5" x14ac:dyDescent="0.25">
      <c r="B6" s="42" t="s">
        <v>6</v>
      </c>
      <c r="C6" s="5">
        <f>'2016 Allocated Revenues'!K8*(1+'IRM Adjustment Factor'!D8)</f>
        <v>2239727.2825645944</v>
      </c>
      <c r="D6" s="5">
        <f>'2016 Allocated Revenues'!L8*(1+'IRM Adjustment Factor'!D8)</f>
        <v>14172472.822801124</v>
      </c>
      <c r="E6" s="133">
        <f>C6+D6</f>
        <v>16412200.10536572</v>
      </c>
    </row>
    <row r="7" spans="2:5" x14ac:dyDescent="0.25">
      <c r="B7" s="42" t="s">
        <v>7</v>
      </c>
      <c r="C7" s="5">
        <f>'2016 Allocated Revenues'!K9*(1+'IRM Adjustment Factor'!D8)</f>
        <v>485555.35192419979</v>
      </c>
      <c r="D7" s="5">
        <f>'2016 Allocated Revenues'!L9*(1+'IRM Adjustment Factor'!D8)</f>
        <v>3557474.6480757999</v>
      </c>
      <c r="E7" s="133">
        <f t="shared" ref="E7:E9" si="0">C7+D7</f>
        <v>4043029.9999999995</v>
      </c>
    </row>
    <row r="8" spans="2:5" x14ac:dyDescent="0.25">
      <c r="B8" s="42" t="s">
        <v>8</v>
      </c>
      <c r="C8" s="5">
        <f>'2016 Allocated Revenues'!K10*(1+'IRM Adjustment Factor'!D8)</f>
        <v>1049927.1433465732</v>
      </c>
      <c r="D8" s="5">
        <f>'2016 Allocated Revenues'!L10*(1+'IRM Adjustment Factor'!D8)</f>
        <v>1349557.633570346</v>
      </c>
      <c r="E8" s="133">
        <f t="shared" si="0"/>
        <v>2399484.7769169193</v>
      </c>
    </row>
    <row r="9" spans="2:5" x14ac:dyDescent="0.25">
      <c r="B9" s="42" t="s">
        <v>9</v>
      </c>
      <c r="C9" s="5">
        <f>'2016 Allocated Revenues'!K11*(1+'IRM Adjustment Factor'!D8)</f>
        <v>0</v>
      </c>
      <c r="D9" s="5">
        <f>'2016 Allocated Revenues'!L11*(1+'IRM Adjustment Factor'!D8)</f>
        <v>189627.5</v>
      </c>
      <c r="E9" s="133">
        <f t="shared" si="0"/>
        <v>189627.5</v>
      </c>
    </row>
    <row r="10" spans="2:5" ht="15.75" thickBot="1" x14ac:dyDescent="0.3">
      <c r="B10" s="7"/>
      <c r="C10" s="134">
        <f>SUM(C6:C9)</f>
        <v>3775209.7778353672</v>
      </c>
      <c r="D10" s="134">
        <f>SUM(D6:D9)</f>
        <v>19269132.604447272</v>
      </c>
      <c r="E10" s="135">
        <f>SUM(E6:E9)</f>
        <v>23044342.382282637</v>
      </c>
    </row>
    <row r="11" spans="2:5" x14ac:dyDescent="0.25">
      <c r="B11" s="41"/>
      <c r="C11" s="183"/>
      <c r="D11" s="183"/>
      <c r="E11" s="183"/>
    </row>
    <row r="12" spans="2:5" ht="74.25" customHeight="1" x14ac:dyDescent="0.25">
      <c r="B12" s="345" t="s">
        <v>208</v>
      </c>
      <c r="C12" s="345"/>
      <c r="D12" s="345"/>
      <c r="E12" s="345"/>
    </row>
    <row r="14" spans="2:5" x14ac:dyDescent="0.25">
      <c r="C14" s="346" t="s">
        <v>165</v>
      </c>
      <c r="D14" s="346"/>
      <c r="E14" s="182" t="str">
        <f>IF('2016 Allocated Revenues'!M12*(1+'IRM Adjustment Factor'!D8)='2016 Indexed Allocated Revenues'!E10,"YES","NO")</f>
        <v>YES</v>
      </c>
    </row>
  </sheetData>
  <mergeCells count="6">
    <mergeCell ref="B12:E12"/>
    <mergeCell ref="C14:D14"/>
    <mergeCell ref="B2:E2"/>
    <mergeCell ref="B3:E3"/>
    <mergeCell ref="B4:B5"/>
    <mergeCell ref="C4:E4"/>
  </mergeCells>
  <pageMargins left="0.7" right="0.7" top="0.75" bottom="0.75" header="0.3" footer="0.3"/>
  <pageSetup fitToHeight="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6"/>
  <sheetViews>
    <sheetView showGridLines="0" workbookViewId="0">
      <selection activeCell="C28" sqref="C28"/>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s>
  <sheetData>
    <row r="2" spans="2:13" ht="15.75" x14ac:dyDescent="0.25">
      <c r="B2" s="248" t="s">
        <v>166</v>
      </c>
      <c r="C2" s="248"/>
      <c r="D2" s="248"/>
      <c r="E2" s="248"/>
      <c r="F2" s="248"/>
      <c r="G2" s="248"/>
      <c r="H2" s="248"/>
      <c r="I2" s="248"/>
      <c r="J2" s="248"/>
      <c r="K2" s="248"/>
      <c r="L2" s="248"/>
      <c r="M2" s="248"/>
    </row>
    <row r="3" spans="2:13" ht="16.5" thickBot="1" x14ac:dyDescent="0.3">
      <c r="B3" s="36"/>
      <c r="C3" s="36"/>
      <c r="D3" s="36"/>
      <c r="E3" s="36"/>
      <c r="F3" s="36"/>
      <c r="G3" s="36"/>
      <c r="H3" s="36"/>
      <c r="I3" s="36"/>
      <c r="J3" s="36"/>
      <c r="K3" s="36"/>
      <c r="L3" s="36"/>
      <c r="M3" s="185"/>
    </row>
    <row r="4" spans="2:13" ht="16.5" thickBot="1" x14ac:dyDescent="0.3">
      <c r="B4" s="184" t="s">
        <v>211</v>
      </c>
      <c r="C4" s="184"/>
      <c r="D4" s="184"/>
      <c r="E4" s="184"/>
      <c r="F4" s="184"/>
      <c r="G4" s="184"/>
      <c r="H4" s="184"/>
      <c r="I4" s="184"/>
      <c r="J4" s="184"/>
      <c r="K4" s="184"/>
      <c r="L4" s="184"/>
      <c r="M4" s="186">
        <f>'2016 Indexed Allocated Revenues'!E6+'2016 Indexed Allocated Revenues'!E7</f>
        <v>20455230.10536572</v>
      </c>
    </row>
    <row r="5" spans="2:13" ht="15.75" thickBot="1" x14ac:dyDescent="0.3"/>
    <row r="6" spans="2:13" x14ac:dyDescent="0.25">
      <c r="B6" s="337" t="s">
        <v>209</v>
      </c>
      <c r="C6" s="338"/>
      <c r="D6" s="338"/>
      <c r="E6" s="338"/>
      <c r="F6" s="338"/>
      <c r="G6" s="338"/>
      <c r="H6" s="338"/>
      <c r="I6" s="338"/>
      <c r="J6" s="338"/>
      <c r="K6" s="338"/>
      <c r="L6" s="338"/>
      <c r="M6" s="339"/>
    </row>
    <row r="7" spans="2:13" x14ac:dyDescent="0.25">
      <c r="B7" s="332" t="s">
        <v>142</v>
      </c>
      <c r="C7" s="325"/>
      <c r="D7" s="325"/>
      <c r="E7" s="325"/>
      <c r="F7" s="325"/>
      <c r="G7" s="325"/>
      <c r="H7" s="325"/>
      <c r="I7" s="325"/>
      <c r="J7" s="325"/>
      <c r="K7" s="325"/>
      <c r="L7" s="325"/>
      <c r="M7" s="326"/>
    </row>
    <row r="8" spans="2:13" x14ac:dyDescent="0.25">
      <c r="B8" s="314" t="s">
        <v>210</v>
      </c>
      <c r="C8" s="315"/>
      <c r="D8" s="315"/>
      <c r="E8" s="315"/>
      <c r="F8" s="315"/>
      <c r="G8" s="315"/>
      <c r="H8" s="315"/>
      <c r="I8" s="315"/>
      <c r="J8" s="315"/>
      <c r="K8" s="315"/>
      <c r="L8" s="324"/>
      <c r="M8" s="187">
        <v>7.9000000000000008E-3</v>
      </c>
    </row>
    <row r="9" spans="2:13" x14ac:dyDescent="0.25">
      <c r="B9" s="333" t="s">
        <v>126</v>
      </c>
      <c r="C9" s="334" t="s">
        <v>45</v>
      </c>
      <c r="D9" s="335" t="s">
        <v>127</v>
      </c>
      <c r="E9" s="325" t="s">
        <v>128</v>
      </c>
      <c r="F9" s="325"/>
      <c r="G9" s="325" t="s">
        <v>129</v>
      </c>
      <c r="H9" s="325"/>
      <c r="I9" s="325" t="s">
        <v>130</v>
      </c>
      <c r="J9" s="325"/>
      <c r="K9" s="325" t="s">
        <v>131</v>
      </c>
      <c r="L9" s="325"/>
      <c r="M9" s="326"/>
    </row>
    <row r="10" spans="2:13" ht="38.25" x14ac:dyDescent="0.25">
      <c r="B10" s="333"/>
      <c r="C10" s="334"/>
      <c r="D10" s="336"/>
      <c r="E10" s="125" t="s">
        <v>132</v>
      </c>
      <c r="F10" s="125" t="s">
        <v>35</v>
      </c>
      <c r="G10" s="126" t="s">
        <v>133</v>
      </c>
      <c r="H10" s="126" t="s">
        <v>134</v>
      </c>
      <c r="I10" s="126" t="s">
        <v>47</v>
      </c>
      <c r="J10" s="126" t="s">
        <v>135</v>
      </c>
      <c r="K10" s="126" t="s">
        <v>136</v>
      </c>
      <c r="L10" s="126" t="s">
        <v>137</v>
      </c>
      <c r="M10" s="137" t="s">
        <v>138</v>
      </c>
    </row>
    <row r="11" spans="2:13" x14ac:dyDescent="0.25">
      <c r="B11" s="42" t="s">
        <v>6</v>
      </c>
      <c r="C11" s="157" t="s">
        <v>132</v>
      </c>
      <c r="D11" s="128">
        <f>'2016 Allocated Revenues'!D8</f>
        <v>8496</v>
      </c>
      <c r="E11" s="5">
        <f>'2016 Allocated Revenues'!E8</f>
        <v>105791701</v>
      </c>
      <c r="F11" s="5"/>
      <c r="G11" s="129">
        <f>K11/M11</f>
        <v>0.40679519688809551</v>
      </c>
      <c r="H11" s="129">
        <f>L11/M11</f>
        <v>0.59320480311190449</v>
      </c>
      <c r="I11" s="130">
        <f>'Tariff Sheet'!F9*(1+'2016 RRRP Rate Design'!M8)</f>
        <v>23.524386</v>
      </c>
      <c r="J11" s="131">
        <f>'Tariff Sheet'!F10*(1+'2016 RRRP Rate Design'!M8)</f>
        <v>3.3059120000000004E-2</v>
      </c>
      <c r="K11" s="5">
        <f>D11*I11*12</f>
        <v>2398358.2014720002</v>
      </c>
      <c r="L11" s="5">
        <f>J11*E11</f>
        <v>3497380.5383631205</v>
      </c>
      <c r="M11" s="133">
        <f>K11+L11</f>
        <v>5895738.7398351207</v>
      </c>
    </row>
    <row r="12" spans="2:13" x14ac:dyDescent="0.25">
      <c r="B12" s="140" t="s">
        <v>7</v>
      </c>
      <c r="C12" s="141" t="s">
        <v>35</v>
      </c>
      <c r="D12" s="142">
        <f>'2016 Allocated Revenues'!D9</f>
        <v>50</v>
      </c>
      <c r="E12" s="143"/>
      <c r="F12" s="143">
        <f>'2016 Allocated Revenues'!F9</f>
        <v>198901</v>
      </c>
      <c r="G12" s="144">
        <f>K12/M12</f>
        <v>0.3679689835224475</v>
      </c>
      <c r="H12" s="144">
        <f>L12/M12</f>
        <v>0.63203101647755255</v>
      </c>
      <c r="I12" s="145">
        <f>'Tariff Sheet'!F17*(1+'2016 RRRP Rate Design'!M8)</f>
        <v>605.57655700000009</v>
      </c>
      <c r="J12" s="146">
        <f>'Tariff Sheet'!F18*(1+'2016 RRRP Rate Design'!M8)</f>
        <v>3.1376934900000002</v>
      </c>
      <c r="K12" s="143">
        <f>D12*I12*12</f>
        <v>363345.93420000008</v>
      </c>
      <c r="L12" s="143">
        <f>J12*F12</f>
        <v>624090.37285449007</v>
      </c>
      <c r="M12" s="147">
        <f>K12+L12</f>
        <v>987436.30705449008</v>
      </c>
    </row>
    <row r="13" spans="2:13" x14ac:dyDescent="0.25">
      <c r="B13" s="42" t="s">
        <v>144</v>
      </c>
      <c r="C13" s="157"/>
      <c r="D13" s="128"/>
      <c r="E13" s="5"/>
      <c r="F13" s="5"/>
      <c r="G13" s="129"/>
      <c r="H13" s="129"/>
      <c r="I13" s="130"/>
      <c r="J13" s="131"/>
      <c r="K13" s="5"/>
      <c r="L13" s="5">
        <f>Forecast!I34</f>
        <v>74096.399999999994</v>
      </c>
      <c r="M13" s="133">
        <f>K13+L13</f>
        <v>74096.399999999994</v>
      </c>
    </row>
    <row r="14" spans="2:13" x14ac:dyDescent="0.25">
      <c r="B14" s="4"/>
      <c r="C14" s="21"/>
      <c r="D14" s="21"/>
      <c r="E14" s="21"/>
      <c r="F14" s="21"/>
      <c r="G14" s="21"/>
      <c r="H14" s="21"/>
      <c r="I14" s="21"/>
      <c r="J14" s="21"/>
      <c r="K14" s="21"/>
      <c r="L14" s="21"/>
      <c r="M14" s="148"/>
    </row>
    <row r="15" spans="2:13" ht="15.75" thickBot="1" x14ac:dyDescent="0.3">
      <c r="B15" s="327" t="s">
        <v>151</v>
      </c>
      <c r="C15" s="328"/>
      <c r="D15" s="328"/>
      <c r="E15" s="328"/>
      <c r="F15" s="328"/>
      <c r="G15" s="328"/>
      <c r="H15" s="328"/>
      <c r="I15" s="328"/>
      <c r="J15" s="328"/>
      <c r="K15" s="328"/>
      <c r="L15" s="328"/>
      <c r="M15" s="149">
        <f>M4-M11-M12+M13</f>
        <v>13646151.458476109</v>
      </c>
    </row>
    <row r="16" spans="2:13" x14ac:dyDescent="0.25">
      <c r="L16" s="136" t="s">
        <v>140</v>
      </c>
      <c r="M16" s="13" t="str">
        <f>IF((M4+M13-M11-M12-M15&lt;1),"YES","NO")</f>
        <v>YES</v>
      </c>
    </row>
  </sheetData>
  <mergeCells count="12">
    <mergeCell ref="B2:M2"/>
    <mergeCell ref="K9:M9"/>
    <mergeCell ref="B15:L15"/>
    <mergeCell ref="B6:M6"/>
    <mergeCell ref="B7:M7"/>
    <mergeCell ref="B8:L8"/>
    <mergeCell ref="B9:B10"/>
    <mergeCell ref="C9:C10"/>
    <mergeCell ref="D9:D10"/>
    <mergeCell ref="E9:F9"/>
    <mergeCell ref="G9:H9"/>
    <mergeCell ref="I9:J9"/>
  </mergeCells>
  <pageMargins left="0.7" right="0.7" top="0.75" bottom="0.75" header="0.3" footer="0.3"/>
  <pageSetup scale="66" fitToHeight="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1"/>
  <sheetViews>
    <sheetView showGridLines="0" workbookViewId="0">
      <selection activeCell="B2" sqref="B2:M9"/>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48" t="s">
        <v>145</v>
      </c>
      <c r="C2" s="248"/>
      <c r="D2" s="248"/>
      <c r="E2" s="248"/>
      <c r="F2" s="248"/>
      <c r="G2" s="248"/>
      <c r="H2" s="248"/>
      <c r="I2" s="248"/>
      <c r="J2" s="248"/>
      <c r="K2" s="248"/>
      <c r="L2" s="248"/>
      <c r="M2" s="248"/>
    </row>
    <row r="3" spans="2:13" ht="15.75" thickBot="1" x14ac:dyDescent="0.3"/>
    <row r="4" spans="2:13" x14ac:dyDescent="0.25">
      <c r="B4" s="337" t="s">
        <v>212</v>
      </c>
      <c r="C4" s="338"/>
      <c r="D4" s="338"/>
      <c r="E4" s="338"/>
      <c r="F4" s="338"/>
      <c r="G4" s="338"/>
      <c r="H4" s="338"/>
      <c r="I4" s="338"/>
      <c r="J4" s="338"/>
      <c r="K4" s="338"/>
      <c r="L4" s="338"/>
      <c r="M4" s="339"/>
    </row>
    <row r="5" spans="2:13" x14ac:dyDescent="0.25">
      <c r="B5" s="333" t="s">
        <v>126</v>
      </c>
      <c r="C5" s="334" t="s">
        <v>45</v>
      </c>
      <c r="D5" s="340" t="s">
        <v>127</v>
      </c>
      <c r="E5" s="325" t="s">
        <v>128</v>
      </c>
      <c r="F5" s="325"/>
      <c r="G5" s="323" t="s">
        <v>129</v>
      </c>
      <c r="H5" s="324"/>
      <c r="I5" s="325" t="s">
        <v>130</v>
      </c>
      <c r="J5" s="325"/>
      <c r="K5" s="325" t="s">
        <v>131</v>
      </c>
      <c r="L5" s="325"/>
      <c r="M5" s="326"/>
    </row>
    <row r="6" spans="2:13" ht="38.25" x14ac:dyDescent="0.25">
      <c r="B6" s="333"/>
      <c r="C6" s="334"/>
      <c r="D6" s="340"/>
      <c r="E6" s="43" t="s">
        <v>132</v>
      </c>
      <c r="F6" s="43" t="s">
        <v>35</v>
      </c>
      <c r="G6" s="126" t="s">
        <v>133</v>
      </c>
      <c r="H6" s="126" t="s">
        <v>134</v>
      </c>
      <c r="I6" s="126" t="s">
        <v>47</v>
      </c>
      <c r="J6" s="126" t="s">
        <v>135</v>
      </c>
      <c r="K6" s="126" t="s">
        <v>136</v>
      </c>
      <c r="L6" s="126" t="s">
        <v>137</v>
      </c>
      <c r="M6" s="137" t="s">
        <v>138</v>
      </c>
    </row>
    <row r="7" spans="2:13" x14ac:dyDescent="0.25">
      <c r="B7" s="140" t="s">
        <v>8</v>
      </c>
      <c r="C7" s="141" t="s">
        <v>132</v>
      </c>
      <c r="D7" s="151">
        <f>'2016 Allocated Revenues'!D10</f>
        <v>3138</v>
      </c>
      <c r="E7" s="143">
        <f>'2016 Allocated Revenues'!E10</f>
        <v>7731414</v>
      </c>
      <c r="F7" s="143"/>
      <c r="G7" s="144">
        <f>'2015 Non-RRRP Rate Design'!G7</f>
        <v>0.47499999999999998</v>
      </c>
      <c r="H7" s="129">
        <f>1-G7</f>
        <v>0.52500000000000002</v>
      </c>
      <c r="I7" s="152">
        <f>K7/(D7*12)</f>
        <v>30.267560788069275</v>
      </c>
      <c r="J7" s="153">
        <f>L7/E7</f>
        <v>0.16293649620643555</v>
      </c>
      <c r="K7" s="154">
        <f>G7*M7</f>
        <v>1139755.2690355366</v>
      </c>
      <c r="L7" s="154">
        <f>H7*M7</f>
        <v>1259729.5078813827</v>
      </c>
      <c r="M7" s="155">
        <f>'2016 Indexed Allocated Revenues'!E8</f>
        <v>2399484.7769169193</v>
      </c>
    </row>
    <row r="8" spans="2:13" x14ac:dyDescent="0.25">
      <c r="B8" s="140" t="s">
        <v>9</v>
      </c>
      <c r="C8" s="141" t="s">
        <v>132</v>
      </c>
      <c r="D8" s="151">
        <f>'2016 Allocated Revenues'!D11</f>
        <v>1018</v>
      </c>
      <c r="E8" s="143">
        <f>'2016 Allocated Revenues'!E11</f>
        <v>804705</v>
      </c>
      <c r="F8" s="143"/>
      <c r="G8" s="144">
        <f>'2015 Non-RRRP Rate Design'!G8</f>
        <v>8.5999999999999993E-2</v>
      </c>
      <c r="H8" s="129">
        <f>1-G8</f>
        <v>0.91400000000000003</v>
      </c>
      <c r="I8" s="152">
        <f>K8/(D8*12)</f>
        <v>1.3349676653569089</v>
      </c>
      <c r="J8" s="153">
        <f>L8/E8</f>
        <v>0.21538269925003573</v>
      </c>
      <c r="K8" s="154">
        <f>G8*M8</f>
        <v>16307.964999999998</v>
      </c>
      <c r="L8" s="154">
        <f>H8*M8</f>
        <v>173319.535</v>
      </c>
      <c r="M8" s="155">
        <f>'2016 Indexed Allocated Revenues'!E9</f>
        <v>189627.5</v>
      </c>
    </row>
    <row r="9" spans="2:13" ht="15.75" thickBot="1" x14ac:dyDescent="0.3">
      <c r="B9" s="7"/>
      <c r="C9" s="10"/>
      <c r="D9" s="10"/>
      <c r="E9" s="10"/>
      <c r="F9" s="10"/>
      <c r="G9" s="10"/>
      <c r="H9" s="10"/>
      <c r="I9" s="10"/>
      <c r="J9" s="10"/>
      <c r="K9" s="134">
        <f>K7+K8</f>
        <v>1156063.2340355366</v>
      </c>
      <c r="L9" s="134">
        <f>L7+L8</f>
        <v>1433049.0428813826</v>
      </c>
      <c r="M9" s="135">
        <f>M7+M8</f>
        <v>2589112.2769169193</v>
      </c>
    </row>
    <row r="11" spans="2:13" x14ac:dyDescent="0.25">
      <c r="K11" s="136" t="s">
        <v>140</v>
      </c>
      <c r="L11" s="13" t="str">
        <f>IF(('2016 Indexed Allocated Revenues'!E8+'2016 Indexed Allocated Revenues'!E9)='2016 Non-RRRP Rate Design'!M9,"YES","NO")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3"/>
  <sheetViews>
    <sheetView showGridLines="0" topLeftCell="A10" workbookViewId="0">
      <selection activeCell="T21" sqref="T21"/>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6" max="6" width="11.140625" customWidth="1"/>
    <col min="8" max="8" width="9.7109375" customWidth="1"/>
    <col min="9" max="9" width="9.7109375" bestFit="1" customWidth="1"/>
    <col min="10" max="10" width="13.28515625" bestFit="1" customWidth="1"/>
    <col min="11" max="12" width="11.5703125" bestFit="1" customWidth="1"/>
  </cols>
  <sheetData>
    <row r="2" spans="2:14" ht="18.75" x14ac:dyDescent="0.3">
      <c r="B2" s="353" t="s">
        <v>183</v>
      </c>
      <c r="C2" s="353"/>
      <c r="D2" s="353"/>
      <c r="E2" s="353"/>
      <c r="F2" s="353"/>
      <c r="G2" s="353"/>
      <c r="H2" s="353"/>
      <c r="I2" s="353"/>
      <c r="J2" s="353"/>
      <c r="K2" s="353"/>
      <c r="L2" s="353"/>
      <c r="M2" s="353"/>
      <c r="N2" s="353"/>
    </row>
    <row r="3" spans="2:14" ht="18.75" x14ac:dyDescent="0.3">
      <c r="B3" s="353" t="s">
        <v>150</v>
      </c>
      <c r="C3" s="353"/>
      <c r="D3" s="353"/>
      <c r="E3" s="353"/>
      <c r="F3" s="353"/>
      <c r="G3" s="353"/>
      <c r="H3" s="353"/>
      <c r="I3" s="353"/>
      <c r="J3" s="353"/>
      <c r="K3" s="353"/>
      <c r="L3" s="353"/>
      <c r="M3" s="353"/>
      <c r="N3" s="353"/>
    </row>
    <row r="4" spans="2:14" ht="15.75" thickBot="1" x14ac:dyDescent="0.3"/>
    <row r="5" spans="2:14" ht="15.75" thickBot="1" x14ac:dyDescent="0.3">
      <c r="B5" s="354" t="s">
        <v>173</v>
      </c>
      <c r="C5" s="356" t="s">
        <v>174</v>
      </c>
      <c r="D5" s="357"/>
      <c r="E5" s="358" t="s">
        <v>175</v>
      </c>
      <c r="F5" s="359"/>
      <c r="G5" s="358" t="s">
        <v>176</v>
      </c>
      <c r="H5" s="360"/>
      <c r="I5" s="359"/>
      <c r="J5" s="361" t="s">
        <v>177</v>
      </c>
      <c r="K5" s="362"/>
      <c r="L5" s="363"/>
      <c r="M5" s="362" t="s">
        <v>178</v>
      </c>
      <c r="N5" s="363"/>
    </row>
    <row r="6" spans="2:14" ht="39" thickBot="1" x14ac:dyDescent="0.3">
      <c r="B6" s="355"/>
      <c r="C6" s="193"/>
      <c r="D6" s="194" t="s">
        <v>179</v>
      </c>
      <c r="E6" s="195" t="s">
        <v>132</v>
      </c>
      <c r="F6" s="196" t="s">
        <v>35</v>
      </c>
      <c r="G6" s="194" t="s">
        <v>47</v>
      </c>
      <c r="H6" s="358" t="s">
        <v>180</v>
      </c>
      <c r="I6" s="359"/>
      <c r="J6" s="197" t="s">
        <v>136</v>
      </c>
      <c r="K6" s="197" t="s">
        <v>137</v>
      </c>
      <c r="L6" s="197" t="s">
        <v>54</v>
      </c>
      <c r="M6" s="197" t="s">
        <v>136</v>
      </c>
      <c r="N6" s="198" t="s">
        <v>137</v>
      </c>
    </row>
    <row r="7" spans="2:14" x14ac:dyDescent="0.25">
      <c r="B7" s="199"/>
      <c r="C7" s="199"/>
      <c r="D7" s="199"/>
      <c r="E7" s="199"/>
      <c r="F7" s="55"/>
      <c r="G7" s="199"/>
      <c r="H7" s="200" t="s">
        <v>132</v>
      </c>
      <c r="I7" s="200" t="s">
        <v>35</v>
      </c>
      <c r="J7" s="200" t="s">
        <v>36</v>
      </c>
      <c r="K7" s="200" t="s">
        <v>36</v>
      </c>
      <c r="L7" s="200" t="s">
        <v>36</v>
      </c>
      <c r="M7" s="201"/>
      <c r="N7" s="202"/>
    </row>
    <row r="8" spans="2:14" ht="15.75" thickBot="1" x14ac:dyDescent="0.3">
      <c r="B8" s="203" t="s">
        <v>6</v>
      </c>
      <c r="C8" s="203" t="s">
        <v>182</v>
      </c>
      <c r="D8" s="204">
        <f>'2015 Allocated Revenues'!D8</f>
        <v>8496</v>
      </c>
      <c r="E8" s="204">
        <f>'2015 Allocated Revenues'!E8</f>
        <v>105791701</v>
      </c>
      <c r="F8" s="204"/>
      <c r="G8" s="205">
        <f>'2016 RRRP Rate Design'!I11</f>
        <v>23.524386</v>
      </c>
      <c r="H8" s="206">
        <f>'2016 RRRP Rate Design'!J11</f>
        <v>3.3059120000000004E-2</v>
      </c>
      <c r="I8" s="206"/>
      <c r="J8" s="207">
        <f>'2016 RRRP Rate Design'!K11</f>
        <v>2398358.2014720002</v>
      </c>
      <c r="K8" s="207">
        <f>'2016 RRRP Rate Design'!L11</f>
        <v>3497380.5383631205</v>
      </c>
      <c r="L8" s="208">
        <f>'2016 RRRP Rate Design'!M11</f>
        <v>5895738.7398351207</v>
      </c>
      <c r="M8" s="209">
        <f>J8/L8</f>
        <v>0.40679519688809551</v>
      </c>
      <c r="N8" s="210">
        <f>K8/L8</f>
        <v>0.59320480311190449</v>
      </c>
    </row>
    <row r="10" spans="2:14" ht="15.75" thickBot="1" x14ac:dyDescent="0.3"/>
    <row r="11" spans="2:14" ht="15.75" customHeight="1" thickBot="1" x14ac:dyDescent="0.3">
      <c r="B11" s="354" t="s">
        <v>173</v>
      </c>
      <c r="C11" s="366" t="s">
        <v>174</v>
      </c>
      <c r="D11" s="357"/>
      <c r="E11" s="358" t="s">
        <v>175</v>
      </c>
      <c r="F11" s="359"/>
      <c r="G11" s="358" t="s">
        <v>176</v>
      </c>
      <c r="H11" s="360"/>
      <c r="I11" s="359"/>
      <c r="J11" s="361" t="s">
        <v>177</v>
      </c>
      <c r="K11" s="362"/>
      <c r="L11" s="363"/>
      <c r="M11" s="362" t="s">
        <v>178</v>
      </c>
      <c r="N11" s="363"/>
    </row>
    <row r="12" spans="2:14" ht="39" thickBot="1" x14ac:dyDescent="0.3">
      <c r="B12" s="355"/>
      <c r="C12" s="220"/>
      <c r="D12" s="194" t="s">
        <v>179</v>
      </c>
      <c r="E12" s="194" t="s">
        <v>190</v>
      </c>
      <c r="F12" s="196" t="s">
        <v>35</v>
      </c>
      <c r="G12" s="194" t="s">
        <v>47</v>
      </c>
      <c r="H12" s="358" t="s">
        <v>180</v>
      </c>
      <c r="I12" s="359"/>
      <c r="J12" s="197" t="s">
        <v>136</v>
      </c>
      <c r="K12" s="197" t="s">
        <v>137</v>
      </c>
      <c r="L12" s="197" t="s">
        <v>54</v>
      </c>
      <c r="M12" s="197" t="s">
        <v>136</v>
      </c>
      <c r="N12" s="198" t="s">
        <v>137</v>
      </c>
    </row>
    <row r="13" spans="2:14" x14ac:dyDescent="0.25">
      <c r="B13" s="199"/>
      <c r="C13" s="201"/>
      <c r="D13" s="55"/>
      <c r="E13" s="199"/>
      <c r="F13" s="55"/>
      <c r="G13" s="199"/>
      <c r="H13" s="200" t="s">
        <v>132</v>
      </c>
      <c r="I13" s="200" t="s">
        <v>35</v>
      </c>
      <c r="J13" s="200" t="s">
        <v>36</v>
      </c>
      <c r="K13" s="200" t="s">
        <v>36</v>
      </c>
      <c r="L13" s="200" t="s">
        <v>36</v>
      </c>
      <c r="M13" s="201"/>
      <c r="N13" s="202"/>
    </row>
    <row r="14" spans="2:14" x14ac:dyDescent="0.25">
      <c r="B14" s="215" t="s">
        <v>181</v>
      </c>
      <c r="C14" s="222" t="s">
        <v>182</v>
      </c>
      <c r="D14" s="225">
        <v>7531</v>
      </c>
      <c r="E14" s="226">
        <f>K14/H14</f>
        <v>80323982.864879653</v>
      </c>
      <c r="F14" s="216"/>
      <c r="G14" s="223">
        <f>G8</f>
        <v>23.524386</v>
      </c>
      <c r="H14" s="224">
        <f>H8</f>
        <v>3.3059120000000004E-2</v>
      </c>
      <c r="I14" s="217"/>
      <c r="J14" s="226">
        <f>D14*G14*12</f>
        <v>2125945.8115919996</v>
      </c>
      <c r="K14" s="226">
        <f>L14-J14</f>
        <v>2655440.1884080004</v>
      </c>
      <c r="L14" s="226">
        <v>4781386</v>
      </c>
      <c r="M14" s="230">
        <f>J14/L14</f>
        <v>0.44462961400564599</v>
      </c>
      <c r="N14" s="231">
        <f>K14/L14</f>
        <v>0.55537038599435407</v>
      </c>
    </row>
    <row r="15" spans="2:14" x14ac:dyDescent="0.25">
      <c r="B15" s="215" t="s">
        <v>188</v>
      </c>
      <c r="C15" s="219" t="s">
        <v>182</v>
      </c>
      <c r="D15" s="225">
        <v>965</v>
      </c>
      <c r="E15" s="226">
        <f>K15/H15</f>
        <v>25467726.00480593</v>
      </c>
      <c r="F15" s="216"/>
      <c r="G15" s="223">
        <f>G8</f>
        <v>23.524386</v>
      </c>
      <c r="H15" s="224">
        <f>H8</f>
        <v>3.3059120000000004E-2</v>
      </c>
      <c r="I15" s="217"/>
      <c r="J15" s="226">
        <f>D15*G15*12</f>
        <v>272412.38988000003</v>
      </c>
      <c r="K15" s="226">
        <f>L15-J15</f>
        <v>841940.61011999997</v>
      </c>
      <c r="L15" s="226">
        <v>1114353</v>
      </c>
      <c r="M15" s="230">
        <f>J15/L15</f>
        <v>0.24445789608858237</v>
      </c>
      <c r="N15" s="231">
        <f>K15/L15</f>
        <v>0.75554210391141763</v>
      </c>
    </row>
    <row r="16" spans="2:14" ht="15.75" thickBot="1" x14ac:dyDescent="0.3">
      <c r="B16" s="203" t="s">
        <v>189</v>
      </c>
      <c r="C16" s="218" t="s">
        <v>182</v>
      </c>
      <c r="D16" s="221">
        <f>D14+D15</f>
        <v>8496</v>
      </c>
      <c r="E16" s="204"/>
      <c r="F16" s="204"/>
      <c r="G16" s="205"/>
      <c r="H16" s="206"/>
      <c r="I16" s="206"/>
      <c r="J16" s="221">
        <f t="shared" ref="J16:L16" si="0">J14+J15</f>
        <v>2398358.2014719998</v>
      </c>
      <c r="K16" s="221">
        <f t="shared" si="0"/>
        <v>3497380.7985280002</v>
      </c>
      <c r="L16" s="221">
        <f t="shared" si="0"/>
        <v>5895739</v>
      </c>
      <c r="M16" s="209"/>
      <c r="N16" s="210"/>
    </row>
    <row r="18" spans="2:14" x14ac:dyDescent="0.25">
      <c r="B18" s="364" t="s">
        <v>167</v>
      </c>
      <c r="C18" s="364"/>
      <c r="D18" s="364"/>
      <c r="E18" s="364"/>
    </row>
    <row r="20" spans="2:14" x14ac:dyDescent="0.25">
      <c r="B20" s="365" t="s">
        <v>168</v>
      </c>
      <c r="C20" s="365"/>
      <c r="D20" s="365"/>
      <c r="E20" s="365"/>
      <c r="F20" s="188">
        <f>G8</f>
        <v>23.524386</v>
      </c>
    </row>
    <row r="21" spans="2:14" x14ac:dyDescent="0.25">
      <c r="B21" s="365" t="s">
        <v>169</v>
      </c>
      <c r="C21" s="365"/>
      <c r="D21" s="365"/>
      <c r="E21" s="365"/>
      <c r="F21" s="189">
        <f>L14/D14/12</f>
        <v>52.907825432656132</v>
      </c>
    </row>
    <row r="22" spans="2:14" x14ac:dyDescent="0.25">
      <c r="B22" s="365" t="s">
        <v>170</v>
      </c>
      <c r="C22" s="365"/>
      <c r="D22" s="365"/>
      <c r="E22" s="365"/>
      <c r="F22" s="189">
        <f>(F21-F20)/4</f>
        <v>7.3458598581640331</v>
      </c>
    </row>
    <row r="23" spans="2:14" x14ac:dyDescent="0.25">
      <c r="B23" s="212" t="s">
        <v>184</v>
      </c>
      <c r="C23" s="212"/>
      <c r="D23" s="212"/>
      <c r="E23" s="212"/>
      <c r="F23" s="189">
        <v>4</v>
      </c>
    </row>
    <row r="24" spans="2:14" x14ac:dyDescent="0.25">
      <c r="B24" s="365" t="s">
        <v>171</v>
      </c>
      <c r="C24" s="365"/>
      <c r="D24" s="365"/>
      <c r="E24" s="365"/>
      <c r="F24" s="189">
        <f>IF(F22&gt;F23,F23,F22)+F20</f>
        <v>27.524386</v>
      </c>
    </row>
    <row r="26" spans="2:14" x14ac:dyDescent="0.25">
      <c r="B26" s="190" t="s">
        <v>172</v>
      </c>
    </row>
    <row r="27" spans="2:14" ht="15.75" thickBot="1" x14ac:dyDescent="0.3"/>
    <row r="28" spans="2:14" ht="15.75" thickBot="1" x14ac:dyDescent="0.3">
      <c r="B28" s="191" t="s">
        <v>173</v>
      </c>
      <c r="C28" s="356" t="s">
        <v>174</v>
      </c>
      <c r="D28" s="357"/>
      <c r="E28" s="358" t="s">
        <v>175</v>
      </c>
      <c r="F28" s="359"/>
      <c r="G28" s="358" t="s">
        <v>176</v>
      </c>
      <c r="H28" s="360"/>
      <c r="I28" s="359"/>
      <c r="J28" s="361" t="s">
        <v>177</v>
      </c>
      <c r="K28" s="362"/>
      <c r="L28" s="363"/>
      <c r="M28" s="362" t="s">
        <v>178</v>
      </c>
      <c r="N28" s="363"/>
    </row>
    <row r="29" spans="2:14" ht="39" thickBot="1" x14ac:dyDescent="0.3">
      <c r="B29" s="192"/>
      <c r="C29" s="193"/>
      <c r="D29" s="194" t="s">
        <v>179</v>
      </c>
      <c r="E29" s="195" t="s">
        <v>132</v>
      </c>
      <c r="F29" s="196" t="s">
        <v>35</v>
      </c>
      <c r="G29" s="194" t="s">
        <v>47</v>
      </c>
      <c r="H29" s="358" t="s">
        <v>180</v>
      </c>
      <c r="I29" s="359"/>
      <c r="J29" s="197" t="s">
        <v>136</v>
      </c>
      <c r="K29" s="197" t="s">
        <v>137</v>
      </c>
      <c r="L29" s="197" t="s">
        <v>54</v>
      </c>
      <c r="M29" s="197" t="s">
        <v>136</v>
      </c>
      <c r="N29" s="198" t="s">
        <v>137</v>
      </c>
    </row>
    <row r="30" spans="2:14" x14ac:dyDescent="0.25">
      <c r="B30" s="199"/>
      <c r="C30" s="199"/>
      <c r="D30" s="199"/>
      <c r="E30" s="199"/>
      <c r="F30" s="55"/>
      <c r="G30" s="199"/>
      <c r="H30" s="200" t="s">
        <v>132</v>
      </c>
      <c r="I30" s="200" t="s">
        <v>35</v>
      </c>
      <c r="J30" s="200" t="s">
        <v>36</v>
      </c>
      <c r="K30" s="200" t="s">
        <v>36</v>
      </c>
      <c r="L30" s="200" t="s">
        <v>36</v>
      </c>
      <c r="M30" s="201"/>
      <c r="N30" s="202"/>
    </row>
    <row r="31" spans="2:14" ht="15.75" thickBot="1" x14ac:dyDescent="0.3">
      <c r="B31" s="203" t="s">
        <v>181</v>
      </c>
      <c r="C31" s="203" t="s">
        <v>182</v>
      </c>
      <c r="D31" s="204">
        <f>D14</f>
        <v>7531</v>
      </c>
      <c r="E31" s="204">
        <f>E14</f>
        <v>80323982.864879653</v>
      </c>
      <c r="F31" s="204"/>
      <c r="G31" s="205">
        <f>F24</f>
        <v>27.524386</v>
      </c>
      <c r="H31" s="206">
        <f>(L31-J31)/E31</f>
        <v>2.8558745552581324E-2</v>
      </c>
      <c r="I31" s="206"/>
      <c r="J31" s="207">
        <f>G31*D31*12</f>
        <v>2487433.8115919996</v>
      </c>
      <c r="K31" s="207">
        <f>E31*H31</f>
        <v>2293952.1884080004</v>
      </c>
      <c r="L31" s="208">
        <f>L14</f>
        <v>4781386</v>
      </c>
      <c r="M31" s="209">
        <f>J31/L31</f>
        <v>0.52023279684844514</v>
      </c>
      <c r="N31" s="210">
        <f>K31/L31</f>
        <v>0.47976720315155486</v>
      </c>
    </row>
    <row r="33" spans="10:12" x14ac:dyDescent="0.25">
      <c r="J33" s="367" t="s">
        <v>165</v>
      </c>
      <c r="K33" s="367"/>
      <c r="L33" s="211">
        <f>L14-L31</f>
        <v>0</v>
      </c>
    </row>
  </sheetData>
  <mergeCells count="28">
    <mergeCell ref="H29:I29"/>
    <mergeCell ref="J33:K33"/>
    <mergeCell ref="B22:E22"/>
    <mergeCell ref="B24:E24"/>
    <mergeCell ref="G28:I28"/>
    <mergeCell ref="J28:L28"/>
    <mergeCell ref="M28:N28"/>
    <mergeCell ref="G11:I11"/>
    <mergeCell ref="J11:L11"/>
    <mergeCell ref="B18:E18"/>
    <mergeCell ref="B20:E20"/>
    <mergeCell ref="B21:E21"/>
    <mergeCell ref="M11:N11"/>
    <mergeCell ref="H12:I12"/>
    <mergeCell ref="C28:D28"/>
    <mergeCell ref="E28:F28"/>
    <mergeCell ref="B11:B12"/>
    <mergeCell ref="C11:D11"/>
    <mergeCell ref="E11:F11"/>
    <mergeCell ref="B2:N2"/>
    <mergeCell ref="B3:N3"/>
    <mergeCell ref="B5:B6"/>
    <mergeCell ref="C5:D5"/>
    <mergeCell ref="E5:F5"/>
    <mergeCell ref="G5:I5"/>
    <mergeCell ref="J5:L5"/>
    <mergeCell ref="M5:N5"/>
    <mergeCell ref="H6:I6"/>
  </mergeCells>
  <pageMargins left="0.7" right="0.7" top="0.75" bottom="0.75" header="0.3" footer="0.3"/>
  <pageSetup scale="56"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2"/>
  <sheetViews>
    <sheetView workbookViewId="0">
      <selection activeCell="B26" sqref="B26"/>
    </sheetView>
  </sheetViews>
  <sheetFormatPr defaultRowHeight="15" x14ac:dyDescent="0.25"/>
  <cols>
    <col min="1" max="1" width="2.42578125" customWidth="1"/>
    <col min="2" max="2" width="31.140625" bestFit="1" customWidth="1"/>
  </cols>
  <sheetData>
    <row r="2" spans="2:5" ht="36.75" customHeight="1" x14ac:dyDescent="0.3">
      <c r="B2" s="368" t="s">
        <v>213</v>
      </c>
      <c r="C2" s="353"/>
      <c r="D2" s="353"/>
      <c r="E2" s="353"/>
    </row>
    <row r="3" spans="2:5" ht="18.75" x14ac:dyDescent="0.3">
      <c r="B3" s="353" t="s">
        <v>150</v>
      </c>
      <c r="C3" s="353"/>
      <c r="D3" s="353"/>
      <c r="E3" s="353"/>
    </row>
    <row r="4" spans="2:5" ht="9" customHeight="1" thickBot="1" x14ac:dyDescent="0.3"/>
    <row r="5" spans="2:5" ht="45" x14ac:dyDescent="0.25">
      <c r="B5" s="237" t="s">
        <v>126</v>
      </c>
      <c r="C5" s="238" t="s">
        <v>47</v>
      </c>
      <c r="D5" s="369" t="s">
        <v>185</v>
      </c>
      <c r="E5" s="370"/>
    </row>
    <row r="6" spans="2:5" x14ac:dyDescent="0.25">
      <c r="B6" s="4"/>
      <c r="C6" s="227" t="s">
        <v>36</v>
      </c>
      <c r="D6" s="228" t="s">
        <v>49</v>
      </c>
      <c r="E6" s="229" t="s">
        <v>50</v>
      </c>
    </row>
    <row r="7" spans="2:5" x14ac:dyDescent="0.25">
      <c r="B7" s="4" t="s">
        <v>6</v>
      </c>
      <c r="C7" s="235">
        <f>Decoupling!G31</f>
        <v>27.524386</v>
      </c>
      <c r="D7" s="236">
        <f>Decoupling!H31</f>
        <v>2.8558745552581324E-2</v>
      </c>
      <c r="E7" s="148"/>
    </row>
    <row r="8" spans="2:5" x14ac:dyDescent="0.25">
      <c r="B8" s="4" t="s">
        <v>191</v>
      </c>
      <c r="C8" s="235">
        <f>'2016 RRRP Rate Design'!I11</f>
        <v>23.524386</v>
      </c>
      <c r="D8" s="236">
        <f>'2016 RRRP Rate Design'!J11</f>
        <v>3.3059120000000004E-2</v>
      </c>
      <c r="E8" s="148"/>
    </row>
    <row r="9" spans="2:5" x14ac:dyDescent="0.25">
      <c r="B9" s="4" t="s">
        <v>7</v>
      </c>
      <c r="C9" s="235">
        <f>'2016 RRRP Rate Design'!I12</f>
        <v>605.57655700000009</v>
      </c>
      <c r="D9" s="236"/>
      <c r="E9" s="239">
        <f>'2016 RRRP Rate Design'!J12</f>
        <v>3.1376934900000002</v>
      </c>
    </row>
    <row r="10" spans="2:5" x14ac:dyDescent="0.25">
      <c r="B10" s="4" t="s">
        <v>8</v>
      </c>
      <c r="C10" s="235">
        <f>'2016 Non-RRRP Rate Design'!I7</f>
        <v>30.267560788069275</v>
      </c>
      <c r="D10" s="236">
        <f>'2016 Non-RRRP Rate Design'!J7</f>
        <v>0.16293649620643555</v>
      </c>
      <c r="E10" s="239"/>
    </row>
    <row r="11" spans="2:5" x14ac:dyDescent="0.25">
      <c r="B11" s="4" t="s">
        <v>9</v>
      </c>
      <c r="C11" s="235">
        <f>'2016 Non-RRRP Rate Design'!I8</f>
        <v>1.3349676653569089</v>
      </c>
      <c r="D11" s="236">
        <f>'2016 Non-RRRP Rate Design'!J8</f>
        <v>0.21538269925003573</v>
      </c>
      <c r="E11" s="239"/>
    </row>
    <row r="12" spans="2:5" ht="15.75" thickBot="1" x14ac:dyDescent="0.3">
      <c r="B12" s="7" t="s">
        <v>186</v>
      </c>
      <c r="C12" s="240">
        <v>5.4</v>
      </c>
      <c r="D12" s="10"/>
      <c r="E12" s="241"/>
    </row>
  </sheetData>
  <mergeCells count="3">
    <mergeCell ref="B2:E2"/>
    <mergeCell ref="B3:E3"/>
    <mergeCell ref="D5:E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workbookViewId="0">
      <selection activeCell="L9" sqref="L9"/>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48" t="s">
        <v>192</v>
      </c>
      <c r="C3" s="248"/>
      <c r="D3" s="248"/>
      <c r="E3" s="248"/>
      <c r="F3" s="248"/>
      <c r="G3" s="248"/>
      <c r="H3" s="248"/>
      <c r="I3" s="248"/>
    </row>
    <row r="5" spans="2:9" ht="75" x14ac:dyDescent="0.25">
      <c r="B5" s="14" t="s">
        <v>11</v>
      </c>
      <c r="C5" s="15" t="s">
        <v>12</v>
      </c>
      <c r="D5" s="15" t="s">
        <v>13</v>
      </c>
      <c r="E5" s="15" t="s">
        <v>14</v>
      </c>
      <c r="F5" s="16" t="s">
        <v>15</v>
      </c>
      <c r="G5" s="16" t="s">
        <v>16</v>
      </c>
      <c r="H5" s="16" t="s">
        <v>17</v>
      </c>
      <c r="I5" s="16" t="s">
        <v>18</v>
      </c>
    </row>
    <row r="6" spans="2:9" x14ac:dyDescent="0.25">
      <c r="B6" s="249" t="s">
        <v>19</v>
      </c>
      <c r="C6" s="250"/>
      <c r="D6" s="250"/>
      <c r="E6" s="250"/>
      <c r="F6" s="250"/>
      <c r="G6" s="250"/>
      <c r="H6" s="250"/>
      <c r="I6" s="251"/>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49" t="s">
        <v>25</v>
      </c>
      <c r="C13" s="250"/>
      <c r="D13" s="250"/>
      <c r="E13" s="250"/>
      <c r="F13" s="250"/>
      <c r="G13" s="250"/>
      <c r="H13" s="250"/>
      <c r="I13" s="251"/>
    </row>
    <row r="14" spans="2:9" ht="75"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49" t="s">
        <v>27</v>
      </c>
      <c r="C21" s="250"/>
      <c r="D21" s="250"/>
      <c r="E21" s="250"/>
      <c r="F21" s="250"/>
      <c r="G21" s="250"/>
      <c r="H21" s="250"/>
      <c r="I21" s="251"/>
    </row>
    <row r="22" spans="2:9" ht="45"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52" t="s">
        <v>28</v>
      </c>
      <c r="D26" s="253"/>
      <c r="E26" s="253"/>
      <c r="F26" s="253"/>
      <c r="G26" s="253"/>
      <c r="H26" s="253"/>
      <c r="I26" s="254"/>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B31" sqref="B31"/>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48" t="s">
        <v>193</v>
      </c>
      <c r="C2" s="248"/>
      <c r="D2" s="248"/>
      <c r="E2" s="248"/>
      <c r="F2" s="248"/>
      <c r="G2" s="248"/>
      <c r="H2" s="248"/>
      <c r="I2" s="248"/>
      <c r="J2" s="248"/>
      <c r="K2" s="248"/>
    </row>
    <row r="3" spans="2:13" ht="15.75" thickBot="1" x14ac:dyDescent="0.3">
      <c r="C3" s="13"/>
    </row>
    <row r="4" spans="2:13" ht="16.5" thickBot="1" x14ac:dyDescent="0.3">
      <c r="B4" s="270"/>
      <c r="C4" s="271"/>
      <c r="D4" s="271"/>
      <c r="E4" s="272" t="s">
        <v>40</v>
      </c>
      <c r="F4" s="273"/>
      <c r="G4" s="274"/>
      <c r="H4" s="37"/>
      <c r="I4" s="275" t="s">
        <v>149</v>
      </c>
      <c r="J4" s="276"/>
      <c r="K4" s="277"/>
      <c r="M4" s="269" t="s">
        <v>187</v>
      </c>
    </row>
    <row r="5" spans="2:13" ht="16.5" thickBot="1" x14ac:dyDescent="0.3">
      <c r="B5" s="38"/>
      <c r="C5" s="39"/>
      <c r="D5" s="40"/>
      <c r="E5" s="278" t="s">
        <v>39</v>
      </c>
      <c r="F5" s="279"/>
      <c r="G5" s="280"/>
      <c r="H5" s="41"/>
      <c r="I5" s="278" t="s">
        <v>150</v>
      </c>
      <c r="J5" s="279"/>
      <c r="K5" s="280"/>
      <c r="M5" s="269"/>
    </row>
    <row r="6" spans="2:13" ht="16.5" thickBot="1" x14ac:dyDescent="0.3">
      <c r="B6" s="255" t="s">
        <v>41</v>
      </c>
      <c r="C6" s="256"/>
      <c r="D6" s="256"/>
      <c r="E6" s="257" t="s">
        <v>42</v>
      </c>
      <c r="F6" s="258"/>
      <c r="G6" s="259"/>
      <c r="H6" s="41"/>
      <c r="I6" s="260" t="s">
        <v>43</v>
      </c>
      <c r="J6" s="261"/>
      <c r="K6" s="262"/>
      <c r="M6" s="157"/>
    </row>
    <row r="7" spans="2:13" ht="43.5" customHeight="1" x14ac:dyDescent="0.25">
      <c r="B7" s="42" t="s">
        <v>44</v>
      </c>
      <c r="C7" s="43" t="s">
        <v>45</v>
      </c>
      <c r="D7" s="44"/>
      <c r="E7" s="263" t="s">
        <v>46</v>
      </c>
      <c r="F7" s="264"/>
      <c r="G7" s="265"/>
      <c r="H7" s="41"/>
      <c r="I7" s="266" t="s">
        <v>148</v>
      </c>
      <c r="J7" s="267"/>
      <c r="K7" s="268"/>
      <c r="M7" s="157"/>
    </row>
    <row r="8" spans="2:13" x14ac:dyDescent="0.25">
      <c r="B8" s="42" t="s">
        <v>6</v>
      </c>
      <c r="C8" s="45"/>
      <c r="D8" s="46"/>
      <c r="E8" s="49"/>
      <c r="F8" s="47"/>
      <c r="G8" s="48"/>
      <c r="H8" s="41"/>
      <c r="I8" s="49"/>
      <c r="J8" s="50"/>
      <c r="K8" s="48"/>
      <c r="M8" s="157"/>
    </row>
    <row r="9" spans="2:13" x14ac:dyDescent="0.25">
      <c r="B9" s="4" t="s">
        <v>47</v>
      </c>
      <c r="C9" s="45" t="s">
        <v>36</v>
      </c>
      <c r="D9" s="51"/>
      <c r="E9" s="232"/>
      <c r="F9" s="52">
        <v>23.34</v>
      </c>
      <c r="G9" s="48"/>
      <c r="H9" s="41"/>
      <c r="I9" s="53"/>
      <c r="J9" s="54">
        <f>'Proposed Rates'!C7</f>
        <v>27.524386</v>
      </c>
      <c r="K9" s="55"/>
      <c r="M9" s="213">
        <f>(J9-F9)/F9</f>
        <v>0.17927960582690661</v>
      </c>
    </row>
    <row r="10" spans="2:13" x14ac:dyDescent="0.25">
      <c r="B10" s="4" t="s">
        <v>48</v>
      </c>
      <c r="C10" s="45" t="s">
        <v>49</v>
      </c>
      <c r="D10" s="56"/>
      <c r="E10" s="232"/>
      <c r="F10" s="57">
        <v>3.2800000000000003E-2</v>
      </c>
      <c r="G10" s="48"/>
      <c r="H10" s="41"/>
      <c r="I10" s="49"/>
      <c r="J10" s="57">
        <f>'Proposed Rates'!D7</f>
        <v>2.8558745552581324E-2</v>
      </c>
      <c r="K10" s="48"/>
      <c r="M10" s="213">
        <f>(J10-F10)/F10</f>
        <v>-0.12930653803105727</v>
      </c>
    </row>
    <row r="11" spans="2:13" x14ac:dyDescent="0.25">
      <c r="B11" s="4"/>
      <c r="C11" s="214"/>
      <c r="D11" s="56"/>
      <c r="E11" s="232"/>
      <c r="F11" s="57"/>
      <c r="G11" s="48"/>
      <c r="H11" s="41"/>
      <c r="I11" s="49"/>
      <c r="J11" s="57"/>
      <c r="K11" s="48"/>
      <c r="M11" s="213"/>
    </row>
    <row r="12" spans="2:13" x14ac:dyDescent="0.25">
      <c r="B12" s="42" t="s">
        <v>191</v>
      </c>
      <c r="C12" s="214"/>
      <c r="D12" s="56"/>
      <c r="E12" s="232"/>
      <c r="F12" s="57">
        <v>23.34</v>
      </c>
      <c r="G12" s="48"/>
      <c r="H12" s="41"/>
      <c r="I12" s="49"/>
      <c r="J12" s="54">
        <f>'Proposed Rates'!C8</f>
        <v>23.524386</v>
      </c>
      <c r="K12" s="48"/>
      <c r="M12" s="213">
        <f>(J12-F12)/F12</f>
        <v>7.8999999999999973E-3</v>
      </c>
    </row>
    <row r="13" spans="2:13" x14ac:dyDescent="0.25">
      <c r="B13" s="4" t="s">
        <v>47</v>
      </c>
      <c r="C13" s="214"/>
      <c r="D13" s="56"/>
      <c r="E13" s="232"/>
      <c r="F13" s="57">
        <v>3.2800000000000003E-2</v>
      </c>
      <c r="G13" s="48"/>
      <c r="H13" s="41"/>
      <c r="I13" s="49"/>
      <c r="J13" s="57">
        <f>'Proposed Rates'!D8</f>
        <v>3.3059120000000004E-2</v>
      </c>
      <c r="K13" s="48"/>
      <c r="M13" s="213">
        <f>(J13-F13)/F13</f>
        <v>7.9000000000000476E-3</v>
      </c>
    </row>
    <row r="14" spans="2:13" x14ac:dyDescent="0.25">
      <c r="B14" s="4" t="s">
        <v>48</v>
      </c>
      <c r="C14" s="214"/>
      <c r="D14" s="56"/>
      <c r="E14" s="232"/>
      <c r="F14" s="57"/>
      <c r="G14" s="48"/>
      <c r="H14" s="41"/>
      <c r="I14" s="49"/>
      <c r="J14" s="57"/>
      <c r="K14" s="48"/>
      <c r="M14" s="213"/>
    </row>
    <row r="15" spans="2:13" x14ac:dyDescent="0.25">
      <c r="B15" s="4"/>
      <c r="C15" s="45"/>
      <c r="D15" s="46"/>
      <c r="E15" s="49"/>
      <c r="F15" s="50"/>
      <c r="G15" s="48"/>
      <c r="H15" s="41"/>
      <c r="I15" s="49"/>
      <c r="J15" s="50"/>
      <c r="K15" s="48"/>
      <c r="M15" s="156"/>
    </row>
    <row r="16" spans="2:13" x14ac:dyDescent="0.25">
      <c r="B16" s="42" t="s">
        <v>7</v>
      </c>
      <c r="C16" s="45"/>
      <c r="D16" s="46"/>
      <c r="E16" s="49"/>
      <c r="F16" s="50"/>
      <c r="G16" s="48"/>
      <c r="H16" s="41"/>
      <c r="I16" s="49"/>
      <c r="J16" s="50"/>
      <c r="K16" s="48"/>
      <c r="M16" s="156"/>
    </row>
    <row r="17" spans="2:13" x14ac:dyDescent="0.25">
      <c r="B17" s="4" t="s">
        <v>47</v>
      </c>
      <c r="C17" s="45" t="s">
        <v>36</v>
      </c>
      <c r="D17" s="51"/>
      <c r="E17" s="232"/>
      <c r="F17" s="58">
        <v>600.83000000000004</v>
      </c>
      <c r="G17" s="48"/>
      <c r="H17" s="41"/>
      <c r="I17" s="49"/>
      <c r="J17" s="52">
        <f>'Proposed Rates'!C9</f>
        <v>605.57655700000009</v>
      </c>
      <c r="K17" s="48"/>
      <c r="M17" s="213">
        <f t="shared" ref="M17:M18" si="0">(J17-F17)/F17</f>
        <v>7.9000000000000875E-3</v>
      </c>
    </row>
    <row r="18" spans="2:13" x14ac:dyDescent="0.25">
      <c r="B18" s="4" t="s">
        <v>48</v>
      </c>
      <c r="C18" s="45" t="s">
        <v>50</v>
      </c>
      <c r="D18" s="56"/>
      <c r="E18" s="232"/>
      <c r="F18" s="57">
        <v>3.1131000000000002</v>
      </c>
      <c r="G18" s="48"/>
      <c r="H18" s="41"/>
      <c r="I18" s="49"/>
      <c r="J18" s="57">
        <f>'Proposed Rates'!E9</f>
        <v>3.1376934900000002</v>
      </c>
      <c r="K18" s="48"/>
      <c r="M18" s="213">
        <f t="shared" si="0"/>
        <v>7.8999999999999973E-3</v>
      </c>
    </row>
    <row r="19" spans="2:13" x14ac:dyDescent="0.25">
      <c r="B19" s="4"/>
      <c r="C19" s="45"/>
      <c r="D19" s="46"/>
      <c r="E19" s="49"/>
      <c r="F19" s="50"/>
      <c r="G19" s="48"/>
      <c r="H19" s="41"/>
      <c r="I19" s="49"/>
      <c r="J19" s="50"/>
      <c r="K19" s="48"/>
      <c r="M19" s="156"/>
    </row>
    <row r="20" spans="2:13" x14ac:dyDescent="0.25">
      <c r="B20" s="42" t="s">
        <v>8</v>
      </c>
      <c r="C20" s="45"/>
      <c r="D20" s="46"/>
      <c r="E20" s="49"/>
      <c r="F20" s="50"/>
      <c r="G20" s="48"/>
      <c r="H20" s="41"/>
      <c r="I20" s="49"/>
      <c r="J20" s="50"/>
      <c r="K20" s="48"/>
      <c r="M20" s="156"/>
    </row>
    <row r="21" spans="2:13" x14ac:dyDescent="0.25">
      <c r="B21" s="4" t="s">
        <v>47</v>
      </c>
      <c r="C21" s="45" t="s">
        <v>36</v>
      </c>
      <c r="D21" s="51"/>
      <c r="E21" s="232"/>
      <c r="F21" s="58">
        <v>27.15</v>
      </c>
      <c r="G21" s="48"/>
      <c r="H21" s="41"/>
      <c r="I21" s="49"/>
      <c r="J21" s="58">
        <f>'Proposed Rates'!C10</f>
        <v>30.267560788069275</v>
      </c>
      <c r="K21" s="48"/>
      <c r="M21" s="213">
        <f t="shared" ref="M21:M22" si="1">(J21-F21)/F21</f>
        <v>0.11482728501175973</v>
      </c>
    </row>
    <row r="22" spans="2:13" x14ac:dyDescent="0.25">
      <c r="B22" s="4" t="s">
        <v>48</v>
      </c>
      <c r="C22" s="45" t="s">
        <v>49</v>
      </c>
      <c r="D22" s="56"/>
      <c r="E22" s="232"/>
      <c r="F22" s="57">
        <v>0.1462</v>
      </c>
      <c r="G22" s="48"/>
      <c r="H22" s="41"/>
      <c r="I22" s="49"/>
      <c r="J22" s="57">
        <f>'Proposed Rates'!D10</f>
        <v>0.16293649620643555</v>
      </c>
      <c r="K22" s="48"/>
      <c r="M22" s="213">
        <f t="shared" si="1"/>
        <v>0.11447671823827328</v>
      </c>
    </row>
    <row r="23" spans="2:13" x14ac:dyDescent="0.25">
      <c r="B23" s="4"/>
      <c r="C23" s="45"/>
      <c r="D23" s="46"/>
      <c r="E23" s="49"/>
      <c r="F23" s="50"/>
      <c r="G23" s="48"/>
      <c r="H23" s="41"/>
      <c r="I23" s="49"/>
      <c r="J23" s="50"/>
      <c r="K23" s="48"/>
      <c r="M23" s="156"/>
    </row>
    <row r="24" spans="2:13" x14ac:dyDescent="0.25">
      <c r="B24" s="42" t="s">
        <v>9</v>
      </c>
      <c r="C24" s="45"/>
      <c r="D24" s="46"/>
      <c r="E24" s="49"/>
      <c r="F24" s="50"/>
      <c r="G24" s="48"/>
      <c r="H24" s="41"/>
      <c r="I24" s="49"/>
      <c r="J24" s="50"/>
      <c r="K24" s="48"/>
      <c r="M24" s="156"/>
    </row>
    <row r="25" spans="2:13" x14ac:dyDescent="0.25">
      <c r="B25" s="59" t="s">
        <v>47</v>
      </c>
      <c r="C25" s="45" t="s">
        <v>36</v>
      </c>
      <c r="D25" s="51"/>
      <c r="E25" s="232"/>
      <c r="F25" s="58">
        <v>1.1000000000000001</v>
      </c>
      <c r="G25" s="48"/>
      <c r="H25" s="41"/>
      <c r="I25" s="49"/>
      <c r="J25" s="58">
        <f>'Proposed Rates'!C11</f>
        <v>1.3349676653569089</v>
      </c>
      <c r="K25" s="48"/>
      <c r="M25" s="213">
        <f t="shared" ref="M25:M26" si="2">(J25-F25)/F25</f>
        <v>0.21360696850628075</v>
      </c>
    </row>
    <row r="26" spans="2:13" x14ac:dyDescent="0.25">
      <c r="B26" s="4" t="s">
        <v>48</v>
      </c>
      <c r="C26" s="45" t="s">
        <v>49</v>
      </c>
      <c r="D26" s="56"/>
      <c r="E26" s="232"/>
      <c r="F26" s="57">
        <v>0.1767</v>
      </c>
      <c r="G26" s="48"/>
      <c r="H26" s="41"/>
      <c r="I26" s="49"/>
      <c r="J26" s="57">
        <f>'Proposed Rates'!D11</f>
        <v>0.21538269925003573</v>
      </c>
      <c r="K26" s="48"/>
      <c r="M26" s="213">
        <f t="shared" si="2"/>
        <v>0.21891736983608223</v>
      </c>
    </row>
    <row r="27" spans="2:13" x14ac:dyDescent="0.25">
      <c r="B27" s="4"/>
      <c r="C27" s="45"/>
      <c r="D27" s="46"/>
      <c r="E27" s="49"/>
      <c r="F27" s="50"/>
      <c r="G27" s="48"/>
      <c r="H27" s="41"/>
      <c r="I27" s="49"/>
      <c r="J27" s="50"/>
      <c r="K27" s="48"/>
      <c r="M27" s="156"/>
    </row>
    <row r="28" spans="2:13" ht="15.75" thickBot="1" x14ac:dyDescent="0.3">
      <c r="B28" s="60" t="s">
        <v>51</v>
      </c>
      <c r="C28" s="61" t="s">
        <v>36</v>
      </c>
      <c r="D28" s="62"/>
      <c r="E28" s="233"/>
      <c r="F28" s="63">
        <v>13757205</v>
      </c>
      <c r="G28" s="64"/>
      <c r="H28" s="65"/>
      <c r="I28" s="66"/>
      <c r="J28" s="63">
        <f>'2016 RRRP Rate Design'!M15</f>
        <v>13646151.458476109</v>
      </c>
      <c r="K28" s="64"/>
      <c r="M28" s="213">
        <f>(J28-F28)/F28</f>
        <v>-8.0723912687126909E-3</v>
      </c>
    </row>
  </sheetData>
  <mergeCells count="12">
    <mergeCell ref="M4:M5"/>
    <mergeCell ref="B2:K2"/>
    <mergeCell ref="B4:D4"/>
    <mergeCell ref="E4:G4"/>
    <mergeCell ref="I4:K4"/>
    <mergeCell ref="E5:G5"/>
    <mergeCell ref="I5:K5"/>
    <mergeCell ref="B6:D6"/>
    <mergeCell ref="E6:G6"/>
    <mergeCell ref="I6:K6"/>
    <mergeCell ref="E7:G7"/>
    <mergeCell ref="I7:K7"/>
  </mergeCells>
  <pageMargins left="0.7" right="0.7" top="0.75" bottom="0.75" header="0.3" footer="0.3"/>
  <pageSetup scale="77"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topLeftCell="A18" workbookViewId="0">
      <selection activeCell="A39" sqref="A39"/>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284" t="s">
        <v>194</v>
      </c>
      <c r="B1" s="284"/>
      <c r="C1" s="284"/>
      <c r="D1" s="284"/>
      <c r="E1" s="284"/>
      <c r="F1" s="67"/>
      <c r="G1" s="67"/>
      <c r="H1" s="67"/>
      <c r="I1" s="67"/>
      <c r="J1" s="67"/>
      <c r="K1" s="67"/>
      <c r="L1" s="67"/>
      <c r="M1" s="67"/>
      <c r="N1" s="67"/>
      <c r="O1" s="67"/>
    </row>
    <row r="2" spans="1:15" ht="20.25" x14ac:dyDescent="0.3">
      <c r="A2" s="68" t="s">
        <v>52</v>
      </c>
      <c r="B2" s="69"/>
      <c r="C2" s="70"/>
      <c r="D2" s="70"/>
      <c r="E2" s="71"/>
      <c r="F2" s="67"/>
      <c r="G2" s="67"/>
      <c r="H2" s="67"/>
      <c r="I2" s="67"/>
      <c r="J2" s="67"/>
      <c r="K2" s="67"/>
      <c r="L2" s="67"/>
      <c r="M2" s="67"/>
      <c r="N2" s="67"/>
      <c r="O2" s="67"/>
    </row>
    <row r="3" spans="1:15" x14ac:dyDescent="0.25">
      <c r="A3" s="72"/>
      <c r="B3" s="72"/>
      <c r="C3" s="73"/>
      <c r="D3" s="73"/>
      <c r="E3" s="72"/>
      <c r="F3" s="72"/>
      <c r="G3" s="72"/>
      <c r="H3" s="72"/>
      <c r="I3" s="72"/>
      <c r="J3" s="72"/>
      <c r="K3" s="72"/>
      <c r="L3" s="72"/>
      <c r="M3" s="72"/>
      <c r="N3" s="72"/>
      <c r="O3" s="72"/>
    </row>
    <row r="4" spans="1:15" x14ac:dyDescent="0.25">
      <c r="A4" s="74"/>
      <c r="B4" s="75"/>
      <c r="C4" s="75"/>
      <c r="D4" s="75"/>
      <c r="E4" s="75"/>
      <c r="F4" s="75"/>
      <c r="G4" s="75"/>
      <c r="H4" s="75"/>
      <c r="I4" s="75"/>
      <c r="J4" s="75"/>
      <c r="K4" s="75"/>
      <c r="L4" s="75"/>
      <c r="M4" s="76"/>
      <c r="N4" s="76"/>
      <c r="O4" s="76"/>
    </row>
    <row r="5" spans="1:15" ht="15.75" thickBot="1" x14ac:dyDescent="0.3">
      <c r="A5" s="77"/>
      <c r="B5" s="78"/>
      <c r="C5" s="285"/>
      <c r="D5" s="285"/>
      <c r="E5" s="285"/>
      <c r="F5" s="285"/>
      <c r="G5" s="285"/>
      <c r="H5" s="285"/>
      <c r="I5" s="285"/>
      <c r="J5" s="285"/>
      <c r="K5" s="285"/>
      <c r="L5" s="285"/>
      <c r="M5" s="76"/>
      <c r="N5" s="76"/>
      <c r="O5" s="76"/>
    </row>
    <row r="6" spans="1:15" x14ac:dyDescent="0.25">
      <c r="A6" s="79"/>
      <c r="B6" s="80"/>
      <c r="C6" s="81"/>
      <c r="D6" s="82">
        <v>1</v>
      </c>
      <c r="E6" s="82">
        <v>2</v>
      </c>
      <c r="F6" s="82">
        <v>3</v>
      </c>
      <c r="G6" s="82">
        <v>4</v>
      </c>
      <c r="H6" s="82">
        <v>5</v>
      </c>
      <c r="I6" s="82">
        <v>6</v>
      </c>
      <c r="J6" s="82">
        <v>7</v>
      </c>
      <c r="K6" s="82">
        <v>8</v>
      </c>
      <c r="L6" s="82">
        <v>9</v>
      </c>
      <c r="M6" s="82">
        <v>10</v>
      </c>
      <c r="N6" s="82">
        <v>11</v>
      </c>
      <c r="O6" s="82">
        <v>12</v>
      </c>
    </row>
    <row r="7" spans="1:15" ht="51.75" thickBot="1" x14ac:dyDescent="0.3">
      <c r="A7" s="83" t="s">
        <v>53</v>
      </c>
      <c r="B7" s="84"/>
      <c r="C7" s="85" t="s">
        <v>54</v>
      </c>
      <c r="D7" s="86" t="s">
        <v>55</v>
      </c>
      <c r="E7" s="86" t="s">
        <v>56</v>
      </c>
      <c r="F7" s="86" t="s">
        <v>57</v>
      </c>
      <c r="G7" s="86" t="s">
        <v>58</v>
      </c>
      <c r="H7" s="86" t="s">
        <v>59</v>
      </c>
      <c r="I7" s="86" t="s">
        <v>60</v>
      </c>
      <c r="J7" s="86" t="s">
        <v>61</v>
      </c>
      <c r="K7" s="86" t="s">
        <v>62</v>
      </c>
      <c r="L7" s="86" t="s">
        <v>63</v>
      </c>
      <c r="M7" s="86" t="s">
        <v>64</v>
      </c>
      <c r="N7" s="86" t="s">
        <v>65</v>
      </c>
      <c r="O7" s="86" t="s">
        <v>8</v>
      </c>
    </row>
    <row r="8" spans="1:15" x14ac:dyDescent="0.25">
      <c r="A8" s="87" t="s">
        <v>66</v>
      </c>
      <c r="B8" s="88" t="s">
        <v>67</v>
      </c>
      <c r="C8" s="89">
        <v>20478676.201099999</v>
      </c>
      <c r="D8" s="90">
        <v>14900659.6505</v>
      </c>
      <c r="E8" s="90">
        <v>3674440.8198000002</v>
      </c>
      <c r="F8" s="90">
        <v>0</v>
      </c>
      <c r="G8" s="90">
        <v>0</v>
      </c>
      <c r="H8" s="90">
        <v>0</v>
      </c>
      <c r="I8" s="90">
        <v>0</v>
      </c>
      <c r="J8" s="90">
        <v>139696.788</v>
      </c>
      <c r="K8" s="90">
        <v>0</v>
      </c>
      <c r="L8" s="90">
        <v>0</v>
      </c>
      <c r="M8" s="90">
        <v>0</v>
      </c>
      <c r="N8" s="90">
        <v>0</v>
      </c>
      <c r="O8" s="90">
        <v>1763878.9427999998</v>
      </c>
    </row>
    <row r="9" spans="1:15" x14ac:dyDescent="0.25">
      <c r="A9" s="87" t="s">
        <v>68</v>
      </c>
      <c r="B9" s="88" t="s">
        <v>69</v>
      </c>
      <c r="C9" s="91">
        <v>466757.64</v>
      </c>
      <c r="D9" s="92">
        <v>292845.03390436457</v>
      </c>
      <c r="E9" s="92">
        <v>75826.547480141744</v>
      </c>
      <c r="F9" s="92">
        <v>0</v>
      </c>
      <c r="G9" s="92">
        <v>0</v>
      </c>
      <c r="H9" s="92">
        <v>0</v>
      </c>
      <c r="I9" s="92">
        <v>0</v>
      </c>
      <c r="J9" s="92">
        <v>18777.981852369074</v>
      </c>
      <c r="K9" s="92">
        <v>0</v>
      </c>
      <c r="L9" s="92">
        <v>0</v>
      </c>
      <c r="M9" s="92">
        <v>0</v>
      </c>
      <c r="N9" s="92">
        <v>0</v>
      </c>
      <c r="O9" s="92">
        <v>79308.076763124598</v>
      </c>
    </row>
    <row r="10" spans="1:15" ht="15.75" thickBot="1" x14ac:dyDescent="0.3">
      <c r="A10" s="87"/>
      <c r="B10" s="88"/>
      <c r="C10" s="286" t="s">
        <v>70</v>
      </c>
      <c r="D10" s="287"/>
      <c r="E10" s="287"/>
      <c r="F10" s="288"/>
      <c r="G10" s="92"/>
      <c r="H10" s="92"/>
      <c r="I10" s="92"/>
      <c r="J10" s="92"/>
      <c r="K10" s="92"/>
      <c r="L10" s="92"/>
      <c r="M10" s="93"/>
      <c r="N10" s="93"/>
      <c r="O10" s="93"/>
    </row>
    <row r="11" spans="1:15" ht="15.75" thickBot="1" x14ac:dyDescent="0.3">
      <c r="A11" s="87"/>
      <c r="B11" s="94" t="s">
        <v>71</v>
      </c>
      <c r="C11" s="95">
        <v>20945433.8411</v>
      </c>
      <c r="D11" s="96">
        <v>15193504.684404364</v>
      </c>
      <c r="E11" s="96">
        <v>3750267.3672801419</v>
      </c>
      <c r="F11" s="96">
        <v>0</v>
      </c>
      <c r="G11" s="96">
        <v>0</v>
      </c>
      <c r="H11" s="96">
        <v>0</v>
      </c>
      <c r="I11" s="96">
        <v>0</v>
      </c>
      <c r="J11" s="96">
        <v>158474.76985236906</v>
      </c>
      <c r="K11" s="96">
        <v>0</v>
      </c>
      <c r="L11" s="96">
        <v>0</v>
      </c>
      <c r="M11" s="96">
        <v>0</v>
      </c>
      <c r="N11" s="96">
        <v>0</v>
      </c>
      <c r="O11" s="96">
        <v>1843187.0195631245</v>
      </c>
    </row>
    <row r="12" spans="1:15" ht="16.5" thickTop="1" thickBot="1" x14ac:dyDescent="0.3">
      <c r="A12" s="87"/>
      <c r="B12" s="88" t="s">
        <v>72</v>
      </c>
      <c r="C12" s="97">
        <v>1.1141433338983067</v>
      </c>
      <c r="D12" s="92"/>
      <c r="E12" s="92"/>
      <c r="F12" s="92"/>
      <c r="G12" s="92"/>
      <c r="H12" s="92"/>
      <c r="I12" s="92"/>
      <c r="J12" s="92"/>
      <c r="K12" s="92"/>
      <c r="L12" s="92"/>
      <c r="M12" s="98"/>
      <c r="N12" s="98"/>
      <c r="O12" s="98"/>
    </row>
    <row r="13" spans="1:15" x14ac:dyDescent="0.25">
      <c r="A13" s="87"/>
      <c r="B13" s="88" t="s">
        <v>73</v>
      </c>
      <c r="C13" s="89">
        <v>22816180.576517463</v>
      </c>
      <c r="D13" s="90">
        <v>16601470.620292047</v>
      </c>
      <c r="E13" s="90">
        <v>4093853.7451839992</v>
      </c>
      <c r="F13" s="90">
        <v>0</v>
      </c>
      <c r="G13" s="90">
        <v>0</v>
      </c>
      <c r="H13" s="90">
        <v>0</v>
      </c>
      <c r="I13" s="90">
        <v>0</v>
      </c>
      <c r="J13" s="90">
        <v>155642.24511720496</v>
      </c>
      <c r="K13" s="90">
        <v>0</v>
      </c>
      <c r="L13" s="90">
        <v>0</v>
      </c>
      <c r="M13" s="90">
        <v>0</v>
      </c>
      <c r="N13" s="90">
        <v>0</v>
      </c>
      <c r="O13" s="90">
        <v>1965213.9659242125</v>
      </c>
    </row>
    <row r="14" spans="1:15" ht="15.75" thickBot="1" x14ac:dyDescent="0.3">
      <c r="A14" s="87"/>
      <c r="B14" s="88" t="s">
        <v>69</v>
      </c>
      <c r="C14" s="99">
        <v>466757.64</v>
      </c>
      <c r="D14" s="93">
        <v>292845.03390436457</v>
      </c>
      <c r="E14" s="93">
        <v>75826.547480141744</v>
      </c>
      <c r="F14" s="93">
        <v>0</v>
      </c>
      <c r="G14" s="93">
        <v>0</v>
      </c>
      <c r="H14" s="93">
        <v>0</v>
      </c>
      <c r="I14" s="93">
        <v>0</v>
      </c>
      <c r="J14" s="93">
        <v>18777.981852369074</v>
      </c>
      <c r="K14" s="93">
        <v>0</v>
      </c>
      <c r="L14" s="93">
        <v>0</v>
      </c>
      <c r="M14" s="93">
        <v>0</v>
      </c>
      <c r="N14" s="93">
        <v>0</v>
      </c>
      <c r="O14" s="93">
        <v>79308.076763124598</v>
      </c>
    </row>
    <row r="15" spans="1:15" ht="15.75" thickBot="1" x14ac:dyDescent="0.3">
      <c r="A15" s="87"/>
      <c r="B15" s="94" t="s">
        <v>74</v>
      </c>
      <c r="C15" s="95">
        <v>23282938.216517463</v>
      </c>
      <c r="D15" s="96">
        <v>16894315.654196411</v>
      </c>
      <c r="E15" s="96">
        <v>4169680.2926641409</v>
      </c>
      <c r="F15" s="96">
        <v>0</v>
      </c>
      <c r="G15" s="96">
        <v>0</v>
      </c>
      <c r="H15" s="96">
        <v>0</v>
      </c>
      <c r="I15" s="96">
        <v>0</v>
      </c>
      <c r="J15" s="96">
        <v>174420.22696957403</v>
      </c>
      <c r="K15" s="96">
        <v>0</v>
      </c>
      <c r="L15" s="96">
        <v>0</v>
      </c>
      <c r="M15" s="96">
        <v>0</v>
      </c>
      <c r="N15" s="96">
        <v>0</v>
      </c>
      <c r="O15" s="96">
        <v>2044522.0426873371</v>
      </c>
    </row>
    <row r="16" spans="1:15" ht="15.75" thickTop="1" x14ac:dyDescent="0.25">
      <c r="A16" s="87"/>
      <c r="B16" s="88"/>
      <c r="C16" s="100"/>
      <c r="D16" s="92"/>
      <c r="E16" s="92"/>
      <c r="F16" s="92"/>
      <c r="G16" s="92"/>
      <c r="H16" s="92"/>
      <c r="I16" s="92"/>
      <c r="J16" s="92"/>
      <c r="K16" s="92"/>
      <c r="L16" s="92"/>
      <c r="M16" s="98"/>
      <c r="N16" s="98"/>
      <c r="O16" s="98"/>
    </row>
    <row r="17" spans="1:15" x14ac:dyDescent="0.25">
      <c r="A17" s="87"/>
      <c r="B17" s="101" t="s">
        <v>75</v>
      </c>
      <c r="C17" s="100"/>
      <c r="D17" s="92"/>
      <c r="E17" s="92"/>
      <c r="F17" s="92"/>
      <c r="G17" s="92"/>
      <c r="H17" s="92"/>
      <c r="I17" s="92"/>
      <c r="J17" s="92"/>
      <c r="K17" s="92"/>
      <c r="L17" s="92"/>
      <c r="M17" s="98"/>
      <c r="N17" s="98"/>
      <c r="O17" s="98"/>
    </row>
    <row r="18" spans="1:15" x14ac:dyDescent="0.25">
      <c r="A18" s="87" t="s">
        <v>76</v>
      </c>
      <c r="B18" s="88" t="s">
        <v>77</v>
      </c>
      <c r="C18" s="100">
        <v>5795694.4399999995</v>
      </c>
      <c r="D18" s="92">
        <v>3667981.5955145527</v>
      </c>
      <c r="E18" s="92">
        <v>1069576.8758549565</v>
      </c>
      <c r="F18" s="92">
        <v>0</v>
      </c>
      <c r="G18" s="92">
        <v>0</v>
      </c>
      <c r="H18" s="92">
        <v>0</v>
      </c>
      <c r="I18" s="92">
        <v>0</v>
      </c>
      <c r="J18" s="92">
        <v>204322.5872712658</v>
      </c>
      <c r="K18" s="92">
        <v>0</v>
      </c>
      <c r="L18" s="92">
        <v>0</v>
      </c>
      <c r="M18" s="92">
        <v>0</v>
      </c>
      <c r="N18" s="92">
        <v>0</v>
      </c>
      <c r="O18" s="92">
        <v>853813.38135922479</v>
      </c>
    </row>
    <row r="19" spans="1:15" x14ac:dyDescent="0.25">
      <c r="A19" s="87" t="s">
        <v>78</v>
      </c>
      <c r="B19" s="88" t="s">
        <v>79</v>
      </c>
      <c r="C19" s="100">
        <v>2036392.2</v>
      </c>
      <c r="D19" s="92">
        <v>1507777.7390144041</v>
      </c>
      <c r="E19" s="92">
        <v>36643.730989477452</v>
      </c>
      <c r="F19" s="92">
        <v>0</v>
      </c>
      <c r="G19" s="92">
        <v>0</v>
      </c>
      <c r="H19" s="92">
        <v>0</v>
      </c>
      <c r="I19" s="92">
        <v>0</v>
      </c>
      <c r="J19" s="92">
        <v>9141.4340380565736</v>
      </c>
      <c r="K19" s="92">
        <v>0</v>
      </c>
      <c r="L19" s="92">
        <v>0</v>
      </c>
      <c r="M19" s="92">
        <v>0</v>
      </c>
      <c r="N19" s="92">
        <v>0</v>
      </c>
      <c r="O19" s="92">
        <v>482829.29595806188</v>
      </c>
    </row>
    <row r="20" spans="1:15" x14ac:dyDescent="0.25">
      <c r="A20" s="87" t="s">
        <v>80</v>
      </c>
      <c r="B20" s="88" t="s">
        <v>81</v>
      </c>
      <c r="C20" s="100">
        <v>4580592.120000001</v>
      </c>
      <c r="D20" s="92">
        <v>3023163.2103913883</v>
      </c>
      <c r="E20" s="92">
        <v>653755.69449001376</v>
      </c>
      <c r="F20" s="92">
        <v>0</v>
      </c>
      <c r="G20" s="92">
        <v>0</v>
      </c>
      <c r="H20" s="92">
        <v>0</v>
      </c>
      <c r="I20" s="92">
        <v>0</v>
      </c>
      <c r="J20" s="92">
        <v>125799.49132797636</v>
      </c>
      <c r="K20" s="92">
        <v>0</v>
      </c>
      <c r="L20" s="92">
        <v>0</v>
      </c>
      <c r="M20" s="92">
        <v>0</v>
      </c>
      <c r="N20" s="92">
        <v>0</v>
      </c>
      <c r="O20" s="92">
        <v>777873.72379062255</v>
      </c>
    </row>
    <row r="21" spans="1:15" x14ac:dyDescent="0.25">
      <c r="A21" s="87" t="s">
        <v>82</v>
      </c>
      <c r="B21" s="88" t="s">
        <v>83</v>
      </c>
      <c r="C21" s="102">
        <v>3899208.7288166666</v>
      </c>
      <c r="D21" s="103">
        <v>2504649.3798755757</v>
      </c>
      <c r="E21" s="103">
        <v>680360.02239908441</v>
      </c>
      <c r="F21" s="103">
        <v>0</v>
      </c>
      <c r="G21" s="103">
        <v>0</v>
      </c>
      <c r="H21" s="103">
        <v>0</v>
      </c>
      <c r="I21" s="103">
        <v>0</v>
      </c>
      <c r="J21" s="103">
        <v>123961.81817109598</v>
      </c>
      <c r="K21" s="103">
        <v>0</v>
      </c>
      <c r="L21" s="103">
        <v>0</v>
      </c>
      <c r="M21" s="103">
        <v>0</v>
      </c>
      <c r="N21" s="103">
        <v>0</v>
      </c>
      <c r="O21" s="103">
        <v>590237.508370911</v>
      </c>
    </row>
    <row r="22" spans="1:15" x14ac:dyDescent="0.25">
      <c r="A22" s="87" t="s">
        <v>84</v>
      </c>
      <c r="B22" s="88" t="s">
        <v>85</v>
      </c>
      <c r="C22" s="100">
        <v>409652.99999999988</v>
      </c>
      <c r="D22" s="92">
        <v>260408.60459714194</v>
      </c>
      <c r="E22" s="92">
        <v>75900.788251064529</v>
      </c>
      <c r="F22" s="92">
        <v>0</v>
      </c>
      <c r="G22" s="92">
        <v>0</v>
      </c>
      <c r="H22" s="92">
        <v>0</v>
      </c>
      <c r="I22" s="92">
        <v>0</v>
      </c>
      <c r="J22" s="92">
        <v>13697.426270472708</v>
      </c>
      <c r="K22" s="92">
        <v>0</v>
      </c>
      <c r="L22" s="92">
        <v>0</v>
      </c>
      <c r="M22" s="92">
        <v>0</v>
      </c>
      <c r="N22" s="92">
        <v>0</v>
      </c>
      <c r="O22" s="92">
        <v>59646.180881320761</v>
      </c>
    </row>
    <row r="23" spans="1:15" ht="15.75" thickBot="1" x14ac:dyDescent="0.3">
      <c r="A23" s="87" t="s">
        <v>86</v>
      </c>
      <c r="B23" s="88" t="s">
        <v>87</v>
      </c>
      <c r="C23" s="99">
        <v>2913125.6442608</v>
      </c>
      <c r="D23" s="93">
        <v>1851818.4513188116</v>
      </c>
      <c r="E23" s="93">
        <v>539745.91342864558</v>
      </c>
      <c r="F23" s="93">
        <v>0</v>
      </c>
      <c r="G23" s="93">
        <v>0</v>
      </c>
      <c r="H23" s="93">
        <v>0</v>
      </c>
      <c r="I23" s="93">
        <v>0</v>
      </c>
      <c r="J23" s="93">
        <v>97405.178843766858</v>
      </c>
      <c r="K23" s="93">
        <v>0</v>
      </c>
      <c r="L23" s="93">
        <v>0</v>
      </c>
      <c r="M23" s="93">
        <v>0</v>
      </c>
      <c r="N23" s="93">
        <v>0</v>
      </c>
      <c r="O23" s="93">
        <v>424156.10066957591</v>
      </c>
    </row>
    <row r="24" spans="1:15" ht="15.75" thickBot="1" x14ac:dyDescent="0.3">
      <c r="A24" s="87"/>
      <c r="B24" s="94" t="s">
        <v>88</v>
      </c>
      <c r="C24" s="95">
        <v>19634666.133077469</v>
      </c>
      <c r="D24" s="96">
        <v>12815798.980711874</v>
      </c>
      <c r="E24" s="96">
        <v>3055983.0254132422</v>
      </c>
      <c r="F24" s="96">
        <v>0</v>
      </c>
      <c r="G24" s="96">
        <v>0</v>
      </c>
      <c r="H24" s="96">
        <v>0</v>
      </c>
      <c r="I24" s="96">
        <v>0</v>
      </c>
      <c r="J24" s="96">
        <v>574327.93592263432</v>
      </c>
      <c r="K24" s="96">
        <v>0</v>
      </c>
      <c r="L24" s="96">
        <v>0</v>
      </c>
      <c r="M24" s="96">
        <v>0</v>
      </c>
      <c r="N24" s="96">
        <v>0</v>
      </c>
      <c r="O24" s="96">
        <v>3188556.1910297167</v>
      </c>
    </row>
    <row r="25" spans="1:15" ht="15.75" thickTop="1" x14ac:dyDescent="0.25">
      <c r="A25" s="87"/>
      <c r="B25" s="101"/>
      <c r="C25" s="100"/>
      <c r="D25" s="104"/>
      <c r="E25" s="104"/>
      <c r="F25" s="104"/>
      <c r="G25" s="104"/>
      <c r="H25" s="104"/>
      <c r="I25" s="104"/>
      <c r="J25" s="104"/>
      <c r="K25" s="104"/>
      <c r="L25" s="104"/>
      <c r="M25" s="104"/>
      <c r="N25" s="104"/>
      <c r="O25" s="104"/>
    </row>
    <row r="26" spans="1:15" x14ac:dyDescent="0.25">
      <c r="A26" s="87"/>
      <c r="B26" s="101" t="s">
        <v>89</v>
      </c>
      <c r="C26" s="100">
        <v>0</v>
      </c>
      <c r="D26" s="104">
        <v>0</v>
      </c>
      <c r="E26" s="104">
        <v>0</v>
      </c>
      <c r="F26" s="104">
        <v>0</v>
      </c>
      <c r="G26" s="104">
        <v>0</v>
      </c>
      <c r="H26" s="104">
        <v>0</v>
      </c>
      <c r="I26" s="104">
        <v>0</v>
      </c>
      <c r="J26" s="104">
        <v>0</v>
      </c>
      <c r="K26" s="104">
        <v>0</v>
      </c>
      <c r="L26" s="104">
        <v>0</v>
      </c>
      <c r="M26" s="104">
        <v>0</v>
      </c>
      <c r="N26" s="104">
        <v>0</v>
      </c>
      <c r="O26" s="104">
        <v>0</v>
      </c>
    </row>
    <row r="27" spans="1:15" x14ac:dyDescent="0.25">
      <c r="A27" s="87"/>
      <c r="B27" s="88"/>
      <c r="C27" s="100"/>
      <c r="D27" s="92"/>
      <c r="E27" s="92"/>
      <c r="F27" s="92"/>
      <c r="G27" s="92"/>
      <c r="H27" s="92"/>
      <c r="I27" s="92"/>
      <c r="J27" s="92"/>
      <c r="K27" s="92"/>
      <c r="L27" s="92"/>
      <c r="M27" s="98"/>
      <c r="N27" s="98"/>
      <c r="O27" s="98"/>
    </row>
    <row r="28" spans="1:15" x14ac:dyDescent="0.25">
      <c r="A28" s="87" t="s">
        <v>90</v>
      </c>
      <c r="B28" s="88" t="s">
        <v>91</v>
      </c>
      <c r="C28" s="100">
        <v>3648272.0834400002</v>
      </c>
      <c r="D28" s="92">
        <v>2319137.031681248</v>
      </c>
      <c r="E28" s="92">
        <v>675954.3488939408</v>
      </c>
      <c r="F28" s="92">
        <v>0</v>
      </c>
      <c r="G28" s="92">
        <v>0</v>
      </c>
      <c r="H28" s="92">
        <v>0</v>
      </c>
      <c r="I28" s="92">
        <v>0</v>
      </c>
      <c r="J28" s="92">
        <v>121986.01713533959</v>
      </c>
      <c r="K28" s="92">
        <v>0</v>
      </c>
      <c r="L28" s="92">
        <v>0</v>
      </c>
      <c r="M28" s="92">
        <v>0</v>
      </c>
      <c r="N28" s="92">
        <v>0</v>
      </c>
      <c r="O28" s="92">
        <v>531194.68572947162</v>
      </c>
    </row>
    <row r="29" spans="1:15" x14ac:dyDescent="0.25">
      <c r="A29" s="87"/>
      <c r="B29" s="88"/>
      <c r="C29" s="100"/>
      <c r="D29" s="92"/>
      <c r="E29" s="92"/>
      <c r="F29" s="92"/>
      <c r="G29" s="92"/>
      <c r="H29" s="92"/>
      <c r="I29" s="92"/>
      <c r="J29" s="92"/>
      <c r="K29" s="92"/>
      <c r="L29" s="92"/>
      <c r="M29" s="98"/>
      <c r="N29" s="98"/>
      <c r="O29" s="98"/>
    </row>
    <row r="30" spans="1:15" x14ac:dyDescent="0.25">
      <c r="A30" s="87"/>
      <c r="B30" s="101" t="s">
        <v>92</v>
      </c>
      <c r="C30" s="100">
        <v>23282938.216517463</v>
      </c>
      <c r="D30" s="105">
        <v>15134936.012393121</v>
      </c>
      <c r="E30" s="105">
        <v>3731937.3743071831</v>
      </c>
      <c r="F30" s="105">
        <v>0</v>
      </c>
      <c r="G30" s="105">
        <v>0</v>
      </c>
      <c r="H30" s="105">
        <v>0</v>
      </c>
      <c r="I30" s="105">
        <v>0</v>
      </c>
      <c r="J30" s="105">
        <v>696313.95305797388</v>
      </c>
      <c r="K30" s="105">
        <v>0</v>
      </c>
      <c r="L30" s="105">
        <v>0</v>
      </c>
      <c r="M30" s="105">
        <v>0</v>
      </c>
      <c r="N30" s="105">
        <v>0</v>
      </c>
      <c r="O30" s="105">
        <v>3719750.8767591882</v>
      </c>
    </row>
    <row r="31" spans="1:15" x14ac:dyDescent="0.25">
      <c r="A31" s="106"/>
      <c r="B31" s="88"/>
      <c r="C31" s="289" t="s">
        <v>93</v>
      </c>
      <c r="D31" s="290"/>
      <c r="E31" s="291"/>
      <c r="F31" s="92"/>
      <c r="G31" s="92"/>
      <c r="H31" s="92"/>
      <c r="I31" s="92"/>
      <c r="J31" s="92"/>
      <c r="K31" s="92"/>
      <c r="L31" s="92"/>
      <c r="M31" s="98"/>
      <c r="N31" s="98"/>
      <c r="O31" s="98"/>
    </row>
    <row r="32" spans="1:15" x14ac:dyDescent="0.25">
      <c r="A32" s="87"/>
      <c r="B32" s="88"/>
      <c r="C32" s="100"/>
      <c r="D32" s="92"/>
      <c r="E32" s="92"/>
      <c r="F32" s="92"/>
      <c r="G32" s="92"/>
      <c r="H32" s="92"/>
      <c r="I32" s="92"/>
      <c r="J32" s="92"/>
      <c r="K32" s="92"/>
      <c r="L32" s="92"/>
      <c r="M32" s="98"/>
      <c r="N32" s="98"/>
      <c r="O32" s="98"/>
    </row>
    <row r="33" spans="1:15" x14ac:dyDescent="0.25">
      <c r="A33" s="87"/>
      <c r="B33" s="88"/>
      <c r="C33" s="100"/>
      <c r="D33" s="92"/>
      <c r="E33" s="92"/>
      <c r="F33" s="92"/>
      <c r="G33" s="92"/>
      <c r="H33" s="92"/>
      <c r="I33" s="92"/>
      <c r="J33" s="92"/>
      <c r="K33" s="92"/>
      <c r="L33" s="92"/>
      <c r="M33" s="98"/>
      <c r="N33" s="98"/>
      <c r="O33" s="98"/>
    </row>
    <row r="34" spans="1:15" x14ac:dyDescent="0.25">
      <c r="A34" s="87"/>
      <c r="B34" s="101" t="s">
        <v>94</v>
      </c>
      <c r="C34" s="100"/>
      <c r="D34" s="92"/>
      <c r="E34" s="92"/>
      <c r="F34" s="92"/>
      <c r="G34" s="92"/>
      <c r="H34" s="92"/>
      <c r="I34" s="92"/>
      <c r="J34" s="92"/>
      <c r="K34" s="92"/>
      <c r="L34" s="92"/>
      <c r="M34" s="98"/>
      <c r="N34" s="98"/>
      <c r="O34" s="98"/>
    </row>
    <row r="35" spans="1:15" x14ac:dyDescent="0.25">
      <c r="A35" s="87"/>
      <c r="B35" s="101"/>
      <c r="C35" s="100"/>
      <c r="D35" s="92"/>
      <c r="E35" s="92"/>
      <c r="F35" s="92"/>
      <c r="G35" s="92"/>
      <c r="H35" s="92"/>
      <c r="I35" s="92"/>
      <c r="J35" s="92"/>
      <c r="K35" s="92"/>
      <c r="L35" s="92"/>
      <c r="M35" s="98"/>
      <c r="N35" s="98"/>
      <c r="O35" s="98"/>
    </row>
    <row r="36" spans="1:15" x14ac:dyDescent="0.25">
      <c r="A36" s="87"/>
      <c r="B36" s="107" t="s">
        <v>95</v>
      </c>
      <c r="C36" s="100"/>
      <c r="D36" s="92"/>
      <c r="E36" s="92"/>
      <c r="F36" s="92"/>
      <c r="G36" s="92"/>
      <c r="H36" s="92"/>
      <c r="I36" s="92"/>
      <c r="J36" s="92"/>
      <c r="K36" s="92"/>
      <c r="L36" s="92"/>
      <c r="M36" s="98"/>
      <c r="N36" s="98"/>
      <c r="O36" s="98"/>
    </row>
    <row r="37" spans="1:15" x14ac:dyDescent="0.25">
      <c r="A37" s="87" t="s">
        <v>96</v>
      </c>
      <c r="B37" s="88" t="s">
        <v>97</v>
      </c>
      <c r="C37" s="100">
        <v>122555750.75499998</v>
      </c>
      <c r="D37" s="92">
        <v>78199285.900127128</v>
      </c>
      <c r="E37" s="92">
        <v>22170419.146495003</v>
      </c>
      <c r="F37" s="92">
        <v>0</v>
      </c>
      <c r="G37" s="92">
        <v>0</v>
      </c>
      <c r="H37" s="92">
        <v>0</v>
      </c>
      <c r="I37" s="92">
        <v>0</v>
      </c>
      <c r="J37" s="92">
        <v>4091599.6156565566</v>
      </c>
      <c r="K37" s="92">
        <v>0</v>
      </c>
      <c r="L37" s="92">
        <v>0</v>
      </c>
      <c r="M37" s="92">
        <v>0</v>
      </c>
      <c r="N37" s="92">
        <v>0</v>
      </c>
      <c r="O37" s="92">
        <v>18094446.092721298</v>
      </c>
    </row>
    <row r="38" spans="1:15" x14ac:dyDescent="0.25">
      <c r="A38" s="87" t="s">
        <v>98</v>
      </c>
      <c r="B38" s="88" t="s">
        <v>99</v>
      </c>
      <c r="C38" s="100">
        <v>39239754.173549995</v>
      </c>
      <c r="D38" s="92">
        <v>24948138.866113167</v>
      </c>
      <c r="E38" s="92">
        <v>7260204.4728470584</v>
      </c>
      <c r="F38" s="92">
        <v>0</v>
      </c>
      <c r="G38" s="92">
        <v>0</v>
      </c>
      <c r="H38" s="92">
        <v>0</v>
      </c>
      <c r="I38" s="92">
        <v>0</v>
      </c>
      <c r="J38" s="92">
        <v>1313178.0645101296</v>
      </c>
      <c r="K38" s="92">
        <v>0</v>
      </c>
      <c r="L38" s="92">
        <v>0</v>
      </c>
      <c r="M38" s="92">
        <v>0</v>
      </c>
      <c r="N38" s="92">
        <v>0</v>
      </c>
      <c r="O38" s="92">
        <v>5718232.7700796416</v>
      </c>
    </row>
    <row r="39" spans="1:15" x14ac:dyDescent="0.25">
      <c r="A39" s="87" t="s">
        <v>100</v>
      </c>
      <c r="B39" s="88" t="s">
        <v>101</v>
      </c>
      <c r="C39" s="102">
        <v>-66750600.319825009</v>
      </c>
      <c r="D39" s="103">
        <v>-42719077.835023291</v>
      </c>
      <c r="E39" s="103">
        <v>-11845257.5513069</v>
      </c>
      <c r="F39" s="103">
        <v>0</v>
      </c>
      <c r="G39" s="103">
        <v>0</v>
      </c>
      <c r="H39" s="103">
        <v>0</v>
      </c>
      <c r="I39" s="103">
        <v>0</v>
      </c>
      <c r="J39" s="103">
        <v>-2224052.2524889158</v>
      </c>
      <c r="K39" s="103">
        <v>0</v>
      </c>
      <c r="L39" s="103">
        <v>0</v>
      </c>
      <c r="M39" s="103">
        <v>0</v>
      </c>
      <c r="N39" s="103">
        <v>0</v>
      </c>
      <c r="O39" s="103">
        <v>-9962212.6810059026</v>
      </c>
    </row>
    <row r="40" spans="1:15" ht="15.75" thickBot="1" x14ac:dyDescent="0.3">
      <c r="A40" s="87" t="s">
        <v>102</v>
      </c>
      <c r="B40" s="88" t="s">
        <v>103</v>
      </c>
      <c r="C40" s="108">
        <v>-521234.00000000006</v>
      </c>
      <c r="D40" s="109">
        <v>-339031.34334772028</v>
      </c>
      <c r="E40" s="109">
        <v>-77846.414118781729</v>
      </c>
      <c r="F40" s="109">
        <v>0</v>
      </c>
      <c r="G40" s="109">
        <v>0</v>
      </c>
      <c r="H40" s="109">
        <v>0</v>
      </c>
      <c r="I40" s="109">
        <v>0</v>
      </c>
      <c r="J40" s="109">
        <v>-19513.986409200854</v>
      </c>
      <c r="K40" s="109">
        <v>0</v>
      </c>
      <c r="L40" s="109">
        <v>0</v>
      </c>
      <c r="M40" s="109">
        <v>0</v>
      </c>
      <c r="N40" s="109">
        <v>0</v>
      </c>
      <c r="O40" s="109">
        <v>-84842.256124297157</v>
      </c>
    </row>
    <row r="41" spans="1:15" ht="15.75" thickBot="1" x14ac:dyDescent="0.3">
      <c r="A41" s="87"/>
      <c r="B41" s="94" t="s">
        <v>104</v>
      </c>
      <c r="C41" s="95">
        <v>94523670.608724967</v>
      </c>
      <c r="D41" s="96">
        <v>60089315.587869287</v>
      </c>
      <c r="E41" s="96">
        <v>17507519.653916381</v>
      </c>
      <c r="F41" s="96">
        <v>0</v>
      </c>
      <c r="G41" s="96">
        <v>0</v>
      </c>
      <c r="H41" s="96">
        <v>0</v>
      </c>
      <c r="I41" s="96">
        <v>0</v>
      </c>
      <c r="J41" s="96">
        <v>3161211.4412685693</v>
      </c>
      <c r="K41" s="96">
        <v>0</v>
      </c>
      <c r="L41" s="96">
        <v>0</v>
      </c>
      <c r="M41" s="96">
        <v>0</v>
      </c>
      <c r="N41" s="96">
        <v>0</v>
      </c>
      <c r="O41" s="96">
        <v>13765623.925670741</v>
      </c>
    </row>
    <row r="42" spans="1:15" ht="15.75" thickTop="1" x14ac:dyDescent="0.25">
      <c r="A42" s="87"/>
      <c r="B42" s="101"/>
      <c r="C42" s="100"/>
      <c r="D42" s="104"/>
      <c r="E42" s="104"/>
      <c r="F42" s="104"/>
      <c r="G42" s="104"/>
      <c r="H42" s="104"/>
      <c r="I42" s="104"/>
      <c r="J42" s="104"/>
      <c r="K42" s="104"/>
      <c r="L42" s="104"/>
      <c r="M42" s="104"/>
      <c r="N42" s="104"/>
      <c r="O42" s="104"/>
    </row>
    <row r="43" spans="1:15" x14ac:dyDescent="0.25">
      <c r="A43" s="87"/>
      <c r="B43" s="101" t="s">
        <v>105</v>
      </c>
      <c r="C43" s="100">
        <v>0</v>
      </c>
      <c r="D43" s="104">
        <v>0</v>
      </c>
      <c r="E43" s="104">
        <v>0</v>
      </c>
      <c r="F43" s="104">
        <v>0</v>
      </c>
      <c r="G43" s="104">
        <v>0</v>
      </c>
      <c r="H43" s="104">
        <v>0</v>
      </c>
      <c r="I43" s="104">
        <v>0</v>
      </c>
      <c r="J43" s="104">
        <v>0</v>
      </c>
      <c r="K43" s="104">
        <v>0</v>
      </c>
      <c r="L43" s="104">
        <v>0</v>
      </c>
      <c r="M43" s="104">
        <v>0</v>
      </c>
      <c r="N43" s="104">
        <v>0</v>
      </c>
      <c r="O43" s="104">
        <v>0</v>
      </c>
    </row>
    <row r="44" spans="1:15" x14ac:dyDescent="0.25">
      <c r="A44" s="87"/>
      <c r="B44" s="88"/>
      <c r="C44" s="100"/>
      <c r="D44" s="92"/>
      <c r="E44" s="92"/>
      <c r="F44" s="92"/>
      <c r="G44" s="92"/>
      <c r="H44" s="92"/>
      <c r="I44" s="92"/>
      <c r="J44" s="92"/>
      <c r="K44" s="92"/>
      <c r="L44" s="92"/>
      <c r="M44" s="98"/>
      <c r="N44" s="98"/>
      <c r="O44" s="98"/>
    </row>
    <row r="45" spans="1:15" x14ac:dyDescent="0.25">
      <c r="A45" s="87"/>
      <c r="B45" s="101"/>
      <c r="C45" s="100"/>
      <c r="D45" s="92"/>
      <c r="E45" s="92"/>
      <c r="F45" s="92"/>
      <c r="G45" s="92"/>
      <c r="H45" s="92"/>
      <c r="I45" s="92"/>
      <c r="J45" s="92"/>
      <c r="K45" s="92"/>
      <c r="L45" s="92"/>
      <c r="M45" s="98"/>
      <c r="N45" s="98"/>
      <c r="O45" s="98"/>
    </row>
    <row r="46" spans="1:15" x14ac:dyDescent="0.25">
      <c r="A46" s="87" t="s">
        <v>106</v>
      </c>
      <c r="B46" s="88" t="s">
        <v>107</v>
      </c>
      <c r="C46" s="100">
        <v>23068924</v>
      </c>
      <c r="D46" s="92">
        <v>12366016.656759126</v>
      </c>
      <c r="E46" s="92">
        <v>9676699.6363034118</v>
      </c>
      <c r="F46" s="92">
        <v>0</v>
      </c>
      <c r="G46" s="92">
        <v>0</v>
      </c>
      <c r="H46" s="92">
        <v>0</v>
      </c>
      <c r="I46" s="92">
        <v>0</v>
      </c>
      <c r="J46" s="92">
        <v>100839.36604569879</v>
      </c>
      <c r="K46" s="92">
        <v>0</v>
      </c>
      <c r="L46" s="92">
        <v>0</v>
      </c>
      <c r="M46" s="92">
        <v>0</v>
      </c>
      <c r="N46" s="92">
        <v>0</v>
      </c>
      <c r="O46" s="92">
        <v>925368.34089176438</v>
      </c>
    </row>
    <row r="47" spans="1:15" x14ac:dyDescent="0.25">
      <c r="A47" s="87"/>
      <c r="B47" s="88" t="s">
        <v>108</v>
      </c>
      <c r="C47" s="100">
        <v>12412678.76</v>
      </c>
      <c r="D47" s="92">
        <v>8198922.5449203448</v>
      </c>
      <c r="E47" s="92">
        <v>1759976.3013344477</v>
      </c>
      <c r="F47" s="92">
        <v>0</v>
      </c>
      <c r="G47" s="92">
        <v>0</v>
      </c>
      <c r="H47" s="92">
        <v>0</v>
      </c>
      <c r="I47" s="92">
        <v>0</v>
      </c>
      <c r="J47" s="92">
        <v>339263.51263729873</v>
      </c>
      <c r="K47" s="92">
        <v>0</v>
      </c>
      <c r="L47" s="92">
        <v>0</v>
      </c>
      <c r="M47" s="92">
        <v>0</v>
      </c>
      <c r="N47" s="92">
        <v>0</v>
      </c>
      <c r="O47" s="92">
        <v>2114516.4011079092</v>
      </c>
    </row>
    <row r="48" spans="1:15" x14ac:dyDescent="0.25">
      <c r="A48" s="87"/>
      <c r="B48" s="110" t="s">
        <v>109</v>
      </c>
      <c r="C48" s="100">
        <v>0</v>
      </c>
      <c r="D48" s="92">
        <v>0</v>
      </c>
      <c r="E48" s="92">
        <v>0</v>
      </c>
      <c r="F48" s="92">
        <v>0</v>
      </c>
      <c r="G48" s="92">
        <v>0</v>
      </c>
      <c r="H48" s="92">
        <v>0</v>
      </c>
      <c r="I48" s="92">
        <v>0</v>
      </c>
      <c r="J48" s="92">
        <v>0</v>
      </c>
      <c r="K48" s="92">
        <v>0</v>
      </c>
      <c r="L48" s="92">
        <v>0</v>
      </c>
      <c r="M48" s="92">
        <v>0</v>
      </c>
      <c r="N48" s="92">
        <v>0</v>
      </c>
      <c r="O48" s="92">
        <v>0</v>
      </c>
    </row>
    <row r="49" spans="1:15" x14ac:dyDescent="0.25">
      <c r="A49" s="87"/>
      <c r="B49" s="111" t="s">
        <v>110</v>
      </c>
      <c r="C49" s="112">
        <v>35481602.760000005</v>
      </c>
      <c r="D49" s="113">
        <v>20564939.201679472</v>
      </c>
      <c r="E49" s="113">
        <v>11436675.93763786</v>
      </c>
      <c r="F49" s="113">
        <v>0</v>
      </c>
      <c r="G49" s="113">
        <v>0</v>
      </c>
      <c r="H49" s="113">
        <v>0</v>
      </c>
      <c r="I49" s="113">
        <v>0</v>
      </c>
      <c r="J49" s="113">
        <v>440102.87868299754</v>
      </c>
      <c r="K49" s="113">
        <v>0</v>
      </c>
      <c r="L49" s="113">
        <v>0</v>
      </c>
      <c r="M49" s="113">
        <v>0</v>
      </c>
      <c r="N49" s="113">
        <v>0</v>
      </c>
      <c r="O49" s="113">
        <v>3039884.7419996737</v>
      </c>
    </row>
    <row r="50" spans="1:15" x14ac:dyDescent="0.25">
      <c r="A50" s="87"/>
      <c r="B50" s="101"/>
      <c r="C50" s="100"/>
      <c r="D50" s="92"/>
      <c r="E50" s="92"/>
      <c r="F50" s="92"/>
      <c r="G50" s="92"/>
      <c r="H50" s="92"/>
      <c r="I50" s="92"/>
      <c r="J50" s="92"/>
      <c r="K50" s="92"/>
      <c r="L50" s="92"/>
      <c r="M50" s="92"/>
      <c r="N50" s="92"/>
      <c r="O50" s="92"/>
    </row>
    <row r="51" spans="1:15" x14ac:dyDescent="0.25">
      <c r="A51" s="87"/>
      <c r="B51" s="101" t="s">
        <v>111</v>
      </c>
      <c r="C51" s="100">
        <v>3548160.2760000005</v>
      </c>
      <c r="D51" s="104">
        <v>2056493.9201679472</v>
      </c>
      <c r="E51" s="104">
        <v>1143667.5937637861</v>
      </c>
      <c r="F51" s="104">
        <v>0</v>
      </c>
      <c r="G51" s="104">
        <v>0</v>
      </c>
      <c r="H51" s="104">
        <v>0</v>
      </c>
      <c r="I51" s="104">
        <v>0</v>
      </c>
      <c r="J51" s="104">
        <v>44010.287868299754</v>
      </c>
      <c r="K51" s="104">
        <v>0</v>
      </c>
      <c r="L51" s="104">
        <v>0</v>
      </c>
      <c r="M51" s="104">
        <v>0</v>
      </c>
      <c r="N51" s="104">
        <v>0</v>
      </c>
      <c r="O51" s="104">
        <v>303988.4741999674</v>
      </c>
    </row>
    <row r="52" spans="1:15" x14ac:dyDescent="0.25">
      <c r="A52" s="87"/>
      <c r="B52" s="114"/>
      <c r="C52" s="100"/>
      <c r="D52" s="92"/>
      <c r="E52" s="92"/>
      <c r="F52" s="92"/>
      <c r="G52" s="92"/>
      <c r="H52" s="92"/>
      <c r="I52" s="92"/>
      <c r="J52" s="92"/>
      <c r="K52" s="92"/>
      <c r="L52" s="92"/>
      <c r="M52" s="98"/>
      <c r="N52" s="98"/>
      <c r="O52" s="98"/>
    </row>
    <row r="53" spans="1:15" ht="15.75" thickBot="1" x14ac:dyDescent="0.3">
      <c r="A53" s="87"/>
      <c r="B53" s="94" t="s">
        <v>112</v>
      </c>
      <c r="C53" s="115">
        <v>98071830.884724975</v>
      </c>
      <c r="D53" s="116">
        <v>62145809.508037232</v>
      </c>
      <c r="E53" s="116">
        <v>18651187.247680169</v>
      </c>
      <c r="F53" s="116">
        <v>0</v>
      </c>
      <c r="G53" s="116">
        <v>0</v>
      </c>
      <c r="H53" s="116">
        <v>0</v>
      </c>
      <c r="I53" s="116">
        <v>0</v>
      </c>
      <c r="J53" s="116">
        <v>3205221.7291368693</v>
      </c>
      <c r="K53" s="116">
        <v>0</v>
      </c>
      <c r="L53" s="116">
        <v>0</v>
      </c>
      <c r="M53" s="116">
        <v>0</v>
      </c>
      <c r="N53" s="116">
        <v>0</v>
      </c>
      <c r="O53" s="116">
        <v>14069612.399870709</v>
      </c>
    </row>
    <row r="54" spans="1:15" ht="15.75" thickTop="1" x14ac:dyDescent="0.25">
      <c r="A54" s="106"/>
      <c r="B54" s="101"/>
      <c r="C54" s="292" t="s">
        <v>113</v>
      </c>
      <c r="D54" s="293"/>
      <c r="E54" s="294"/>
      <c r="F54" s="104"/>
      <c r="G54" s="104"/>
      <c r="H54" s="104"/>
      <c r="I54" s="104"/>
      <c r="J54" s="104"/>
      <c r="K54" s="104"/>
      <c r="L54" s="104"/>
      <c r="M54" s="104"/>
      <c r="N54" s="104"/>
      <c r="O54" s="104"/>
    </row>
    <row r="55" spans="1:15" x14ac:dyDescent="0.25">
      <c r="A55" s="87"/>
      <c r="B55" s="101" t="s">
        <v>114</v>
      </c>
      <c r="C55" s="100">
        <v>39228732.353889994</v>
      </c>
      <c r="D55" s="104">
        <v>24858323.803214893</v>
      </c>
      <c r="E55" s="104">
        <v>7460474.8990720678</v>
      </c>
      <c r="F55" s="104">
        <v>0</v>
      </c>
      <c r="G55" s="104">
        <v>0</v>
      </c>
      <c r="H55" s="104">
        <v>0</v>
      </c>
      <c r="I55" s="104">
        <v>0</v>
      </c>
      <c r="J55" s="104">
        <v>1282088.6916547478</v>
      </c>
      <c r="K55" s="104">
        <v>0</v>
      </c>
      <c r="L55" s="104">
        <v>0</v>
      </c>
      <c r="M55" s="104">
        <v>0</v>
      </c>
      <c r="N55" s="104">
        <v>0</v>
      </c>
      <c r="O55" s="104">
        <v>5627844.9599482836</v>
      </c>
    </row>
    <row r="56" spans="1:15" x14ac:dyDescent="0.25">
      <c r="A56" s="87"/>
      <c r="B56" s="101"/>
      <c r="C56" s="100"/>
      <c r="D56" s="104"/>
      <c r="E56" s="104"/>
      <c r="F56" s="104"/>
      <c r="G56" s="104"/>
      <c r="H56" s="104"/>
      <c r="I56" s="104"/>
      <c r="J56" s="104"/>
      <c r="K56" s="104"/>
      <c r="L56" s="104"/>
      <c r="M56" s="104"/>
      <c r="N56" s="104"/>
      <c r="O56" s="104"/>
    </row>
    <row r="57" spans="1:15" x14ac:dyDescent="0.25">
      <c r="A57" s="87"/>
      <c r="B57" s="101" t="s">
        <v>115</v>
      </c>
      <c r="C57" s="100">
        <v>3446937.0603157845</v>
      </c>
      <c r="D57" s="104">
        <v>4078516.6734845378</v>
      </c>
      <c r="E57" s="104">
        <v>1113697.2672508988</v>
      </c>
      <c r="F57" s="104">
        <v>0</v>
      </c>
      <c r="G57" s="104">
        <v>0</v>
      </c>
      <c r="H57" s="104">
        <v>0</v>
      </c>
      <c r="I57" s="104">
        <v>0</v>
      </c>
      <c r="J57" s="104">
        <v>-399907.70895306033</v>
      </c>
      <c r="K57" s="104">
        <v>0</v>
      </c>
      <c r="L57" s="104">
        <v>0</v>
      </c>
      <c r="M57" s="104">
        <v>0</v>
      </c>
      <c r="N57" s="104">
        <v>0</v>
      </c>
      <c r="O57" s="104">
        <v>-1345369.1714665922</v>
      </c>
    </row>
    <row r="58" spans="1:15" x14ac:dyDescent="0.25">
      <c r="A58" s="87"/>
      <c r="B58" s="101"/>
      <c r="C58" s="100"/>
      <c r="D58" s="104"/>
      <c r="E58" s="104"/>
      <c r="F58" s="104"/>
      <c r="G58" s="104"/>
      <c r="H58" s="104"/>
      <c r="I58" s="104"/>
      <c r="J58" s="104"/>
      <c r="K58" s="104"/>
      <c r="L58" s="104"/>
      <c r="M58" s="104"/>
      <c r="N58" s="104"/>
      <c r="O58" s="104"/>
    </row>
    <row r="59" spans="1:15" x14ac:dyDescent="0.25">
      <c r="A59" s="87"/>
      <c r="B59" s="101" t="s">
        <v>116</v>
      </c>
      <c r="C59" s="100">
        <v>0</v>
      </c>
      <c r="D59" s="104">
        <v>0</v>
      </c>
      <c r="E59" s="104">
        <v>0</v>
      </c>
      <c r="F59" s="104">
        <v>0</v>
      </c>
      <c r="G59" s="104">
        <v>0</v>
      </c>
      <c r="H59" s="104">
        <v>0</v>
      </c>
      <c r="I59" s="104">
        <v>0</v>
      </c>
      <c r="J59" s="104">
        <v>0</v>
      </c>
      <c r="K59" s="104">
        <v>0</v>
      </c>
      <c r="L59" s="104">
        <v>0</v>
      </c>
      <c r="M59" s="104">
        <v>0</v>
      </c>
      <c r="N59" s="104">
        <v>0</v>
      </c>
      <c r="O59" s="104">
        <v>0</v>
      </c>
    </row>
    <row r="60" spans="1:15" x14ac:dyDescent="0.25">
      <c r="A60" s="87"/>
      <c r="B60" s="88"/>
      <c r="C60" s="100"/>
      <c r="D60" s="92"/>
      <c r="E60" s="92"/>
      <c r="F60" s="92"/>
      <c r="G60" s="92"/>
      <c r="H60" s="92"/>
      <c r="I60" s="92"/>
      <c r="J60" s="92"/>
      <c r="K60" s="92"/>
      <c r="L60" s="92"/>
      <c r="M60" s="98"/>
      <c r="N60" s="98"/>
      <c r="O60" s="98"/>
    </row>
    <row r="61" spans="1:15" x14ac:dyDescent="0.25">
      <c r="A61" s="87"/>
      <c r="B61" s="94" t="s">
        <v>117</v>
      </c>
      <c r="C61" s="117">
        <v>3446937.0603157845</v>
      </c>
      <c r="D61" s="118">
        <v>4078516.6734845378</v>
      </c>
      <c r="E61" s="118">
        <v>1113697.2672508988</v>
      </c>
      <c r="F61" s="118">
        <v>0</v>
      </c>
      <c r="G61" s="118">
        <v>0</v>
      </c>
      <c r="H61" s="118">
        <v>0</v>
      </c>
      <c r="I61" s="118">
        <v>0</v>
      </c>
      <c r="J61" s="118">
        <v>-399907.70895306033</v>
      </c>
      <c r="K61" s="118">
        <v>0</v>
      </c>
      <c r="L61" s="118">
        <v>0</v>
      </c>
      <c r="M61" s="118">
        <v>0</v>
      </c>
      <c r="N61" s="118">
        <v>0</v>
      </c>
      <c r="O61" s="118">
        <v>-1345369.1714665922</v>
      </c>
    </row>
    <row r="62" spans="1:15" x14ac:dyDescent="0.25">
      <c r="A62" s="87"/>
      <c r="B62" s="88"/>
      <c r="C62" s="100"/>
      <c r="D62" s="92"/>
      <c r="E62" s="92"/>
      <c r="F62" s="92"/>
      <c r="G62" s="92"/>
      <c r="H62" s="92"/>
      <c r="I62" s="92"/>
      <c r="J62" s="92"/>
      <c r="K62" s="92"/>
      <c r="L62" s="92"/>
      <c r="M62" s="98"/>
      <c r="N62" s="98"/>
      <c r="O62" s="98"/>
    </row>
    <row r="63" spans="1:15" x14ac:dyDescent="0.25">
      <c r="A63" s="87"/>
      <c r="B63" s="101" t="s">
        <v>118</v>
      </c>
      <c r="C63" s="100"/>
      <c r="D63" s="92"/>
      <c r="E63" s="92"/>
      <c r="F63" s="92"/>
      <c r="G63" s="92"/>
      <c r="H63" s="92"/>
      <c r="I63" s="92"/>
      <c r="J63" s="92"/>
      <c r="K63" s="92"/>
      <c r="L63" s="92"/>
      <c r="M63" s="98"/>
      <c r="N63" s="98"/>
      <c r="O63" s="98"/>
    </row>
    <row r="64" spans="1:15" x14ac:dyDescent="0.25">
      <c r="A64" s="87"/>
      <c r="B64" s="88"/>
      <c r="C64" s="100"/>
      <c r="D64" s="92"/>
      <c r="E64" s="92"/>
      <c r="F64" s="92"/>
      <c r="G64" s="92"/>
      <c r="H64" s="92"/>
      <c r="I64" s="92"/>
      <c r="J64" s="92"/>
      <c r="K64" s="92"/>
      <c r="L64" s="92"/>
      <c r="M64" s="98"/>
      <c r="N64" s="98"/>
      <c r="O64" s="98"/>
    </row>
    <row r="65" spans="1:15" x14ac:dyDescent="0.25">
      <c r="A65" s="119"/>
      <c r="B65" s="120" t="s">
        <v>119</v>
      </c>
      <c r="C65" s="121">
        <v>1</v>
      </c>
      <c r="D65" s="122">
        <v>1.1162462557068387</v>
      </c>
      <c r="E65" s="122">
        <v>1.1172964266149357</v>
      </c>
      <c r="F65" s="122" t="s">
        <v>120</v>
      </c>
      <c r="G65" s="122" t="s">
        <v>120</v>
      </c>
      <c r="H65" s="122" t="s">
        <v>120</v>
      </c>
      <c r="I65" s="122" t="s">
        <v>120</v>
      </c>
      <c r="J65" s="122">
        <v>0.25049078250346668</v>
      </c>
      <c r="K65" s="122" t="s">
        <v>120</v>
      </c>
      <c r="L65" s="122" t="s">
        <v>120</v>
      </c>
      <c r="M65" s="123" t="s">
        <v>120</v>
      </c>
      <c r="N65" s="123" t="s">
        <v>120</v>
      </c>
      <c r="O65" s="123">
        <v>0.54963950824271746</v>
      </c>
    </row>
    <row r="66" spans="1:15" x14ac:dyDescent="0.25">
      <c r="A66" s="87"/>
      <c r="B66" s="88"/>
      <c r="C66" s="100"/>
      <c r="D66" s="92"/>
      <c r="E66" s="92"/>
      <c r="F66" s="92"/>
      <c r="G66" s="92"/>
      <c r="H66" s="92"/>
      <c r="I66" s="92"/>
      <c r="J66" s="92"/>
      <c r="K66" s="92"/>
      <c r="L66" s="92"/>
      <c r="M66" s="98"/>
      <c r="N66" s="98"/>
      <c r="O66" s="98"/>
    </row>
    <row r="67" spans="1:15" x14ac:dyDescent="0.25">
      <c r="A67" s="87"/>
      <c r="B67" s="88" t="s">
        <v>121</v>
      </c>
      <c r="C67" s="100">
        <v>-2337504.3754174663</v>
      </c>
      <c r="D67" s="92">
        <v>58568.672011243179</v>
      </c>
      <c r="E67" s="92">
        <v>18329.992972958833</v>
      </c>
      <c r="F67" s="92">
        <v>0</v>
      </c>
      <c r="G67" s="92">
        <v>0</v>
      </c>
      <c r="H67" s="92">
        <v>0</v>
      </c>
      <c r="I67" s="92">
        <v>0</v>
      </c>
      <c r="J67" s="92">
        <v>-537839.18320560479</v>
      </c>
      <c r="K67" s="92">
        <v>0</v>
      </c>
      <c r="L67" s="92">
        <v>0</v>
      </c>
      <c r="M67" s="92">
        <v>0</v>
      </c>
      <c r="N67" s="92">
        <v>0</v>
      </c>
      <c r="O67" s="92">
        <v>-1876563.8571960637</v>
      </c>
    </row>
    <row r="68" spans="1:15" x14ac:dyDescent="0.25">
      <c r="A68" s="106"/>
      <c r="B68" s="101"/>
      <c r="C68" s="281" t="s">
        <v>122</v>
      </c>
      <c r="D68" s="282"/>
      <c r="E68" s="283"/>
      <c r="F68" s="104"/>
      <c r="G68" s="104"/>
      <c r="H68" s="104"/>
      <c r="I68" s="104"/>
      <c r="J68" s="104"/>
      <c r="K68" s="104"/>
      <c r="L68" s="104"/>
      <c r="M68" s="104"/>
      <c r="N68" s="104"/>
      <c r="O68" s="104"/>
    </row>
    <row r="69" spans="1:15" x14ac:dyDescent="0.25">
      <c r="A69" s="87"/>
      <c r="B69" s="88" t="s">
        <v>123</v>
      </c>
      <c r="C69" s="100">
        <v>-2.5611370801925659E-9</v>
      </c>
      <c r="D69" s="92">
        <v>1759379.6418032907</v>
      </c>
      <c r="E69" s="92">
        <v>437742.91835695785</v>
      </c>
      <c r="F69" s="92">
        <v>0</v>
      </c>
      <c r="G69" s="92">
        <v>0</v>
      </c>
      <c r="H69" s="92">
        <v>0</v>
      </c>
      <c r="I69" s="92">
        <v>0</v>
      </c>
      <c r="J69" s="92">
        <v>-521893.72608839988</v>
      </c>
      <c r="K69" s="92">
        <v>0</v>
      </c>
      <c r="L69" s="92">
        <v>0</v>
      </c>
      <c r="M69" s="92">
        <v>0</v>
      </c>
      <c r="N69" s="92">
        <v>0</v>
      </c>
      <c r="O69" s="92">
        <v>-1675228.8340718511</v>
      </c>
    </row>
    <row r="70" spans="1:15" x14ac:dyDescent="0.25">
      <c r="A70" s="87"/>
      <c r="B70" s="88"/>
      <c r="C70" s="100"/>
      <c r="D70" s="92"/>
      <c r="E70" s="92"/>
      <c r="F70" s="92"/>
      <c r="G70" s="92"/>
      <c r="H70" s="92"/>
      <c r="I70" s="92"/>
      <c r="J70" s="92"/>
      <c r="K70" s="92"/>
      <c r="L70" s="92"/>
      <c r="M70" s="98"/>
      <c r="N70" s="98"/>
      <c r="O70" s="98"/>
    </row>
    <row r="71" spans="1:15" ht="15.75" thickBot="1" x14ac:dyDescent="0.3">
      <c r="A71" s="87"/>
      <c r="B71" s="88" t="s">
        <v>124</v>
      </c>
      <c r="C71" s="124">
        <v>8.7867663660918166E-2</v>
      </c>
      <c r="D71" s="124">
        <v>0.16407046210239923</v>
      </c>
      <c r="E71" s="124">
        <v>0.14927967486217536</v>
      </c>
      <c r="F71" s="124" t="s">
        <v>120</v>
      </c>
      <c r="G71" s="124" t="s">
        <v>120</v>
      </c>
      <c r="H71" s="124" t="s">
        <v>120</v>
      </c>
      <c r="I71" s="124" t="s">
        <v>120</v>
      </c>
      <c r="J71" s="124">
        <v>-0.31191891134841321</v>
      </c>
      <c r="K71" s="124" t="s">
        <v>120</v>
      </c>
      <c r="L71" s="124" t="s">
        <v>120</v>
      </c>
      <c r="M71" s="124" t="s">
        <v>120</v>
      </c>
      <c r="N71" s="124" t="s">
        <v>120</v>
      </c>
      <c r="O71" s="124">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9"/>
  <sheetViews>
    <sheetView showGridLines="0" workbookViewId="0">
      <selection activeCell="C19" sqref="C19"/>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295" t="s">
        <v>195</v>
      </c>
      <c r="C3" s="296"/>
      <c r="D3" s="296"/>
      <c r="E3" s="296"/>
      <c r="F3" s="296"/>
      <c r="G3" s="296"/>
      <c r="H3" s="297"/>
    </row>
    <row r="4" spans="2:8" ht="15.75" thickBot="1" x14ac:dyDescent="0.3">
      <c r="B4" s="298"/>
      <c r="C4" s="299"/>
      <c r="D4" s="299"/>
      <c r="E4" s="299"/>
      <c r="F4" s="299"/>
      <c r="G4" s="299"/>
      <c r="H4" s="300"/>
    </row>
    <row r="5" spans="2:8" ht="127.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75">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75">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75">
        <v>2152542.4492923892</v>
      </c>
    </row>
    <row r="9" spans="2:8" x14ac:dyDescent="0.25">
      <c r="B9" s="4" t="s">
        <v>9</v>
      </c>
      <c r="C9" s="5">
        <v>696313.95305797388</v>
      </c>
      <c r="D9" s="5">
        <v>18777.981852369074</v>
      </c>
      <c r="E9" s="5">
        <f t="shared" si="0"/>
        <v>677535.97120560484</v>
      </c>
      <c r="F9" s="5">
        <v>155642.24511720496</v>
      </c>
      <c r="G9" s="6">
        <f t="shared" si="1"/>
        <v>0.25040000000000012</v>
      </c>
      <c r="H9" s="175">
        <v>155579.03199334769</v>
      </c>
    </row>
    <row r="10" spans="2:8" ht="15.75" thickBot="1" x14ac:dyDescent="0.3">
      <c r="B10" s="7"/>
      <c r="C10" s="8">
        <f>SUM(C6:C9)</f>
        <v>23282938.216517463</v>
      </c>
      <c r="D10" s="8">
        <f>SUM(D6:D9)</f>
        <v>466757.64</v>
      </c>
      <c r="E10" s="9">
        <f t="shared" si="0"/>
        <v>22816180.576517463</v>
      </c>
      <c r="F10" s="8">
        <f>SUM(F6:F9)</f>
        <v>22816180.576517463</v>
      </c>
      <c r="G10" s="10"/>
      <c r="H10" s="242">
        <v>22816180.576517463</v>
      </c>
    </row>
    <row r="12" spans="2:8" x14ac:dyDescent="0.25">
      <c r="F12" s="11"/>
      <c r="G12" s="12" t="s">
        <v>10</v>
      </c>
      <c r="H12" s="13" t="str">
        <f>IF(H10-SUM(H6:H9)&lt;1,"YES","NO")</f>
        <v>YES</v>
      </c>
    </row>
    <row r="13" spans="2:8" ht="15.75" thickBot="1" x14ac:dyDescent="0.3"/>
    <row r="14" spans="2:8" ht="16.5" thickBot="1" x14ac:dyDescent="0.3">
      <c r="B14" s="305" t="s">
        <v>196</v>
      </c>
      <c r="C14" s="306"/>
      <c r="D14" s="306"/>
      <c r="E14" s="306"/>
      <c r="F14" s="306"/>
      <c r="G14" s="307"/>
    </row>
    <row r="15" spans="2:8" x14ac:dyDescent="0.25">
      <c r="B15" s="161"/>
      <c r="C15" s="162">
        <v>2015</v>
      </c>
      <c r="D15" s="162">
        <v>2016</v>
      </c>
      <c r="E15" s="162">
        <v>2017</v>
      </c>
      <c r="F15" s="162">
        <v>2018</v>
      </c>
      <c r="G15" s="163">
        <v>2019</v>
      </c>
    </row>
    <row r="16" spans="2:8" x14ac:dyDescent="0.25">
      <c r="B16" s="4" t="s">
        <v>6</v>
      </c>
      <c r="C16" s="156">
        <f>G6</f>
        <v>1.1063099322120511</v>
      </c>
      <c r="D16" s="301" t="s">
        <v>146</v>
      </c>
      <c r="E16" s="301"/>
      <c r="F16" s="301"/>
      <c r="G16" s="302"/>
    </row>
    <row r="17" spans="2:7" x14ac:dyDescent="0.25">
      <c r="B17" s="4" t="s">
        <v>7</v>
      </c>
      <c r="C17" s="156">
        <f t="shared" ref="C17:C19" si="2">G7</f>
        <v>1.1074142538308547</v>
      </c>
      <c r="D17" s="301" t="s">
        <v>146</v>
      </c>
      <c r="E17" s="301"/>
      <c r="F17" s="301"/>
      <c r="G17" s="302"/>
    </row>
    <row r="18" spans="2:7" x14ac:dyDescent="0.25">
      <c r="B18" s="4" t="s">
        <v>8</v>
      </c>
      <c r="C18" s="156">
        <f t="shared" si="2"/>
        <v>0.6000000000000002</v>
      </c>
      <c r="D18" s="156">
        <v>0.66</v>
      </c>
      <c r="E18" s="156">
        <v>0.72</v>
      </c>
      <c r="F18" s="156">
        <v>0.78</v>
      </c>
      <c r="G18" s="158">
        <v>0.85</v>
      </c>
    </row>
    <row r="19" spans="2:7" ht="15.75" thickBot="1" x14ac:dyDescent="0.3">
      <c r="B19" s="7" t="s">
        <v>9</v>
      </c>
      <c r="C19" s="159">
        <f t="shared" si="2"/>
        <v>0.25040000000000012</v>
      </c>
      <c r="D19" s="303" t="s">
        <v>147</v>
      </c>
      <c r="E19" s="303"/>
      <c r="F19" s="303"/>
      <c r="G19" s="304"/>
    </row>
  </sheetData>
  <mergeCells count="5">
    <mergeCell ref="B3:H4"/>
    <mergeCell ref="D16:G16"/>
    <mergeCell ref="D17:G17"/>
    <mergeCell ref="D19:G19"/>
    <mergeCell ref="B14:G14"/>
  </mergeCells>
  <pageMargins left="0.7" right="0.7" top="0.75" bottom="0.75" header="0.3" footer="0.3"/>
  <pageSetup scale="96"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4"/>
  <sheetViews>
    <sheetView showGridLines="0" workbookViewId="0">
      <selection activeCell="E20" sqref="E20"/>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08" t="s">
        <v>197</v>
      </c>
      <c r="C3" s="309"/>
      <c r="D3" s="309"/>
      <c r="E3" s="309"/>
      <c r="F3" s="309"/>
      <c r="G3" s="309"/>
      <c r="H3" s="309"/>
      <c r="I3" s="309"/>
      <c r="J3" s="309"/>
      <c r="K3" s="309"/>
      <c r="L3" s="309"/>
      <c r="M3" s="309"/>
      <c r="N3" s="310"/>
    </row>
    <row r="4" spans="2:14" ht="15.75" x14ac:dyDescent="0.25">
      <c r="B4" s="311" t="s">
        <v>125</v>
      </c>
      <c r="C4" s="312"/>
      <c r="D4" s="312"/>
      <c r="E4" s="312"/>
      <c r="F4" s="312"/>
      <c r="G4" s="312"/>
      <c r="H4" s="312"/>
      <c r="I4" s="312"/>
      <c r="J4" s="312"/>
      <c r="K4" s="312"/>
      <c r="L4" s="312"/>
      <c r="M4" s="312"/>
      <c r="N4" s="313"/>
    </row>
    <row r="5" spans="2:14" x14ac:dyDescent="0.25">
      <c r="B5" s="314" t="s">
        <v>198</v>
      </c>
      <c r="C5" s="315"/>
      <c r="D5" s="315"/>
      <c r="E5" s="315"/>
      <c r="F5" s="315"/>
      <c r="G5" s="315"/>
      <c r="H5" s="315"/>
      <c r="I5" s="315"/>
      <c r="J5" s="315"/>
      <c r="K5" s="315"/>
      <c r="L5" s="315"/>
      <c r="M5" s="315"/>
      <c r="N5" s="316"/>
    </row>
    <row r="6" spans="2:14" ht="15" customHeight="1" x14ac:dyDescent="0.25">
      <c r="B6" s="317" t="s">
        <v>126</v>
      </c>
      <c r="C6" s="319" t="s">
        <v>45</v>
      </c>
      <c r="D6" s="321" t="s">
        <v>127</v>
      </c>
      <c r="E6" s="323" t="s">
        <v>128</v>
      </c>
      <c r="F6" s="324"/>
      <c r="G6" s="323" t="s">
        <v>129</v>
      </c>
      <c r="H6" s="324"/>
      <c r="I6" s="323" t="s">
        <v>130</v>
      </c>
      <c r="J6" s="324"/>
      <c r="K6" s="323" t="s">
        <v>131</v>
      </c>
      <c r="L6" s="315"/>
      <c r="M6" s="315"/>
      <c r="N6" s="316"/>
    </row>
    <row r="7" spans="2:14" ht="38.25" x14ac:dyDescent="0.25">
      <c r="B7" s="318"/>
      <c r="C7" s="320"/>
      <c r="D7" s="322"/>
      <c r="E7" s="43" t="s">
        <v>132</v>
      </c>
      <c r="F7" s="43" t="s">
        <v>35</v>
      </c>
      <c r="G7" s="126" t="s">
        <v>133</v>
      </c>
      <c r="H7" s="126" t="s">
        <v>134</v>
      </c>
      <c r="I7" s="126" t="s">
        <v>47</v>
      </c>
      <c r="J7" s="126" t="s">
        <v>135</v>
      </c>
      <c r="K7" s="126" t="s">
        <v>136</v>
      </c>
      <c r="L7" s="126" t="s">
        <v>137</v>
      </c>
      <c r="M7" s="126" t="s">
        <v>138</v>
      </c>
      <c r="N7" s="127" t="s">
        <v>139</v>
      </c>
    </row>
    <row r="8" spans="2:14" x14ac:dyDescent="0.25">
      <c r="B8" s="42" t="s">
        <v>6</v>
      </c>
      <c r="C8" s="45" t="s">
        <v>132</v>
      </c>
      <c r="D8" s="128">
        <f>ROUND((Forecast!H7+Forecast!I7)/2,0)</f>
        <v>8496</v>
      </c>
      <c r="E8" s="5">
        <f>Forecast!I15</f>
        <v>105791701</v>
      </c>
      <c r="F8" s="5"/>
      <c r="G8" s="129">
        <v>0.13646721756898086</v>
      </c>
      <c r="H8" s="129">
        <f>1-G8</f>
        <v>0.86353278243101916</v>
      </c>
      <c r="I8" s="130">
        <f>K8/(D8*12)</f>
        <v>22.020497841541097</v>
      </c>
      <c r="J8" s="131">
        <f>L8/E8</f>
        <v>0.13428322892794023</v>
      </c>
      <c r="K8" s="5">
        <f>G8*M8</f>
        <v>2245033.7959407978</v>
      </c>
      <c r="L8" s="5">
        <f>H8*M8</f>
        <v>14206051.204059202</v>
      </c>
      <c r="M8" s="132">
        <f>'2015 BA RC Ratios'!H6</f>
        <v>16451085</v>
      </c>
      <c r="N8" s="133">
        <f>(D8*I8*12+E8*J8+F8*J8)-M8</f>
        <v>0</v>
      </c>
    </row>
    <row r="9" spans="2:14" x14ac:dyDescent="0.25">
      <c r="B9" s="42" t="s">
        <v>7</v>
      </c>
      <c r="C9" s="45" t="s">
        <v>35</v>
      </c>
      <c r="D9" s="128">
        <f>ROUND((Forecast!H9+Forecast!I9)/2,0)</f>
        <v>50</v>
      </c>
      <c r="E9" s="5"/>
      <c r="F9" s="5">
        <f>Forecast!I25</f>
        <v>198901</v>
      </c>
      <c r="G9" s="129">
        <v>0.1200968956263495</v>
      </c>
      <c r="H9" s="129">
        <f t="shared" ref="H9:H11" si="0">1-G9</f>
        <v>0.87990310437365049</v>
      </c>
      <c r="I9" s="130">
        <f t="shared" ref="I9:I11" si="1">K9/(D9*12)</f>
        <v>812.04999078974731</v>
      </c>
      <c r="J9" s="131">
        <f>L9/F9</f>
        <v>17.947341143372221</v>
      </c>
      <c r="K9" s="5">
        <f t="shared" ref="K9:K11" si="2">G9*M9</f>
        <v>487229.99447384838</v>
      </c>
      <c r="L9" s="5">
        <f t="shared" ref="L9:L11" si="3">H9*M9</f>
        <v>3569744.1007578783</v>
      </c>
      <c r="M9" s="132">
        <f>'2015 BA RC Ratios'!H7</f>
        <v>4056974.0952317268</v>
      </c>
      <c r="N9" s="133">
        <f t="shared" ref="N9:N11" si="4">(D9*I9*12+E9*J9+F9*J9)-M9</f>
        <v>0</v>
      </c>
    </row>
    <row r="10" spans="2:14" x14ac:dyDescent="0.25">
      <c r="B10" s="42" t="s">
        <v>8</v>
      </c>
      <c r="C10" s="45" t="s">
        <v>132</v>
      </c>
      <c r="D10" s="128">
        <f>ROUND((Forecast!H8+Forecast!I8)/2,0)</f>
        <v>3138</v>
      </c>
      <c r="E10" s="5">
        <f>Forecast!I16</f>
        <v>7731414</v>
      </c>
      <c r="F10" s="5"/>
      <c r="G10" s="129">
        <v>0.43756357758419168</v>
      </c>
      <c r="H10" s="129">
        <f t="shared" si="0"/>
        <v>0.56243642241580827</v>
      </c>
      <c r="I10" s="130">
        <f t="shared" si="1"/>
        <v>25.012592283147875</v>
      </c>
      <c r="J10" s="131">
        <f t="shared" ref="J10:J11" si="5">L10/E10</f>
        <v>0.15659079623444982</v>
      </c>
      <c r="K10" s="5">
        <f t="shared" si="2"/>
        <v>941874.17501421634</v>
      </c>
      <c r="L10" s="5">
        <f t="shared" si="3"/>
        <v>1210668.2742781728</v>
      </c>
      <c r="M10" s="132">
        <f>'2015 BA RC Ratios'!H8</f>
        <v>2152542.4492923892</v>
      </c>
      <c r="N10" s="133">
        <f t="shared" si="4"/>
        <v>0</v>
      </c>
    </row>
    <row r="11" spans="2:14" x14ac:dyDescent="0.25">
      <c r="B11" s="42" t="s">
        <v>9</v>
      </c>
      <c r="C11" s="45" t="s">
        <v>132</v>
      </c>
      <c r="D11" s="128">
        <f>ROUND((Forecast!H10+Forecast!I10)/2,0)</f>
        <v>1018</v>
      </c>
      <c r="E11" s="5">
        <f>Forecast!I18</f>
        <v>804705</v>
      </c>
      <c r="F11" s="5"/>
      <c r="G11" s="129">
        <v>0</v>
      </c>
      <c r="H11" s="129">
        <f t="shared" si="0"/>
        <v>1</v>
      </c>
      <c r="I11" s="130">
        <f t="shared" si="1"/>
        <v>0</v>
      </c>
      <c r="J11" s="131">
        <f t="shared" si="5"/>
        <v>0.19333672835802895</v>
      </c>
      <c r="K11" s="5">
        <f t="shared" si="2"/>
        <v>0</v>
      </c>
      <c r="L11" s="5">
        <f t="shared" si="3"/>
        <v>155579.03199334769</v>
      </c>
      <c r="M11" s="132">
        <f>'2015 BA RC Ratios'!H9</f>
        <v>155579.03199334769</v>
      </c>
      <c r="N11" s="133">
        <f t="shared" si="4"/>
        <v>0</v>
      </c>
    </row>
    <row r="12" spans="2:14" ht="15.75" thickBot="1" x14ac:dyDescent="0.3">
      <c r="B12" s="7"/>
      <c r="C12" s="10"/>
      <c r="D12" s="10"/>
      <c r="E12" s="10"/>
      <c r="F12" s="10"/>
      <c r="G12" s="10"/>
      <c r="H12" s="10"/>
      <c r="I12" s="10"/>
      <c r="J12" s="10"/>
      <c r="K12" s="134">
        <f>SUM(K8:K11)</f>
        <v>3674137.9654288627</v>
      </c>
      <c r="L12" s="134">
        <f>SUM(L8:L11)</f>
        <v>19142042.6110886</v>
      </c>
      <c r="M12" s="134">
        <f>SUM(M8:M11)</f>
        <v>22816180.576517463</v>
      </c>
      <c r="N12" s="135">
        <f>SUM(N8:N11)</f>
        <v>0</v>
      </c>
    </row>
    <row r="14" spans="2:14" x14ac:dyDescent="0.25">
      <c r="L14" s="136" t="s">
        <v>140</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3"/>
  <sheetViews>
    <sheetView showGridLines="0" workbookViewId="0">
      <selection activeCell="B2" sqref="B2:M21"/>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48" t="s">
        <v>199</v>
      </c>
      <c r="C2" s="248"/>
      <c r="D2" s="248"/>
      <c r="E2" s="248"/>
      <c r="F2" s="248"/>
      <c r="G2" s="248"/>
      <c r="H2" s="248"/>
      <c r="I2" s="248"/>
      <c r="J2" s="248"/>
      <c r="K2" s="248"/>
      <c r="L2" s="248"/>
      <c r="M2" s="248"/>
    </row>
    <row r="3" spans="2:13" ht="15.75" thickBot="1" x14ac:dyDescent="0.3"/>
    <row r="4" spans="2:13" x14ac:dyDescent="0.25">
      <c r="B4" s="337" t="s">
        <v>200</v>
      </c>
      <c r="C4" s="338"/>
      <c r="D4" s="338"/>
      <c r="E4" s="338"/>
      <c r="F4" s="338"/>
      <c r="G4" s="338"/>
      <c r="H4" s="338"/>
      <c r="I4" s="338"/>
      <c r="J4" s="338"/>
      <c r="K4" s="338"/>
      <c r="L4" s="338"/>
      <c r="M4" s="339"/>
    </row>
    <row r="5" spans="2:13" x14ac:dyDescent="0.25">
      <c r="B5" s="333" t="s">
        <v>126</v>
      </c>
      <c r="C5" s="334" t="s">
        <v>45</v>
      </c>
      <c r="D5" s="335" t="s">
        <v>127</v>
      </c>
      <c r="E5" s="325" t="s">
        <v>128</v>
      </c>
      <c r="F5" s="325"/>
      <c r="G5" s="325" t="s">
        <v>129</v>
      </c>
      <c r="H5" s="325"/>
      <c r="I5" s="325" t="s">
        <v>130</v>
      </c>
      <c r="J5" s="325"/>
      <c r="K5" s="325" t="s">
        <v>131</v>
      </c>
      <c r="L5" s="325"/>
      <c r="M5" s="326"/>
    </row>
    <row r="6" spans="2:13" ht="38.25" x14ac:dyDescent="0.25">
      <c r="B6" s="333"/>
      <c r="C6" s="334"/>
      <c r="D6" s="336"/>
      <c r="E6" s="43" t="s">
        <v>132</v>
      </c>
      <c r="F6" s="43" t="s">
        <v>35</v>
      </c>
      <c r="G6" s="126" t="s">
        <v>133</v>
      </c>
      <c r="H6" s="126" t="s">
        <v>134</v>
      </c>
      <c r="I6" s="126" t="s">
        <v>47</v>
      </c>
      <c r="J6" s="126" t="s">
        <v>135</v>
      </c>
      <c r="K6" s="126" t="s">
        <v>136</v>
      </c>
      <c r="L6" s="126" t="s">
        <v>137</v>
      </c>
      <c r="M6" s="137" t="s">
        <v>138</v>
      </c>
    </row>
    <row r="7" spans="2:13" x14ac:dyDescent="0.25">
      <c r="B7" s="42" t="s">
        <v>6</v>
      </c>
      <c r="C7" s="45" t="s">
        <v>132</v>
      </c>
      <c r="D7" s="128">
        <f>'2015 Allocated Revenues'!D8</f>
        <v>8496</v>
      </c>
      <c r="E7" s="5">
        <f>'2015 Allocated Revenues'!E8</f>
        <v>105791701</v>
      </c>
      <c r="F7" s="5"/>
      <c r="G7" s="129">
        <f>'2015 Allocated Revenues'!G8</f>
        <v>0.13646721756898086</v>
      </c>
      <c r="H7" s="129">
        <f>'2015 Allocated Revenues'!H8</f>
        <v>0.86353278243101916</v>
      </c>
      <c r="I7" s="130">
        <f>'2015 Allocated Revenues'!I8</f>
        <v>22.020497841541097</v>
      </c>
      <c r="J7" s="150">
        <f>'2015 Allocated Revenues'!J8</f>
        <v>0.13428322892794023</v>
      </c>
      <c r="K7" s="5">
        <f>'2015 Allocated Revenues'!K8</f>
        <v>2245033.7959407978</v>
      </c>
      <c r="L7" s="5">
        <f>'2015 Allocated Revenues'!L8</f>
        <v>14206051.204059202</v>
      </c>
      <c r="M7" s="175">
        <f>'2015 Allocated Revenues'!M8</f>
        <v>16451085</v>
      </c>
    </row>
    <row r="8" spans="2:13" x14ac:dyDescent="0.25">
      <c r="B8" s="42" t="s">
        <v>7</v>
      </c>
      <c r="C8" s="45" t="s">
        <v>35</v>
      </c>
      <c r="D8" s="128">
        <f>'2015 Allocated Revenues'!D9</f>
        <v>50</v>
      </c>
      <c r="E8" s="5"/>
      <c r="F8" s="5">
        <f>'2015 Allocated Revenues'!F9</f>
        <v>198901</v>
      </c>
      <c r="G8" s="129">
        <f>'2015 Allocated Revenues'!G9</f>
        <v>0.1200968956263495</v>
      </c>
      <c r="H8" s="129">
        <f>'2015 Allocated Revenues'!H9</f>
        <v>0.87990310437365049</v>
      </c>
      <c r="I8" s="130">
        <f>'2015 Allocated Revenues'!I9</f>
        <v>812.04999078974731</v>
      </c>
      <c r="J8" s="150">
        <f>'2015 Allocated Revenues'!J9</f>
        <v>17.947341143372221</v>
      </c>
      <c r="K8" s="5">
        <f>'2015 Allocated Revenues'!K9</f>
        <v>487229.99447384838</v>
      </c>
      <c r="L8" s="5">
        <f>'2015 Allocated Revenues'!L9</f>
        <v>3569744.1007578783</v>
      </c>
      <c r="M8" s="175">
        <f>'2015 Allocated Revenues'!M9</f>
        <v>4056974.0952317268</v>
      </c>
    </row>
    <row r="9" spans="2:13" x14ac:dyDescent="0.25">
      <c r="B9" s="42"/>
      <c r="C9" s="45"/>
      <c r="D9" s="128"/>
      <c r="E9" s="5"/>
      <c r="F9" s="5"/>
      <c r="G9" s="129"/>
      <c r="H9" s="129"/>
      <c r="I9" s="130"/>
      <c r="J9" s="131"/>
      <c r="K9" s="5"/>
      <c r="L9" s="5"/>
      <c r="M9" s="133"/>
    </row>
    <row r="10" spans="2:13" x14ac:dyDescent="0.25">
      <c r="B10" s="4"/>
      <c r="C10" s="21"/>
      <c r="D10" s="21"/>
      <c r="E10" s="21"/>
      <c r="F10" s="21"/>
      <c r="G10" s="21"/>
      <c r="H10" s="21"/>
      <c r="I10" s="21"/>
      <c r="J10" s="21"/>
      <c r="K10" s="138">
        <f>SUM(K7:K8)</f>
        <v>2732263.7904146463</v>
      </c>
      <c r="L10" s="138">
        <f>SUM(L7:L8)</f>
        <v>17775795.30481708</v>
      </c>
      <c r="M10" s="139">
        <f>SUM(M7:M8)</f>
        <v>20508059.095231727</v>
      </c>
    </row>
    <row r="11" spans="2:13" x14ac:dyDescent="0.25">
      <c r="B11" s="329"/>
      <c r="C11" s="330"/>
      <c r="D11" s="330"/>
      <c r="E11" s="330"/>
      <c r="F11" s="330"/>
      <c r="G11" s="330"/>
      <c r="H11" s="330"/>
      <c r="I11" s="330"/>
      <c r="J11" s="330"/>
      <c r="K11" s="330"/>
      <c r="L11" s="330"/>
      <c r="M11" s="331"/>
    </row>
    <row r="12" spans="2:13" x14ac:dyDescent="0.25">
      <c r="B12" s="332" t="s">
        <v>201</v>
      </c>
      <c r="C12" s="325"/>
      <c r="D12" s="325"/>
      <c r="E12" s="325"/>
      <c r="F12" s="325"/>
      <c r="G12" s="325"/>
      <c r="H12" s="325"/>
      <c r="I12" s="325"/>
      <c r="J12" s="325"/>
      <c r="K12" s="325"/>
      <c r="L12" s="325"/>
      <c r="M12" s="326"/>
    </row>
    <row r="13" spans="2:13" x14ac:dyDescent="0.25">
      <c r="B13" s="332" t="s">
        <v>142</v>
      </c>
      <c r="C13" s="325"/>
      <c r="D13" s="325"/>
      <c r="E13" s="325"/>
      <c r="F13" s="325"/>
      <c r="G13" s="325"/>
      <c r="H13" s="325"/>
      <c r="I13" s="325"/>
      <c r="J13" s="325"/>
      <c r="K13" s="325"/>
      <c r="L13" s="325"/>
      <c r="M13" s="326"/>
    </row>
    <row r="14" spans="2:13" x14ac:dyDescent="0.25">
      <c r="B14" s="314" t="s">
        <v>143</v>
      </c>
      <c r="C14" s="315"/>
      <c r="D14" s="315"/>
      <c r="E14" s="315"/>
      <c r="F14" s="315"/>
      <c r="G14" s="315"/>
      <c r="H14" s="315"/>
      <c r="I14" s="315"/>
      <c r="J14" s="315"/>
      <c r="K14" s="315"/>
      <c r="L14" s="324"/>
      <c r="M14" s="234">
        <f>Forecast!I30</f>
        <v>7.9000000000000008E-3</v>
      </c>
    </row>
    <row r="15" spans="2:13" x14ac:dyDescent="0.25">
      <c r="B15" s="333" t="s">
        <v>126</v>
      </c>
      <c r="C15" s="334" t="s">
        <v>45</v>
      </c>
      <c r="D15" s="335" t="s">
        <v>127</v>
      </c>
      <c r="E15" s="325" t="s">
        <v>128</v>
      </c>
      <c r="F15" s="325"/>
      <c r="G15" s="325" t="s">
        <v>129</v>
      </c>
      <c r="H15" s="325"/>
      <c r="I15" s="325" t="s">
        <v>130</v>
      </c>
      <c r="J15" s="325"/>
      <c r="K15" s="325" t="s">
        <v>131</v>
      </c>
      <c r="L15" s="325"/>
      <c r="M15" s="326"/>
    </row>
    <row r="16" spans="2:13" ht="38.25" x14ac:dyDescent="0.25">
      <c r="B16" s="333"/>
      <c r="C16" s="334"/>
      <c r="D16" s="336"/>
      <c r="E16" s="43" t="s">
        <v>132</v>
      </c>
      <c r="F16" s="43" t="s">
        <v>35</v>
      </c>
      <c r="G16" s="126" t="s">
        <v>133</v>
      </c>
      <c r="H16" s="126" t="s">
        <v>134</v>
      </c>
      <c r="I16" s="126" t="s">
        <v>47</v>
      </c>
      <c r="J16" s="126" t="s">
        <v>135</v>
      </c>
      <c r="K16" s="126" t="s">
        <v>136</v>
      </c>
      <c r="L16" s="126" t="s">
        <v>137</v>
      </c>
      <c r="M16" s="137" t="s">
        <v>138</v>
      </c>
    </row>
    <row r="17" spans="2:13" x14ac:dyDescent="0.25">
      <c r="B17" s="42" t="s">
        <v>6</v>
      </c>
      <c r="C17" s="45" t="s">
        <v>132</v>
      </c>
      <c r="D17" s="128">
        <f>D7</f>
        <v>8496</v>
      </c>
      <c r="E17" s="5">
        <f>E7</f>
        <v>105791701</v>
      </c>
      <c r="F17" s="5"/>
      <c r="G17" s="129">
        <f>K17/M17</f>
        <v>0.40714429134263774</v>
      </c>
      <c r="H17" s="129">
        <f>L17/M17</f>
        <v>0.59285570865736215</v>
      </c>
      <c r="I17" s="130">
        <v>23.342964000000002</v>
      </c>
      <c r="J17" s="131">
        <v>3.2756750000000001E-2</v>
      </c>
      <c r="K17" s="5">
        <f>D17*I17*12</f>
        <v>2379861.8657280002</v>
      </c>
      <c r="L17" s="5">
        <f>J17*E17</f>
        <v>3465392.3017317499</v>
      </c>
      <c r="M17" s="133">
        <f>K17+L17</f>
        <v>5845254.1674597505</v>
      </c>
    </row>
    <row r="18" spans="2:13" x14ac:dyDescent="0.25">
      <c r="B18" s="140" t="s">
        <v>7</v>
      </c>
      <c r="C18" s="141" t="s">
        <v>35</v>
      </c>
      <c r="D18" s="142">
        <f>D8</f>
        <v>50</v>
      </c>
      <c r="E18" s="143"/>
      <c r="F18" s="143">
        <f>F8</f>
        <v>198901</v>
      </c>
      <c r="G18" s="144">
        <f>K18/M18</f>
        <v>0.36796867661228916</v>
      </c>
      <c r="H18" s="144">
        <f>L18/M18</f>
        <v>0.63203132338771095</v>
      </c>
      <c r="I18" s="145">
        <v>600.82934799999998</v>
      </c>
      <c r="J18" s="146">
        <v>3.1131007299999998</v>
      </c>
      <c r="K18" s="143">
        <f>D18*I18*12</f>
        <v>360497.60879999999</v>
      </c>
      <c r="L18" s="143">
        <f>J18*F18</f>
        <v>619198.84829772997</v>
      </c>
      <c r="M18" s="147">
        <f>K18+L18</f>
        <v>979696.4570977299</v>
      </c>
    </row>
    <row r="19" spans="2:13" x14ac:dyDescent="0.25">
      <c r="B19" s="42" t="s">
        <v>144</v>
      </c>
      <c r="C19" s="45"/>
      <c r="D19" s="128"/>
      <c r="E19" s="5"/>
      <c r="F19" s="5"/>
      <c r="G19" s="129"/>
      <c r="H19" s="129"/>
      <c r="I19" s="130"/>
      <c r="J19" s="131"/>
      <c r="K19" s="5"/>
      <c r="L19" s="5">
        <f>Forecast!I34</f>
        <v>74096.399999999994</v>
      </c>
      <c r="M19" s="133">
        <f>K19+L19</f>
        <v>74096.399999999994</v>
      </c>
    </row>
    <row r="20" spans="2:13" x14ac:dyDescent="0.25">
      <c r="B20" s="4"/>
      <c r="C20" s="21"/>
      <c r="D20" s="21"/>
      <c r="E20" s="21"/>
      <c r="F20" s="21"/>
      <c r="G20" s="21"/>
      <c r="H20" s="21"/>
      <c r="I20" s="21"/>
      <c r="J20" s="21"/>
      <c r="K20" s="21"/>
      <c r="L20" s="21"/>
      <c r="M20" s="148"/>
    </row>
    <row r="21" spans="2:13" ht="15.75" thickBot="1" x14ac:dyDescent="0.3">
      <c r="B21" s="327" t="s">
        <v>202</v>
      </c>
      <c r="C21" s="328"/>
      <c r="D21" s="328"/>
      <c r="E21" s="328"/>
      <c r="F21" s="328"/>
      <c r="G21" s="328"/>
      <c r="H21" s="328"/>
      <c r="I21" s="328"/>
      <c r="J21" s="328"/>
      <c r="K21" s="328"/>
      <c r="L21" s="328"/>
      <c r="M21" s="149">
        <f>M10-M17-M18+M19</f>
        <v>13757204.870674247</v>
      </c>
    </row>
    <row r="23" spans="2:13" x14ac:dyDescent="0.25">
      <c r="L23" s="136" t="s">
        <v>140</v>
      </c>
      <c r="M23" s="13" t="str">
        <f>IF((M10+M19-M17-M18-M21&lt;1),"YES","NO")</f>
        <v>YES</v>
      </c>
    </row>
  </sheetData>
  <mergeCells count="21">
    <mergeCell ref="B2:M2"/>
    <mergeCell ref="B4:M4"/>
    <mergeCell ref="B5:B6"/>
    <mergeCell ref="C5:C6"/>
    <mergeCell ref="D5:D6"/>
    <mergeCell ref="E5:F5"/>
    <mergeCell ref="G5:H5"/>
    <mergeCell ref="I5:J5"/>
    <mergeCell ref="K5:M5"/>
    <mergeCell ref="K15:M15"/>
    <mergeCell ref="B21:L21"/>
    <mergeCell ref="B11:M11"/>
    <mergeCell ref="B12:M12"/>
    <mergeCell ref="B13:M13"/>
    <mergeCell ref="B14:L14"/>
    <mergeCell ref="B15:B16"/>
    <mergeCell ref="C15:C16"/>
    <mergeCell ref="D15:D16"/>
    <mergeCell ref="E15:F15"/>
    <mergeCell ref="G15:H15"/>
    <mergeCell ref="I15:J15"/>
  </mergeCells>
  <pageMargins left="0.7" right="0.7" top="0.75" bottom="0.75" header="0.3" footer="0.3"/>
  <pageSetup scale="6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1"/>
  <sheetViews>
    <sheetView showGridLines="0" workbookViewId="0">
      <selection activeCell="H28" sqref="H28"/>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48" t="s">
        <v>214</v>
      </c>
      <c r="C2" s="248"/>
      <c r="D2" s="248"/>
      <c r="E2" s="248"/>
      <c r="F2" s="248"/>
      <c r="G2" s="248"/>
      <c r="H2" s="248"/>
      <c r="I2" s="248"/>
      <c r="J2" s="248"/>
      <c r="K2" s="248"/>
      <c r="L2" s="248"/>
      <c r="M2" s="248"/>
    </row>
    <row r="3" spans="2:13" ht="15.75" thickBot="1" x14ac:dyDescent="0.3"/>
    <row r="4" spans="2:13" x14ac:dyDescent="0.25">
      <c r="B4" s="337" t="s">
        <v>141</v>
      </c>
      <c r="C4" s="338"/>
      <c r="D4" s="338"/>
      <c r="E4" s="338"/>
      <c r="F4" s="338"/>
      <c r="G4" s="338"/>
      <c r="H4" s="338"/>
      <c r="I4" s="338"/>
      <c r="J4" s="338"/>
      <c r="K4" s="338"/>
      <c r="L4" s="338"/>
      <c r="M4" s="339"/>
    </row>
    <row r="5" spans="2:13" x14ac:dyDescent="0.25">
      <c r="B5" s="333" t="s">
        <v>126</v>
      </c>
      <c r="C5" s="334" t="s">
        <v>45</v>
      </c>
      <c r="D5" s="340" t="s">
        <v>127</v>
      </c>
      <c r="E5" s="325" t="s">
        <v>128</v>
      </c>
      <c r="F5" s="325"/>
      <c r="G5" s="323" t="s">
        <v>129</v>
      </c>
      <c r="H5" s="324"/>
      <c r="I5" s="325" t="s">
        <v>130</v>
      </c>
      <c r="J5" s="325"/>
      <c r="K5" s="325" t="s">
        <v>131</v>
      </c>
      <c r="L5" s="325"/>
      <c r="M5" s="326"/>
    </row>
    <row r="6" spans="2:13" ht="38.25" x14ac:dyDescent="0.25">
      <c r="B6" s="333"/>
      <c r="C6" s="334"/>
      <c r="D6" s="340"/>
      <c r="E6" s="43" t="s">
        <v>132</v>
      </c>
      <c r="F6" s="43" t="s">
        <v>35</v>
      </c>
      <c r="G6" s="126" t="s">
        <v>133</v>
      </c>
      <c r="H6" s="126" t="s">
        <v>134</v>
      </c>
      <c r="I6" s="126" t="s">
        <v>47</v>
      </c>
      <c r="J6" s="126" t="s">
        <v>135</v>
      </c>
      <c r="K6" s="126" t="s">
        <v>136</v>
      </c>
      <c r="L6" s="126" t="s">
        <v>137</v>
      </c>
      <c r="M6" s="137" t="s">
        <v>138</v>
      </c>
    </row>
    <row r="7" spans="2:13" x14ac:dyDescent="0.25">
      <c r="B7" s="140" t="s">
        <v>8</v>
      </c>
      <c r="C7" s="141" t="s">
        <v>132</v>
      </c>
      <c r="D7" s="151">
        <f>'2015 Allocated Revenues'!D10</f>
        <v>3138</v>
      </c>
      <c r="E7" s="143">
        <f>'2015 Allocated Revenues'!E10</f>
        <v>7731414</v>
      </c>
      <c r="F7" s="143"/>
      <c r="G7" s="144">
        <v>0.47499999999999998</v>
      </c>
      <c r="H7" s="129">
        <f>1-G7</f>
        <v>0.52500000000000002</v>
      </c>
      <c r="I7" s="152">
        <f>K7/(D7*12)</f>
        <v>27.152582945981646</v>
      </c>
      <c r="J7" s="153">
        <f>L7/E7</f>
        <v>0.14616793071467968</v>
      </c>
      <c r="K7" s="154">
        <f>G7*M7</f>
        <v>1022457.6634138848</v>
      </c>
      <c r="L7" s="154">
        <f>H7*M7</f>
        <v>1130084.7858785044</v>
      </c>
      <c r="M7" s="155">
        <f>'2015 Allocated Revenues'!M10</f>
        <v>2152542.4492923892</v>
      </c>
    </row>
    <row r="8" spans="2:13" x14ac:dyDescent="0.25">
      <c r="B8" s="140" t="s">
        <v>9</v>
      </c>
      <c r="C8" s="141" t="s">
        <v>132</v>
      </c>
      <c r="D8" s="151">
        <f>'2015 Allocated Revenues'!D11</f>
        <v>1018</v>
      </c>
      <c r="E8" s="143">
        <f>'2015 Allocated Revenues'!E11</f>
        <v>804705</v>
      </c>
      <c r="F8" s="143"/>
      <c r="G8" s="144">
        <v>8.5999999999999993E-2</v>
      </c>
      <c r="H8" s="129">
        <f>1-G8</f>
        <v>0.91400000000000003</v>
      </c>
      <c r="I8" s="152">
        <f>K8/(D8*12)</f>
        <v>1.0952682343997955</v>
      </c>
      <c r="J8" s="153">
        <f>L8/E8</f>
        <v>0.17670976971923846</v>
      </c>
      <c r="K8" s="154">
        <f>G8*M8</f>
        <v>13379.796751427901</v>
      </c>
      <c r="L8" s="154">
        <f>H8*M8</f>
        <v>142199.23524191979</v>
      </c>
      <c r="M8" s="155">
        <f>'2015 Allocated Revenues'!M11</f>
        <v>155579.03199334769</v>
      </c>
    </row>
    <row r="9" spans="2:13" ht="15.75" thickBot="1" x14ac:dyDescent="0.3">
      <c r="B9" s="7"/>
      <c r="C9" s="10"/>
      <c r="D9" s="10"/>
      <c r="E9" s="10"/>
      <c r="F9" s="10"/>
      <c r="G9" s="10"/>
      <c r="H9" s="10"/>
      <c r="I9" s="10"/>
      <c r="J9" s="10"/>
      <c r="K9" s="134">
        <f>K7+K8</f>
        <v>1035837.4601653127</v>
      </c>
      <c r="L9" s="134">
        <f>L7+L8</f>
        <v>1272284.0211204241</v>
      </c>
      <c r="M9" s="135">
        <f>M7+M8</f>
        <v>2308121.4812857369</v>
      </c>
    </row>
    <row r="11" spans="2:13" x14ac:dyDescent="0.25">
      <c r="K11" s="136" t="s">
        <v>140</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9"/>
  <sheetViews>
    <sheetView showGridLines="0" workbookViewId="0">
      <selection activeCell="H8" sqref="H8"/>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295" t="s">
        <v>203</v>
      </c>
      <c r="C3" s="296"/>
      <c r="D3" s="296"/>
      <c r="E3" s="296"/>
      <c r="F3" s="296"/>
      <c r="G3" s="296"/>
      <c r="H3" s="297"/>
    </row>
    <row r="4" spans="2:11" ht="15.75" thickBot="1" x14ac:dyDescent="0.3">
      <c r="B4" s="298"/>
      <c r="C4" s="299"/>
      <c r="D4" s="299"/>
      <c r="E4" s="299"/>
      <c r="F4" s="299"/>
      <c r="G4" s="299"/>
      <c r="H4" s="300"/>
    </row>
    <row r="5" spans="2:11" ht="90" thickBot="1" x14ac:dyDescent="0.3">
      <c r="B5" s="1"/>
      <c r="C5" s="2" t="s">
        <v>0</v>
      </c>
      <c r="D5" s="2" t="s">
        <v>1</v>
      </c>
      <c r="E5" s="2" t="s">
        <v>2</v>
      </c>
      <c r="F5" s="2" t="s">
        <v>3</v>
      </c>
      <c r="G5" s="166" t="s">
        <v>4</v>
      </c>
      <c r="H5" s="3" t="s">
        <v>5</v>
      </c>
    </row>
    <row r="6" spans="2:11" x14ac:dyDescent="0.25">
      <c r="B6" s="4" t="s">
        <v>6</v>
      </c>
      <c r="C6" s="5">
        <v>15134936.012393121</v>
      </c>
      <c r="D6" s="5">
        <v>292845.03390436457</v>
      </c>
      <c r="E6" s="5">
        <f>C6-D6</f>
        <v>14842090.978488756</v>
      </c>
      <c r="F6" s="164">
        <v>16601470.620292047</v>
      </c>
      <c r="G6" s="172">
        <f>(H6+D6)/C6</f>
        <v>1.0930041656587219</v>
      </c>
      <c r="H6" s="165">
        <f>H10-(H7+H8+H9)</f>
        <v>16249703.074619522</v>
      </c>
    </row>
    <row r="7" spans="2:11" x14ac:dyDescent="0.25">
      <c r="B7" s="4" t="s">
        <v>7</v>
      </c>
      <c r="C7" s="5">
        <v>3731937.3743071831</v>
      </c>
      <c r="D7" s="5">
        <v>75826.547480141744</v>
      </c>
      <c r="E7" s="5">
        <f t="shared" ref="E7:E10" si="0">C7-D7</f>
        <v>3656110.8268270413</v>
      </c>
      <c r="F7" s="164">
        <v>4093853.7451839992</v>
      </c>
      <c r="G7" s="173">
        <f t="shared" ref="G7:G9" si="1">(H7+D7)/C7</f>
        <v>1.0929514990152687</v>
      </c>
      <c r="H7" s="165">
        <v>4003000</v>
      </c>
      <c r="K7" s="168"/>
    </row>
    <row r="8" spans="2:11" x14ac:dyDescent="0.25">
      <c r="B8" s="4" t="s">
        <v>8</v>
      </c>
      <c r="C8" s="5">
        <v>3719750.8767591882</v>
      </c>
      <c r="D8" s="5">
        <v>79308.076763124598</v>
      </c>
      <c r="E8" s="5">
        <f t="shared" si="0"/>
        <v>3640442.7999960636</v>
      </c>
      <c r="F8" s="164">
        <v>1965213.9659242125</v>
      </c>
      <c r="G8" s="173">
        <f t="shared" si="1"/>
        <v>0.66000000000000014</v>
      </c>
      <c r="H8" s="165">
        <v>2375727.5018979399</v>
      </c>
    </row>
    <row r="9" spans="2:11" ht="15.75" thickBot="1" x14ac:dyDescent="0.3">
      <c r="B9" s="4" t="s">
        <v>9</v>
      </c>
      <c r="C9" s="5">
        <v>696313.95305797388</v>
      </c>
      <c r="D9" s="5">
        <v>18777.981852369074</v>
      </c>
      <c r="E9" s="5">
        <f t="shared" si="0"/>
        <v>677535.97120560484</v>
      </c>
      <c r="F9" s="164">
        <v>155642.24511720496</v>
      </c>
      <c r="G9" s="174">
        <f t="shared" si="1"/>
        <v>0.29660181437607053</v>
      </c>
      <c r="H9" s="165">
        <v>187750</v>
      </c>
    </row>
    <row r="10" spans="2:11" ht="15.75" thickBot="1" x14ac:dyDescent="0.3">
      <c r="B10" s="7"/>
      <c r="C10" s="8">
        <f>SUM(C6:C9)</f>
        <v>23282938.216517463</v>
      </c>
      <c r="D10" s="8">
        <f>SUM(D6:D9)</f>
        <v>466757.64</v>
      </c>
      <c r="E10" s="9">
        <f t="shared" si="0"/>
        <v>22816180.576517463</v>
      </c>
      <c r="F10" s="8">
        <f>SUM(F6:F9)</f>
        <v>22816180.576517463</v>
      </c>
      <c r="G10" s="167"/>
      <c r="H10" s="8">
        <v>22816180.576517463</v>
      </c>
    </row>
    <row r="12" spans="2:11" x14ac:dyDescent="0.25">
      <c r="F12" s="11"/>
      <c r="G12" s="12" t="s">
        <v>10</v>
      </c>
      <c r="H12" s="13" t="str">
        <f>IF(H10-SUM(H6:H9)&lt;1,"YES","NO")</f>
        <v>YES</v>
      </c>
    </row>
    <row r="13" spans="2:11" ht="15.75" thickBot="1" x14ac:dyDescent="0.3"/>
    <row r="14" spans="2:11" ht="16.5" thickBot="1" x14ac:dyDescent="0.3">
      <c r="B14" s="305" t="s">
        <v>204</v>
      </c>
      <c r="C14" s="306"/>
      <c r="D14" s="306"/>
      <c r="E14" s="306"/>
      <c r="F14" s="306"/>
      <c r="G14" s="307"/>
    </row>
    <row r="15" spans="2:11" x14ac:dyDescent="0.25">
      <c r="B15" s="161"/>
      <c r="C15" s="162">
        <v>2015</v>
      </c>
      <c r="D15" s="162">
        <v>2016</v>
      </c>
      <c r="E15" s="162">
        <v>2017</v>
      </c>
      <c r="F15" s="162">
        <v>2018</v>
      </c>
      <c r="G15" s="163">
        <v>2019</v>
      </c>
    </row>
    <row r="16" spans="2:11" x14ac:dyDescent="0.25">
      <c r="B16" s="4" t="s">
        <v>6</v>
      </c>
      <c r="C16" s="156">
        <f>'2015 BA RC Ratios'!C16</f>
        <v>1.1063099322120511</v>
      </c>
      <c r="D16" s="301" t="s">
        <v>146</v>
      </c>
      <c r="E16" s="301"/>
      <c r="F16" s="301"/>
      <c r="G16" s="302"/>
    </row>
    <row r="17" spans="2:7" ht="15.75" thickBot="1" x14ac:dyDescent="0.3">
      <c r="B17" s="4" t="s">
        <v>7</v>
      </c>
      <c r="C17" s="156">
        <f>'2015 BA RC Ratios'!C17</f>
        <v>1.1074142538308547</v>
      </c>
      <c r="D17" s="341" t="s">
        <v>146</v>
      </c>
      <c r="E17" s="301"/>
      <c r="F17" s="301"/>
      <c r="G17" s="302"/>
    </row>
    <row r="18" spans="2:7" ht="15.75" thickBot="1" x14ac:dyDescent="0.3">
      <c r="B18" s="4" t="s">
        <v>8</v>
      </c>
      <c r="C18" s="169">
        <f>'2015 BA RC Ratios'!C18</f>
        <v>0.6000000000000002</v>
      </c>
      <c r="D18" s="171">
        <v>0.66</v>
      </c>
      <c r="E18" s="170">
        <v>0.72</v>
      </c>
      <c r="F18" s="156">
        <v>0.78</v>
      </c>
      <c r="G18" s="158">
        <v>0.85</v>
      </c>
    </row>
    <row r="19" spans="2:7" ht="15.75" thickBot="1" x14ac:dyDescent="0.3">
      <c r="B19" s="7" t="s">
        <v>9</v>
      </c>
      <c r="C19" s="159">
        <f>'2015 BA RC Ratios'!C19</f>
        <v>0.25040000000000012</v>
      </c>
      <c r="D19" s="342" t="s">
        <v>147</v>
      </c>
      <c r="E19" s="303"/>
      <c r="F19" s="303"/>
      <c r="G19" s="304"/>
    </row>
  </sheetData>
  <mergeCells count="5">
    <mergeCell ref="B3:H4"/>
    <mergeCell ref="B14:G14"/>
    <mergeCell ref="D16:G16"/>
    <mergeCell ref="D17:G17"/>
    <mergeCell ref="D19:G19"/>
  </mergeCells>
  <pageMargins left="0.7" right="0.7" top="0.75" bottom="0.75" header="0.3" footer="0.3"/>
  <pageSetup scale="9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 Sheet</vt:lpstr>
      <vt:lpstr>Forecast</vt:lpstr>
      <vt:lpstr>Tariff Sheet</vt:lpstr>
      <vt:lpstr>2015 BA Cost Allocation</vt:lpstr>
      <vt:lpstr>2015 BA RC Ratios</vt:lpstr>
      <vt:lpstr>2015 Allocated Revenues</vt:lpstr>
      <vt:lpstr>2015 RRRP Rate Design</vt:lpstr>
      <vt:lpstr>2015 Non-RRRP Rate Design</vt:lpstr>
      <vt:lpstr>2016 Proposed RC Ratios</vt:lpstr>
      <vt:lpstr>2016 Allocated Revenues</vt:lpstr>
      <vt:lpstr>IRM Adjustment Factor</vt:lpstr>
      <vt:lpstr>2016 Indexed Allocated Revenues</vt:lpstr>
      <vt:lpstr>2016 RRRP Rate Design</vt:lpstr>
      <vt:lpstr>2016 Non-RRRP Rate Design</vt:lpstr>
      <vt:lpstr>Decoupling</vt:lpstr>
      <vt:lpstr>Proposed Rates</vt:lpstr>
    </vt:vector>
  </TitlesOfParts>
  <Company>Westario Power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Bradbury, Doug</cp:lastModifiedBy>
  <cp:lastPrinted>2015-06-19T18:10:15Z</cp:lastPrinted>
  <dcterms:created xsi:type="dcterms:W3CDTF">2015-06-18T18:08:53Z</dcterms:created>
  <dcterms:modified xsi:type="dcterms:W3CDTF">2015-08-13T15:39:25Z</dcterms:modified>
</cp:coreProperties>
</file>