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25" windowWidth="9600" windowHeight="6915" tabRatio="655" activeTab="3"/>
  </bookViews>
  <sheets>
    <sheet name="2020 MIFRS Rtbase  " sheetId="34" r:id="rId1"/>
    <sheet name="2019 MIFRS Rtbase " sheetId="33" r:id="rId2"/>
    <sheet name="2018 MIFRS Rtbase " sheetId="32" r:id="rId3"/>
    <sheet name="2017 MIFRS Rtbase  " sheetId="31" r:id="rId4"/>
    <sheet name="2016 MIFRS Rtbase " sheetId="30" r:id="rId5"/>
    <sheet name="2015 MIFRS Rtbase  " sheetId="29" r:id="rId6"/>
    <sheet name="2014 MIFRS Rtbase " sheetId="28" r:id="rId7"/>
    <sheet name="2013 MIFRS Rtbase" sheetId="26" r:id="rId8"/>
    <sheet name="2012 MIFRS Ratesbase" sheetId="27" r:id="rId9"/>
  </sheets>
  <definedNames>
    <definedName name="_xlnm.Print_Area" localSheetId="8">'2012 MIFRS Ratesbase'!$B$1:$P$96</definedName>
    <definedName name="_xlnm.Print_Area" localSheetId="7">'2013 MIFRS Rtbase'!$B$1:$P$95</definedName>
    <definedName name="_xlnm.Print_Area" localSheetId="6">'2014 MIFRS Rtbase '!$A$1:$P$96</definedName>
    <definedName name="_xlnm.Print_Area" localSheetId="5">'2015 MIFRS Rtbase  '!$A$1:$P$96</definedName>
    <definedName name="_xlnm.Print_Area" localSheetId="4">'2016 MIFRS Rtbase '!$A$1:$P$96</definedName>
    <definedName name="_xlnm.Print_Area" localSheetId="3">'2017 MIFRS Rtbase  '!$A$1:$P$96</definedName>
    <definedName name="_xlnm.Print_Area" localSheetId="2">'2018 MIFRS Rtbase '!$A$1:$P$96</definedName>
    <definedName name="_xlnm.Print_Area" localSheetId="1">'2019 MIFRS Rtbase '!$A$1:$P$96</definedName>
    <definedName name="_xlnm.Print_Area" localSheetId="0">'2020 MIFRS Rtbase  '!$A$1:$P$96</definedName>
    <definedName name="_xlnm.Print_Titles" localSheetId="8">'2012 MIFRS Ratesbase'!$14:$15</definedName>
    <definedName name="_xlnm.Print_Titles" localSheetId="7">'2013 MIFRS Rtbase'!$14:$15</definedName>
    <definedName name="_xlnm.Print_Titles" localSheetId="6">'2014 MIFRS Rtbase '!$14:$15</definedName>
    <definedName name="_xlnm.Print_Titles" localSheetId="5">'2015 MIFRS Rtbase  '!$14:$15</definedName>
    <definedName name="_xlnm.Print_Titles" localSheetId="4">'2016 MIFRS Rtbase '!$14:$15</definedName>
    <definedName name="_xlnm.Print_Titles" localSheetId="3">'2017 MIFRS Rtbase  '!$14:$15</definedName>
    <definedName name="_xlnm.Print_Titles" localSheetId="2">'2018 MIFRS Rtbase '!$14:$15</definedName>
    <definedName name="_xlnm.Print_Titles" localSheetId="1">'2019 MIFRS Rtbase '!$14:$15</definedName>
    <definedName name="_xlnm.Print_Titles" localSheetId="0">'2020 MIFRS Rtbase  '!$14:$15</definedName>
  </definedNames>
  <calcPr calcId="145621"/>
</workbook>
</file>

<file path=xl/calcChain.xml><?xml version="1.0" encoding="utf-8"?>
<calcChain xmlns="http://schemas.openxmlformats.org/spreadsheetml/2006/main">
  <c r="J19" i="29" l="1"/>
  <c r="J21" i="28"/>
  <c r="J19" i="28"/>
  <c r="N30" i="34" l="1"/>
  <c r="N34" i="34" s="1"/>
  <c r="N28" i="34"/>
  <c r="N27" i="34"/>
  <c r="N26" i="34"/>
  <c r="N25" i="34"/>
  <c r="N77" i="34"/>
  <c r="N78" i="34" s="1"/>
  <c r="N72" i="34"/>
  <c r="N67" i="34"/>
  <c r="N63" i="34"/>
  <c r="N59" i="34"/>
  <c r="N52" i="34"/>
  <c r="N37" i="34"/>
  <c r="E77" i="34"/>
  <c r="E37" i="34"/>
  <c r="N77" i="33"/>
  <c r="N78" i="33" s="1"/>
  <c r="N30" i="33"/>
  <c r="N28" i="33"/>
  <c r="N27" i="33"/>
  <c r="N26" i="33"/>
  <c r="N25" i="33"/>
  <c r="N72" i="33"/>
  <c r="N67" i="33"/>
  <c r="N63" i="33"/>
  <c r="N59" i="33"/>
  <c r="N52" i="33"/>
  <c r="N37" i="33"/>
  <c r="N34" i="33"/>
  <c r="N30" i="32"/>
  <c r="N28" i="32"/>
  <c r="N27" i="32"/>
  <c r="N26" i="32"/>
  <c r="N25" i="32"/>
  <c r="N28" i="31"/>
  <c r="N27" i="31"/>
  <c r="N26" i="31"/>
  <c r="N25" i="31"/>
  <c r="N30" i="31"/>
  <c r="E77" i="33"/>
  <c r="N29" i="33" l="1"/>
  <c r="N29" i="34"/>
  <c r="E37" i="33"/>
  <c r="N77" i="32" l="1"/>
  <c r="N78" i="32" s="1"/>
  <c r="N72" i="32"/>
  <c r="N67" i="32"/>
  <c r="N63" i="32"/>
  <c r="N59" i="32"/>
  <c r="N52" i="32"/>
  <c r="N37" i="32"/>
  <c r="N34" i="32"/>
  <c r="N29" i="32"/>
  <c r="E77" i="32"/>
  <c r="E37" i="32"/>
  <c r="N77" i="31" l="1"/>
  <c r="N78" i="31" s="1"/>
  <c r="N72" i="31"/>
  <c r="N67" i="31"/>
  <c r="N59" i="31"/>
  <c r="N52" i="31"/>
  <c r="N37" i="31"/>
  <c r="N34" i="31"/>
  <c r="N29" i="31"/>
  <c r="G24" i="34"/>
  <c r="G23" i="34"/>
  <c r="G22" i="34"/>
  <c r="G21" i="34"/>
  <c r="G20" i="34"/>
  <c r="G19" i="34"/>
  <c r="G18" i="34"/>
  <c r="G21" i="33"/>
  <c r="G21" i="32"/>
  <c r="G21" i="29"/>
  <c r="J21" i="29" s="1"/>
  <c r="G21" i="30"/>
  <c r="G21" i="31"/>
  <c r="N27" i="30"/>
  <c r="N30" i="30"/>
  <c r="N28" i="30"/>
  <c r="N26" i="30"/>
  <c r="N25" i="30"/>
  <c r="N52" i="30"/>
  <c r="N77" i="30"/>
  <c r="N78" i="30" s="1"/>
  <c r="N72" i="30"/>
  <c r="N67" i="30"/>
  <c r="N63" i="30"/>
  <c r="N59" i="30"/>
  <c r="N37" i="30"/>
  <c r="N34" i="30"/>
  <c r="E77" i="31"/>
  <c r="E37" i="31"/>
  <c r="N29" i="30" l="1"/>
  <c r="N85" i="30" s="1"/>
  <c r="J21" i="31" l="1"/>
  <c r="J19" i="31"/>
  <c r="J21" i="32"/>
  <c r="J20" i="32"/>
  <c r="J19" i="32"/>
  <c r="J21" i="33"/>
  <c r="J19" i="33"/>
  <c r="J24" i="34"/>
  <c r="J23" i="34"/>
  <c r="J22" i="34"/>
  <c r="J21" i="34"/>
  <c r="J20" i="34"/>
  <c r="J19" i="34"/>
  <c r="J18" i="34"/>
  <c r="F70" i="34" l="1"/>
  <c r="F55" i="34"/>
  <c r="G55" i="34" s="1"/>
  <c r="F56" i="34"/>
  <c r="G56" i="34" s="1"/>
  <c r="F57" i="34"/>
  <c r="F60" i="34"/>
  <c r="G60" i="34" s="1"/>
  <c r="F57" i="33"/>
  <c r="F55" i="33"/>
  <c r="F60" i="33"/>
  <c r="F60" i="32"/>
  <c r="G16" i="34"/>
  <c r="J16" i="34" s="1"/>
  <c r="L16" i="34"/>
  <c r="M16" i="34"/>
  <c r="G17" i="34"/>
  <c r="J17" i="34" s="1"/>
  <c r="M17" i="34"/>
  <c r="L18" i="34"/>
  <c r="M18" i="34"/>
  <c r="L19" i="34"/>
  <c r="M19" i="34"/>
  <c r="M20" i="34"/>
  <c r="O20" i="34" s="1"/>
  <c r="L20" i="34"/>
  <c r="M21" i="34"/>
  <c r="O21" i="34" s="1"/>
  <c r="L21" i="34"/>
  <c r="L22" i="34"/>
  <c r="M22" i="34"/>
  <c r="O22" i="34" s="1"/>
  <c r="L23" i="34"/>
  <c r="M23" i="34"/>
  <c r="O23" i="34" s="1"/>
  <c r="M24" i="34"/>
  <c r="O24" i="34" s="1"/>
  <c r="L24" i="34"/>
  <c r="G25" i="34"/>
  <c r="J25" i="34" s="1"/>
  <c r="M25" i="34" s="1"/>
  <c r="O25" i="34" s="1"/>
  <c r="L25" i="34"/>
  <c r="G26" i="34"/>
  <c r="L26" i="34"/>
  <c r="G27" i="34"/>
  <c r="J27" i="34" s="1"/>
  <c r="M27" i="34" s="1"/>
  <c r="O27" i="34" s="1"/>
  <c r="L27" i="34"/>
  <c r="G28" i="34"/>
  <c r="J28" i="34" s="1"/>
  <c r="M28" i="34" s="1"/>
  <c r="O28" i="34" s="1"/>
  <c r="L28" i="34"/>
  <c r="G30" i="34"/>
  <c r="L30" i="34"/>
  <c r="G31" i="34"/>
  <c r="L31" i="34"/>
  <c r="G32" i="34"/>
  <c r="L32" i="34"/>
  <c r="G33" i="34"/>
  <c r="L33" i="34"/>
  <c r="G35" i="34"/>
  <c r="J35" i="34" s="1"/>
  <c r="L35" i="34"/>
  <c r="M35" i="34"/>
  <c r="G36" i="34"/>
  <c r="J36" i="34" s="1"/>
  <c r="M36" i="34" s="1"/>
  <c r="L36" i="34"/>
  <c r="G37" i="34"/>
  <c r="J37" i="34" s="1"/>
  <c r="M37" i="34" s="1"/>
  <c r="L37" i="34"/>
  <c r="G38" i="34"/>
  <c r="L38" i="34"/>
  <c r="G39" i="34"/>
  <c r="L39" i="34"/>
  <c r="G40" i="34"/>
  <c r="J40" i="34" s="1"/>
  <c r="M40" i="34" s="1"/>
  <c r="L40" i="34"/>
  <c r="G41" i="34"/>
  <c r="J41" i="34" s="1"/>
  <c r="M41" i="34" s="1"/>
  <c r="L41" i="34"/>
  <c r="G42" i="34"/>
  <c r="L42" i="34"/>
  <c r="G43" i="34"/>
  <c r="J43" i="34" s="1"/>
  <c r="M43" i="34" s="1"/>
  <c r="L43" i="34"/>
  <c r="G44" i="34"/>
  <c r="J44" i="34" s="1"/>
  <c r="M44" i="34" s="1"/>
  <c r="L44" i="34"/>
  <c r="G45" i="34"/>
  <c r="J45" i="34" s="1"/>
  <c r="M45" i="34" s="1"/>
  <c r="L45" i="34"/>
  <c r="G46" i="34"/>
  <c r="J46" i="34" s="1"/>
  <c r="L46" i="34"/>
  <c r="M46" i="34"/>
  <c r="G47" i="34"/>
  <c r="J47" i="34" s="1"/>
  <c r="M47" i="34" s="1"/>
  <c r="L47" i="34"/>
  <c r="G48" i="34"/>
  <c r="J48" i="34" s="1"/>
  <c r="M48" i="34" s="1"/>
  <c r="L48" i="34"/>
  <c r="G49" i="34"/>
  <c r="J49" i="34" s="1"/>
  <c r="M49" i="34" s="1"/>
  <c r="L49" i="34"/>
  <c r="G50" i="34"/>
  <c r="J50" i="34" s="1"/>
  <c r="M50" i="34" s="1"/>
  <c r="L50" i="34"/>
  <c r="G51" i="34"/>
  <c r="J51" i="34" s="1"/>
  <c r="M51" i="34" s="1"/>
  <c r="L51" i="34"/>
  <c r="G53" i="34"/>
  <c r="L53" i="34"/>
  <c r="G54" i="34"/>
  <c r="L54" i="34"/>
  <c r="L55" i="34"/>
  <c r="L56" i="34"/>
  <c r="G57" i="34"/>
  <c r="L57" i="34"/>
  <c r="G58" i="34"/>
  <c r="L58" i="34"/>
  <c r="L60" i="34"/>
  <c r="G61" i="34"/>
  <c r="L61" i="34"/>
  <c r="G62" i="34"/>
  <c r="J62" i="34" s="1"/>
  <c r="M62" i="34" s="1"/>
  <c r="L62" i="34"/>
  <c r="G64" i="34"/>
  <c r="L64" i="34"/>
  <c r="G65" i="34"/>
  <c r="L65" i="34"/>
  <c r="G66" i="34"/>
  <c r="L66" i="34"/>
  <c r="G68" i="34"/>
  <c r="J68" i="34" s="1"/>
  <c r="M68" i="34" s="1"/>
  <c r="L68" i="34"/>
  <c r="G69" i="34"/>
  <c r="L69" i="34"/>
  <c r="J69" i="34" l="1"/>
  <c r="M69" i="34" s="1"/>
  <c r="J66" i="34"/>
  <c r="M66" i="34" s="1"/>
  <c r="J64" i="34"/>
  <c r="M64" i="34" s="1"/>
  <c r="J65" i="34"/>
  <c r="M65" i="34" s="1"/>
  <c r="J61" i="34"/>
  <c r="M61" i="34" s="1"/>
  <c r="J60" i="34"/>
  <c r="M60" i="34" s="1"/>
  <c r="J58" i="34"/>
  <c r="M58" i="34" s="1"/>
  <c r="J53" i="34"/>
  <c r="M53" i="34" s="1"/>
  <c r="J56" i="34"/>
  <c r="M56" i="34" s="1"/>
  <c r="J55" i="34"/>
  <c r="M55" i="34" s="1"/>
  <c r="J57" i="34"/>
  <c r="M57" i="34" s="1"/>
  <c r="J54" i="34"/>
  <c r="M54" i="34" s="1"/>
  <c r="J42" i="34"/>
  <c r="M42" i="34" s="1"/>
  <c r="J39" i="34"/>
  <c r="M39" i="34" s="1"/>
  <c r="J38" i="34"/>
  <c r="M38" i="34" s="1"/>
  <c r="J33" i="34"/>
  <c r="M33" i="34" s="1"/>
  <c r="J31" i="34"/>
  <c r="M31" i="34" s="1"/>
  <c r="M32" i="34"/>
  <c r="J32" i="34"/>
  <c r="J30" i="34"/>
  <c r="M30" i="34" s="1"/>
  <c r="J26" i="34"/>
  <c r="M26" i="34" s="1"/>
  <c r="M52" i="34"/>
  <c r="J21" i="30"/>
  <c r="J19" i="30"/>
  <c r="M29" i="34" l="1"/>
  <c r="O26" i="34"/>
  <c r="M63" i="34"/>
  <c r="M67" i="34"/>
  <c r="M59" i="34"/>
  <c r="M34" i="34"/>
  <c r="N30" i="29"/>
  <c r="N28" i="29"/>
  <c r="N27" i="29"/>
  <c r="N26" i="29"/>
  <c r="N25" i="29"/>
  <c r="N77" i="29" l="1"/>
  <c r="N78" i="29" s="1"/>
  <c r="N72" i="29"/>
  <c r="N67" i="29"/>
  <c r="N63" i="29"/>
  <c r="N59" i="29"/>
  <c r="N52" i="29"/>
  <c r="N34" i="29"/>
  <c r="N29" i="29"/>
  <c r="N48" i="29"/>
  <c r="N37" i="29"/>
  <c r="E42" i="29" l="1"/>
  <c r="I85" i="34" l="1"/>
  <c r="F85" i="34"/>
  <c r="E85" i="34"/>
  <c r="M84" i="34"/>
  <c r="L84" i="34"/>
  <c r="G84" i="34"/>
  <c r="J84" i="34" s="1"/>
  <c r="M83" i="34"/>
  <c r="L83" i="34"/>
  <c r="G83" i="34"/>
  <c r="J83" i="34" s="1"/>
  <c r="L82" i="34"/>
  <c r="G82" i="34"/>
  <c r="L81" i="34"/>
  <c r="G81" i="34"/>
  <c r="L80" i="34"/>
  <c r="G80" i="34"/>
  <c r="L79" i="34"/>
  <c r="G79" i="34"/>
  <c r="J79" i="34" s="1"/>
  <c r="L77" i="34"/>
  <c r="G77" i="34"/>
  <c r="L76" i="34"/>
  <c r="G76" i="34"/>
  <c r="L75" i="34"/>
  <c r="G75" i="34"/>
  <c r="O74" i="34"/>
  <c r="L74" i="34"/>
  <c r="G74" i="34"/>
  <c r="J74" i="34" s="1"/>
  <c r="M73" i="34"/>
  <c r="L73" i="34"/>
  <c r="G73" i="34"/>
  <c r="J73" i="34" s="1"/>
  <c r="L71" i="34"/>
  <c r="G71" i="34"/>
  <c r="L70" i="34"/>
  <c r="G70" i="34"/>
  <c r="O69" i="34"/>
  <c r="O68" i="34"/>
  <c r="O61" i="34"/>
  <c r="O60" i="34"/>
  <c r="O48" i="34"/>
  <c r="O46" i="34"/>
  <c r="O45" i="34"/>
  <c r="H85" i="34"/>
  <c r="O40" i="34"/>
  <c r="I85" i="33"/>
  <c r="F85" i="33"/>
  <c r="E85" i="33"/>
  <c r="M84" i="33"/>
  <c r="L84" i="33"/>
  <c r="G84" i="33"/>
  <c r="M83" i="33"/>
  <c r="L83" i="33"/>
  <c r="G83" i="33"/>
  <c r="J83" i="33" s="1"/>
  <c r="L82" i="33"/>
  <c r="G82" i="33"/>
  <c r="L81" i="33"/>
  <c r="G81" i="33"/>
  <c r="L80" i="33"/>
  <c r="M80" i="33"/>
  <c r="O80" i="33" s="1"/>
  <c r="G80" i="33"/>
  <c r="J80" i="33" s="1"/>
  <c r="L79" i="33"/>
  <c r="G79" i="33"/>
  <c r="J79" i="33" s="1"/>
  <c r="L77" i="33"/>
  <c r="G77" i="33"/>
  <c r="L76" i="33"/>
  <c r="G76" i="33"/>
  <c r="L75" i="33"/>
  <c r="G75" i="33"/>
  <c r="O74" i="33"/>
  <c r="L74" i="33"/>
  <c r="G74" i="33"/>
  <c r="J74" i="33" s="1"/>
  <c r="M73" i="33"/>
  <c r="L73" i="33"/>
  <c r="G73" i="33"/>
  <c r="J73" i="33" s="1"/>
  <c r="L71" i="33"/>
  <c r="G71" i="33"/>
  <c r="L70" i="33"/>
  <c r="G70" i="33"/>
  <c r="L69" i="33"/>
  <c r="G69" i="33"/>
  <c r="L68" i="33"/>
  <c r="G68" i="33"/>
  <c r="L66" i="33"/>
  <c r="G66" i="33"/>
  <c r="J66" i="33" s="1"/>
  <c r="M66" i="33" s="1"/>
  <c r="L65" i="33"/>
  <c r="G65" i="33"/>
  <c r="L64" i="33"/>
  <c r="G64" i="33"/>
  <c r="L62" i="33"/>
  <c r="G62" i="33"/>
  <c r="L61" i="33"/>
  <c r="M61" i="33"/>
  <c r="O61" i="33" s="1"/>
  <c r="G61" i="33"/>
  <c r="J61" i="33" s="1"/>
  <c r="L60" i="33"/>
  <c r="G60" i="33"/>
  <c r="L58" i="33"/>
  <c r="G58" i="33"/>
  <c r="J58" i="33" s="1"/>
  <c r="M58" i="33" s="1"/>
  <c r="L57" i="33"/>
  <c r="G57" i="33"/>
  <c r="L56" i="33"/>
  <c r="G56" i="33"/>
  <c r="L55" i="33"/>
  <c r="G55" i="33"/>
  <c r="L54" i="33"/>
  <c r="G54" i="33"/>
  <c r="J54" i="33" s="1"/>
  <c r="M54" i="33" s="1"/>
  <c r="L53" i="33"/>
  <c r="G53" i="33"/>
  <c r="L51" i="33"/>
  <c r="G51" i="33"/>
  <c r="L50" i="33"/>
  <c r="G50" i="33"/>
  <c r="L49" i="33"/>
  <c r="G49" i="33"/>
  <c r="L48" i="33"/>
  <c r="G48" i="33"/>
  <c r="L47" i="33"/>
  <c r="G47" i="33"/>
  <c r="L46" i="33"/>
  <c r="G46" i="33"/>
  <c r="L45" i="33"/>
  <c r="G45" i="33"/>
  <c r="L44" i="33"/>
  <c r="H85" i="33"/>
  <c r="G44" i="33"/>
  <c r="J44" i="33" s="1"/>
  <c r="L43" i="33"/>
  <c r="G43" i="33"/>
  <c r="J43" i="33" s="1"/>
  <c r="M43" i="33" s="1"/>
  <c r="O43" i="33" s="1"/>
  <c r="L42" i="33"/>
  <c r="G42" i="33"/>
  <c r="L41" i="33"/>
  <c r="G41" i="33"/>
  <c r="L40" i="33"/>
  <c r="G40" i="33"/>
  <c r="L39" i="33"/>
  <c r="G39" i="33"/>
  <c r="L38" i="33"/>
  <c r="G38" i="33"/>
  <c r="L37" i="33"/>
  <c r="G37" i="33"/>
  <c r="L36" i="33"/>
  <c r="G36" i="33"/>
  <c r="M35" i="33"/>
  <c r="L35" i="33"/>
  <c r="G35" i="33"/>
  <c r="J35" i="33" s="1"/>
  <c r="L33" i="33"/>
  <c r="G33" i="33"/>
  <c r="L32" i="33"/>
  <c r="G32" i="33"/>
  <c r="L31" i="33"/>
  <c r="G31" i="33"/>
  <c r="J31" i="33" s="1"/>
  <c r="M31" i="33" s="1"/>
  <c r="O31" i="33" s="1"/>
  <c r="L30" i="33"/>
  <c r="G30" i="33"/>
  <c r="N85" i="33"/>
  <c r="L28" i="33"/>
  <c r="G28" i="33"/>
  <c r="L27" i="33"/>
  <c r="G27" i="33"/>
  <c r="L26" i="33"/>
  <c r="G26" i="33"/>
  <c r="L25" i="33"/>
  <c r="G25" i="33"/>
  <c r="L24" i="33"/>
  <c r="G24" i="33"/>
  <c r="L23" i="33"/>
  <c r="G23" i="33"/>
  <c r="L22" i="33"/>
  <c r="G22" i="33"/>
  <c r="L21" i="33"/>
  <c r="M21" i="33"/>
  <c r="L20" i="33"/>
  <c r="G20" i="33"/>
  <c r="M19" i="33"/>
  <c r="L19" i="33"/>
  <c r="L18" i="33"/>
  <c r="G18" i="33"/>
  <c r="M17" i="33"/>
  <c r="G17" i="33"/>
  <c r="J17" i="33" s="1"/>
  <c r="M16" i="33"/>
  <c r="L16" i="33"/>
  <c r="G16" i="33"/>
  <c r="J16" i="33" s="1"/>
  <c r="I85" i="32"/>
  <c r="F85" i="32"/>
  <c r="E85" i="32"/>
  <c r="M84" i="32"/>
  <c r="L84" i="32"/>
  <c r="G84" i="32"/>
  <c r="M83" i="32"/>
  <c r="L83" i="32"/>
  <c r="G83" i="32"/>
  <c r="L82" i="32"/>
  <c r="G82" i="32"/>
  <c r="L81" i="32"/>
  <c r="G81" i="32"/>
  <c r="L80" i="32"/>
  <c r="G80" i="32"/>
  <c r="L79" i="32"/>
  <c r="G79" i="32"/>
  <c r="J79" i="32" s="1"/>
  <c r="L77" i="32"/>
  <c r="G77" i="32"/>
  <c r="L76" i="32"/>
  <c r="G76" i="32"/>
  <c r="L75" i="32"/>
  <c r="G75" i="32"/>
  <c r="O74" i="32"/>
  <c r="L74" i="32"/>
  <c r="G74" i="32"/>
  <c r="J74" i="32" s="1"/>
  <c r="M73" i="32"/>
  <c r="L73" i="32"/>
  <c r="G73" i="32"/>
  <c r="L71" i="32"/>
  <c r="G71" i="32"/>
  <c r="L70" i="32"/>
  <c r="G70" i="32"/>
  <c r="L69" i="32"/>
  <c r="G69" i="32"/>
  <c r="L68" i="32"/>
  <c r="G68" i="32"/>
  <c r="L66" i="32"/>
  <c r="G66" i="32"/>
  <c r="L65" i="32"/>
  <c r="G65" i="32"/>
  <c r="L64" i="32"/>
  <c r="G64" i="32"/>
  <c r="L62" i="32"/>
  <c r="G62" i="32"/>
  <c r="J62" i="32" s="1"/>
  <c r="L61" i="32"/>
  <c r="G61" i="32"/>
  <c r="L60" i="32"/>
  <c r="G60" i="32"/>
  <c r="L58" i="32"/>
  <c r="G58" i="32"/>
  <c r="L57" i="32"/>
  <c r="G57" i="32"/>
  <c r="L56" i="32"/>
  <c r="G56" i="32"/>
  <c r="L55" i="32"/>
  <c r="G55" i="32"/>
  <c r="L54" i="32"/>
  <c r="G54" i="32"/>
  <c r="L53" i="32"/>
  <c r="G53" i="32"/>
  <c r="L51" i="32"/>
  <c r="G51" i="32"/>
  <c r="L50" i="32"/>
  <c r="G50" i="32"/>
  <c r="L49" i="32"/>
  <c r="G49" i="32"/>
  <c r="L48" i="32"/>
  <c r="G48" i="32"/>
  <c r="L47" i="32"/>
  <c r="G47" i="32"/>
  <c r="L46" i="32"/>
  <c r="G46" i="32"/>
  <c r="L45" i="32"/>
  <c r="G45" i="32"/>
  <c r="L44" i="32"/>
  <c r="H85" i="32"/>
  <c r="G44" i="32"/>
  <c r="L43" i="32"/>
  <c r="G43" i="32"/>
  <c r="L42" i="32"/>
  <c r="G42" i="32"/>
  <c r="L41" i="32"/>
  <c r="G41" i="32"/>
  <c r="L40" i="32"/>
  <c r="G40" i="32"/>
  <c r="L39" i="32"/>
  <c r="G39" i="32"/>
  <c r="L38" i="32"/>
  <c r="G38" i="32"/>
  <c r="L37" i="32"/>
  <c r="G37" i="32"/>
  <c r="L36" i="32"/>
  <c r="G36" i="32"/>
  <c r="M35" i="32"/>
  <c r="L35" i="32"/>
  <c r="G35" i="32"/>
  <c r="J35" i="32" s="1"/>
  <c r="L33" i="32"/>
  <c r="G33" i="32"/>
  <c r="L32" i="32"/>
  <c r="G32" i="32"/>
  <c r="L31" i="32"/>
  <c r="G31" i="32"/>
  <c r="L30" i="32"/>
  <c r="G30" i="32"/>
  <c r="L28" i="32"/>
  <c r="G28" i="32"/>
  <c r="L27" i="32"/>
  <c r="G27" i="32"/>
  <c r="L26" i="32"/>
  <c r="G26" i="32"/>
  <c r="L25" i="32"/>
  <c r="G25" i="32"/>
  <c r="L24" i="32"/>
  <c r="G24" i="32"/>
  <c r="L23" i="32"/>
  <c r="G23" i="32"/>
  <c r="L22" i="32"/>
  <c r="G22" i="32"/>
  <c r="L21" i="32"/>
  <c r="M21" i="32"/>
  <c r="O21" i="32" s="1"/>
  <c r="L20" i="32"/>
  <c r="M20" i="32"/>
  <c r="M19" i="32"/>
  <c r="L19" i="32"/>
  <c r="L18" i="32"/>
  <c r="G18" i="32"/>
  <c r="M17" i="32"/>
  <c r="G17" i="32"/>
  <c r="J17" i="32" s="1"/>
  <c r="M16" i="32"/>
  <c r="L16" i="32"/>
  <c r="G16" i="32"/>
  <c r="J16" i="32" s="1"/>
  <c r="I85" i="31"/>
  <c r="F85" i="31"/>
  <c r="E85" i="31"/>
  <c r="M84" i="31"/>
  <c r="L84" i="31"/>
  <c r="G84" i="31"/>
  <c r="J84" i="31" s="1"/>
  <c r="M83" i="31"/>
  <c r="L83" i="31"/>
  <c r="G83" i="31"/>
  <c r="L82" i="31"/>
  <c r="G82" i="31"/>
  <c r="L81" i="31"/>
  <c r="G81" i="31"/>
  <c r="L80" i="31"/>
  <c r="G80" i="31"/>
  <c r="L79" i="31"/>
  <c r="G79" i="31"/>
  <c r="J79" i="31" s="1"/>
  <c r="L77" i="31"/>
  <c r="G77" i="31"/>
  <c r="L76" i="31"/>
  <c r="G76" i="31"/>
  <c r="L75" i="31"/>
  <c r="G75" i="31"/>
  <c r="O74" i="31"/>
  <c r="L74" i="31"/>
  <c r="G74" i="31"/>
  <c r="J74" i="31" s="1"/>
  <c r="M73" i="31"/>
  <c r="L73" i="31"/>
  <c r="G73" i="31"/>
  <c r="J73" i="31" s="1"/>
  <c r="L71" i="31"/>
  <c r="G71" i="31"/>
  <c r="L70" i="31"/>
  <c r="G70" i="31"/>
  <c r="L69" i="31"/>
  <c r="G69" i="31"/>
  <c r="L68" i="31"/>
  <c r="G68" i="31"/>
  <c r="L66" i="31"/>
  <c r="G66" i="31"/>
  <c r="L65" i="31"/>
  <c r="G65" i="31"/>
  <c r="L64" i="31"/>
  <c r="G64" i="31"/>
  <c r="L62" i="31"/>
  <c r="G62" i="31"/>
  <c r="L61" i="31"/>
  <c r="G61" i="31"/>
  <c r="L60" i="31"/>
  <c r="G60" i="31"/>
  <c r="L58" i="31"/>
  <c r="G58" i="31"/>
  <c r="L57" i="31"/>
  <c r="G57" i="31"/>
  <c r="L56" i="31"/>
  <c r="G56" i="31"/>
  <c r="L55" i="31"/>
  <c r="G55" i="31"/>
  <c r="L54" i="31"/>
  <c r="G54" i="31"/>
  <c r="L53" i="31"/>
  <c r="G53" i="31"/>
  <c r="L51" i="31"/>
  <c r="G51" i="31"/>
  <c r="L50" i="31"/>
  <c r="G50" i="31"/>
  <c r="L49" i="31"/>
  <c r="G49" i="31"/>
  <c r="L48" i="31"/>
  <c r="G48" i="31"/>
  <c r="L47" i="31"/>
  <c r="G47" i="31"/>
  <c r="L46" i="31"/>
  <c r="G46" i="31"/>
  <c r="L45" i="31"/>
  <c r="G45" i="31"/>
  <c r="L44" i="31"/>
  <c r="H85" i="31"/>
  <c r="G44" i="31"/>
  <c r="L43" i="31"/>
  <c r="G43" i="31"/>
  <c r="L42" i="31"/>
  <c r="G42" i="31"/>
  <c r="L41" i="31"/>
  <c r="G41" i="31"/>
  <c r="L40" i="31"/>
  <c r="G40" i="31"/>
  <c r="L39" i="31"/>
  <c r="G39" i="31"/>
  <c r="L38" i="31"/>
  <c r="G38" i="31"/>
  <c r="L37" i="31"/>
  <c r="G37" i="31"/>
  <c r="L36" i="31"/>
  <c r="G36" i="31"/>
  <c r="M35" i="31"/>
  <c r="L35" i="31"/>
  <c r="G35" i="31"/>
  <c r="J35" i="31" s="1"/>
  <c r="L33" i="31"/>
  <c r="G33" i="31"/>
  <c r="L32" i="31"/>
  <c r="G32" i="31"/>
  <c r="L31" i="31"/>
  <c r="G31" i="31"/>
  <c r="L30" i="31"/>
  <c r="G30" i="31"/>
  <c r="L28" i="31"/>
  <c r="G28" i="31"/>
  <c r="L27" i="31"/>
  <c r="G27" i="31"/>
  <c r="L26" i="31"/>
  <c r="G26" i="31"/>
  <c r="L25" i="31"/>
  <c r="G25" i="31"/>
  <c r="L24" i="31"/>
  <c r="G24" i="31"/>
  <c r="L23" i="31"/>
  <c r="G23" i="31"/>
  <c r="L22" i="31"/>
  <c r="G22" i="31"/>
  <c r="L21" i="31"/>
  <c r="M21" i="31"/>
  <c r="O21" i="31" s="1"/>
  <c r="L20" i="31"/>
  <c r="G20" i="31"/>
  <c r="M19" i="31"/>
  <c r="L19" i="31"/>
  <c r="L18" i="31"/>
  <c r="G18" i="31"/>
  <c r="M17" i="31"/>
  <c r="G17" i="31"/>
  <c r="J17" i="31" s="1"/>
  <c r="M16" i="31"/>
  <c r="L16" i="31"/>
  <c r="G16" i="31"/>
  <c r="J16" i="31" s="1"/>
  <c r="I85" i="30"/>
  <c r="F85" i="30"/>
  <c r="E85" i="30"/>
  <c r="M84" i="30"/>
  <c r="L84" i="30"/>
  <c r="G84" i="30"/>
  <c r="J84" i="30" s="1"/>
  <c r="M83" i="30"/>
  <c r="L83" i="30"/>
  <c r="G83" i="30"/>
  <c r="J83" i="30" s="1"/>
  <c r="L82" i="30"/>
  <c r="G82" i="30"/>
  <c r="L81" i="30"/>
  <c r="G81" i="30"/>
  <c r="L80" i="30"/>
  <c r="G80" i="30"/>
  <c r="L79" i="30"/>
  <c r="G79" i="30"/>
  <c r="J79" i="30" s="1"/>
  <c r="L77" i="30"/>
  <c r="G77" i="30"/>
  <c r="L76" i="30"/>
  <c r="G76" i="30"/>
  <c r="L75" i="30"/>
  <c r="G75" i="30"/>
  <c r="O74" i="30"/>
  <c r="L74" i="30"/>
  <c r="G74" i="30"/>
  <c r="J74" i="30" s="1"/>
  <c r="M73" i="30"/>
  <c r="L73" i="30"/>
  <c r="G73" i="30"/>
  <c r="J73" i="30" s="1"/>
  <c r="L71" i="30"/>
  <c r="G71" i="30"/>
  <c r="L70" i="30"/>
  <c r="G70" i="30"/>
  <c r="L69" i="30"/>
  <c r="G69" i="30"/>
  <c r="L68" i="30"/>
  <c r="G68" i="30"/>
  <c r="L66" i="30"/>
  <c r="G66" i="30"/>
  <c r="L65" i="30"/>
  <c r="G65" i="30"/>
  <c r="L64" i="30"/>
  <c r="G64" i="30"/>
  <c r="L62" i="30"/>
  <c r="G62" i="30"/>
  <c r="L61" i="30"/>
  <c r="G61" i="30"/>
  <c r="L60" i="30"/>
  <c r="G60" i="30"/>
  <c r="L58" i="30"/>
  <c r="G58" i="30"/>
  <c r="L57" i="30"/>
  <c r="G57" i="30"/>
  <c r="L56" i="30"/>
  <c r="G56" i="30"/>
  <c r="L55" i="30"/>
  <c r="G55" i="30"/>
  <c r="L54" i="30"/>
  <c r="G54" i="30"/>
  <c r="L53" i="30"/>
  <c r="G53" i="30"/>
  <c r="L51" i="30"/>
  <c r="G51" i="30"/>
  <c r="L50" i="30"/>
  <c r="G50" i="30"/>
  <c r="L49" i="30"/>
  <c r="G49" i="30"/>
  <c r="L48" i="30"/>
  <c r="G48" i="30"/>
  <c r="L47" i="30"/>
  <c r="G47" i="30"/>
  <c r="L46" i="30"/>
  <c r="G46" i="30"/>
  <c r="L45" i="30"/>
  <c r="G45" i="30"/>
  <c r="L44" i="30"/>
  <c r="H85" i="30"/>
  <c r="G44" i="30"/>
  <c r="L43" i="30"/>
  <c r="G43" i="30"/>
  <c r="L42" i="30"/>
  <c r="G42" i="30"/>
  <c r="L41" i="30"/>
  <c r="G41" i="30"/>
  <c r="L40" i="30"/>
  <c r="G40" i="30"/>
  <c r="L39" i="30"/>
  <c r="G39" i="30"/>
  <c r="L38" i="30"/>
  <c r="G38" i="30"/>
  <c r="L37" i="30"/>
  <c r="G37" i="30"/>
  <c r="L36" i="30"/>
  <c r="G36" i="30"/>
  <c r="M35" i="30"/>
  <c r="L35" i="30"/>
  <c r="G35" i="30"/>
  <c r="J35" i="30" s="1"/>
  <c r="L33" i="30"/>
  <c r="G33" i="30"/>
  <c r="L32" i="30"/>
  <c r="G32" i="30"/>
  <c r="L31" i="30"/>
  <c r="G31" i="30"/>
  <c r="L30" i="30"/>
  <c r="G30" i="30"/>
  <c r="L28" i="30"/>
  <c r="G28" i="30"/>
  <c r="L27" i="30"/>
  <c r="G27" i="30"/>
  <c r="L26" i="30"/>
  <c r="G26" i="30"/>
  <c r="L25" i="30"/>
  <c r="G25" i="30"/>
  <c r="L24" i="30"/>
  <c r="G24" i="30"/>
  <c r="L23" i="30"/>
  <c r="G23" i="30"/>
  <c r="L22" i="30"/>
  <c r="G22" i="30"/>
  <c r="L21" i="30"/>
  <c r="M21" i="30"/>
  <c r="L20" i="30"/>
  <c r="G20" i="30"/>
  <c r="M19" i="30"/>
  <c r="L19" i="30"/>
  <c r="L18" i="30"/>
  <c r="G18" i="30"/>
  <c r="M17" i="30"/>
  <c r="G17" i="30"/>
  <c r="J17" i="30" s="1"/>
  <c r="M16" i="30"/>
  <c r="L16" i="30"/>
  <c r="G16" i="30"/>
  <c r="J16" i="30" s="1"/>
  <c r="I85" i="29"/>
  <c r="F85" i="29"/>
  <c r="E85" i="29"/>
  <c r="M83" i="29"/>
  <c r="L83" i="29"/>
  <c r="G83" i="29"/>
  <c r="J83" i="29" s="1"/>
  <c r="L82" i="29"/>
  <c r="G82" i="29"/>
  <c r="L81" i="29"/>
  <c r="G81" i="29"/>
  <c r="L80" i="29"/>
  <c r="G80" i="29"/>
  <c r="L79" i="29"/>
  <c r="G79" i="29"/>
  <c r="J79" i="29" s="1"/>
  <c r="L77" i="29"/>
  <c r="G77" i="29"/>
  <c r="L76" i="29"/>
  <c r="G76" i="29"/>
  <c r="L75" i="29"/>
  <c r="G75" i="29"/>
  <c r="O74" i="29"/>
  <c r="L74" i="29"/>
  <c r="G74" i="29"/>
  <c r="J74" i="29" s="1"/>
  <c r="M73" i="29"/>
  <c r="L73" i="29"/>
  <c r="G73" i="29"/>
  <c r="J73" i="29" s="1"/>
  <c r="L71" i="29"/>
  <c r="G71" i="29"/>
  <c r="L70" i="29"/>
  <c r="G70" i="29"/>
  <c r="L69" i="29"/>
  <c r="G69" i="29"/>
  <c r="L68" i="29"/>
  <c r="G68" i="29"/>
  <c r="L66" i="29"/>
  <c r="G66" i="29"/>
  <c r="L65" i="29"/>
  <c r="G65" i="29"/>
  <c r="L64" i="29"/>
  <c r="G64" i="29"/>
  <c r="L62" i="29"/>
  <c r="G62" i="29"/>
  <c r="L61" i="29"/>
  <c r="G61" i="29"/>
  <c r="L60" i="29"/>
  <c r="G60" i="29"/>
  <c r="L58" i="29"/>
  <c r="G58" i="29"/>
  <c r="L57" i="29"/>
  <c r="G57" i="29"/>
  <c r="L56" i="29"/>
  <c r="G56" i="29"/>
  <c r="L55" i="29"/>
  <c r="G55" i="29"/>
  <c r="L54" i="29"/>
  <c r="G54" i="29"/>
  <c r="L53" i="29"/>
  <c r="G53" i="29"/>
  <c r="L51" i="29"/>
  <c r="G51" i="29"/>
  <c r="L50" i="29"/>
  <c r="G50" i="29"/>
  <c r="L49" i="29"/>
  <c r="G49" i="29"/>
  <c r="L48" i="29"/>
  <c r="G48" i="29"/>
  <c r="L47" i="29"/>
  <c r="G47" i="29"/>
  <c r="L46" i="29"/>
  <c r="G46" i="29"/>
  <c r="L45" i="29"/>
  <c r="G45" i="29"/>
  <c r="L44" i="29"/>
  <c r="H85" i="29"/>
  <c r="G44" i="29"/>
  <c r="J44" i="29" s="1"/>
  <c r="L43" i="29"/>
  <c r="G43" i="29"/>
  <c r="L42" i="29"/>
  <c r="G42" i="29"/>
  <c r="L41" i="29"/>
  <c r="G41" i="29"/>
  <c r="L40" i="29"/>
  <c r="G40" i="29"/>
  <c r="L39" i="29"/>
  <c r="G39" i="29"/>
  <c r="L38" i="29"/>
  <c r="G38" i="29"/>
  <c r="L37" i="29"/>
  <c r="G37" i="29"/>
  <c r="L36" i="29"/>
  <c r="G36" i="29"/>
  <c r="M35" i="29"/>
  <c r="L35" i="29"/>
  <c r="G35" i="29"/>
  <c r="J35" i="29" s="1"/>
  <c r="L33" i="29"/>
  <c r="G33" i="29"/>
  <c r="L32" i="29"/>
  <c r="G32" i="29"/>
  <c r="L31" i="29"/>
  <c r="G31" i="29"/>
  <c r="L30" i="29"/>
  <c r="G30" i="29"/>
  <c r="J30" i="29" s="1"/>
  <c r="M30" i="29" s="1"/>
  <c r="N85" i="29"/>
  <c r="L28" i="29"/>
  <c r="G28" i="29"/>
  <c r="L27" i="29"/>
  <c r="G27" i="29"/>
  <c r="L26" i="29"/>
  <c r="G26" i="29"/>
  <c r="L25" i="29"/>
  <c r="G25" i="29"/>
  <c r="L24" i="29"/>
  <c r="G24" i="29"/>
  <c r="L23" i="29"/>
  <c r="G23" i="29"/>
  <c r="L22" i="29"/>
  <c r="G22" i="29"/>
  <c r="L21" i="29"/>
  <c r="M21" i="29"/>
  <c r="L20" i="29"/>
  <c r="G20" i="29"/>
  <c r="M19" i="29"/>
  <c r="L19" i="29"/>
  <c r="L18" i="29"/>
  <c r="G18" i="29"/>
  <c r="M17" i="29"/>
  <c r="G17" i="29"/>
  <c r="J17" i="29" s="1"/>
  <c r="M16" i="29"/>
  <c r="L16" i="29"/>
  <c r="G16" i="29"/>
  <c r="J16" i="29" s="1"/>
  <c r="E85" i="28"/>
  <c r="M83" i="28"/>
  <c r="L83" i="28"/>
  <c r="G83" i="28"/>
  <c r="J83" i="28" s="1"/>
  <c r="L82" i="28"/>
  <c r="G82" i="28"/>
  <c r="L81" i="28"/>
  <c r="G81" i="28"/>
  <c r="L80" i="28"/>
  <c r="G80" i="28"/>
  <c r="L79" i="28"/>
  <c r="G79" i="28"/>
  <c r="J79" i="28" s="1"/>
  <c r="N78" i="28"/>
  <c r="L77" i="28"/>
  <c r="G77" i="28"/>
  <c r="L76" i="28"/>
  <c r="G76" i="28"/>
  <c r="L75" i="28"/>
  <c r="G75" i="28"/>
  <c r="O74" i="28"/>
  <c r="L74" i="28"/>
  <c r="G74" i="28"/>
  <c r="J74" i="28" s="1"/>
  <c r="M73" i="28"/>
  <c r="L73" i="28"/>
  <c r="G73" i="28"/>
  <c r="J73" i="28" s="1"/>
  <c r="N72" i="28"/>
  <c r="L71" i="28"/>
  <c r="G71" i="28"/>
  <c r="L70" i="28"/>
  <c r="G70" i="28"/>
  <c r="L69" i="28"/>
  <c r="G69" i="28"/>
  <c r="L68" i="28"/>
  <c r="G68" i="28"/>
  <c r="N67" i="28"/>
  <c r="L66" i="28"/>
  <c r="G66" i="28"/>
  <c r="L65" i="28"/>
  <c r="G65" i="28"/>
  <c r="L64" i="28"/>
  <c r="G64" i="28"/>
  <c r="N63" i="28"/>
  <c r="L62" i="28"/>
  <c r="G62" i="28"/>
  <c r="L61" i="28"/>
  <c r="G61" i="28"/>
  <c r="L60" i="28"/>
  <c r="G60" i="28"/>
  <c r="L58" i="28"/>
  <c r="G58" i="28"/>
  <c r="L57" i="28"/>
  <c r="G57" i="28"/>
  <c r="L56" i="28"/>
  <c r="G56" i="28"/>
  <c r="L55" i="28"/>
  <c r="G55" i="28"/>
  <c r="L54" i="28"/>
  <c r="G54" i="28"/>
  <c r="L53" i="28"/>
  <c r="G53" i="28"/>
  <c r="N52" i="28"/>
  <c r="L51" i="28"/>
  <c r="G51" i="28"/>
  <c r="L50" i="28"/>
  <c r="G50" i="28"/>
  <c r="L49" i="28"/>
  <c r="G49" i="28"/>
  <c r="L48" i="28"/>
  <c r="G48" i="28"/>
  <c r="L47" i="28"/>
  <c r="G47" i="28"/>
  <c r="L46" i="28"/>
  <c r="G46" i="28"/>
  <c r="L45" i="28"/>
  <c r="G45" i="28"/>
  <c r="L44" i="28"/>
  <c r="H44" i="28"/>
  <c r="H85" i="28" s="1"/>
  <c r="G44" i="28"/>
  <c r="L43" i="28"/>
  <c r="G43" i="28"/>
  <c r="L42" i="28"/>
  <c r="G42" i="28"/>
  <c r="L41" i="28"/>
  <c r="G41" i="28"/>
  <c r="L40" i="28"/>
  <c r="G40" i="28"/>
  <c r="L39" i="28"/>
  <c r="G39" i="28"/>
  <c r="L38" i="28"/>
  <c r="G38" i="28"/>
  <c r="L37" i="28"/>
  <c r="G37" i="28"/>
  <c r="L36" i="28"/>
  <c r="G36" i="28"/>
  <c r="M35" i="28"/>
  <c r="L35" i="28"/>
  <c r="G35" i="28"/>
  <c r="J35" i="28" s="1"/>
  <c r="N34" i="28"/>
  <c r="L33" i="28"/>
  <c r="G33" i="28"/>
  <c r="L32" i="28"/>
  <c r="G32" i="28"/>
  <c r="L31" i="28"/>
  <c r="G31" i="28"/>
  <c r="L30" i="28"/>
  <c r="G30" i="28"/>
  <c r="N29" i="28"/>
  <c r="L28" i="28"/>
  <c r="G28" i="28"/>
  <c r="L27" i="28"/>
  <c r="G27" i="28"/>
  <c r="L26" i="28"/>
  <c r="G26" i="28"/>
  <c r="L25" i="28"/>
  <c r="G25" i="28"/>
  <c r="L24" i="28"/>
  <c r="G24" i="28"/>
  <c r="L23" i="28"/>
  <c r="G23" i="28"/>
  <c r="L22" i="28"/>
  <c r="G22" i="28"/>
  <c r="L21" i="28"/>
  <c r="M21" i="28"/>
  <c r="O21" i="28" s="1"/>
  <c r="L20" i="28"/>
  <c r="G20" i="28"/>
  <c r="M19" i="28"/>
  <c r="L19" i="28"/>
  <c r="L18" i="28"/>
  <c r="G18" i="28"/>
  <c r="M17" i="28"/>
  <c r="G17" i="28"/>
  <c r="J17" i="28" s="1"/>
  <c r="M16" i="28"/>
  <c r="L16" i="28"/>
  <c r="G16" i="28"/>
  <c r="J16" i="28" s="1"/>
  <c r="J18" i="30" l="1"/>
  <c r="M18" i="30" s="1"/>
  <c r="O18" i="30" s="1"/>
  <c r="J31" i="30"/>
  <c r="M31" i="30" s="1"/>
  <c r="O31" i="30" s="1"/>
  <c r="J47" i="30"/>
  <c r="M47" i="30" s="1"/>
  <c r="O47" i="30" s="1"/>
  <c r="J49" i="30"/>
  <c r="M49" i="30" s="1"/>
  <c r="O49" i="30" s="1"/>
  <c r="J54" i="30"/>
  <c r="M54" i="30" s="1"/>
  <c r="O54" i="30" s="1"/>
  <c r="J66" i="30"/>
  <c r="M66" i="30" s="1"/>
  <c r="O66" i="30" s="1"/>
  <c r="J36" i="30"/>
  <c r="M36" i="30" s="1"/>
  <c r="O36" i="30" s="1"/>
  <c r="J40" i="30"/>
  <c r="M40" i="30" s="1"/>
  <c r="O40" i="30" s="1"/>
  <c r="J23" i="30"/>
  <c r="M23" i="30" s="1"/>
  <c r="O23" i="30" s="1"/>
  <c r="J25" i="30"/>
  <c r="M25" i="30" s="1"/>
  <c r="O25" i="30" s="1"/>
  <c r="J30" i="30"/>
  <c r="M30" i="30" s="1"/>
  <c r="O30" i="30" s="1"/>
  <c r="J46" i="30"/>
  <c r="M46" i="30" s="1"/>
  <c r="O46" i="30" s="1"/>
  <c r="J48" i="30"/>
  <c r="M48" i="30" s="1"/>
  <c r="O48" i="30" s="1"/>
  <c r="J62" i="30"/>
  <c r="M62" i="30" s="1"/>
  <c r="O62" i="30" s="1"/>
  <c r="J68" i="30"/>
  <c r="M68" i="30" s="1"/>
  <c r="O68" i="30" s="1"/>
  <c r="J81" i="30"/>
  <c r="M81" i="30" s="1"/>
  <c r="O81" i="30" s="1"/>
  <c r="J20" i="30"/>
  <c r="M20" i="30" s="1"/>
  <c r="O20" i="30" s="1"/>
  <c r="J24" i="30"/>
  <c r="M24" i="30" s="1"/>
  <c r="O24" i="30" s="1"/>
  <c r="J51" i="30"/>
  <c r="M51" i="30" s="1"/>
  <c r="O51" i="30" s="1"/>
  <c r="J61" i="30"/>
  <c r="M61" i="30" s="1"/>
  <c r="O61" i="30" s="1"/>
  <c r="J82" i="30"/>
  <c r="M82" i="30" s="1"/>
  <c r="O82" i="30" s="1"/>
  <c r="J44" i="30"/>
  <c r="M44" i="30" s="1"/>
  <c r="O44" i="30" s="1"/>
  <c r="J37" i="30"/>
  <c r="M37" i="30" s="1"/>
  <c r="O37" i="30" s="1"/>
  <c r="J41" i="30"/>
  <c r="M41" i="30" s="1"/>
  <c r="O41" i="30" s="1"/>
  <c r="J43" i="30"/>
  <c r="M43" i="30" s="1"/>
  <c r="O43" i="30" s="1"/>
  <c r="M23" i="29"/>
  <c r="J23" i="29"/>
  <c r="J25" i="29"/>
  <c r="M25" i="29" s="1"/>
  <c r="O25" i="29" s="1"/>
  <c r="M27" i="29"/>
  <c r="J27" i="29"/>
  <c r="J31" i="29"/>
  <c r="M31" i="29" s="1"/>
  <c r="M33" i="29"/>
  <c r="J33" i="29"/>
  <c r="J45" i="29"/>
  <c r="M45" i="29" s="1"/>
  <c r="O45" i="29" s="1"/>
  <c r="M49" i="29"/>
  <c r="J49" i="29"/>
  <c r="J54" i="29"/>
  <c r="M54" i="29" s="1"/>
  <c r="M58" i="29"/>
  <c r="J58" i="29"/>
  <c r="J66" i="29"/>
  <c r="M66" i="29" s="1"/>
  <c r="O66" i="29" s="1"/>
  <c r="M75" i="29"/>
  <c r="J75" i="29"/>
  <c r="J80" i="29"/>
  <c r="M80" i="29" s="1"/>
  <c r="O80" i="29" s="1"/>
  <c r="M82" i="29"/>
  <c r="O82" i="29" s="1"/>
  <c r="J82" i="29"/>
  <c r="J38" i="29"/>
  <c r="M38" i="29" s="1"/>
  <c r="O38" i="29" s="1"/>
  <c r="M40" i="29"/>
  <c r="O40" i="29" s="1"/>
  <c r="J40" i="29"/>
  <c r="J42" i="29"/>
  <c r="M42" i="29" s="1"/>
  <c r="O42" i="29" s="1"/>
  <c r="M18" i="29"/>
  <c r="J18" i="29"/>
  <c r="J20" i="29"/>
  <c r="M20" i="29" s="1"/>
  <c r="M22" i="29"/>
  <c r="J22" i="29"/>
  <c r="J24" i="29"/>
  <c r="M24" i="29" s="1"/>
  <c r="O24" i="29" s="1"/>
  <c r="M26" i="29"/>
  <c r="J26" i="29"/>
  <c r="J28" i="29"/>
  <c r="M28" i="29" s="1"/>
  <c r="O28" i="29" s="1"/>
  <c r="M32" i="29"/>
  <c r="J32" i="29"/>
  <c r="J46" i="29"/>
  <c r="M46" i="29" s="1"/>
  <c r="O46" i="29" s="1"/>
  <c r="M48" i="29"/>
  <c r="O48" i="29" s="1"/>
  <c r="J48" i="29"/>
  <c r="J50" i="29"/>
  <c r="M50" i="29" s="1"/>
  <c r="M53" i="29"/>
  <c r="J53" i="29"/>
  <c r="J55" i="29"/>
  <c r="M55" i="29" s="1"/>
  <c r="O55" i="29" s="1"/>
  <c r="M57" i="29"/>
  <c r="J57" i="29"/>
  <c r="J60" i="29"/>
  <c r="M60" i="29" s="1"/>
  <c r="M62" i="29"/>
  <c r="O62" i="29" s="1"/>
  <c r="J62" i="29"/>
  <c r="J65" i="29"/>
  <c r="M65" i="29" s="1"/>
  <c r="M68" i="29"/>
  <c r="J68" i="29"/>
  <c r="J70" i="29"/>
  <c r="M70" i="29" s="1"/>
  <c r="M76" i="29"/>
  <c r="J76" i="29"/>
  <c r="J81" i="29"/>
  <c r="M81" i="29" s="1"/>
  <c r="O81" i="29" s="1"/>
  <c r="M47" i="29"/>
  <c r="J47" i="29"/>
  <c r="J51" i="29"/>
  <c r="M51" i="29" s="1"/>
  <c r="O51" i="29" s="1"/>
  <c r="M56" i="29"/>
  <c r="J56" i="29"/>
  <c r="J61" i="29"/>
  <c r="M61" i="29" s="1"/>
  <c r="O61" i="29" s="1"/>
  <c r="M64" i="29"/>
  <c r="J64" i="29"/>
  <c r="J69" i="29"/>
  <c r="M69" i="29" s="1"/>
  <c r="O69" i="29" s="1"/>
  <c r="M71" i="29"/>
  <c r="O71" i="29" s="1"/>
  <c r="J71" i="29"/>
  <c r="J77" i="29"/>
  <c r="M77" i="29" s="1"/>
  <c r="M36" i="29"/>
  <c r="J36" i="29"/>
  <c r="J37" i="29"/>
  <c r="M37" i="29" s="1"/>
  <c r="O37" i="29" s="1"/>
  <c r="M39" i="29"/>
  <c r="J39" i="29"/>
  <c r="J41" i="29"/>
  <c r="M41" i="29" s="1"/>
  <c r="O41" i="29" s="1"/>
  <c r="M43" i="29"/>
  <c r="O43" i="29" s="1"/>
  <c r="J43" i="29"/>
  <c r="J18" i="28"/>
  <c r="M18" i="28" s="1"/>
  <c r="O18" i="28" s="1"/>
  <c r="J22" i="28"/>
  <c r="M22" i="28" s="1"/>
  <c r="O22" i="28" s="1"/>
  <c r="J26" i="28"/>
  <c r="M26" i="28" s="1"/>
  <c r="O26" i="28" s="1"/>
  <c r="J48" i="28"/>
  <c r="M48" i="28" s="1"/>
  <c r="O48" i="28" s="1"/>
  <c r="J64" i="28"/>
  <c r="M64" i="28" s="1"/>
  <c r="J31" i="28"/>
  <c r="M31" i="28" s="1"/>
  <c r="O31" i="28" s="1"/>
  <c r="J39" i="28"/>
  <c r="M39" i="28" s="1"/>
  <c r="O39" i="28" s="1"/>
  <c r="J43" i="28"/>
  <c r="M43" i="28" s="1"/>
  <c r="O43" i="28" s="1"/>
  <c r="F85" i="28"/>
  <c r="J53" i="28"/>
  <c r="J57" i="28"/>
  <c r="M57" i="28" s="1"/>
  <c r="O57" i="28" s="1"/>
  <c r="J62" i="28"/>
  <c r="M62" i="28" s="1"/>
  <c r="O62" i="28" s="1"/>
  <c r="J71" i="28"/>
  <c r="M71" i="28" s="1"/>
  <c r="O71" i="28" s="1"/>
  <c r="J81" i="28"/>
  <c r="M81" i="28" s="1"/>
  <c r="O81" i="28" s="1"/>
  <c r="J23" i="28"/>
  <c r="M23" i="28" s="1"/>
  <c r="O23" i="28" s="1"/>
  <c r="J25" i="28"/>
  <c r="M25" i="28" s="1"/>
  <c r="O25" i="28" s="1"/>
  <c r="J27" i="28"/>
  <c r="M27" i="28" s="1"/>
  <c r="O27" i="28" s="1"/>
  <c r="J45" i="28"/>
  <c r="M45" i="28" s="1"/>
  <c r="O45" i="28" s="1"/>
  <c r="J47" i="28"/>
  <c r="M47" i="28" s="1"/>
  <c r="O47" i="28" s="1"/>
  <c r="J49" i="28"/>
  <c r="M49" i="28" s="1"/>
  <c r="J51" i="28"/>
  <c r="M51" i="28" s="1"/>
  <c r="O51" i="28" s="1"/>
  <c r="J65" i="28"/>
  <c r="M65" i="28" s="1"/>
  <c r="O65" i="28" s="1"/>
  <c r="J75" i="28"/>
  <c r="M75" i="28" s="1"/>
  <c r="J77" i="28"/>
  <c r="M77" i="28" s="1"/>
  <c r="O77" i="28" s="1"/>
  <c r="J20" i="28"/>
  <c r="M20" i="28" s="1"/>
  <c r="J24" i="28"/>
  <c r="M24" i="28" s="1"/>
  <c r="O24" i="28" s="1"/>
  <c r="J28" i="28"/>
  <c r="M28" i="28" s="1"/>
  <c r="O28" i="28" s="1"/>
  <c r="J46" i="28"/>
  <c r="M46" i="28" s="1"/>
  <c r="O46" i="28" s="1"/>
  <c r="J50" i="28"/>
  <c r="M50" i="28" s="1"/>
  <c r="O50" i="28" s="1"/>
  <c r="J66" i="28"/>
  <c r="M66" i="28" s="1"/>
  <c r="O66" i="28" s="1"/>
  <c r="J76" i="28"/>
  <c r="M76" i="28" s="1"/>
  <c r="O76" i="28" s="1"/>
  <c r="J33" i="28"/>
  <c r="M33" i="28" s="1"/>
  <c r="O33" i="28" s="1"/>
  <c r="J37" i="28"/>
  <c r="M37" i="28" s="1"/>
  <c r="O37" i="28" s="1"/>
  <c r="J41" i="28"/>
  <c r="M41" i="28" s="1"/>
  <c r="O41" i="28" s="1"/>
  <c r="J55" i="28"/>
  <c r="M55" i="28" s="1"/>
  <c r="O55" i="28" s="1"/>
  <c r="J60" i="28"/>
  <c r="M60" i="28" s="1"/>
  <c r="J69" i="28"/>
  <c r="M69" i="28" s="1"/>
  <c r="O69" i="28" s="1"/>
  <c r="J30" i="28"/>
  <c r="M30" i="28" s="1"/>
  <c r="J32" i="28"/>
  <c r="M32" i="28" s="1"/>
  <c r="O32" i="28" s="1"/>
  <c r="J36" i="28"/>
  <c r="M36" i="28" s="1"/>
  <c r="O36" i="28" s="1"/>
  <c r="J38" i="28"/>
  <c r="M38" i="28" s="1"/>
  <c r="O38" i="28" s="1"/>
  <c r="J40" i="28"/>
  <c r="M40" i="28" s="1"/>
  <c r="O40" i="28" s="1"/>
  <c r="J42" i="28"/>
  <c r="M42" i="28" s="1"/>
  <c r="O42" i="28" s="1"/>
  <c r="J44" i="28"/>
  <c r="J54" i="28"/>
  <c r="M54" i="28" s="1"/>
  <c r="M56" i="28"/>
  <c r="O56" i="28" s="1"/>
  <c r="J56" i="28"/>
  <c r="J58" i="28"/>
  <c r="M58" i="28" s="1"/>
  <c r="O58" i="28" s="1"/>
  <c r="M61" i="28"/>
  <c r="O61" i="28" s="1"/>
  <c r="J61" i="28"/>
  <c r="J68" i="28"/>
  <c r="M68" i="28" s="1"/>
  <c r="O68" i="28" s="1"/>
  <c r="M70" i="28"/>
  <c r="M72" i="28" s="1"/>
  <c r="O72" i="28" s="1"/>
  <c r="J70" i="28"/>
  <c r="J80" i="28"/>
  <c r="M80" i="28" s="1"/>
  <c r="O80" i="28" s="1"/>
  <c r="M82" i="28"/>
  <c r="O82" i="28" s="1"/>
  <c r="J82" i="28"/>
  <c r="J80" i="34"/>
  <c r="M80" i="34" s="1"/>
  <c r="J82" i="34"/>
  <c r="M82" i="34" s="1"/>
  <c r="J81" i="34"/>
  <c r="M81" i="34" s="1"/>
  <c r="O81" i="34" s="1"/>
  <c r="J76" i="34"/>
  <c r="M76" i="34" s="1"/>
  <c r="J75" i="34"/>
  <c r="M75" i="34" s="1"/>
  <c r="M77" i="34"/>
  <c r="J77" i="34"/>
  <c r="J71" i="34"/>
  <c r="M71" i="34" s="1"/>
  <c r="J70" i="34"/>
  <c r="M70" i="34" s="1"/>
  <c r="J81" i="33"/>
  <c r="M81" i="33" s="1"/>
  <c r="J82" i="33"/>
  <c r="M82" i="33" s="1"/>
  <c r="O82" i="33" s="1"/>
  <c r="J75" i="33"/>
  <c r="M75" i="33" s="1"/>
  <c r="J77" i="33"/>
  <c r="M77" i="33" s="1"/>
  <c r="J76" i="33"/>
  <c r="M76" i="33" s="1"/>
  <c r="J69" i="33"/>
  <c r="M69" i="33" s="1"/>
  <c r="J71" i="33"/>
  <c r="M71" i="33" s="1"/>
  <c r="J68" i="33"/>
  <c r="M68" i="33" s="1"/>
  <c r="J70" i="33"/>
  <c r="M70" i="33" s="1"/>
  <c r="J65" i="33"/>
  <c r="M65" i="33" s="1"/>
  <c r="J64" i="33"/>
  <c r="M64" i="33" s="1"/>
  <c r="J62" i="33"/>
  <c r="M62" i="33" s="1"/>
  <c r="O62" i="33" s="1"/>
  <c r="J60" i="33"/>
  <c r="M60" i="33" s="1"/>
  <c r="J56" i="33"/>
  <c r="M56" i="33" s="1"/>
  <c r="J53" i="33"/>
  <c r="M53" i="33" s="1"/>
  <c r="J55" i="33"/>
  <c r="M55" i="33" s="1"/>
  <c r="J57" i="33"/>
  <c r="M57" i="33" s="1"/>
  <c r="J50" i="33"/>
  <c r="M50" i="33" s="1"/>
  <c r="J51" i="33"/>
  <c r="M51" i="33" s="1"/>
  <c r="J48" i="33"/>
  <c r="M48" i="33" s="1"/>
  <c r="O48" i="33" s="1"/>
  <c r="J38" i="33"/>
  <c r="M38" i="33" s="1"/>
  <c r="J45" i="33"/>
  <c r="M45" i="33" s="1"/>
  <c r="J40" i="33"/>
  <c r="M40" i="33" s="1"/>
  <c r="O40" i="33" s="1"/>
  <c r="J42" i="33"/>
  <c r="M42" i="33" s="1"/>
  <c r="J47" i="33"/>
  <c r="M47" i="33" s="1"/>
  <c r="J39" i="33"/>
  <c r="M39" i="33" s="1"/>
  <c r="J41" i="33"/>
  <c r="M41" i="33" s="1"/>
  <c r="J46" i="33"/>
  <c r="M46" i="33" s="1"/>
  <c r="J37" i="33"/>
  <c r="M37" i="33" s="1"/>
  <c r="J36" i="33"/>
  <c r="M36" i="33" s="1"/>
  <c r="J32" i="33"/>
  <c r="M32" i="33" s="1"/>
  <c r="J30" i="33"/>
  <c r="M30" i="33" s="1"/>
  <c r="J33" i="33"/>
  <c r="M33" i="33" s="1"/>
  <c r="J22" i="33"/>
  <c r="M22" i="33" s="1"/>
  <c r="J24" i="33"/>
  <c r="M24" i="33" s="1"/>
  <c r="J26" i="33"/>
  <c r="M26" i="33" s="1"/>
  <c r="J28" i="33"/>
  <c r="M28" i="33" s="1"/>
  <c r="J23" i="33"/>
  <c r="M23" i="33" s="1"/>
  <c r="J25" i="33"/>
  <c r="M25" i="33" s="1"/>
  <c r="J27" i="33"/>
  <c r="M27" i="33" s="1"/>
  <c r="J20" i="33"/>
  <c r="M20" i="33" s="1"/>
  <c r="J49" i="33"/>
  <c r="M49" i="33" s="1"/>
  <c r="J18" i="33"/>
  <c r="M18" i="33" s="1"/>
  <c r="J80" i="32"/>
  <c r="M80" i="32" s="1"/>
  <c r="M82" i="32"/>
  <c r="O82" i="32" s="1"/>
  <c r="J82" i="32"/>
  <c r="M81" i="32"/>
  <c r="J81" i="32"/>
  <c r="J77" i="32"/>
  <c r="M77" i="32" s="1"/>
  <c r="J76" i="32"/>
  <c r="M76" i="32" s="1"/>
  <c r="J75" i="32"/>
  <c r="M75" i="32" s="1"/>
  <c r="O75" i="32" s="1"/>
  <c r="J70" i="32"/>
  <c r="M70" i="32" s="1"/>
  <c r="J69" i="32"/>
  <c r="M69" i="32" s="1"/>
  <c r="J71" i="32"/>
  <c r="M71" i="32" s="1"/>
  <c r="J68" i="32"/>
  <c r="M68" i="32" s="1"/>
  <c r="M64" i="32"/>
  <c r="J64" i="32"/>
  <c r="J66" i="32"/>
  <c r="M66" i="32" s="1"/>
  <c r="J65" i="32"/>
  <c r="M65" i="32" s="1"/>
  <c r="J61" i="32"/>
  <c r="M61" i="32" s="1"/>
  <c r="O61" i="32" s="1"/>
  <c r="J60" i="32"/>
  <c r="M60" i="32" s="1"/>
  <c r="J54" i="32"/>
  <c r="M54" i="32" s="1"/>
  <c r="J56" i="32"/>
  <c r="M56" i="32" s="1"/>
  <c r="J58" i="32"/>
  <c r="M58" i="32" s="1"/>
  <c r="J55" i="32"/>
  <c r="M55" i="32" s="1"/>
  <c r="J57" i="32"/>
  <c r="M57" i="32" s="1"/>
  <c r="M53" i="32"/>
  <c r="J53" i="32"/>
  <c r="M51" i="32"/>
  <c r="J51" i="32"/>
  <c r="J50" i="32"/>
  <c r="M50" i="32" s="1"/>
  <c r="J48" i="32"/>
  <c r="M48" i="32" s="1"/>
  <c r="O48" i="32" s="1"/>
  <c r="J41" i="32"/>
  <c r="M41" i="32" s="1"/>
  <c r="J45" i="32"/>
  <c r="M45" i="32" s="1"/>
  <c r="J38" i="32"/>
  <c r="M38" i="32" s="1"/>
  <c r="J40" i="32"/>
  <c r="M40" i="32" s="1"/>
  <c r="O40" i="32" s="1"/>
  <c r="M42" i="32"/>
  <c r="J42" i="32"/>
  <c r="J44" i="32"/>
  <c r="M44" i="32" s="1"/>
  <c r="J39" i="32"/>
  <c r="M39" i="32" s="1"/>
  <c r="J43" i="32"/>
  <c r="M43" i="32" s="1"/>
  <c r="M47" i="32"/>
  <c r="O47" i="32" s="1"/>
  <c r="J47" i="32"/>
  <c r="J46" i="32"/>
  <c r="M46" i="32" s="1"/>
  <c r="J36" i="32"/>
  <c r="M36" i="32" s="1"/>
  <c r="J37" i="32"/>
  <c r="M37" i="32" s="1"/>
  <c r="J32" i="32"/>
  <c r="M32" i="32" s="1"/>
  <c r="J33" i="32"/>
  <c r="M33" i="32" s="1"/>
  <c r="M30" i="32"/>
  <c r="J30" i="32"/>
  <c r="J31" i="32"/>
  <c r="M31" i="32" s="1"/>
  <c r="M23" i="32"/>
  <c r="J23" i="32"/>
  <c r="J25" i="32"/>
  <c r="M25" i="32" s="1"/>
  <c r="M27" i="32"/>
  <c r="J27" i="32"/>
  <c r="J22" i="32"/>
  <c r="M22" i="32" s="1"/>
  <c r="J24" i="32"/>
  <c r="M24" i="32" s="1"/>
  <c r="J26" i="32"/>
  <c r="M26" i="32" s="1"/>
  <c r="J28" i="32"/>
  <c r="M28" i="32" s="1"/>
  <c r="J49" i="32"/>
  <c r="M49" i="32" s="1"/>
  <c r="J18" i="32"/>
  <c r="J80" i="31"/>
  <c r="M80" i="31" s="1"/>
  <c r="J82" i="31"/>
  <c r="M82" i="31" s="1"/>
  <c r="J81" i="31"/>
  <c r="M81" i="31" s="1"/>
  <c r="J76" i="31"/>
  <c r="M76" i="31" s="1"/>
  <c r="O76" i="31" s="1"/>
  <c r="J75" i="31"/>
  <c r="M75" i="31" s="1"/>
  <c r="J77" i="31"/>
  <c r="M77" i="31" s="1"/>
  <c r="J69" i="31"/>
  <c r="M69" i="31" s="1"/>
  <c r="J71" i="31"/>
  <c r="M71" i="31" s="1"/>
  <c r="J68" i="31"/>
  <c r="M68" i="31" s="1"/>
  <c r="J70" i="31"/>
  <c r="M70" i="31" s="1"/>
  <c r="J66" i="31"/>
  <c r="M66" i="31" s="1"/>
  <c r="J64" i="31"/>
  <c r="M64" i="31" s="1"/>
  <c r="J65" i="31"/>
  <c r="M65" i="31" s="1"/>
  <c r="J61" i="31"/>
  <c r="M61" i="31" s="1"/>
  <c r="J60" i="31"/>
  <c r="M60" i="31" s="1"/>
  <c r="M62" i="31"/>
  <c r="O62" i="31" s="1"/>
  <c r="J62" i="31"/>
  <c r="J58" i="31"/>
  <c r="M58" i="31" s="1"/>
  <c r="J54" i="31"/>
  <c r="M54" i="31" s="1"/>
  <c r="J56" i="31"/>
  <c r="M56" i="31" s="1"/>
  <c r="J55" i="31"/>
  <c r="M55" i="31" s="1"/>
  <c r="J57" i="31"/>
  <c r="M57" i="31" s="1"/>
  <c r="J53" i="31"/>
  <c r="M53" i="31" s="1"/>
  <c r="J51" i="31"/>
  <c r="M51" i="31" s="1"/>
  <c r="J50" i="31"/>
  <c r="M50" i="31" s="1"/>
  <c r="J48" i="31"/>
  <c r="M48" i="31" s="1"/>
  <c r="O48" i="31" s="1"/>
  <c r="J44" i="31"/>
  <c r="M44" i="31" s="1"/>
  <c r="J46" i="31"/>
  <c r="M46" i="31" s="1"/>
  <c r="J45" i="31"/>
  <c r="M45" i="31" s="1"/>
  <c r="J47" i="31"/>
  <c r="M47" i="31" s="1"/>
  <c r="J42" i="31"/>
  <c r="M42" i="31" s="1"/>
  <c r="J41" i="31"/>
  <c r="M41" i="31" s="1"/>
  <c r="J43" i="31"/>
  <c r="M43" i="31" s="1"/>
  <c r="J40" i="31"/>
  <c r="M40" i="31" s="1"/>
  <c r="O40" i="31" s="1"/>
  <c r="J38" i="31"/>
  <c r="M38" i="31" s="1"/>
  <c r="J39" i="31"/>
  <c r="M39" i="31" s="1"/>
  <c r="J36" i="31"/>
  <c r="M36" i="31" s="1"/>
  <c r="J37" i="31"/>
  <c r="M37" i="31" s="1"/>
  <c r="J31" i="31"/>
  <c r="M31" i="31" s="1"/>
  <c r="J33" i="31"/>
  <c r="M33" i="31" s="1"/>
  <c r="J32" i="31"/>
  <c r="M32" i="31" s="1"/>
  <c r="J30" i="31"/>
  <c r="M30" i="31" s="1"/>
  <c r="J23" i="31"/>
  <c r="M23" i="31" s="1"/>
  <c r="O23" i="31" s="1"/>
  <c r="J25" i="31"/>
  <c r="M25" i="31" s="1"/>
  <c r="J27" i="31"/>
  <c r="M27" i="31" s="1"/>
  <c r="O27" i="31" s="1"/>
  <c r="J20" i="31"/>
  <c r="M20" i="31" s="1"/>
  <c r="M22" i="31"/>
  <c r="O22" i="31" s="1"/>
  <c r="J22" i="31"/>
  <c r="J24" i="31"/>
  <c r="M24" i="31" s="1"/>
  <c r="J26" i="31"/>
  <c r="M26" i="31" s="1"/>
  <c r="O26" i="31" s="1"/>
  <c r="J28" i="31"/>
  <c r="M28" i="31" s="1"/>
  <c r="M49" i="31"/>
  <c r="J49" i="31"/>
  <c r="J18" i="31"/>
  <c r="M18" i="31" s="1"/>
  <c r="J80" i="30"/>
  <c r="M80" i="30" s="1"/>
  <c r="O80" i="30" s="1"/>
  <c r="J76" i="30"/>
  <c r="M76" i="30" s="1"/>
  <c r="J75" i="30"/>
  <c r="M75" i="30" s="1"/>
  <c r="J77" i="30"/>
  <c r="M77" i="30" s="1"/>
  <c r="J71" i="30"/>
  <c r="M71" i="30" s="1"/>
  <c r="J70" i="30"/>
  <c r="M70" i="30" s="1"/>
  <c r="O70" i="30" s="1"/>
  <c r="J69" i="30"/>
  <c r="M69" i="30" s="1"/>
  <c r="O69" i="30" s="1"/>
  <c r="J64" i="30"/>
  <c r="M64" i="30" s="1"/>
  <c r="J65" i="30"/>
  <c r="M65" i="30" s="1"/>
  <c r="J60" i="30"/>
  <c r="M60" i="30" s="1"/>
  <c r="O60" i="30" s="1"/>
  <c r="J56" i="30"/>
  <c r="M56" i="30" s="1"/>
  <c r="O56" i="30" s="1"/>
  <c r="J58" i="30"/>
  <c r="M58" i="30" s="1"/>
  <c r="M55" i="30"/>
  <c r="O55" i="30" s="1"/>
  <c r="J55" i="30"/>
  <c r="J57" i="30"/>
  <c r="M57" i="30" s="1"/>
  <c r="J53" i="30"/>
  <c r="M53" i="30" s="1"/>
  <c r="J50" i="30"/>
  <c r="M50" i="30" s="1"/>
  <c r="J45" i="30"/>
  <c r="M45" i="30" s="1"/>
  <c r="J42" i="30"/>
  <c r="M42" i="30" s="1"/>
  <c r="J39" i="30"/>
  <c r="M39" i="30" s="1"/>
  <c r="O39" i="30" s="1"/>
  <c r="J38" i="30"/>
  <c r="M38" i="30" s="1"/>
  <c r="J33" i="30"/>
  <c r="M33" i="30" s="1"/>
  <c r="J32" i="30"/>
  <c r="M32" i="30" s="1"/>
  <c r="J28" i="30"/>
  <c r="M28" i="30" s="1"/>
  <c r="J27" i="30"/>
  <c r="M27" i="30" s="1"/>
  <c r="J26" i="30"/>
  <c r="M26" i="30" s="1"/>
  <c r="J22" i="30"/>
  <c r="M22" i="30" s="1"/>
  <c r="M44" i="28"/>
  <c r="O44" i="28" s="1"/>
  <c r="M53" i="28"/>
  <c r="I85" i="28"/>
  <c r="G85" i="34"/>
  <c r="O62" i="34"/>
  <c r="M62" i="32"/>
  <c r="O65" i="34"/>
  <c r="O56" i="34"/>
  <c r="O44" i="34"/>
  <c r="O47" i="34"/>
  <c r="O66" i="33"/>
  <c r="G85" i="33"/>
  <c r="O81" i="32"/>
  <c r="G85" i="32"/>
  <c r="G85" i="31"/>
  <c r="G85" i="30"/>
  <c r="O68" i="29"/>
  <c r="G85" i="29"/>
  <c r="O64" i="34"/>
  <c r="O67" i="34"/>
  <c r="O39" i="34"/>
  <c r="O43" i="34"/>
  <c r="O51" i="34"/>
  <c r="O55" i="34"/>
  <c r="O38" i="34"/>
  <c r="O54" i="34"/>
  <c r="O59" i="34"/>
  <c r="O18" i="34"/>
  <c r="O58" i="34"/>
  <c r="O32" i="34"/>
  <c r="O63" i="34"/>
  <c r="O42" i="34"/>
  <c r="O49" i="34"/>
  <c r="O31" i="34"/>
  <c r="O33" i="34"/>
  <c r="O37" i="34"/>
  <c r="O50" i="34"/>
  <c r="O53" i="34"/>
  <c r="O57" i="34"/>
  <c r="O66" i="34"/>
  <c r="O34" i="34"/>
  <c r="O30" i="34"/>
  <c r="O41" i="34"/>
  <c r="O29" i="34"/>
  <c r="O36" i="34"/>
  <c r="O52" i="34"/>
  <c r="N85" i="34"/>
  <c r="O21" i="33"/>
  <c r="M44" i="33"/>
  <c r="O54" i="33"/>
  <c r="O58" i="33"/>
  <c r="O23" i="32"/>
  <c r="O64" i="32"/>
  <c r="O20" i="32"/>
  <c r="N85" i="32"/>
  <c r="O21" i="30"/>
  <c r="O18" i="29"/>
  <c r="O33" i="29"/>
  <c r="O39" i="29"/>
  <c r="O75" i="29"/>
  <c r="O64" i="29"/>
  <c r="O22" i="29"/>
  <c r="O26" i="29"/>
  <c r="O56" i="29"/>
  <c r="O76" i="29"/>
  <c r="O32" i="29"/>
  <c r="O57" i="29"/>
  <c r="O53" i="29"/>
  <c r="O30" i="29"/>
  <c r="O49" i="29"/>
  <c r="O21" i="29"/>
  <c r="O23" i="29"/>
  <c r="O27" i="29"/>
  <c r="O36" i="29"/>
  <c r="M44" i="29"/>
  <c r="O47" i="29"/>
  <c r="O58" i="29"/>
  <c r="O70" i="28"/>
  <c r="G85" i="28"/>
  <c r="O63" i="30" l="1"/>
  <c r="O61" i="31"/>
  <c r="N61" i="31"/>
  <c r="N63" i="31" s="1"/>
  <c r="N85" i="31" s="1"/>
  <c r="O54" i="29"/>
  <c r="M59" i="29"/>
  <c r="O59" i="29" s="1"/>
  <c r="M72" i="29"/>
  <c r="O72" i="29" s="1"/>
  <c r="O70" i="29"/>
  <c r="M29" i="29"/>
  <c r="O29" i="29" s="1"/>
  <c r="O20" i="29"/>
  <c r="O77" i="29"/>
  <c r="M78" i="29"/>
  <c r="O78" i="29" s="1"/>
  <c r="O31" i="29"/>
  <c r="M34" i="29"/>
  <c r="O34" i="29" s="1"/>
  <c r="O65" i="29"/>
  <c r="M67" i="29"/>
  <c r="O67" i="29" s="1"/>
  <c r="O50" i="29"/>
  <c r="M52" i="29"/>
  <c r="O52" i="29" s="1"/>
  <c r="M63" i="29"/>
  <c r="O60" i="29"/>
  <c r="O63" i="29" s="1"/>
  <c r="O60" i="28"/>
  <c r="O63" i="28" s="1"/>
  <c r="M63" i="28"/>
  <c r="M34" i="28"/>
  <c r="O34" i="28" s="1"/>
  <c r="O30" i="28"/>
  <c r="O49" i="28"/>
  <c r="M52" i="28"/>
  <c r="O52" i="28" s="1"/>
  <c r="O75" i="28"/>
  <c r="M78" i="28"/>
  <c r="O78" i="28" s="1"/>
  <c r="M59" i="28"/>
  <c r="O54" i="28"/>
  <c r="N59" i="28" s="1"/>
  <c r="N85" i="28" s="1"/>
  <c r="M29" i="28"/>
  <c r="O29" i="28" s="1"/>
  <c r="O20" i="28"/>
  <c r="O64" i="28"/>
  <c r="M67" i="28"/>
  <c r="O67" i="28" s="1"/>
  <c r="O82" i="34"/>
  <c r="O76" i="34"/>
  <c r="O80" i="34"/>
  <c r="M78" i="34"/>
  <c r="O78" i="34" s="1"/>
  <c r="O75" i="34"/>
  <c r="O77" i="34"/>
  <c r="O71" i="34"/>
  <c r="M72" i="34"/>
  <c r="O72" i="34" s="1"/>
  <c r="O70" i="34"/>
  <c r="J85" i="34"/>
  <c r="O81" i="33"/>
  <c r="O76" i="33"/>
  <c r="M78" i="33"/>
  <c r="O78" i="33" s="1"/>
  <c r="O77" i="33"/>
  <c r="O75" i="33"/>
  <c r="M72" i="33"/>
  <c r="O72" i="33" s="1"/>
  <c r="O70" i="33"/>
  <c r="O71" i="33"/>
  <c r="O68" i="33"/>
  <c r="O69" i="33"/>
  <c r="M67" i="33"/>
  <c r="O67" i="33" s="1"/>
  <c r="O64" i="33"/>
  <c r="O65" i="33"/>
  <c r="O60" i="33"/>
  <c r="O63" i="33" s="1"/>
  <c r="M63" i="33"/>
  <c r="O56" i="33"/>
  <c r="O57" i="33"/>
  <c r="M59" i="33"/>
  <c r="O59" i="33" s="1"/>
  <c r="O55" i="33"/>
  <c r="O53" i="33"/>
  <c r="O51" i="33"/>
  <c r="O50" i="33"/>
  <c r="O42" i="33"/>
  <c r="O41" i="33"/>
  <c r="O39" i="33"/>
  <c r="O45" i="33"/>
  <c r="O46" i="33"/>
  <c r="O47" i="33"/>
  <c r="O38" i="33"/>
  <c r="O36" i="33"/>
  <c r="O37" i="33"/>
  <c r="M34" i="33"/>
  <c r="O34" i="33" s="1"/>
  <c r="O30" i="33"/>
  <c r="O33" i="33"/>
  <c r="O32" i="33"/>
  <c r="O20" i="33"/>
  <c r="M29" i="33"/>
  <c r="O29" i="33" s="1"/>
  <c r="O27" i="33"/>
  <c r="O25" i="33"/>
  <c r="O24" i="33"/>
  <c r="O28" i="33"/>
  <c r="O26" i="33"/>
  <c r="O23" i="33"/>
  <c r="O22" i="33"/>
  <c r="M52" i="33"/>
  <c r="O52" i="33" s="1"/>
  <c r="O49" i="33"/>
  <c r="O18" i="33"/>
  <c r="O41" i="32"/>
  <c r="O42" i="32"/>
  <c r="O71" i="32"/>
  <c r="M72" i="32"/>
  <c r="O72" i="32" s="1"/>
  <c r="O65" i="32"/>
  <c r="O58" i="32"/>
  <c r="O57" i="32"/>
  <c r="O54" i="32"/>
  <c r="O39" i="32"/>
  <c r="O38" i="32"/>
  <c r="O32" i="32"/>
  <c r="O30" i="32"/>
  <c r="O24" i="32"/>
  <c r="O28" i="32"/>
  <c r="O27" i="32"/>
  <c r="O77" i="32"/>
  <c r="O80" i="32"/>
  <c r="M78" i="32"/>
  <c r="O78" i="32" s="1"/>
  <c r="O76" i="32"/>
  <c r="O69" i="32"/>
  <c r="O68" i="32"/>
  <c r="O70" i="32"/>
  <c r="M67" i="32"/>
  <c r="O67" i="32" s="1"/>
  <c r="O66" i="32"/>
  <c r="O60" i="32"/>
  <c r="O55" i="32"/>
  <c r="M59" i="32"/>
  <c r="O59" i="32" s="1"/>
  <c r="O56" i="32"/>
  <c r="O53" i="32"/>
  <c r="O50" i="32"/>
  <c r="O51" i="32"/>
  <c r="O46" i="32"/>
  <c r="O43" i="32"/>
  <c r="O45" i="32"/>
  <c r="O44" i="32"/>
  <c r="O37" i="32"/>
  <c r="O36" i="32"/>
  <c r="O33" i="32"/>
  <c r="O31" i="32"/>
  <c r="M34" i="32"/>
  <c r="O34" i="32" s="1"/>
  <c r="O25" i="32"/>
  <c r="O22" i="32"/>
  <c r="M29" i="32"/>
  <c r="O29" i="32" s="1"/>
  <c r="O26" i="32"/>
  <c r="J85" i="32"/>
  <c r="M52" i="32"/>
  <c r="O52" i="32" s="1"/>
  <c r="O49" i="32"/>
  <c r="M18" i="32"/>
  <c r="O65" i="31"/>
  <c r="O38" i="31"/>
  <c r="O18" i="31"/>
  <c r="O77" i="31"/>
  <c r="O81" i="31"/>
  <c r="O80" i="31"/>
  <c r="O82" i="31"/>
  <c r="O75" i="31"/>
  <c r="M78" i="31"/>
  <c r="O78" i="31" s="1"/>
  <c r="O71" i="31"/>
  <c r="O69" i="31"/>
  <c r="M72" i="31"/>
  <c r="O72" i="31" s="1"/>
  <c r="O70" i="31"/>
  <c r="O68" i="31"/>
  <c r="M67" i="31"/>
  <c r="O67" i="31" s="1"/>
  <c r="O64" i="31"/>
  <c r="O66" i="31"/>
  <c r="O60" i="31"/>
  <c r="M63" i="31"/>
  <c r="O58" i="31"/>
  <c r="O57" i="31"/>
  <c r="O56" i="31"/>
  <c r="O55" i="31"/>
  <c r="O54" i="31"/>
  <c r="M59" i="31"/>
  <c r="O59" i="31" s="1"/>
  <c r="O53" i="31"/>
  <c r="M52" i="31"/>
  <c r="O52" i="31" s="1"/>
  <c r="O50" i="31"/>
  <c r="O51" i="31"/>
  <c r="O47" i="31"/>
  <c r="O43" i="31"/>
  <c r="O45" i="31"/>
  <c r="O41" i="31"/>
  <c r="O46" i="31"/>
  <c r="O42" i="31"/>
  <c r="O44" i="31"/>
  <c r="O39" i="31"/>
  <c r="O37" i="31"/>
  <c r="O36" i="31"/>
  <c r="O31" i="31"/>
  <c r="M34" i="31"/>
  <c r="O34" i="31" s="1"/>
  <c r="O30" i="31"/>
  <c r="O32" i="31"/>
  <c r="O33" i="31"/>
  <c r="O24" i="31"/>
  <c r="O28" i="31"/>
  <c r="O25" i="31"/>
  <c r="O20" i="31"/>
  <c r="M29" i="31"/>
  <c r="O29" i="31" s="1"/>
  <c r="J85" i="31"/>
  <c r="O49" i="31"/>
  <c r="O75" i="30"/>
  <c r="M78" i="30"/>
  <c r="O78" i="30" s="1"/>
  <c r="O76" i="30"/>
  <c r="O77" i="30"/>
  <c r="O71" i="30"/>
  <c r="M72" i="30"/>
  <c r="O72" i="30" s="1"/>
  <c r="O65" i="30"/>
  <c r="M67" i="30"/>
  <c r="O67" i="30" s="1"/>
  <c r="O64" i="30"/>
  <c r="M63" i="30"/>
  <c r="O58" i="30"/>
  <c r="O57" i="30"/>
  <c r="M59" i="30"/>
  <c r="O59" i="30" s="1"/>
  <c r="O53" i="30"/>
  <c r="M52" i="30"/>
  <c r="O52" i="30" s="1"/>
  <c r="O50" i="30"/>
  <c r="O45" i="30"/>
  <c r="O42" i="30"/>
  <c r="O38" i="30"/>
  <c r="O32" i="30"/>
  <c r="M34" i="30"/>
  <c r="O34" i="30" s="1"/>
  <c r="O33" i="30"/>
  <c r="J85" i="30"/>
  <c r="O26" i="30"/>
  <c r="O27" i="30"/>
  <c r="O28" i="30"/>
  <c r="O22" i="30"/>
  <c r="M29" i="30"/>
  <c r="O29" i="30" s="1"/>
  <c r="O53" i="28"/>
  <c r="J85" i="28"/>
  <c r="O62" i="32"/>
  <c r="M63" i="32"/>
  <c r="M85" i="34"/>
  <c r="O44" i="33"/>
  <c r="J85" i="33"/>
  <c r="O44" i="29"/>
  <c r="J85" i="29"/>
  <c r="O63" i="31" l="1"/>
  <c r="M85" i="31"/>
  <c r="O86" i="34"/>
  <c r="O85" i="29"/>
  <c r="M85" i="29"/>
  <c r="O86" i="29" s="1"/>
  <c r="M85" i="28"/>
  <c r="O59" i="28"/>
  <c r="O86" i="28"/>
  <c r="O85" i="34"/>
  <c r="M85" i="33"/>
  <c r="O85" i="33"/>
  <c r="O63" i="32"/>
  <c r="M85" i="32"/>
  <c r="O86" i="32" s="1"/>
  <c r="O18" i="32"/>
  <c r="O85" i="31"/>
  <c r="O86" i="31"/>
  <c r="O85" i="30"/>
  <c r="M85" i="30"/>
  <c r="O86" i="30" s="1"/>
  <c r="O85" i="28"/>
  <c r="I87" i="27"/>
  <c r="H87" i="27"/>
  <c r="G87" i="27"/>
  <c r="D87" i="27"/>
  <c r="M86" i="27"/>
  <c r="L86" i="27"/>
  <c r="J86" i="27"/>
  <c r="M85" i="27"/>
  <c r="L85" i="27"/>
  <c r="J85" i="27"/>
  <c r="L84" i="27"/>
  <c r="F84" i="27"/>
  <c r="J84" i="27" s="1"/>
  <c r="M84" i="27" s="1"/>
  <c r="L83" i="27"/>
  <c r="F83" i="27"/>
  <c r="J83" i="27" s="1"/>
  <c r="M83" i="27" s="1"/>
  <c r="L82" i="27"/>
  <c r="F82" i="27"/>
  <c r="J82" i="27" s="1"/>
  <c r="M82" i="27" s="1"/>
  <c r="O82" i="27" s="1"/>
  <c r="L81" i="27"/>
  <c r="F81" i="27"/>
  <c r="J81" i="27" s="1"/>
  <c r="M81" i="27" s="1"/>
  <c r="M80" i="27"/>
  <c r="L80" i="27"/>
  <c r="F80" i="27"/>
  <c r="J80" i="27" s="1"/>
  <c r="N79" i="27"/>
  <c r="L78" i="27"/>
  <c r="F78" i="27"/>
  <c r="J78" i="27" s="1"/>
  <c r="M78" i="27" s="1"/>
  <c r="L77" i="27"/>
  <c r="F77" i="27"/>
  <c r="J77" i="27" s="1"/>
  <c r="M77" i="27" s="1"/>
  <c r="L76" i="27"/>
  <c r="F76" i="27"/>
  <c r="J76" i="27" s="1"/>
  <c r="M76" i="27" s="1"/>
  <c r="L75" i="27"/>
  <c r="F75" i="27"/>
  <c r="J75" i="27" s="1"/>
  <c r="M75" i="27" s="1"/>
  <c r="O75" i="27" s="1"/>
  <c r="L74" i="27"/>
  <c r="J74" i="27"/>
  <c r="M74" i="27" s="1"/>
  <c r="O74" i="27" s="1"/>
  <c r="F74" i="27"/>
  <c r="N73" i="27"/>
  <c r="L72" i="27"/>
  <c r="F72" i="27"/>
  <c r="J72" i="27" s="1"/>
  <c r="M72" i="27" s="1"/>
  <c r="L71" i="27"/>
  <c r="F71" i="27"/>
  <c r="J71" i="27" s="1"/>
  <c r="M71" i="27" s="1"/>
  <c r="L70" i="27"/>
  <c r="F70" i="27"/>
  <c r="J70" i="27" s="1"/>
  <c r="M70" i="27" s="1"/>
  <c r="L69" i="27"/>
  <c r="F69" i="27"/>
  <c r="J69" i="27" s="1"/>
  <c r="M69" i="27" s="1"/>
  <c r="O69" i="27" s="1"/>
  <c r="N68" i="27"/>
  <c r="L67" i="27"/>
  <c r="F67" i="27"/>
  <c r="J67" i="27" s="1"/>
  <c r="M67" i="27" s="1"/>
  <c r="O67" i="27" s="1"/>
  <c r="L66" i="27"/>
  <c r="F66" i="27"/>
  <c r="J66" i="27" s="1"/>
  <c r="M66" i="27" s="1"/>
  <c r="L65" i="27"/>
  <c r="F65" i="27"/>
  <c r="J65" i="27" s="1"/>
  <c r="M65" i="27" s="1"/>
  <c r="O65" i="27" s="1"/>
  <c r="L64" i="27"/>
  <c r="F64" i="27"/>
  <c r="J64" i="27" s="1"/>
  <c r="M64" i="27" s="1"/>
  <c r="L63" i="27"/>
  <c r="F63" i="27"/>
  <c r="J63" i="27" s="1"/>
  <c r="M63" i="27" s="1"/>
  <c r="N62" i="27"/>
  <c r="L61" i="27"/>
  <c r="F61" i="27"/>
  <c r="J61" i="27" s="1"/>
  <c r="M61" i="27" s="1"/>
  <c r="L60" i="27"/>
  <c r="E87" i="27"/>
  <c r="L59" i="27"/>
  <c r="J59" i="27"/>
  <c r="M59" i="27" s="1"/>
  <c r="F59" i="27"/>
  <c r="L58" i="27"/>
  <c r="F58" i="27"/>
  <c r="J58" i="27" s="1"/>
  <c r="M58" i="27" s="1"/>
  <c r="L57" i="27"/>
  <c r="F57" i="27"/>
  <c r="J57" i="27" s="1"/>
  <c r="M57" i="27" s="1"/>
  <c r="L56" i="27"/>
  <c r="F56" i="27"/>
  <c r="J56" i="27" s="1"/>
  <c r="M56" i="27" s="1"/>
  <c r="N55" i="27"/>
  <c r="L54" i="27"/>
  <c r="J54" i="27"/>
  <c r="M54" i="27" s="1"/>
  <c r="O54" i="27" s="1"/>
  <c r="F54" i="27"/>
  <c r="L53" i="27"/>
  <c r="F53" i="27"/>
  <c r="J53" i="27" s="1"/>
  <c r="M53" i="27" s="1"/>
  <c r="N52" i="27"/>
  <c r="L51" i="27"/>
  <c r="F51" i="27"/>
  <c r="J51" i="27" s="1"/>
  <c r="M51" i="27" s="1"/>
  <c r="L50" i="27"/>
  <c r="F50" i="27"/>
  <c r="J50" i="27" s="1"/>
  <c r="M50" i="27" s="1"/>
  <c r="L49" i="27"/>
  <c r="F49" i="27"/>
  <c r="J49" i="27" s="1"/>
  <c r="M49" i="27" s="1"/>
  <c r="O49" i="27" s="1"/>
  <c r="L48" i="27"/>
  <c r="J48" i="27"/>
  <c r="M48" i="27" s="1"/>
  <c r="O48" i="27" s="1"/>
  <c r="F48" i="27"/>
  <c r="L47" i="27"/>
  <c r="F47" i="27"/>
  <c r="J47" i="27" s="1"/>
  <c r="M47" i="27" s="1"/>
  <c r="L46" i="27"/>
  <c r="F46" i="27"/>
  <c r="J46" i="27" s="1"/>
  <c r="M46" i="27" s="1"/>
  <c r="L45" i="27"/>
  <c r="F45" i="27"/>
  <c r="J45" i="27" s="1"/>
  <c r="M45" i="27" s="1"/>
  <c r="L44" i="27"/>
  <c r="J44" i="27"/>
  <c r="M44" i="27" s="1"/>
  <c r="F44" i="27"/>
  <c r="L43" i="27"/>
  <c r="F43" i="27"/>
  <c r="J43" i="27" s="1"/>
  <c r="M43" i="27" s="1"/>
  <c r="L42" i="27"/>
  <c r="F42" i="27"/>
  <c r="J42" i="27" s="1"/>
  <c r="M42" i="27" s="1"/>
  <c r="L41" i="27"/>
  <c r="F41" i="27"/>
  <c r="J41" i="27" s="1"/>
  <c r="M41" i="27" s="1"/>
  <c r="L40" i="27"/>
  <c r="F40" i="27"/>
  <c r="J40" i="27" s="1"/>
  <c r="M40" i="27" s="1"/>
  <c r="L39" i="27"/>
  <c r="F39" i="27"/>
  <c r="J39" i="27" s="1"/>
  <c r="M39" i="27" s="1"/>
  <c r="L38" i="27"/>
  <c r="F38" i="27"/>
  <c r="J38" i="27" s="1"/>
  <c r="M38" i="27" s="1"/>
  <c r="M37" i="27"/>
  <c r="L37" i="27"/>
  <c r="F37" i="27"/>
  <c r="J37" i="27" s="1"/>
  <c r="L36" i="27"/>
  <c r="F36" i="27"/>
  <c r="J36" i="27" s="1"/>
  <c r="M36" i="27" s="1"/>
  <c r="M35" i="27"/>
  <c r="L35" i="27"/>
  <c r="F35" i="27"/>
  <c r="J35" i="27" s="1"/>
  <c r="N34" i="27"/>
  <c r="L33" i="27"/>
  <c r="F33" i="27"/>
  <c r="J33" i="27" s="1"/>
  <c r="M33" i="27" s="1"/>
  <c r="L32" i="27"/>
  <c r="F32" i="27"/>
  <c r="J32" i="27" s="1"/>
  <c r="M32" i="27" s="1"/>
  <c r="O32" i="27" s="1"/>
  <c r="L31" i="27"/>
  <c r="F31" i="27"/>
  <c r="J31" i="27" s="1"/>
  <c r="M31" i="27" s="1"/>
  <c r="L30" i="27"/>
  <c r="F30" i="27"/>
  <c r="J30" i="27" s="1"/>
  <c r="M30" i="27" s="1"/>
  <c r="N29" i="27"/>
  <c r="L28" i="27"/>
  <c r="F28" i="27"/>
  <c r="J28" i="27" s="1"/>
  <c r="M28" i="27" s="1"/>
  <c r="L27" i="27"/>
  <c r="F27" i="27"/>
  <c r="J27" i="27" s="1"/>
  <c r="M27" i="27" s="1"/>
  <c r="L26" i="27"/>
  <c r="F26" i="27"/>
  <c r="J26" i="27" s="1"/>
  <c r="M26" i="27" s="1"/>
  <c r="L25" i="27"/>
  <c r="F25" i="27"/>
  <c r="J25" i="27" s="1"/>
  <c r="M25" i="27" s="1"/>
  <c r="L24" i="27"/>
  <c r="F24" i="27"/>
  <c r="J24" i="27" s="1"/>
  <c r="M24" i="27" s="1"/>
  <c r="L23" i="27"/>
  <c r="F23" i="27"/>
  <c r="J23" i="27" s="1"/>
  <c r="M23" i="27" s="1"/>
  <c r="L22" i="27"/>
  <c r="F22" i="27"/>
  <c r="J22" i="27" s="1"/>
  <c r="M22" i="27" s="1"/>
  <c r="M21" i="27"/>
  <c r="L21" i="27"/>
  <c r="J21" i="27"/>
  <c r="F21" i="27"/>
  <c r="L20" i="27"/>
  <c r="F20" i="27"/>
  <c r="J20" i="27" s="1"/>
  <c r="M20" i="27" s="1"/>
  <c r="O19" i="27"/>
  <c r="F19" i="27"/>
  <c r="J19" i="27" s="1"/>
  <c r="L18" i="27"/>
  <c r="F18" i="27"/>
  <c r="J18" i="27" s="1"/>
  <c r="M18" i="27" s="1"/>
  <c r="F17" i="27"/>
  <c r="J17" i="27" s="1"/>
  <c r="L16" i="27"/>
  <c r="F16" i="27"/>
  <c r="J16" i="27" s="1"/>
  <c r="M86" i="26"/>
  <c r="L86" i="26"/>
  <c r="M85" i="26"/>
  <c r="L85" i="26"/>
  <c r="G85" i="26"/>
  <c r="J85" i="26" s="1"/>
  <c r="L84" i="26"/>
  <c r="G84" i="26"/>
  <c r="L83" i="26"/>
  <c r="G83" i="26"/>
  <c r="L82" i="26"/>
  <c r="I82" i="26"/>
  <c r="I87" i="26" s="1"/>
  <c r="H82" i="26"/>
  <c r="H87" i="26" s="1"/>
  <c r="G82" i="26"/>
  <c r="L81" i="26"/>
  <c r="G81" i="26"/>
  <c r="L80" i="26"/>
  <c r="G80" i="26"/>
  <c r="J80" i="26" s="1"/>
  <c r="N79" i="26"/>
  <c r="L78" i="26"/>
  <c r="G78" i="26"/>
  <c r="L77" i="26"/>
  <c r="G77" i="26"/>
  <c r="L76" i="26"/>
  <c r="G76" i="26"/>
  <c r="L75" i="26"/>
  <c r="G75" i="26"/>
  <c r="M74" i="26"/>
  <c r="L74" i="26"/>
  <c r="G74" i="26"/>
  <c r="J74" i="26" s="1"/>
  <c r="N73" i="26"/>
  <c r="L72" i="26"/>
  <c r="G72" i="26"/>
  <c r="L71" i="26"/>
  <c r="G71" i="26"/>
  <c r="L70" i="26"/>
  <c r="G70" i="26"/>
  <c r="L69" i="26"/>
  <c r="G69" i="26"/>
  <c r="N68" i="26"/>
  <c r="L67" i="26"/>
  <c r="G67" i="26"/>
  <c r="L66" i="26"/>
  <c r="G66" i="26"/>
  <c r="L65" i="26"/>
  <c r="G65" i="26"/>
  <c r="M64" i="26"/>
  <c r="L64" i="26"/>
  <c r="G64" i="26"/>
  <c r="J64" i="26" s="1"/>
  <c r="L63" i="26"/>
  <c r="G63" i="26"/>
  <c r="N62" i="26"/>
  <c r="L61" i="26"/>
  <c r="G61" i="26"/>
  <c r="L60" i="26"/>
  <c r="G60" i="26"/>
  <c r="L59" i="26"/>
  <c r="G59" i="26"/>
  <c r="L58" i="26"/>
  <c r="G58" i="26"/>
  <c r="L57" i="26"/>
  <c r="G57" i="26"/>
  <c r="L56" i="26"/>
  <c r="G56" i="26"/>
  <c r="N55" i="26"/>
  <c r="L54" i="26"/>
  <c r="G54" i="26"/>
  <c r="L53" i="26"/>
  <c r="G53" i="26"/>
  <c r="N52" i="26"/>
  <c r="L51" i="26"/>
  <c r="G51" i="26"/>
  <c r="J51" i="26" s="1"/>
  <c r="M51" i="26" s="1"/>
  <c r="L50" i="26"/>
  <c r="M50" i="26"/>
  <c r="G50" i="26"/>
  <c r="J50" i="26" s="1"/>
  <c r="L49" i="26"/>
  <c r="G49" i="26"/>
  <c r="J49" i="26" s="1"/>
  <c r="M49" i="26" s="1"/>
  <c r="O49" i="26" s="1"/>
  <c r="M48" i="26"/>
  <c r="L48" i="26"/>
  <c r="G48" i="26"/>
  <c r="J48" i="26" s="1"/>
  <c r="L47" i="26"/>
  <c r="G47" i="26"/>
  <c r="L46" i="26"/>
  <c r="G46" i="26"/>
  <c r="L45" i="26"/>
  <c r="G45" i="26"/>
  <c r="L44" i="26"/>
  <c r="G44" i="26"/>
  <c r="L43" i="26"/>
  <c r="G43" i="26"/>
  <c r="L42" i="26"/>
  <c r="G42" i="26"/>
  <c r="L41" i="26"/>
  <c r="G41" i="26"/>
  <c r="L40" i="26"/>
  <c r="G40" i="26"/>
  <c r="L39" i="26"/>
  <c r="G39" i="26"/>
  <c r="L38" i="26"/>
  <c r="G38" i="26"/>
  <c r="L37" i="26"/>
  <c r="G37" i="26"/>
  <c r="L36" i="26"/>
  <c r="G36" i="26"/>
  <c r="M35" i="26"/>
  <c r="L35" i="26"/>
  <c r="E87" i="26"/>
  <c r="N34" i="26"/>
  <c r="L33" i="26"/>
  <c r="G33" i="26"/>
  <c r="L32" i="26"/>
  <c r="G32" i="26"/>
  <c r="L31" i="26"/>
  <c r="G31" i="26"/>
  <c r="L30" i="26"/>
  <c r="G30" i="26"/>
  <c r="J30" i="26" s="1"/>
  <c r="M30" i="26" s="1"/>
  <c r="N29" i="26"/>
  <c r="L28" i="26"/>
  <c r="G28" i="26"/>
  <c r="J28" i="26" s="1"/>
  <c r="M28" i="26" s="1"/>
  <c r="L27" i="26"/>
  <c r="G27" i="26"/>
  <c r="L26" i="26"/>
  <c r="G26" i="26"/>
  <c r="L25" i="26"/>
  <c r="G25" i="26"/>
  <c r="J25" i="26" s="1"/>
  <c r="M25" i="26" s="1"/>
  <c r="L24" i="26"/>
  <c r="G24" i="26"/>
  <c r="L23" i="26"/>
  <c r="G23" i="26"/>
  <c r="J23" i="26" s="1"/>
  <c r="M23" i="26" s="1"/>
  <c r="L22" i="26"/>
  <c r="G22" i="26"/>
  <c r="L21" i="26"/>
  <c r="G21" i="26"/>
  <c r="J21" i="26" s="1"/>
  <c r="M21" i="26" s="1"/>
  <c r="L20" i="26"/>
  <c r="G20" i="26"/>
  <c r="M19" i="26"/>
  <c r="L19" i="26"/>
  <c r="G19" i="26"/>
  <c r="J19" i="26" s="1"/>
  <c r="L18" i="26"/>
  <c r="G18" i="26"/>
  <c r="J18" i="26" s="1"/>
  <c r="M18" i="26" s="1"/>
  <c r="M17" i="26"/>
  <c r="G17" i="26"/>
  <c r="J17" i="26" s="1"/>
  <c r="M16" i="26"/>
  <c r="L16" i="26"/>
  <c r="G16" i="26"/>
  <c r="J16" i="26" s="1"/>
  <c r="O86" i="33" l="1"/>
  <c r="J20" i="26"/>
  <c r="M20" i="26" s="1"/>
  <c r="O20" i="26" s="1"/>
  <c r="J32" i="26"/>
  <c r="M32" i="26" s="1"/>
  <c r="M41" i="26"/>
  <c r="O41" i="26" s="1"/>
  <c r="J41" i="26"/>
  <c r="J56" i="26"/>
  <c r="M56" i="26" s="1"/>
  <c r="J60" i="26"/>
  <c r="M60" i="26" s="1"/>
  <c r="O60" i="26" s="1"/>
  <c r="J27" i="26"/>
  <c r="M27" i="26" s="1"/>
  <c r="M38" i="26"/>
  <c r="J38" i="26"/>
  <c r="J43" i="26"/>
  <c r="M43" i="26" s="1"/>
  <c r="J63" i="26"/>
  <c r="M63" i="26" s="1"/>
  <c r="O63" i="26" s="1"/>
  <c r="J66" i="26"/>
  <c r="M66" i="26" s="1"/>
  <c r="M78" i="26"/>
  <c r="O78" i="26" s="1"/>
  <c r="J78" i="26"/>
  <c r="J24" i="26"/>
  <c r="M24" i="26" s="1"/>
  <c r="N87" i="26"/>
  <c r="J31" i="26"/>
  <c r="M31" i="26" s="1"/>
  <c r="J33" i="26"/>
  <c r="M33" i="26" s="1"/>
  <c r="O33" i="26" s="1"/>
  <c r="J40" i="26"/>
  <c r="M40" i="26" s="1"/>
  <c r="M42" i="26"/>
  <c r="O42" i="26" s="1"/>
  <c r="J42" i="26"/>
  <c r="J47" i="26"/>
  <c r="M47" i="26" s="1"/>
  <c r="J57" i="26"/>
  <c r="M57" i="26" s="1"/>
  <c r="M62" i="26" s="1"/>
  <c r="O62" i="26" s="1"/>
  <c r="J59" i="26"/>
  <c r="M59" i="26" s="1"/>
  <c r="M61" i="26"/>
  <c r="O61" i="26" s="1"/>
  <c r="J61" i="26"/>
  <c r="J69" i="26"/>
  <c r="M69" i="26" s="1"/>
  <c r="J71" i="26"/>
  <c r="M71" i="26" s="1"/>
  <c r="J82" i="26"/>
  <c r="J83" i="26"/>
  <c r="M83" i="26" s="1"/>
  <c r="J84" i="26"/>
  <c r="M84" i="26" s="1"/>
  <c r="O84" i="26" s="1"/>
  <c r="J39" i="26"/>
  <c r="M39" i="26" s="1"/>
  <c r="M58" i="26"/>
  <c r="J58" i="26"/>
  <c r="J70" i="26"/>
  <c r="M70" i="26" s="1"/>
  <c r="J22" i="26"/>
  <c r="M22" i="26" s="1"/>
  <c r="M36" i="26"/>
  <c r="O36" i="26" s="1"/>
  <c r="J36" i="26"/>
  <c r="J45" i="26"/>
  <c r="M45" i="26" s="1"/>
  <c r="J72" i="26"/>
  <c r="M72" i="26" s="1"/>
  <c r="O72" i="26" s="1"/>
  <c r="J76" i="26"/>
  <c r="M76" i="26" s="1"/>
  <c r="M26" i="26"/>
  <c r="O26" i="26" s="1"/>
  <c r="J26" i="26"/>
  <c r="J37" i="26"/>
  <c r="M37" i="26" s="1"/>
  <c r="J44" i="26"/>
  <c r="M44" i="26" s="1"/>
  <c r="O44" i="26" s="1"/>
  <c r="J46" i="26"/>
  <c r="M46" i="26" s="1"/>
  <c r="M53" i="26"/>
  <c r="M55" i="26" s="1"/>
  <c r="O55" i="26" s="1"/>
  <c r="J53" i="26"/>
  <c r="J54" i="26"/>
  <c r="M54" i="26" s="1"/>
  <c r="J65" i="26"/>
  <c r="M65" i="26" s="1"/>
  <c r="J67" i="26"/>
  <c r="M67" i="26" s="1"/>
  <c r="M75" i="26"/>
  <c r="O75" i="26" s="1"/>
  <c r="J75" i="26"/>
  <c r="J77" i="26"/>
  <c r="M77" i="26" s="1"/>
  <c r="J81" i="26"/>
  <c r="M81" i="26" s="1"/>
  <c r="O64" i="26"/>
  <c r="N87" i="27"/>
  <c r="O38" i="26"/>
  <c r="O50" i="26"/>
  <c r="M82" i="26"/>
  <c r="O82" i="26" s="1"/>
  <c r="O85" i="32"/>
  <c r="O77" i="27"/>
  <c r="O22" i="27"/>
  <c r="O71" i="27"/>
  <c r="M73" i="27"/>
  <c r="O73" i="27" s="1"/>
  <c r="O83" i="27"/>
  <c r="O84" i="27"/>
  <c r="O18" i="27"/>
  <c r="O23" i="27"/>
  <c r="O24" i="27"/>
  <c r="M52" i="27"/>
  <c r="O52" i="27" s="1"/>
  <c r="O57" i="27"/>
  <c r="O63" i="27"/>
  <c r="M29" i="27"/>
  <c r="O29" i="27" s="1"/>
  <c r="O20" i="27"/>
  <c r="O25" i="27"/>
  <c r="O26" i="27"/>
  <c r="M34" i="27"/>
  <c r="O34" i="27" s="1"/>
  <c r="O30" i="27"/>
  <c r="O33" i="27"/>
  <c r="O78" i="27"/>
  <c r="O27" i="27"/>
  <c r="O28" i="27"/>
  <c r="O31" i="27"/>
  <c r="O50" i="27"/>
  <c r="O51" i="27"/>
  <c r="O58" i="27"/>
  <c r="O70" i="27"/>
  <c r="M79" i="27"/>
  <c r="O79" i="27" s="1"/>
  <c r="L87" i="27"/>
  <c r="O56" i="27"/>
  <c r="F60" i="27"/>
  <c r="J60" i="27" s="1"/>
  <c r="M60" i="27" s="1"/>
  <c r="O61" i="27"/>
  <c r="O66" i="27"/>
  <c r="O72" i="27"/>
  <c r="O76" i="27"/>
  <c r="O21" i="27"/>
  <c r="O36" i="27"/>
  <c r="O37" i="27"/>
  <c r="O38" i="27"/>
  <c r="O39" i="27"/>
  <c r="O40" i="27"/>
  <c r="O41" i="27"/>
  <c r="O42" i="27"/>
  <c r="O43" i="27"/>
  <c r="O44" i="27"/>
  <c r="O45" i="27"/>
  <c r="O46" i="27"/>
  <c r="O47" i="27"/>
  <c r="M55" i="27"/>
  <c r="O55" i="27" s="1"/>
  <c r="O53" i="27"/>
  <c r="O59" i="27"/>
  <c r="O81" i="27"/>
  <c r="M68" i="27"/>
  <c r="O68" i="27" s="1"/>
  <c r="O28" i="26"/>
  <c r="O30" i="26"/>
  <c r="O23" i="26"/>
  <c r="O18" i="26"/>
  <c r="O58" i="26"/>
  <c r="O21" i="26"/>
  <c r="O25" i="26"/>
  <c r="M52" i="26"/>
  <c r="O52" i="26" s="1"/>
  <c r="G35" i="26"/>
  <c r="J35" i="26" s="1"/>
  <c r="F87" i="26"/>
  <c r="M73" i="26" l="1"/>
  <c r="O73" i="26" s="1"/>
  <c r="O77" i="26"/>
  <c r="O37" i="26"/>
  <c r="O83" i="26"/>
  <c r="O69" i="26"/>
  <c r="M34" i="26"/>
  <c r="O34" i="26" s="1"/>
  <c r="O31" i="26"/>
  <c r="O43" i="26"/>
  <c r="M68" i="26"/>
  <c r="O68" i="26" s="1"/>
  <c r="O46" i="26"/>
  <c r="O22" i="26"/>
  <c r="M29" i="26"/>
  <c r="O29" i="26" s="1"/>
  <c r="O39" i="26"/>
  <c r="O40" i="26"/>
  <c r="O66" i="26"/>
  <c r="O32" i="26"/>
  <c r="O54" i="26"/>
  <c r="O45" i="26"/>
  <c r="O70" i="26"/>
  <c r="O47" i="26"/>
  <c r="O24" i="26"/>
  <c r="O56" i="26"/>
  <c r="O67" i="26"/>
  <c r="M79" i="26"/>
  <c r="O79" i="26" s="1"/>
  <c r="O87" i="26" s="1"/>
  <c r="O76" i="26"/>
  <c r="O59" i="26"/>
  <c r="O27" i="26"/>
  <c r="O57" i="26"/>
  <c r="O53" i="26"/>
  <c r="J87" i="26"/>
  <c r="O71" i="26"/>
  <c r="O65" i="26"/>
  <c r="O81" i="26"/>
  <c r="M87" i="27"/>
  <c r="G87" i="26"/>
  <c r="O60" i="27"/>
  <c r="M62" i="27"/>
  <c r="O62" i="27" s="1"/>
  <c r="O87" i="27" s="1"/>
  <c r="F87" i="27"/>
  <c r="J87" i="27" s="1"/>
  <c r="M87" i="26" l="1"/>
  <c r="O88" i="27"/>
  <c r="O88" i="26" l="1"/>
</calcChain>
</file>

<file path=xl/comments1.xml><?xml version="1.0" encoding="utf-8"?>
<comments xmlns="http://schemas.openxmlformats.org/spreadsheetml/2006/main">
  <authors>
    <author>Larry Iwamoto</author>
  </authors>
  <commentList>
    <comment ref="N85" authorId="0">
      <text>
        <r>
          <rPr>
            <b/>
            <sz val="9"/>
            <color indexed="81"/>
            <rFont val="Tahoma"/>
            <family val="2"/>
          </rPr>
          <t>Larry Iwamoto:</t>
        </r>
        <r>
          <rPr>
            <sz val="9"/>
            <color indexed="81"/>
            <rFont val="Tahoma"/>
            <family val="2"/>
          </rPr>
          <t xml:space="preserve">
Agrees filed appendix G -2 And PPE model</t>
        </r>
      </text>
    </comment>
  </commentList>
</comments>
</file>

<file path=xl/sharedStrings.xml><?xml version="1.0" encoding="utf-8"?>
<sst xmlns="http://schemas.openxmlformats.org/spreadsheetml/2006/main" count="1518" uniqueCount="166">
  <si>
    <t>File Number:</t>
  </si>
  <si>
    <t>Exhibit:</t>
  </si>
  <si>
    <t>Tab:</t>
  </si>
  <si>
    <t>Schedule:</t>
  </si>
  <si>
    <t>Page:</t>
  </si>
  <si>
    <t>Date:</t>
  </si>
  <si>
    <t>Depreciation and Amortization Expense</t>
  </si>
  <si>
    <t>Year:</t>
  </si>
  <si>
    <t>Account</t>
  </si>
  <si>
    <t>Description</t>
  </si>
  <si>
    <r>
      <t>Less Fully Depreciated</t>
    </r>
    <r>
      <rPr>
        <b/>
        <vertAlign val="superscript"/>
        <sz val="10"/>
        <rFont val="Arial"/>
        <family val="2"/>
      </rPr>
      <t>1</t>
    </r>
  </si>
  <si>
    <t>Net for Depreciation</t>
  </si>
  <si>
    <t>Additions</t>
  </si>
  <si>
    <t>Years</t>
  </si>
  <si>
    <t>Depreciation Rate</t>
  </si>
  <si>
    <t>(a)</t>
  </si>
  <si>
    <t>(b)</t>
  </si>
  <si>
    <t>(c) = (a) - (b)</t>
  </si>
  <si>
    <t>(d)</t>
  </si>
  <si>
    <t>(f)</t>
  </si>
  <si>
    <t>(g) = 1 / (f)</t>
  </si>
  <si>
    <t>(h) = (e) / (f)</t>
  </si>
  <si>
    <t>Land</t>
  </si>
  <si>
    <t>Buildings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</si>
  <si>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</si>
  <si>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</si>
  <si>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</si>
  <si>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</si>
  <si>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</si>
  <si>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</si>
  <si>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</si>
  <si>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Meters</t>
  </si>
  <si>
    <t>Land Rights</t>
  </si>
  <si>
    <t>Buildings &amp; Fixtures</t>
  </si>
  <si>
    <t>Computer Equipment - Hardware</t>
  </si>
  <si>
    <t>Computer Software</t>
  </si>
  <si>
    <t>Stores Equipment</t>
  </si>
  <si>
    <t>Tools, Shop &amp; Garage Equipment</t>
  </si>
  <si>
    <t>Communications Equipment</t>
  </si>
  <si>
    <t xml:space="preserve">Miscellaneous Equipment </t>
  </si>
  <si>
    <t>System Supervisor Equipment</t>
  </si>
  <si>
    <t>Contributions &amp; Grants</t>
  </si>
  <si>
    <t>Total</t>
  </si>
  <si>
    <t>Notes:</t>
  </si>
  <si>
    <t>Overhead Transformers</t>
  </si>
  <si>
    <t>Underground Services</t>
  </si>
  <si>
    <t>Interval Meters</t>
  </si>
  <si>
    <t>Leased Properties</t>
  </si>
  <si>
    <t>Wireless Communication Equipment</t>
  </si>
  <si>
    <t>Process Re-Engineering</t>
  </si>
  <si>
    <t>Miscellaneous Fixed Assets (Sentinel Lights)</t>
  </si>
  <si>
    <t>Leased Property - 80 Addiscott</t>
  </si>
  <si>
    <t>Barrie - Cont. Capital - Ont. Hydro</t>
  </si>
  <si>
    <t>Major Spare Parts</t>
  </si>
  <si>
    <t>MIFRS</t>
  </si>
  <si>
    <t>TS - Power Transformer &amp; Other</t>
  </si>
  <si>
    <t>TS - Tap Changer</t>
  </si>
  <si>
    <t>TS - Winding</t>
  </si>
  <si>
    <t>TS - Support Steel Structure</t>
  </si>
  <si>
    <t>TS- Grounding Station</t>
  </si>
  <si>
    <t>TS - P&amp;C System</t>
  </si>
  <si>
    <t>TS - Switchgear &amp; Relays</t>
  </si>
  <si>
    <t>TS - Capacitor Banks</t>
  </si>
  <si>
    <t>MS - Power Transformer</t>
  </si>
  <si>
    <t>MS - Protection &amp; Control</t>
  </si>
  <si>
    <t>MS - SwitchGear</t>
  </si>
  <si>
    <t>Building &amp; Fixtures - Windows</t>
  </si>
  <si>
    <t>HW - Desktops/Laptops</t>
  </si>
  <si>
    <t>HW - Servers</t>
  </si>
  <si>
    <t>HW - MFP's</t>
  </si>
  <si>
    <t>HW - Switches/Routers</t>
  </si>
  <si>
    <t>Transportation Equipment - Light Vehicles</t>
  </si>
  <si>
    <t>Transportation Equipment - Heavy Vehicles</t>
  </si>
  <si>
    <t>Transportation Equipment - Trailers</t>
  </si>
  <si>
    <t>RTU</t>
  </si>
  <si>
    <t>Display Wall</t>
  </si>
  <si>
    <t>Calculated Depreciation Expense</t>
  </si>
  <si>
    <t>Underground Transformers</t>
  </si>
  <si>
    <t xml:space="preserve">Overhead Services </t>
  </si>
  <si>
    <t>Smart Meters</t>
  </si>
  <si>
    <t>Actual Depreciation Expense</t>
  </si>
  <si>
    <t>Disposals</t>
  </si>
  <si>
    <t xml:space="preserve">Office Furniture &amp; Equipment </t>
  </si>
  <si>
    <r>
      <t>Opening Balance
MIFRS Cost</t>
    </r>
    <r>
      <rPr>
        <b/>
        <vertAlign val="superscript"/>
        <sz val="10"/>
        <rFont val="Arial"/>
        <family val="2"/>
      </rPr>
      <t>4</t>
    </r>
  </si>
  <si>
    <r>
      <t>Total for Depreciation</t>
    </r>
    <r>
      <rPr>
        <b/>
        <vertAlign val="superscript"/>
        <sz val="10"/>
        <rFont val="Arial"/>
        <family val="2"/>
      </rPr>
      <t>2</t>
    </r>
  </si>
  <si>
    <t>(i)</t>
  </si>
  <si>
    <t>Subtotal 1815</t>
  </si>
  <si>
    <t>Subtotal 1820</t>
  </si>
  <si>
    <t>Subtotal 1908</t>
  </si>
  <si>
    <t>Subtotal 1930</t>
  </si>
  <si>
    <t>Subtotal 1955</t>
  </si>
  <si>
    <r>
      <t>3</t>
    </r>
    <r>
      <rPr>
        <sz val="10"/>
        <rFont val="Arial"/>
        <family val="2"/>
      </rPr>
      <t xml:space="preserve">   Applicants must indicate YES or NO as to whether the "Depreciation Rate" for the asset in column "g" has changed from the last rebasing year approved by the Board.  Changes may arise due to the adoption of International Financial Reporting Standards </t>
    </r>
  </si>
  <si>
    <t>Subtotal 1920</t>
  </si>
  <si>
    <t>Subtotal 1980</t>
  </si>
  <si>
    <t xml:space="preserve">Overhead services </t>
  </si>
  <si>
    <t>No</t>
  </si>
  <si>
    <t>Building &amp; Fixtures - Structure</t>
  </si>
  <si>
    <r>
      <t xml:space="preserve">2  </t>
    </r>
    <r>
      <rPr>
        <sz val="10"/>
        <rFont val="Arial"/>
        <family val="2"/>
      </rPr>
      <t xml:space="preserve"> Applicable for the standard Board policy of the "half-year" rule, that additions in the year attract a half-year depreciation expense in the first year.  </t>
    </r>
  </si>
  <si>
    <r>
      <t>Differences</t>
    </r>
    <r>
      <rPr>
        <b/>
        <vertAlign val="superscript"/>
        <sz val="10"/>
        <rFont val="Arial"/>
        <family val="2"/>
      </rPr>
      <t>5</t>
    </r>
  </si>
  <si>
    <t>(j)</t>
  </si>
  <si>
    <t>(k) = (f)-(j)</t>
  </si>
  <si>
    <t>(e) = (c) + ½ x (d)+ ½ x (f)+ ½ x (i)</t>
  </si>
  <si>
    <t>(k) = (h)-(j)</t>
  </si>
  <si>
    <t>Contract Services</t>
  </si>
  <si>
    <t>Leasehold improvments</t>
  </si>
  <si>
    <t>LH improvements-JOC/Cochrane</t>
  </si>
  <si>
    <t>Subtotal 1910</t>
  </si>
  <si>
    <t>CIS Software</t>
  </si>
  <si>
    <t>Contributions &amp; Grants- Post IFRS</t>
  </si>
  <si>
    <t>Contributions &amp; Grants- post IFRs</t>
  </si>
  <si>
    <t>Office Furniture &amp; Equipment</t>
  </si>
  <si>
    <t>Leased Property- 80 Addiscott</t>
  </si>
  <si>
    <t>OEB Account</t>
  </si>
  <si>
    <t>Gl Accounts</t>
  </si>
  <si>
    <t>WIP Change /other Adjustments</t>
  </si>
  <si>
    <t xml:space="preserve">Underground Rehab. Cable injection </t>
  </si>
  <si>
    <t>Software Operations</t>
  </si>
  <si>
    <t>CIS software</t>
  </si>
  <si>
    <t>Subtotal 1611</t>
  </si>
  <si>
    <r>
      <t>2020 Opening Balance
MIFRS Cost</t>
    </r>
    <r>
      <rPr>
        <b/>
        <vertAlign val="superscript"/>
        <sz val="10"/>
        <rFont val="Arial"/>
        <family val="2"/>
      </rPr>
      <t>4</t>
    </r>
  </si>
  <si>
    <t>2020 Forecast  Depreciation Expense</t>
  </si>
  <si>
    <t>2020 Calculated Depreciation Expense</t>
  </si>
  <si>
    <r>
      <t>2019 Opening Balance
MIFRS Cost</t>
    </r>
    <r>
      <rPr>
        <b/>
        <vertAlign val="superscript"/>
        <sz val="10"/>
        <rFont val="Arial"/>
        <family val="2"/>
      </rPr>
      <t>4</t>
    </r>
  </si>
  <si>
    <t>2019 Calculated Depreciation Expense</t>
  </si>
  <si>
    <t>2019 Forecast  Depreciation Expense</t>
  </si>
  <si>
    <r>
      <t>2018 Opening Balance
MIFRS Cost</t>
    </r>
    <r>
      <rPr>
        <b/>
        <vertAlign val="superscript"/>
        <sz val="10"/>
        <rFont val="Arial"/>
        <family val="2"/>
      </rPr>
      <t>4</t>
    </r>
  </si>
  <si>
    <t>2018 Calculated Depreciation Expense</t>
  </si>
  <si>
    <t>2018 Forecast Depreciation Expense</t>
  </si>
  <si>
    <t>EB-2015-0003</t>
  </si>
  <si>
    <r>
      <t>2015 Opening Balance
MIFRS Cost</t>
    </r>
    <r>
      <rPr>
        <b/>
        <vertAlign val="superscript"/>
        <sz val="10"/>
        <rFont val="Arial"/>
        <family val="2"/>
      </rPr>
      <t>4</t>
    </r>
  </si>
  <si>
    <t>2015 Calculated Depreciation Expense</t>
  </si>
  <si>
    <t>2015 Forecast  Depreciation Expense</t>
  </si>
  <si>
    <r>
      <t>2016 Opening Balance
MIFRS Cost</t>
    </r>
    <r>
      <rPr>
        <b/>
        <vertAlign val="superscript"/>
        <sz val="10"/>
        <rFont val="Arial"/>
        <family val="2"/>
      </rPr>
      <t>4</t>
    </r>
  </si>
  <si>
    <t>2016 Calculated Depreciation Expense</t>
  </si>
  <si>
    <t>2016 Forecast  Depreciation Expense</t>
  </si>
  <si>
    <r>
      <t>2017 Opening Balance
MIFRS Cost</t>
    </r>
    <r>
      <rPr>
        <b/>
        <vertAlign val="superscript"/>
        <sz val="10"/>
        <rFont val="Arial"/>
        <family val="2"/>
      </rPr>
      <t>4</t>
    </r>
  </si>
  <si>
    <t>2017 Calculated Depreciation Expense</t>
  </si>
  <si>
    <t>2017 Forecast Depreciation Expense</t>
  </si>
  <si>
    <t>(e) = (c) +½ x (d)+ ½ x (f)</t>
  </si>
  <si>
    <t xml:space="preserve">(e) = (c) +½ x (d)+ ½ x (f)+ </t>
  </si>
  <si>
    <t>1995/1996</t>
  </si>
  <si>
    <t>Appendix 2-CD5</t>
  </si>
  <si>
    <t>Appendix 2-CD1</t>
  </si>
  <si>
    <t>Appendix 2-CD2</t>
  </si>
  <si>
    <t>Appendix 2-CD3</t>
  </si>
  <si>
    <t>Appendix 2-CD4</t>
  </si>
  <si>
    <t>Appendix 2-CD6</t>
  </si>
  <si>
    <t>Appendix 2-CD7</t>
  </si>
  <si>
    <t>Appendix 2-CD8</t>
  </si>
  <si>
    <t>Appendix 2-CD9</t>
  </si>
  <si>
    <r>
      <t>5</t>
    </r>
    <r>
      <rPr>
        <sz val="10"/>
        <rFont val="Arial"/>
        <family val="2"/>
      </rPr>
      <t xml:space="preserve">   Total difference explained per exhibit VI.19.1  </t>
    </r>
  </si>
  <si>
    <r>
      <t xml:space="preserve">1   </t>
    </r>
    <r>
      <rPr>
        <sz val="10"/>
        <rFont val="Arial"/>
        <family val="2"/>
      </rPr>
      <t xml:space="preserve">This adjustment removes those assets that been fully depreciated. </t>
    </r>
  </si>
  <si>
    <r>
      <t xml:space="preserve">4  </t>
    </r>
    <r>
      <rPr>
        <sz val="10"/>
        <rFont val="Arial"/>
        <family val="2"/>
      </rPr>
      <t xml:space="preserve"> Opening cost balance agrees with 2020 Test Year Appendix G-2a-1 Fixed Asset Continuity per Section 2, Tab 2.</t>
    </r>
  </si>
  <si>
    <t>May 22,2015</t>
  </si>
  <si>
    <r>
      <t xml:space="preserve">4  </t>
    </r>
    <r>
      <rPr>
        <sz val="10"/>
        <rFont val="Arial"/>
        <family val="2"/>
      </rPr>
      <t xml:space="preserve"> Opening cost balance agrees with 2012 Test Year Appendix G-2a-1 Fixed Asset Continuity per Section 2, Tab 2.</t>
    </r>
  </si>
  <si>
    <r>
      <t xml:space="preserve">4  </t>
    </r>
    <r>
      <rPr>
        <sz val="10"/>
        <rFont val="Arial"/>
        <family val="2"/>
      </rPr>
      <t xml:space="preserve"> Opening cost balance agrees with 2013 Test Year Appendix G-2a-1 Fixed Asset Continuity per Section 2, Tab 2.</t>
    </r>
  </si>
  <si>
    <r>
      <t xml:space="preserve">4  </t>
    </r>
    <r>
      <rPr>
        <sz val="10"/>
        <rFont val="Arial"/>
        <family val="2"/>
      </rPr>
      <t xml:space="preserve"> Opening cost balance agrees with 2014 Test Year Appendix G-2a-1 Fixed Asset Continuity per Section 2, Tab 2.</t>
    </r>
  </si>
  <si>
    <r>
      <t xml:space="preserve">4  </t>
    </r>
    <r>
      <rPr>
        <sz val="10"/>
        <rFont val="Arial"/>
        <family val="2"/>
      </rPr>
      <t xml:space="preserve"> Opening cost balance agrees with 2015 Test Year Appendix G-2a-1 Fixed Asset Continuity per Section 2, Tab 2.</t>
    </r>
  </si>
  <si>
    <r>
      <t xml:space="preserve">4  </t>
    </r>
    <r>
      <rPr>
        <sz val="10"/>
        <rFont val="Arial"/>
        <family val="2"/>
      </rPr>
      <t xml:space="preserve"> Opening cost balance agrees with 2016 Test Year Appendix G-2a-1 Fixed Asset Continuity per Section 2, Tab 2.</t>
    </r>
  </si>
  <si>
    <r>
      <t xml:space="preserve">4  </t>
    </r>
    <r>
      <rPr>
        <sz val="10"/>
        <rFont val="Arial"/>
        <family val="2"/>
      </rPr>
      <t xml:space="preserve"> Opening cost balance agrees with 2017 Test Year Appendix G-2a-1 Fixed Asset Continuity per Section 2, Tab 2.</t>
    </r>
  </si>
  <si>
    <r>
      <t xml:space="preserve">4  </t>
    </r>
    <r>
      <rPr>
        <sz val="10"/>
        <rFont val="Arial"/>
        <family val="2"/>
      </rPr>
      <t xml:space="preserve"> Opening cost balance agrees with 2018 Test Year Appendix G-2a-1 Fixed Asset Continuity per Section 2, Tab 2.</t>
    </r>
  </si>
  <si>
    <r>
      <t xml:space="preserve">4  </t>
    </r>
    <r>
      <rPr>
        <sz val="10"/>
        <rFont val="Arial"/>
        <family val="2"/>
      </rPr>
      <t xml:space="preserve"> Opening cost balance agrees with 2019 Test Year Appendix G-2a-1 Fixed Asset Continuity per Section 2, Tab 2.</t>
    </r>
  </si>
  <si>
    <r>
      <t xml:space="preserve">Did Depreciation Rate in "g" Change (Yes/No)? </t>
    </r>
    <r>
      <rPr>
        <b/>
        <vertAlign val="superscript"/>
        <sz val="10"/>
        <rFont val="Arial"/>
        <family val="2"/>
      </rPr>
      <t>3</t>
    </r>
  </si>
  <si>
    <t>[check]</t>
  </si>
  <si>
    <t>[ check]</t>
  </si>
  <si>
    <t>GL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</si>
</sst>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1009]mmmm\ d\,\ yyyy;@"/>
    <numFmt numFmtId="167" formatCode="_(* #,##0_);_(* \(#,##0\);_(* &quot;-&quot;??_);_(@_)"/>
    <numFmt numFmtId="168" formatCode="_(* #,##0.0_);_(* \(#,##0.0\);_(* &quot;-&quot;??_);_(@_)"/>
    <numFmt numFmtId="169" formatCode="#,##0.0"/>
    <numFmt numFmtId="170" formatCode="mm/dd/yyyy"/>
    <numFmt numFmtId="171" formatCode="0\-0"/>
    <numFmt numFmtId="172" formatCode="##\-#"/>
    <numFmt numFmtId="173" formatCode="&quot;£ &quot;#,##0.00;[Red]\-&quot;£ &quot;#,##0.00"/>
  </numFmts>
  <fonts count="54">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4"/>
      <name val="Arial"/>
      <family val="2"/>
    </font>
    <font>
      <b/>
      <vertAlign val="superscript"/>
      <sz val="10"/>
      <name val="Arial"/>
      <family val="2"/>
    </font>
    <font>
      <sz val="10"/>
      <color indexed="52"/>
      <name val="Arial"/>
      <family val="2"/>
    </font>
    <font>
      <vertAlign val="superscript"/>
      <sz val="10"/>
      <name val="Arial"/>
      <family val="2"/>
    </font>
    <font>
      <b/>
      <sz val="11"/>
      <name val="Arial"/>
      <family val="2"/>
    </font>
    <font>
      <i/>
      <sz val="11"/>
      <color indexed="8"/>
      <name val="Calibri"/>
      <family val="2"/>
    </font>
    <font>
      <sz val="8"/>
      <name val="Arial"/>
      <family val="2"/>
    </font>
    <font>
      <b/>
      <sz val="12"/>
      <name val="Arial"/>
      <family val="2"/>
    </font>
    <font>
      <sz val="9"/>
      <name val="Arial"/>
      <family val="2"/>
    </font>
    <font>
      <sz val="18"/>
      <color indexed="12"/>
      <name val="SquareSlab711 Bd BT"/>
    </font>
    <font>
      <sz val="12"/>
      <name val="Arial"/>
      <family val="2"/>
    </font>
    <font>
      <sz val="12"/>
      <color indexed="12"/>
      <name val="Arial"/>
      <family val="2"/>
    </font>
    <font>
      <sz val="9"/>
      <color indexed="81"/>
      <name val="Tahoma"/>
      <family val="2"/>
    </font>
    <font>
      <b/>
      <sz val="9"/>
      <color indexed="81"/>
      <name val="Tahom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Arial"/>
      <family val="2"/>
    </font>
    <font>
      <sz val="10"/>
      <name val="Arial"/>
      <family val="2"/>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13"/>
        <bgColor indexed="13"/>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9"/>
        <bgColor indexed="64"/>
      </patternFill>
    </fill>
    <fill>
      <patternFill patternType="solid">
        <fgColor rgb="FFFFFF0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indexed="22"/>
        <bgColor indexed="64"/>
      </patternFill>
    </fill>
    <fill>
      <patternFill patternType="solid">
        <fgColor indexed="26"/>
        <bgColor indexed="64"/>
      </patternFill>
    </fill>
    <fill>
      <patternFill patternType="solid">
        <fgColor rgb="FFFFCC99"/>
      </patternFill>
    </fill>
    <fill>
      <patternFill patternType="solid">
        <fgColor rgb="FFFFEB9C"/>
      </patternFill>
    </fill>
    <fill>
      <patternFill patternType="solid">
        <fgColor rgb="FFFFFFCC"/>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s>
  <cellStyleXfs count="1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1" fillId="21" borderId="0">
      <alignment horizontal="center"/>
    </xf>
    <xf numFmtId="0" fontId="7" fillId="22" borderId="2" applyNumberFormat="0" applyAlignment="0" applyProtection="0"/>
    <xf numFmtId="39" fontId="32" fillId="0" borderId="0" applyFont="0" applyFill="0" applyBorder="0" applyAlignment="0" applyProtection="0"/>
    <xf numFmtId="37" fontId="16" fillId="0" borderId="0" applyNumberFormat="0" applyFont="0" applyFill="0" applyBorder="0" applyAlignment="0" applyProtection="0"/>
    <xf numFmtId="7" fontId="33" fillId="0" borderId="0" applyFont="0" applyFill="0" applyBorder="0" applyAlignment="0" applyProtection="0">
      <protection locked="0"/>
    </xf>
    <xf numFmtId="5" fontId="16"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3" borderId="0" applyNumberFormat="0" applyBorder="0" applyAlignment="0" applyProtection="0"/>
    <xf numFmtId="0" fontId="16" fillId="24" borderId="7" applyNumberFormat="0" applyFont="0" applyAlignment="0" applyProtection="0"/>
    <xf numFmtId="0" fontId="17" fillId="20" borderId="8" applyNumberFormat="0" applyAlignment="0" applyProtection="0"/>
    <xf numFmtId="0" fontId="22" fillId="0" borderId="9">
      <alignment horizontal="center" vertical="center"/>
    </xf>
    <xf numFmtId="0" fontId="18" fillId="0" borderId="0" applyNumberFormat="0" applyFill="0" applyBorder="0" applyAlignment="0" applyProtection="0"/>
    <xf numFmtId="0" fontId="19" fillId="0" borderId="10" applyNumberFormat="0" applyFill="0" applyAlignment="0" applyProtection="0"/>
    <xf numFmtId="0" fontId="33" fillId="0" borderId="0" applyNumberFormat="0" applyFill="0" applyBorder="0" applyAlignment="0" applyProtection="0"/>
    <xf numFmtId="0" fontId="20" fillId="0" borderId="0" applyNumberFormat="0" applyFill="0" applyBorder="0" applyAlignment="0" applyProtection="0"/>
    <xf numFmtId="0" fontId="16" fillId="0" borderId="0"/>
    <xf numFmtId="0" fontId="1" fillId="0" borderId="0"/>
    <xf numFmtId="164" fontId="16" fillId="0" borderId="0" applyFont="0" applyFill="0" applyBorder="0" applyAlignment="0" applyProtection="0"/>
    <xf numFmtId="165" fontId="16" fillId="0" borderId="0" applyFont="0" applyFill="0" applyBorder="0" applyAlignment="0" applyProtection="0"/>
    <xf numFmtId="168" fontId="16" fillId="0" borderId="0"/>
    <xf numFmtId="169" fontId="16" fillId="0" borderId="0"/>
    <xf numFmtId="168" fontId="16" fillId="0" borderId="0"/>
    <xf numFmtId="168" fontId="16" fillId="0" borderId="0"/>
    <xf numFmtId="168" fontId="16" fillId="0" borderId="0"/>
    <xf numFmtId="168" fontId="16" fillId="0" borderId="0"/>
    <xf numFmtId="170" fontId="16" fillId="0" borderId="0"/>
    <xf numFmtId="171" fontId="16" fillId="0" borderId="0"/>
    <xf numFmtId="170" fontId="16" fillId="0" borderId="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7" fillId="52" borderId="0" applyNumberFormat="0" applyBorder="0" applyAlignment="0" applyProtection="0"/>
    <xf numFmtId="0" fontId="38" fillId="53" borderId="36" applyNumberFormat="0" applyAlignment="0" applyProtection="0"/>
    <xf numFmtId="0" fontId="39" fillId="54" borderId="3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16" fillId="0" borderId="0" applyFont="0" applyFill="0" applyBorder="0" applyAlignment="0" applyProtection="0"/>
    <xf numFmtId="164" fontId="16" fillId="0" borderId="0" applyFont="0" applyFill="0" applyBorder="0" applyAlignment="0" applyProtection="0"/>
    <xf numFmtId="5" fontId="16" fillId="0" borderId="0" applyFont="0" applyFill="0" applyBorder="0" applyAlignment="0" applyProtection="0"/>
    <xf numFmtId="14" fontId="16" fillId="0" borderId="0" applyFont="0" applyFill="0" applyBorder="0" applyAlignment="0" applyProtection="0"/>
    <xf numFmtId="0" fontId="40" fillId="0" borderId="0" applyNumberFormat="0" applyFill="0" applyBorder="0" applyAlignment="0" applyProtection="0"/>
    <xf numFmtId="2" fontId="16" fillId="0" borderId="0" applyFont="0" applyFill="0" applyBorder="0" applyAlignment="0" applyProtection="0"/>
    <xf numFmtId="0" fontId="41" fillId="55" borderId="0" applyNumberFormat="0" applyBorder="0" applyAlignment="0" applyProtection="0"/>
    <xf numFmtId="38" fontId="28" fillId="56" borderId="0" applyNumberFormat="0" applyBorder="0" applyAlignment="0" applyProtection="0"/>
    <xf numFmtId="0" fontId="42" fillId="0" borderId="38" applyNumberFormat="0" applyFill="0" applyAlignment="0" applyProtection="0"/>
    <xf numFmtId="0" fontId="43" fillId="0" borderId="39" applyNumberFormat="0" applyFill="0" applyAlignment="0" applyProtection="0"/>
    <xf numFmtId="0" fontId="44" fillId="0" borderId="40" applyNumberFormat="0" applyFill="0" applyAlignment="0" applyProtection="0"/>
    <xf numFmtId="0" fontId="44" fillId="0" borderId="0" applyNumberFormat="0" applyFill="0" applyBorder="0" applyAlignment="0" applyProtection="0"/>
    <xf numFmtId="10" fontId="28" fillId="57" borderId="16" applyNumberFormat="0" applyBorder="0" applyAlignment="0" applyProtection="0"/>
    <xf numFmtId="0" fontId="45" fillId="58" borderId="36" applyNumberFormat="0" applyAlignment="0" applyProtection="0"/>
    <xf numFmtId="0" fontId="46" fillId="0" borderId="41" applyNumberFormat="0" applyFill="0" applyAlignment="0" applyProtection="0"/>
    <xf numFmtId="172" fontId="16" fillId="0" borderId="0"/>
    <xf numFmtId="167" fontId="16" fillId="0" borderId="0"/>
    <xf numFmtId="172" fontId="16" fillId="0" borderId="0"/>
    <xf numFmtId="172" fontId="16" fillId="0" borderId="0"/>
    <xf numFmtId="172" fontId="16" fillId="0" borderId="0"/>
    <xf numFmtId="172" fontId="16" fillId="0" borderId="0"/>
    <xf numFmtId="0" fontId="47" fillId="59" borderId="0" applyNumberFormat="0" applyBorder="0" applyAlignment="0" applyProtection="0"/>
    <xf numFmtId="173" fontId="16" fillId="0" borderId="0"/>
    <xf numFmtId="0" fontId="1" fillId="0" borderId="0"/>
    <xf numFmtId="0" fontId="1" fillId="0" borderId="0"/>
    <xf numFmtId="0" fontId="1" fillId="0" borderId="0"/>
    <xf numFmtId="0" fontId="1" fillId="0" borderId="0"/>
    <xf numFmtId="0" fontId="1" fillId="60" borderId="42" applyNumberFormat="0" applyFont="0" applyAlignment="0" applyProtection="0"/>
    <xf numFmtId="0" fontId="48" fillId="53" borderId="43" applyNumberFormat="0" applyAlignment="0" applyProtection="0"/>
    <xf numFmtId="10"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0" fontId="49" fillId="0" borderId="0" applyNumberFormat="0" applyFill="0" applyBorder="0" applyAlignment="0" applyProtection="0"/>
    <xf numFmtId="0" fontId="50" fillId="0" borderId="44" applyNumberFormat="0" applyFill="0" applyAlignment="0" applyProtection="0"/>
    <xf numFmtId="0" fontId="51" fillId="0" borderId="0" applyNumberFormat="0" applyFill="0" applyBorder="0" applyAlignment="0" applyProtection="0"/>
    <xf numFmtId="43" fontId="16" fillId="0" borderId="0" applyFont="0" applyFill="0" applyBorder="0" applyAlignment="0" applyProtection="0"/>
    <xf numFmtId="164" fontId="16" fillId="0" borderId="0" applyFont="0" applyFill="0" applyBorder="0" applyAlignment="0" applyProtection="0"/>
    <xf numFmtId="165"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0" fontId="16" fillId="0" borderId="0"/>
    <xf numFmtId="9" fontId="16"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52" fillId="0" borderId="0"/>
    <xf numFmtId="9" fontId="53" fillId="0" borderId="0" applyFont="0" applyFill="0" applyBorder="0" applyAlignment="0" applyProtection="0"/>
  </cellStyleXfs>
  <cellXfs count="280">
    <xf numFmtId="0" fontId="0" fillId="0" borderId="0" xfId="0"/>
    <xf numFmtId="0" fontId="16" fillId="0" borderId="0" xfId="49"/>
    <xf numFmtId="0" fontId="21" fillId="0" borderId="0" xfId="49" applyFont="1" applyFill="1"/>
    <xf numFmtId="0" fontId="16" fillId="0" borderId="0" xfId="49" applyFill="1"/>
    <xf numFmtId="0" fontId="21" fillId="0" borderId="0" xfId="49" applyFont="1"/>
    <xf numFmtId="166" fontId="16" fillId="0" borderId="0" xfId="49" applyNumberFormat="1" applyFill="1"/>
    <xf numFmtId="0" fontId="22" fillId="0" borderId="0" xfId="49" applyFont="1" applyAlignment="1">
      <alignment horizontal="center"/>
    </xf>
    <xf numFmtId="0" fontId="21" fillId="26" borderId="11" xfId="49" applyFont="1" applyFill="1" applyBorder="1" applyAlignment="1">
      <alignment horizontal="center" vertical="center" wrapText="1"/>
    </xf>
    <xf numFmtId="0" fontId="21" fillId="26" borderId="12" xfId="49" applyFont="1" applyFill="1" applyBorder="1" applyAlignment="1">
      <alignment horizontal="center" vertical="center" wrapText="1"/>
    </xf>
    <xf numFmtId="0" fontId="16" fillId="0" borderId="0" xfId="49" applyFont="1"/>
    <xf numFmtId="0" fontId="21" fillId="0" borderId="0" xfId="49" applyFont="1" applyAlignment="1">
      <alignment vertical="top" wrapText="1"/>
    </xf>
    <xf numFmtId="0" fontId="16" fillId="0" borderId="0" xfId="49" applyFont="1" applyAlignment="1">
      <alignment wrapText="1"/>
    </xf>
    <xf numFmtId="0" fontId="16" fillId="25" borderId="0" xfId="49" applyFill="1"/>
    <xf numFmtId="0" fontId="16" fillId="27" borderId="0" xfId="49" applyFill="1"/>
    <xf numFmtId="43" fontId="16" fillId="0" borderId="0" xfId="130" applyFont="1"/>
    <xf numFmtId="0" fontId="16" fillId="25" borderId="0" xfId="49" applyFill="1" applyAlignment="1">
      <alignment horizontal="left"/>
    </xf>
    <xf numFmtId="0" fontId="21" fillId="0" borderId="0" xfId="49" applyFont="1" applyAlignment="1">
      <alignment horizontal="center"/>
    </xf>
    <xf numFmtId="0" fontId="21" fillId="25" borderId="0" xfId="49" applyFont="1" applyFill="1" applyAlignment="1">
      <alignment horizontal="center"/>
    </xf>
    <xf numFmtId="0" fontId="26" fillId="0" borderId="0" xfId="49" applyFont="1" applyAlignment="1">
      <alignment horizontal="center"/>
    </xf>
    <xf numFmtId="0" fontId="21" fillId="0" borderId="11" xfId="49" quotePrefix="1" applyFont="1" applyFill="1" applyBorder="1" applyAlignment="1">
      <alignment horizontal="center" vertical="center" wrapText="1"/>
    </xf>
    <xf numFmtId="0" fontId="21" fillId="0" borderId="11" xfId="49" applyFont="1" applyFill="1" applyBorder="1" applyAlignment="1">
      <alignment horizontal="center" vertical="center" wrapText="1"/>
    </xf>
    <xf numFmtId="0" fontId="21" fillId="0" borderId="13" xfId="49" quotePrefix="1" applyFont="1" applyFill="1" applyBorder="1" applyAlignment="1">
      <alignment horizontal="center"/>
    </xf>
    <xf numFmtId="0" fontId="21" fillId="26" borderId="13" xfId="49" quotePrefix="1" applyFont="1" applyFill="1" applyBorder="1" applyAlignment="1">
      <alignment horizontal="center"/>
    </xf>
    <xf numFmtId="0" fontId="21" fillId="26" borderId="13" xfId="49" applyFont="1" applyFill="1" applyBorder="1" applyAlignment="1">
      <alignment horizontal="center"/>
    </xf>
    <xf numFmtId="0" fontId="21" fillId="26" borderId="13" xfId="49" quotePrefix="1" applyFont="1" applyFill="1" applyBorder="1" applyAlignment="1">
      <alignment horizontal="center" wrapText="1"/>
    </xf>
    <xf numFmtId="0" fontId="21" fillId="26" borderId="14" xfId="49" applyFont="1" applyFill="1" applyBorder="1" applyAlignment="1">
      <alignment horizontal="center"/>
    </xf>
    <xf numFmtId="0" fontId="21" fillId="26" borderId="0" xfId="49" applyFont="1" applyFill="1" applyBorder="1" applyAlignment="1">
      <alignment horizontal="center"/>
    </xf>
    <xf numFmtId="0" fontId="16" fillId="0" borderId="15" xfId="49" applyBorder="1" applyAlignment="1">
      <alignment horizontal="center"/>
    </xf>
    <xf numFmtId="0" fontId="16" fillId="0" borderId="16" xfId="49" applyBorder="1"/>
    <xf numFmtId="42" fontId="16" fillId="0" borderId="16" xfId="131" applyNumberFormat="1" applyFill="1" applyBorder="1"/>
    <xf numFmtId="42" fontId="16" fillId="0" borderId="16" xfId="131" applyNumberFormat="1" applyFont="1" applyFill="1" applyBorder="1"/>
    <xf numFmtId="165" fontId="16" fillId="0" borderId="16" xfId="132" applyFill="1" applyBorder="1"/>
    <xf numFmtId="10" fontId="16" fillId="0" borderId="16" xfId="131" applyNumberFormat="1" applyBorder="1"/>
    <xf numFmtId="42" fontId="16" fillId="0" borderId="16" xfId="131" applyNumberFormat="1" applyBorder="1"/>
    <xf numFmtId="42" fontId="16" fillId="0" borderId="17" xfId="131" applyNumberFormat="1" applyBorder="1"/>
    <xf numFmtId="9" fontId="16" fillId="0" borderId="0" xfId="133" applyFont="1"/>
    <xf numFmtId="0" fontId="16" fillId="0" borderId="15" xfId="49" applyFill="1" applyBorder="1" applyAlignment="1">
      <alignment horizontal="center"/>
    </xf>
    <xf numFmtId="0" fontId="16" fillId="0" borderId="16" xfId="49" applyFont="1" applyFill="1" applyBorder="1"/>
    <xf numFmtId="0" fontId="16" fillId="0" borderId="16" xfId="49" applyFill="1" applyBorder="1"/>
    <xf numFmtId="164" fontId="16" fillId="0" borderId="0" xfId="133" applyNumberFormat="1" applyFont="1"/>
    <xf numFmtId="165" fontId="16" fillId="0" borderId="16" xfId="132" applyFont="1" applyFill="1" applyBorder="1"/>
    <xf numFmtId="10" fontId="16" fillId="0" borderId="16" xfId="131" applyNumberFormat="1" applyFont="1" applyBorder="1"/>
    <xf numFmtId="42" fontId="16" fillId="0" borderId="16" xfId="131" applyNumberFormat="1" applyFont="1" applyBorder="1"/>
    <xf numFmtId="0" fontId="16" fillId="0" borderId="28" xfId="49" applyFill="1" applyBorder="1" applyAlignment="1">
      <alignment horizontal="center"/>
    </xf>
    <xf numFmtId="0" fontId="16" fillId="0" borderId="27" xfId="49" applyFill="1" applyBorder="1"/>
    <xf numFmtId="42" fontId="16" fillId="0" borderId="27" xfId="131" applyNumberFormat="1" applyFill="1" applyBorder="1"/>
    <xf numFmtId="42" fontId="16" fillId="0" borderId="27" xfId="131" applyNumberFormat="1" applyFont="1" applyFill="1" applyBorder="1"/>
    <xf numFmtId="42" fontId="22" fillId="0" borderId="27" xfId="131" applyNumberFormat="1" applyFont="1" applyFill="1" applyBorder="1"/>
    <xf numFmtId="165" fontId="16" fillId="0" borderId="27" xfId="132" applyFill="1" applyBorder="1"/>
    <xf numFmtId="10" fontId="16" fillId="0" borderId="27" xfId="131" applyNumberFormat="1" applyFill="1" applyBorder="1"/>
    <xf numFmtId="0" fontId="16" fillId="0" borderId="15" xfId="49" applyFont="1" applyBorder="1" applyAlignment="1">
      <alignment horizontal="center"/>
    </xf>
    <xf numFmtId="0" fontId="16" fillId="0" borderId="16" xfId="49" applyFont="1" applyBorder="1"/>
    <xf numFmtId="10" fontId="16" fillId="0" borderId="30" xfId="131" applyNumberFormat="1" applyBorder="1"/>
    <xf numFmtId="0" fontId="16" fillId="0" borderId="15" xfId="49" applyFont="1" applyFill="1" applyBorder="1" applyAlignment="1">
      <alignment horizontal="center"/>
    </xf>
    <xf numFmtId="0" fontId="16" fillId="0" borderId="16" xfId="49" quotePrefix="1" applyFont="1" applyFill="1" applyBorder="1" applyAlignment="1">
      <alignment horizontal="left"/>
    </xf>
    <xf numFmtId="0" fontId="16" fillId="0" borderId="16" xfId="49" applyFont="1" applyFill="1" applyBorder="1" applyAlignment="1">
      <alignment horizontal="left"/>
    </xf>
    <xf numFmtId="0" fontId="16" fillId="0" borderId="16" xfId="132" applyNumberFormat="1" applyFill="1" applyBorder="1" applyAlignment="1">
      <alignment horizontal="center"/>
    </xf>
    <xf numFmtId="44" fontId="16" fillId="0" borderId="0" xfId="49" applyNumberFormat="1"/>
    <xf numFmtId="43" fontId="16" fillId="0" borderId="0" xfId="49" applyNumberFormat="1"/>
    <xf numFmtId="42" fontId="29" fillId="0" borderId="16" xfId="131" applyNumberFormat="1" applyFont="1" applyFill="1" applyBorder="1"/>
    <xf numFmtId="42" fontId="16" fillId="0" borderId="17" xfId="131" applyNumberFormat="1" applyFill="1" applyBorder="1"/>
    <xf numFmtId="0" fontId="16" fillId="0" borderId="18" xfId="49" applyFont="1" applyBorder="1" applyAlignment="1">
      <alignment horizontal="center"/>
    </xf>
    <xf numFmtId="0" fontId="16" fillId="0" borderId="19" xfId="49" applyFont="1" applyBorder="1"/>
    <xf numFmtId="42" fontId="16" fillId="0" borderId="19" xfId="49" applyNumberFormat="1" applyFill="1" applyBorder="1"/>
    <xf numFmtId="42" fontId="16" fillId="0" borderId="19" xfId="131" applyNumberFormat="1" applyFont="1" applyFill="1" applyBorder="1"/>
    <xf numFmtId="42" fontId="16" fillId="0" borderId="19" xfId="131" applyNumberFormat="1" applyFill="1" applyBorder="1"/>
    <xf numFmtId="165" fontId="16" fillId="0" borderId="19" xfId="132" applyFill="1" applyBorder="1"/>
    <xf numFmtId="10" fontId="16" fillId="0" borderId="31" xfId="131" applyNumberFormat="1" applyBorder="1"/>
    <xf numFmtId="42" fontId="24" fillId="0" borderId="19" xfId="131" applyNumberFormat="1" applyFont="1" applyBorder="1"/>
    <xf numFmtId="42" fontId="24" fillId="0" borderId="22" xfId="131" applyNumberFormat="1" applyFont="1" applyBorder="1"/>
    <xf numFmtId="0" fontId="16" fillId="0" borderId="23" xfId="49" applyFont="1" applyBorder="1" applyAlignment="1">
      <alignment horizontal="center"/>
    </xf>
    <xf numFmtId="0" fontId="21" fillId="0" borderId="24" xfId="49" applyFont="1" applyBorder="1"/>
    <xf numFmtId="42" fontId="16" fillId="0" borderId="24" xfId="131" applyNumberFormat="1" applyFill="1" applyBorder="1"/>
    <xf numFmtId="165" fontId="16" fillId="0" borderId="24" xfId="132" applyBorder="1"/>
    <xf numFmtId="10" fontId="16" fillId="0" borderId="24" xfId="131" applyNumberFormat="1" applyBorder="1"/>
    <xf numFmtId="164" fontId="16" fillId="0" borderId="26" xfId="131" applyBorder="1" applyAlignment="1">
      <alignment horizontal="center"/>
    </xf>
    <xf numFmtId="42" fontId="16" fillId="0" borderId="0" xfId="49" applyNumberFormat="1"/>
    <xf numFmtId="164" fontId="16" fillId="0" borderId="0" xfId="49" applyNumberFormat="1" applyFont="1"/>
    <xf numFmtId="0" fontId="16" fillId="0" borderId="0" xfId="49" applyFont="1" applyFill="1"/>
    <xf numFmtId="0" fontId="21" fillId="0" borderId="0" xfId="49" applyFont="1" applyFill="1" applyAlignment="1">
      <alignment vertical="top" wrapText="1"/>
    </xf>
    <xf numFmtId="164" fontId="22" fillId="0" borderId="0" xfId="49" applyNumberFormat="1" applyFont="1" applyAlignment="1">
      <alignment horizontal="center"/>
    </xf>
    <xf numFmtId="0" fontId="16" fillId="0" borderId="16" xfId="132" applyNumberFormat="1" applyFont="1" applyFill="1" applyBorder="1" applyAlignment="1">
      <alignment horizontal="center"/>
    </xf>
    <xf numFmtId="0" fontId="29" fillId="0" borderId="27" xfId="49" applyFont="1" applyFill="1" applyBorder="1"/>
    <xf numFmtId="0" fontId="16" fillId="0" borderId="27" xfId="132" applyNumberFormat="1" applyFill="1" applyBorder="1" applyAlignment="1">
      <alignment horizontal="center"/>
    </xf>
    <xf numFmtId="10" fontId="16" fillId="0" borderId="27" xfId="131" applyNumberFormat="1" applyBorder="1"/>
    <xf numFmtId="42" fontId="21" fillId="0" borderId="16" xfId="131" applyNumberFormat="1" applyFont="1" applyBorder="1"/>
    <xf numFmtId="0" fontId="16" fillId="0" borderId="28" xfId="49" applyFont="1" applyFill="1" applyBorder="1" applyAlignment="1">
      <alignment horizontal="center"/>
    </xf>
    <xf numFmtId="42" fontId="21" fillId="0" borderId="16" xfId="131" applyNumberFormat="1" applyFont="1" applyFill="1" applyBorder="1"/>
    <xf numFmtId="0" fontId="16" fillId="0" borderId="27" xfId="49" applyFont="1" applyFill="1" applyBorder="1"/>
    <xf numFmtId="10" fontId="16" fillId="0" borderId="29" xfId="131" applyNumberFormat="1" applyFill="1" applyBorder="1"/>
    <xf numFmtId="42" fontId="16" fillId="0" borderId="29" xfId="131" applyNumberFormat="1" applyFont="1" applyBorder="1"/>
    <xf numFmtId="10" fontId="16" fillId="0" borderId="29" xfId="131" applyNumberFormat="1" applyBorder="1"/>
    <xf numFmtId="42" fontId="16" fillId="0" borderId="16" xfId="132" applyNumberFormat="1" applyFill="1" applyBorder="1" applyAlignment="1">
      <alignment horizontal="center"/>
    </xf>
    <xf numFmtId="42" fontId="16" fillId="0" borderId="19" xfId="132" applyNumberFormat="1" applyFill="1" applyBorder="1"/>
    <xf numFmtId="42" fontId="16" fillId="0" borderId="19" xfId="131" applyNumberFormat="1" applyBorder="1"/>
    <xf numFmtId="42" fontId="24" fillId="0" borderId="20" xfId="131" applyNumberFormat="1" applyFont="1" applyBorder="1"/>
    <xf numFmtId="42" fontId="24" fillId="0" borderId="21" xfId="131" applyNumberFormat="1" applyFont="1" applyBorder="1"/>
    <xf numFmtId="42" fontId="16" fillId="0" borderId="24" xfId="132" applyNumberFormat="1" applyFill="1" applyBorder="1"/>
    <xf numFmtId="0" fontId="30" fillId="0" borderId="0" xfId="49" applyFont="1" applyAlignment="1">
      <alignment wrapText="1"/>
    </xf>
    <xf numFmtId="42" fontId="16" fillId="0" borderId="0" xfId="49" applyNumberFormat="1" applyFont="1"/>
    <xf numFmtId="164" fontId="16" fillId="0" borderId="0" xfId="131" applyFill="1" applyBorder="1"/>
    <xf numFmtId="164" fontId="16" fillId="0" borderId="0" xfId="49" applyNumberFormat="1" applyFont="1" applyFill="1"/>
    <xf numFmtId="0" fontId="16" fillId="0" borderId="0" xfId="49" applyFont="1" applyAlignment="1"/>
    <xf numFmtId="0" fontId="2" fillId="0" borderId="0" xfId="137"/>
    <xf numFmtId="0" fontId="21" fillId="0" borderId="0" xfId="137" applyFont="1"/>
    <xf numFmtId="0" fontId="2" fillId="25" borderId="0" xfId="137" applyFill="1"/>
    <xf numFmtId="0" fontId="2" fillId="25" borderId="0" xfId="137" applyFill="1" applyAlignment="1">
      <alignment horizontal="left"/>
    </xf>
    <xf numFmtId="166" fontId="2" fillId="25" borderId="0" xfId="137" applyNumberFormat="1" applyFill="1"/>
    <xf numFmtId="0" fontId="22" fillId="0" borderId="0" xfId="137" applyFont="1" applyAlignment="1">
      <alignment horizontal="center"/>
    </xf>
    <xf numFmtId="0" fontId="21" fillId="0" borderId="0" xfId="137" applyFont="1" applyAlignment="1">
      <alignment horizontal="center"/>
    </xf>
    <xf numFmtId="0" fontId="21" fillId="25" borderId="0" xfId="137" applyFont="1" applyFill="1" applyAlignment="1">
      <alignment horizontal="center"/>
    </xf>
    <xf numFmtId="0" fontId="26" fillId="0" borderId="0" xfId="137" applyFont="1" applyAlignment="1">
      <alignment horizontal="center"/>
    </xf>
    <xf numFmtId="0" fontId="21" fillId="0" borderId="11" xfId="137" quotePrefix="1" applyFont="1" applyFill="1" applyBorder="1" applyAlignment="1">
      <alignment horizontal="center" vertical="center" wrapText="1"/>
    </xf>
    <xf numFmtId="0" fontId="21" fillId="0" borderId="11" xfId="137" applyFont="1" applyFill="1" applyBorder="1" applyAlignment="1">
      <alignment horizontal="center" vertical="center" wrapText="1"/>
    </xf>
    <xf numFmtId="0" fontId="21" fillId="26" borderId="11" xfId="137" applyFont="1" applyFill="1" applyBorder="1" applyAlignment="1">
      <alignment horizontal="center" vertical="center" wrapText="1"/>
    </xf>
    <xf numFmtId="0" fontId="21" fillId="26" borderId="12" xfId="137" applyFont="1" applyFill="1" applyBorder="1" applyAlignment="1">
      <alignment horizontal="center" vertical="center" wrapText="1"/>
    </xf>
    <xf numFmtId="0" fontId="21" fillId="0" borderId="13" xfId="137" quotePrefix="1" applyFont="1" applyFill="1" applyBorder="1" applyAlignment="1">
      <alignment horizontal="center"/>
    </xf>
    <xf numFmtId="0" fontId="21" fillId="26" borderId="13" xfId="137" quotePrefix="1" applyFont="1" applyFill="1" applyBorder="1" applyAlignment="1">
      <alignment horizontal="center"/>
    </xf>
    <xf numFmtId="0" fontId="21" fillId="26" borderId="13" xfId="137" applyFont="1" applyFill="1" applyBorder="1" applyAlignment="1">
      <alignment horizontal="center"/>
    </xf>
    <xf numFmtId="0" fontId="21" fillId="26" borderId="13" xfId="137" quotePrefix="1" applyFont="1" applyFill="1" applyBorder="1" applyAlignment="1">
      <alignment horizontal="center" wrapText="1"/>
    </xf>
    <xf numFmtId="0" fontId="21" fillId="26" borderId="14" xfId="137" applyFont="1" applyFill="1" applyBorder="1" applyAlignment="1">
      <alignment horizontal="center"/>
    </xf>
    <xf numFmtId="0" fontId="21" fillId="26" borderId="0" xfId="137" applyFont="1" applyFill="1" applyBorder="1" applyAlignment="1">
      <alignment horizontal="center"/>
    </xf>
    <xf numFmtId="0" fontId="2" fillId="0" borderId="15" xfId="137" applyBorder="1" applyAlignment="1">
      <alignment horizontal="center"/>
    </xf>
    <xf numFmtId="0" fontId="2" fillId="0" borderId="16" xfId="137" applyBorder="1"/>
    <xf numFmtId="42" fontId="2" fillId="0" borderId="16" xfId="139" applyNumberFormat="1" applyFill="1" applyBorder="1"/>
    <xf numFmtId="42" fontId="16" fillId="0" borderId="16" xfId="139" applyNumberFormat="1" applyFont="1" applyFill="1" applyBorder="1"/>
    <xf numFmtId="165" fontId="2" fillId="0" borderId="16" xfId="140" applyFill="1" applyBorder="1"/>
    <xf numFmtId="10" fontId="2" fillId="0" borderId="16" xfId="139" applyNumberFormat="1" applyBorder="1"/>
    <xf numFmtId="42" fontId="2" fillId="0" borderId="16" xfId="139" applyNumberFormat="1" applyBorder="1"/>
    <xf numFmtId="42" fontId="2" fillId="0" borderId="17" xfId="139" applyNumberFormat="1" applyBorder="1"/>
    <xf numFmtId="0" fontId="2" fillId="0" borderId="15" xfId="137" applyFill="1" applyBorder="1" applyAlignment="1">
      <alignment horizontal="center"/>
    </xf>
    <xf numFmtId="0" fontId="16" fillId="0" borderId="16" xfId="137" applyFont="1" applyFill="1" applyBorder="1"/>
    <xf numFmtId="0" fontId="2" fillId="0" borderId="16" xfId="137" applyFill="1" applyBorder="1"/>
    <xf numFmtId="165" fontId="16" fillId="0" borderId="16" xfId="140" applyFont="1" applyFill="1" applyBorder="1"/>
    <xf numFmtId="10" fontId="16" fillId="0" borderId="16" xfId="139" applyNumberFormat="1" applyFont="1" applyBorder="1"/>
    <xf numFmtId="42" fontId="16" fillId="0" borderId="16" xfId="139" applyNumberFormat="1" applyFont="1" applyBorder="1"/>
    <xf numFmtId="0" fontId="16" fillId="0" borderId="0" xfId="137" applyFont="1"/>
    <xf numFmtId="0" fontId="2" fillId="0" borderId="28" xfId="137" applyFill="1" applyBorder="1" applyAlignment="1">
      <alignment horizontal="center"/>
    </xf>
    <xf numFmtId="0" fontId="2" fillId="0" borderId="27" xfId="137" applyFill="1" applyBorder="1"/>
    <xf numFmtId="42" fontId="2" fillId="0" borderId="27" xfId="139" applyNumberFormat="1" applyFill="1" applyBorder="1"/>
    <xf numFmtId="42" fontId="16" fillId="0" borderId="27" xfId="139" applyNumberFormat="1" applyFont="1" applyFill="1" applyBorder="1"/>
    <xf numFmtId="42" fontId="22" fillId="0" borderId="27" xfId="139" applyNumberFormat="1" applyFont="1" applyFill="1" applyBorder="1"/>
    <xf numFmtId="165" fontId="2" fillId="0" borderId="27" xfId="140" applyFill="1" applyBorder="1"/>
    <xf numFmtId="10" fontId="2" fillId="0" borderId="27" xfId="139" applyNumberFormat="1" applyFill="1" applyBorder="1"/>
    <xf numFmtId="0" fontId="2" fillId="0" borderId="15" xfId="137" applyFont="1" applyBorder="1" applyAlignment="1">
      <alignment horizontal="center"/>
    </xf>
    <xf numFmtId="0" fontId="2" fillId="0" borderId="16" xfId="137" applyFont="1" applyBorder="1"/>
    <xf numFmtId="10" fontId="2" fillId="0" borderId="30" xfId="139" applyNumberFormat="1" applyBorder="1"/>
    <xf numFmtId="0" fontId="2" fillId="0" borderId="15" xfId="137" applyFont="1" applyFill="1" applyBorder="1" applyAlignment="1">
      <alignment horizontal="center"/>
    </xf>
    <xf numFmtId="0" fontId="2" fillId="0" borderId="16" xfId="137" applyFont="1" applyFill="1" applyBorder="1"/>
    <xf numFmtId="42" fontId="16" fillId="0" borderId="17" xfId="139" applyNumberFormat="1" applyFont="1" applyBorder="1"/>
    <xf numFmtId="165" fontId="2" fillId="0" borderId="16" xfId="140" applyFont="1" applyFill="1" applyBorder="1"/>
    <xf numFmtId="0" fontId="16" fillId="0" borderId="16" xfId="137" quotePrefix="1" applyFont="1" applyFill="1" applyBorder="1" applyAlignment="1">
      <alignment horizontal="left"/>
    </xf>
    <xf numFmtId="42" fontId="2" fillId="0" borderId="17" xfId="139" applyNumberFormat="1" applyFill="1" applyBorder="1"/>
    <xf numFmtId="0" fontId="2" fillId="0" borderId="28" xfId="137" applyFont="1" applyFill="1" applyBorder="1" applyAlignment="1">
      <alignment horizontal="center"/>
    </xf>
    <xf numFmtId="0" fontId="2" fillId="0" borderId="27" xfId="137" applyFont="1" applyFill="1" applyBorder="1"/>
    <xf numFmtId="10" fontId="2" fillId="0" borderId="27" xfId="139" applyNumberFormat="1" applyBorder="1"/>
    <xf numFmtId="38" fontId="52" fillId="0" borderId="30" xfId="142" applyNumberFormat="1" applyFont="1" applyBorder="1"/>
    <xf numFmtId="0" fontId="2" fillId="0" borderId="18" xfId="137" applyFont="1" applyBorder="1" applyAlignment="1">
      <alignment horizontal="center"/>
    </xf>
    <xf numFmtId="0" fontId="2" fillId="0" borderId="19" xfId="137" applyFont="1" applyBorder="1"/>
    <xf numFmtId="42" fontId="2" fillId="0" borderId="19" xfId="137" applyNumberFormat="1" applyFill="1" applyBorder="1"/>
    <xf numFmtId="42" fontId="16" fillId="0" borderId="19" xfId="139" applyNumberFormat="1" applyFont="1" applyFill="1" applyBorder="1"/>
    <xf numFmtId="42" fontId="2" fillId="0" borderId="19" xfId="139" applyNumberFormat="1" applyFill="1" applyBorder="1"/>
    <xf numFmtId="165" fontId="2" fillId="0" borderId="19" xfId="140" applyFill="1" applyBorder="1"/>
    <xf numFmtId="10" fontId="2" fillId="0" borderId="31" xfId="139" applyNumberFormat="1" applyBorder="1"/>
    <xf numFmtId="42" fontId="24" fillId="0" borderId="19" xfId="139" applyNumberFormat="1" applyFont="1" applyBorder="1"/>
    <xf numFmtId="42" fontId="24" fillId="0" borderId="22" xfId="139" applyNumberFormat="1" applyFont="1" applyBorder="1"/>
    <xf numFmtId="0" fontId="2" fillId="0" borderId="23" xfId="137" applyFont="1" applyBorder="1" applyAlignment="1">
      <alignment horizontal="center"/>
    </xf>
    <xf numFmtId="0" fontId="21" fillId="0" borderId="24" xfId="137" applyFont="1" applyBorder="1"/>
    <xf numFmtId="42" fontId="2" fillId="0" borderId="24" xfId="139" applyNumberFormat="1" applyFill="1" applyBorder="1"/>
    <xf numFmtId="165" fontId="2" fillId="0" borderId="24" xfId="140" applyBorder="1"/>
    <xf numFmtId="10" fontId="2" fillId="0" borderId="24" xfId="139" applyNumberFormat="1" applyBorder="1"/>
    <xf numFmtId="42" fontId="2" fillId="0" borderId="24" xfId="139" applyNumberFormat="1" applyBorder="1"/>
    <xf numFmtId="164" fontId="2" fillId="0" borderId="26" xfId="139" applyBorder="1" applyAlignment="1">
      <alignment horizontal="center"/>
    </xf>
    <xf numFmtId="42" fontId="2" fillId="0" borderId="0" xfId="137" applyNumberFormat="1"/>
    <xf numFmtId="0" fontId="16" fillId="0" borderId="0" xfId="137" applyFont="1" applyAlignment="1">
      <alignment wrapText="1"/>
    </xf>
    <xf numFmtId="164" fontId="16" fillId="0" borderId="0" xfId="137" applyNumberFormat="1" applyFont="1"/>
    <xf numFmtId="0" fontId="21" fillId="0" borderId="0" xfId="137" applyFont="1" applyAlignment="1">
      <alignment vertical="top" wrapText="1"/>
    </xf>
    <xf numFmtId="0" fontId="16" fillId="25" borderId="0" xfId="137" applyFont="1" applyFill="1"/>
    <xf numFmtId="0" fontId="22" fillId="0" borderId="0" xfId="49" applyFont="1" applyFill="1" applyAlignment="1">
      <alignment horizontal="center"/>
    </xf>
    <xf numFmtId="0" fontId="2" fillId="0" borderId="0" xfId="137" applyFill="1"/>
    <xf numFmtId="166" fontId="2" fillId="0" borderId="0" xfId="137" applyNumberFormat="1" applyFill="1"/>
    <xf numFmtId="42" fontId="16" fillId="0" borderId="30" xfId="139" applyNumberFormat="1" applyFont="1" applyBorder="1"/>
    <xf numFmtId="42" fontId="2" fillId="0" borderId="21" xfId="139" applyNumberFormat="1" applyBorder="1"/>
    <xf numFmtId="42" fontId="16" fillId="0" borderId="21" xfId="131" applyNumberFormat="1" applyBorder="1"/>
    <xf numFmtId="42" fontId="16" fillId="0" borderId="14" xfId="131" applyNumberFormat="1" applyBorder="1"/>
    <xf numFmtId="42" fontId="16" fillId="0" borderId="21" xfId="131" applyNumberFormat="1" applyFill="1" applyBorder="1"/>
    <xf numFmtId="38" fontId="52" fillId="0" borderId="46" xfId="142" applyNumberFormat="1" applyFont="1" applyBorder="1"/>
    <xf numFmtId="0" fontId="2" fillId="25" borderId="0" xfId="49" applyFont="1" applyFill="1"/>
    <xf numFmtId="42" fontId="2" fillId="0" borderId="16" xfId="131" applyNumberFormat="1" applyFont="1" applyFill="1" applyBorder="1"/>
    <xf numFmtId="0" fontId="2" fillId="0" borderId="16" xfId="132" applyNumberFormat="1" applyFont="1" applyFill="1" applyBorder="1" applyAlignment="1">
      <alignment horizontal="center"/>
    </xf>
    <xf numFmtId="0" fontId="16" fillId="0" borderId="0" xfId="137" applyFont="1" applyAlignment="1">
      <alignment wrapText="1"/>
    </xf>
    <xf numFmtId="0" fontId="16" fillId="0" borderId="0" xfId="49" applyFont="1" applyAlignment="1">
      <alignment wrapText="1"/>
    </xf>
    <xf numFmtId="0" fontId="2" fillId="25" borderId="0" xfId="137" applyFont="1" applyFill="1"/>
    <xf numFmtId="42" fontId="16" fillId="0" borderId="30" xfId="139" applyNumberFormat="1" applyFont="1" applyFill="1" applyBorder="1"/>
    <xf numFmtId="42" fontId="2" fillId="0" borderId="30" xfId="139" applyNumberFormat="1" applyFill="1" applyBorder="1"/>
    <xf numFmtId="42" fontId="2" fillId="0" borderId="30" xfId="139" applyNumberFormat="1" applyBorder="1"/>
    <xf numFmtId="42" fontId="2" fillId="0" borderId="13" xfId="139" applyNumberFormat="1" applyFill="1" applyBorder="1"/>
    <xf numFmtId="42" fontId="16" fillId="0" borderId="20" xfId="139" applyNumberFormat="1" applyFont="1" applyFill="1" applyBorder="1"/>
    <xf numFmtId="42" fontId="21" fillId="0" borderId="16" xfId="139" applyNumberFormat="1" applyFont="1" applyFill="1" applyBorder="1"/>
    <xf numFmtId="0" fontId="2" fillId="0" borderId="0" xfId="137" applyAlignment="1"/>
    <xf numFmtId="0" fontId="16" fillId="0" borderId="0" xfId="137" applyFont="1" applyAlignment="1"/>
    <xf numFmtId="42" fontId="16" fillId="0" borderId="20" xfId="131" applyNumberFormat="1" applyFill="1" applyBorder="1"/>
    <xf numFmtId="42" fontId="16" fillId="0" borderId="13" xfId="131" applyNumberFormat="1" applyFill="1" applyBorder="1"/>
    <xf numFmtId="42" fontId="16" fillId="0" borderId="20" xfId="131" applyNumberFormat="1" applyFont="1" applyFill="1" applyBorder="1"/>
    <xf numFmtId="42" fontId="16" fillId="0" borderId="13" xfId="131" applyNumberFormat="1" applyFont="1" applyFill="1" applyBorder="1"/>
    <xf numFmtId="42" fontId="16" fillId="0" borderId="47" xfId="131" applyNumberFormat="1" applyFont="1" applyFill="1" applyBorder="1"/>
    <xf numFmtId="165" fontId="2" fillId="0" borderId="16" xfId="132" applyFont="1" applyFill="1" applyBorder="1"/>
    <xf numFmtId="0" fontId="16" fillId="0" borderId="0" xfId="49" applyAlignment="1"/>
    <xf numFmtId="0" fontId="16" fillId="0" borderId="0" xfId="49" applyFill="1" applyAlignment="1"/>
    <xf numFmtId="42" fontId="16" fillId="0" borderId="0" xfId="49" applyNumberFormat="1" applyAlignment="1"/>
    <xf numFmtId="0" fontId="16" fillId="0" borderId="0" xfId="49" applyFont="1" applyFill="1" applyAlignment="1"/>
    <xf numFmtId="164" fontId="16" fillId="0" borderId="0" xfId="49" applyNumberFormat="1" applyFill="1" applyAlignment="1"/>
    <xf numFmtId="42" fontId="16" fillId="0" borderId="25" xfId="131" applyNumberFormat="1" applyFill="1" applyBorder="1"/>
    <xf numFmtId="38" fontId="52" fillId="0" borderId="46" xfId="142" applyNumberFormat="1" applyFont="1" applyFill="1" applyBorder="1"/>
    <xf numFmtId="42" fontId="16" fillId="0" borderId="30" xfId="131" applyNumberFormat="1" applyFont="1" applyFill="1" applyBorder="1"/>
    <xf numFmtId="42" fontId="16" fillId="0" borderId="29" xfId="131" applyNumberFormat="1" applyFont="1" applyFill="1" applyBorder="1"/>
    <xf numFmtId="42" fontId="24" fillId="0" borderId="20" xfId="131" applyNumberFormat="1" applyFont="1" applyFill="1" applyBorder="1"/>
    <xf numFmtId="42" fontId="16" fillId="0" borderId="30" xfId="131" applyNumberFormat="1" applyFill="1" applyBorder="1"/>
    <xf numFmtId="42" fontId="24" fillId="0" borderId="19" xfId="131" applyNumberFormat="1" applyFont="1" applyFill="1" applyBorder="1"/>
    <xf numFmtId="165" fontId="2" fillId="0" borderId="27" xfId="140" applyFont="1" applyFill="1" applyBorder="1"/>
    <xf numFmtId="0" fontId="16" fillId="0" borderId="0" xfId="49" applyBorder="1"/>
    <xf numFmtId="166" fontId="2" fillId="25" borderId="0" xfId="49" applyNumberFormat="1" applyFont="1" applyFill="1"/>
    <xf numFmtId="9" fontId="16" fillId="0" borderId="0" xfId="143" applyFont="1" applyFill="1"/>
    <xf numFmtId="164" fontId="16" fillId="0" borderId="0" xfId="131" applyBorder="1"/>
    <xf numFmtId="43" fontId="16" fillId="0" borderId="0" xfId="130" applyFont="1" applyBorder="1"/>
    <xf numFmtId="0" fontId="2" fillId="0" borderId="0" xfId="137" applyBorder="1"/>
    <xf numFmtId="0" fontId="21" fillId="0" borderId="0" xfId="137" applyFont="1" applyFill="1" applyBorder="1"/>
    <xf numFmtId="43" fontId="2" fillId="0" borderId="0" xfId="138" applyFont="1" applyBorder="1"/>
    <xf numFmtId="0" fontId="21" fillId="0" borderId="0" xfId="137" applyFont="1" applyBorder="1"/>
    <xf numFmtId="9" fontId="2" fillId="0" borderId="0" xfId="141" applyFont="1" applyBorder="1"/>
    <xf numFmtId="164" fontId="2" fillId="0" borderId="0" xfId="141" applyNumberFormat="1" applyFont="1" applyBorder="1"/>
    <xf numFmtId="0" fontId="16" fillId="0" borderId="0" xfId="137" applyFont="1" applyBorder="1"/>
    <xf numFmtId="43" fontId="16" fillId="0" borderId="0" xfId="138" applyFont="1" applyBorder="1"/>
    <xf numFmtId="9" fontId="16" fillId="0" borderId="0" xfId="141" applyFont="1" applyBorder="1"/>
    <xf numFmtId="167" fontId="27" fillId="0" borderId="0" xfId="138" applyNumberFormat="1" applyFont="1" applyBorder="1"/>
    <xf numFmtId="164" fontId="2" fillId="0" borderId="0" xfId="139" applyBorder="1"/>
    <xf numFmtId="164" fontId="2" fillId="0" borderId="17" xfId="139" applyFill="1" applyBorder="1" applyAlignment="1">
      <alignment horizontal="center"/>
    </xf>
    <xf numFmtId="164" fontId="2" fillId="0" borderId="17" xfId="139" applyFont="1" applyFill="1" applyBorder="1" applyAlignment="1">
      <alignment horizontal="center"/>
    </xf>
    <xf numFmtId="164" fontId="16" fillId="0" borderId="17" xfId="139" applyFont="1" applyFill="1" applyBorder="1" applyAlignment="1">
      <alignment horizontal="center"/>
    </xf>
    <xf numFmtId="0" fontId="2" fillId="0" borderId="22" xfId="137" applyFill="1" applyBorder="1" applyAlignment="1">
      <alignment horizontal="center"/>
    </xf>
    <xf numFmtId="164" fontId="2" fillId="0" borderId="26" xfId="139" applyFill="1" applyBorder="1" applyAlignment="1">
      <alignment horizontal="center"/>
    </xf>
    <xf numFmtId="164" fontId="2" fillId="0" borderId="45" xfId="139" applyFill="1" applyBorder="1" applyAlignment="1">
      <alignment horizontal="center"/>
    </xf>
    <xf numFmtId="164" fontId="16" fillId="0" borderId="45" xfId="131" applyFill="1" applyBorder="1" applyAlignment="1">
      <alignment horizontal="center"/>
    </xf>
    <xf numFmtId="164" fontId="16" fillId="0" borderId="45" xfId="131" applyFont="1" applyFill="1" applyBorder="1" applyAlignment="1">
      <alignment horizontal="center"/>
    </xf>
    <xf numFmtId="0" fontId="16" fillId="0" borderId="22" xfId="49" applyFill="1" applyBorder="1" applyAlignment="1">
      <alignment horizontal="center"/>
    </xf>
    <xf numFmtId="164" fontId="16" fillId="0" borderId="17" xfId="131" applyFill="1" applyBorder="1" applyAlignment="1">
      <alignment horizontal="center"/>
    </xf>
    <xf numFmtId="164" fontId="0" fillId="0" borderId="17" xfId="131" applyFont="1" applyFill="1" applyBorder="1" applyAlignment="1">
      <alignment horizontal="center"/>
    </xf>
    <xf numFmtId="164" fontId="16" fillId="0" borderId="17" xfId="131" applyFont="1" applyFill="1" applyBorder="1" applyAlignment="1">
      <alignment horizontal="center"/>
    </xf>
    <xf numFmtId="42" fontId="2" fillId="0" borderId="48" xfId="139" applyNumberFormat="1" applyFill="1" applyBorder="1"/>
    <xf numFmtId="42" fontId="2" fillId="0" borderId="49" xfId="139" applyNumberFormat="1" applyFill="1" applyBorder="1"/>
    <xf numFmtId="42" fontId="2" fillId="0" borderId="48" xfId="139" applyNumberFormat="1" applyBorder="1"/>
    <xf numFmtId="42" fontId="24" fillId="0" borderId="31" xfId="139" applyNumberFormat="1" applyFont="1" applyBorder="1"/>
    <xf numFmtId="42" fontId="2" fillId="0" borderId="50" xfId="139" applyNumberFormat="1" applyBorder="1"/>
    <xf numFmtId="164" fontId="2" fillId="0" borderId="51" xfId="139" applyFill="1" applyBorder="1" applyAlignment="1">
      <alignment horizontal="center"/>
    </xf>
    <xf numFmtId="0" fontId="2" fillId="0" borderId="52" xfId="137" applyFill="1" applyBorder="1" applyAlignment="1">
      <alignment horizontal="center"/>
    </xf>
    <xf numFmtId="164" fontId="2" fillId="0" borderId="53" xfId="139" applyBorder="1" applyAlignment="1">
      <alignment horizontal="center"/>
    </xf>
    <xf numFmtId="0" fontId="21" fillId="26" borderId="34" xfId="137" applyFont="1" applyFill="1" applyBorder="1" applyAlignment="1">
      <alignment horizontal="center" vertical="center" wrapText="1"/>
    </xf>
    <xf numFmtId="0" fontId="2" fillId="26" borderId="35" xfId="137" applyFont="1" applyFill="1" applyBorder="1" applyAlignment="1">
      <alignment horizontal="center"/>
    </xf>
    <xf numFmtId="0" fontId="25" fillId="0" borderId="0" xfId="137" applyFont="1" applyAlignment="1">
      <alignment wrapText="1"/>
    </xf>
    <xf numFmtId="0" fontId="16" fillId="0" borderId="0" xfId="137" applyFont="1" applyAlignment="1">
      <alignment wrapText="1"/>
    </xf>
    <xf numFmtId="0" fontId="25" fillId="0" borderId="0" xfId="137" applyFont="1" applyAlignment="1">
      <alignment vertical="top" wrapText="1"/>
    </xf>
    <xf numFmtId="0" fontId="16" fillId="0" borderId="0" xfId="137" applyFont="1" applyAlignment="1">
      <alignment vertical="top" wrapText="1"/>
    </xf>
    <xf numFmtId="0" fontId="2" fillId="0" borderId="0" xfId="137" applyAlignment="1">
      <alignment wrapText="1"/>
    </xf>
    <xf numFmtId="0" fontId="25" fillId="0" borderId="0" xfId="49" applyFont="1" applyAlignment="1">
      <alignment wrapText="1"/>
    </xf>
    <xf numFmtId="0" fontId="22" fillId="0" borderId="0" xfId="137" applyFont="1" applyAlignment="1">
      <alignment horizontal="center"/>
    </xf>
    <xf numFmtId="0" fontId="21" fillId="26" borderId="32" xfId="137" applyFont="1" applyFill="1" applyBorder="1" applyAlignment="1">
      <alignment vertical="center"/>
    </xf>
    <xf numFmtId="0" fontId="21" fillId="26" borderId="33" xfId="137" applyFont="1" applyFill="1" applyBorder="1" applyAlignment="1">
      <alignment vertical="center"/>
    </xf>
    <xf numFmtId="0" fontId="21" fillId="26" borderId="11" xfId="137" applyFont="1" applyFill="1" applyBorder="1" applyAlignment="1">
      <alignment vertical="center"/>
    </xf>
    <xf numFmtId="0" fontId="21" fillId="26" borderId="13" xfId="137" applyFont="1" applyFill="1" applyBorder="1" applyAlignment="1">
      <alignment vertical="center"/>
    </xf>
    <xf numFmtId="0" fontId="21" fillId="26" borderId="34" xfId="49" applyFont="1" applyFill="1" applyBorder="1" applyAlignment="1">
      <alignment horizontal="center" vertical="center" wrapText="1"/>
    </xf>
    <xf numFmtId="0" fontId="2" fillId="26" borderId="35" xfId="49" applyFont="1" applyFill="1" applyBorder="1" applyAlignment="1">
      <alignment horizontal="center"/>
    </xf>
    <xf numFmtId="0" fontId="22" fillId="0" borderId="0" xfId="49" applyFont="1" applyAlignment="1">
      <alignment horizontal="center"/>
    </xf>
    <xf numFmtId="0" fontId="21" fillId="26" borderId="32" xfId="49" applyFont="1" applyFill="1" applyBorder="1" applyAlignment="1">
      <alignment vertical="center" wrapText="1"/>
    </xf>
    <xf numFmtId="0" fontId="21" fillId="26" borderId="33" xfId="49" applyFont="1" applyFill="1" applyBorder="1" applyAlignment="1">
      <alignment vertical="center" wrapText="1"/>
    </xf>
    <xf numFmtId="0" fontId="21" fillId="26" borderId="11" xfId="49" applyFont="1" applyFill="1" applyBorder="1" applyAlignment="1">
      <alignment vertical="center"/>
    </xf>
    <xf numFmtId="0" fontId="21" fillId="26" borderId="13" xfId="49" applyFont="1" applyFill="1" applyBorder="1" applyAlignment="1">
      <alignment vertical="center"/>
    </xf>
    <xf numFmtId="0" fontId="21" fillId="26" borderId="32" xfId="49" applyFont="1" applyFill="1" applyBorder="1" applyAlignment="1">
      <alignment vertical="center"/>
    </xf>
    <xf numFmtId="0" fontId="21" fillId="26" borderId="33" xfId="49" applyFont="1" applyFill="1" applyBorder="1" applyAlignment="1">
      <alignment vertical="center"/>
    </xf>
    <xf numFmtId="0" fontId="21" fillId="26" borderId="11" xfId="49" applyFont="1" applyFill="1" applyBorder="1" applyAlignment="1">
      <alignment horizontal="center" vertical="center"/>
    </xf>
    <xf numFmtId="0" fontId="21" fillId="26" borderId="13" xfId="49" applyFont="1" applyFill="1" applyBorder="1" applyAlignment="1">
      <alignment horizontal="center" vertical="center"/>
    </xf>
  </cellXfs>
  <cellStyles count="144">
    <cellStyle name="$" xfId="53"/>
    <cellStyle name="$.00" xfId="54"/>
    <cellStyle name="$_9. Rev2Cost_GDPIPI" xfId="55"/>
    <cellStyle name="$_lists" xfId="56"/>
    <cellStyle name="$_lists_4. Current Monthly Fixed Charge" xfId="57"/>
    <cellStyle name="$_Sheet4" xfId="58"/>
    <cellStyle name="$M" xfId="59"/>
    <cellStyle name="$M.00" xfId="60"/>
    <cellStyle name="$M_9. Rev2Cost_GDPIPI" xfId="61"/>
    <cellStyle name="20% - Accent1" xfId="1" builtinId="30" customBuiltin="1"/>
    <cellStyle name="20% - Accent1 2" xfId="62"/>
    <cellStyle name="20% - Accent2" xfId="2" builtinId="34" customBuiltin="1"/>
    <cellStyle name="20% - Accent2 2" xfId="63"/>
    <cellStyle name="20% - Accent3" xfId="3" builtinId="38" customBuiltin="1"/>
    <cellStyle name="20% - Accent3 2" xfId="64"/>
    <cellStyle name="20% - Accent4" xfId="4" builtinId="42" customBuiltin="1"/>
    <cellStyle name="20% - Accent4 2" xfId="65"/>
    <cellStyle name="20% - Accent5" xfId="5" builtinId="46" customBuiltin="1"/>
    <cellStyle name="20% - Accent5 2" xfId="66"/>
    <cellStyle name="20% - Accent6" xfId="6" builtinId="50" customBuiltin="1"/>
    <cellStyle name="20% - Accent6 2" xfId="67"/>
    <cellStyle name="40% - Accent1" xfId="7" builtinId="31" customBuiltin="1"/>
    <cellStyle name="40% - Accent1 2" xfId="68"/>
    <cellStyle name="40% - Accent2" xfId="8" builtinId="35" customBuiltin="1"/>
    <cellStyle name="40% - Accent2 2" xfId="69"/>
    <cellStyle name="40% - Accent3" xfId="9" builtinId="39" customBuiltin="1"/>
    <cellStyle name="40% - Accent3 2" xfId="70"/>
    <cellStyle name="40% - Accent4" xfId="10" builtinId="43" customBuiltin="1"/>
    <cellStyle name="40% - Accent4 2" xfId="71"/>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6"/>
    <cellStyle name="Calculation" xfId="26" builtinId="22" customBuiltin="1"/>
    <cellStyle name="Calculation 2" xfId="87"/>
    <cellStyle name="capitlaize" xfId="27"/>
    <cellStyle name="Check Cell" xfId="28" builtinId="23" customBuiltin="1"/>
    <cellStyle name="Check Cell 2" xfId="88"/>
    <cellStyle name="Comma [-.00]" xfId="29"/>
    <cellStyle name="Comma [-0]" xfId="30"/>
    <cellStyle name="Comma 2" xfId="52"/>
    <cellStyle name="Comma 2 2" xfId="130"/>
    <cellStyle name="Comma 3" xfId="89"/>
    <cellStyle name="Comma 3 2" xfId="90"/>
    <cellStyle name="Comma 4" xfId="91"/>
    <cellStyle name="Comma 5" xfId="134"/>
    <cellStyle name="Comma 5 2" xfId="138"/>
    <cellStyle name="Comma_Filing_Requirements_Chapter2_Appendices_-_Excel 2" xfId="132"/>
    <cellStyle name="Comma_Filing_Requirements_Chapter2_Appendices_-_Excel 2 2" xfId="140"/>
    <cellStyle name="Comma0" xfId="92"/>
    <cellStyle name="Currency [-.00]" xfId="31"/>
    <cellStyle name="Currency [-0]" xfId="32"/>
    <cellStyle name="Currency 2" xfId="51"/>
    <cellStyle name="Currency 3" xfId="93"/>
    <cellStyle name="Currency_Filing_Requirements_Chapter2_Appendices_-_Excel 2" xfId="131"/>
    <cellStyle name="Currency_Filing_Requirements_Chapter2_Appendices_-_Excel 2 2" xfId="139"/>
    <cellStyle name="Currency0" xfId="94"/>
    <cellStyle name="Date" xfId="95"/>
    <cellStyle name="Explanatory Text" xfId="33" builtinId="53" customBuiltin="1"/>
    <cellStyle name="Explanatory Text 2" xfId="96"/>
    <cellStyle name="Fixed" xfId="97"/>
    <cellStyle name="Good" xfId="34" builtinId="26" customBuiltin="1"/>
    <cellStyle name="Good 2" xfId="98"/>
    <cellStyle name="Grey" xfId="99"/>
    <cellStyle name="Heading 1" xfId="35" builtinId="16" customBuiltin="1"/>
    <cellStyle name="Heading 1 2" xfId="100"/>
    <cellStyle name="Heading 2" xfId="36" builtinId="17" customBuiltin="1"/>
    <cellStyle name="Heading 2 2" xfId="101"/>
    <cellStyle name="Heading 3" xfId="37" builtinId="18" customBuiltin="1"/>
    <cellStyle name="Heading 3 2" xfId="102"/>
    <cellStyle name="Heading 4" xfId="38" builtinId="19" customBuiltin="1"/>
    <cellStyle name="Heading 4 2" xfId="103"/>
    <cellStyle name="Input" xfId="39" builtinId="20" customBuiltin="1"/>
    <cellStyle name="Input [yellow]" xfId="104"/>
    <cellStyle name="Input 2" xfId="105"/>
    <cellStyle name="Linked Cell" xfId="40" builtinId="24" customBuiltin="1"/>
    <cellStyle name="Linked Cell 2" xfId="106"/>
    <cellStyle name="M" xfId="107"/>
    <cellStyle name="M.00" xfId="108"/>
    <cellStyle name="M_9. Rev2Cost_GDPIPI" xfId="109"/>
    <cellStyle name="M_lists" xfId="110"/>
    <cellStyle name="M_lists_4. Current Monthly Fixed Charge" xfId="111"/>
    <cellStyle name="M_Sheet4" xfId="112"/>
    <cellStyle name="Neutral" xfId="41" builtinId="28" customBuiltin="1"/>
    <cellStyle name="Neutral 2" xfId="113"/>
    <cellStyle name="Normal" xfId="0" builtinId="0"/>
    <cellStyle name="Normal - Style1" xfId="114"/>
    <cellStyle name="Normal 2" xfId="49"/>
    <cellStyle name="Normal 3" xfId="50"/>
    <cellStyle name="Normal 4" xfId="115"/>
    <cellStyle name="Normal 5" xfId="116"/>
    <cellStyle name="Normal 5 2" xfId="117"/>
    <cellStyle name="Normal 6" xfId="118"/>
    <cellStyle name="Normal 7" xfId="135"/>
    <cellStyle name="Normal 7 2" xfId="137"/>
    <cellStyle name="Normal_Gross Capital Expenditures fty PS" xfId="142"/>
    <cellStyle name="Note" xfId="42" builtinId="10" customBuiltin="1"/>
    <cellStyle name="Note 2" xfId="119"/>
    <cellStyle name="Output" xfId="43" builtinId="21" customBuiltin="1"/>
    <cellStyle name="Output 2" xfId="120"/>
    <cellStyle name="Percent" xfId="143" builtinId="5"/>
    <cellStyle name="Percent [2]" xfId="121"/>
    <cellStyle name="Percent 2" xfId="122"/>
    <cellStyle name="Percent 2 2" xfId="133"/>
    <cellStyle name="Percent 3" xfId="123"/>
    <cellStyle name="Percent 3 2" xfId="124"/>
    <cellStyle name="Percent 4" xfId="125"/>
    <cellStyle name="Percent 5" xfId="126"/>
    <cellStyle name="Percent 6" xfId="136"/>
    <cellStyle name="Percent 6 2" xfId="141"/>
    <cellStyle name="Subtotal" xfId="44"/>
    <cellStyle name="Title" xfId="45" builtinId="15" customBuiltin="1"/>
    <cellStyle name="Title 2" xfId="127"/>
    <cellStyle name="Total" xfId="46" builtinId="25" customBuiltin="1"/>
    <cellStyle name="Total 2" xfId="128"/>
    <cellStyle name="Unprotect cells" xfId="47"/>
    <cellStyle name="Warning Text" xfId="48" builtinId="11" customBuiltin="1"/>
    <cellStyle name="Warning Text 2" xfId="1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96"/>
  <sheetViews>
    <sheetView showGridLines="0" zoomScaleNormal="100" workbookViewId="0">
      <selection activeCell="M5" sqref="M5"/>
    </sheetView>
  </sheetViews>
  <sheetFormatPr defaultRowHeight="12.75"/>
  <cols>
    <col min="1" max="1" width="2.7109375" style="103" customWidth="1"/>
    <col min="2" max="2" width="9.5703125" style="103" customWidth="1"/>
    <col min="3" max="3" width="9.140625" style="103"/>
    <col min="4" max="4" width="38.5703125" style="103" customWidth="1"/>
    <col min="5" max="5" width="17.140625" style="103" customWidth="1"/>
    <col min="6" max="6" width="14" style="103" customWidth="1"/>
    <col min="7" max="7" width="16.5703125" style="103" customWidth="1"/>
    <col min="8" max="8" width="13.7109375" style="103" customWidth="1"/>
    <col min="9" max="9" width="13.42578125" style="103" customWidth="1"/>
    <col min="10" max="10" width="17.85546875" style="103" customWidth="1"/>
    <col min="11" max="11" width="7.7109375" style="103" customWidth="1"/>
    <col min="12" max="12" width="12.28515625" style="103" customWidth="1"/>
    <col min="13" max="13" width="15.140625" style="103" bestFit="1" customWidth="1"/>
    <col min="14" max="15" width="15" style="103" customWidth="1"/>
    <col min="16" max="16" width="15.85546875" style="103" customWidth="1"/>
    <col min="17" max="16384" width="9.140625" style="103"/>
  </cols>
  <sheetData>
    <row r="1" spans="2:16">
      <c r="K1" s="104" t="s">
        <v>0</v>
      </c>
      <c r="M1" s="177" t="s">
        <v>128</v>
      </c>
      <c r="N1" s="105"/>
      <c r="O1" s="105"/>
    </row>
    <row r="2" spans="2:16">
      <c r="K2" s="104" t="s">
        <v>1</v>
      </c>
      <c r="M2" s="192" t="s">
        <v>149</v>
      </c>
      <c r="N2" s="105"/>
      <c r="O2" s="105"/>
    </row>
    <row r="3" spans="2:16">
      <c r="K3" s="104" t="s">
        <v>2</v>
      </c>
      <c r="M3" s="106"/>
      <c r="N3" s="105"/>
      <c r="O3" s="105"/>
    </row>
    <row r="4" spans="2:16">
      <c r="K4" s="104" t="s">
        <v>3</v>
      </c>
      <c r="M4" s="105"/>
      <c r="N4" s="105"/>
      <c r="O4" s="105"/>
    </row>
    <row r="5" spans="2:16">
      <c r="K5" s="104" t="s">
        <v>4</v>
      </c>
      <c r="M5" s="105"/>
      <c r="N5" s="105"/>
      <c r="O5" s="105"/>
    </row>
    <row r="6" spans="2:16">
      <c r="K6" s="104"/>
    </row>
    <row r="7" spans="2:16">
      <c r="K7" s="104" t="s">
        <v>5</v>
      </c>
      <c r="M7" s="107" t="s">
        <v>153</v>
      </c>
      <c r="N7" s="107"/>
      <c r="O7" s="107"/>
    </row>
    <row r="9" spans="2:16" ht="18">
      <c r="C9" s="264" t="s">
        <v>149</v>
      </c>
      <c r="D9" s="264"/>
      <c r="E9" s="264"/>
      <c r="F9" s="264"/>
      <c r="G9" s="264"/>
      <c r="H9" s="264"/>
      <c r="I9" s="264"/>
      <c r="J9" s="264"/>
      <c r="K9" s="264"/>
      <c r="L9" s="264"/>
      <c r="M9" s="264"/>
      <c r="N9" s="108"/>
      <c r="O9" s="108"/>
    </row>
    <row r="10" spans="2:16" ht="18">
      <c r="C10" s="264" t="s">
        <v>6</v>
      </c>
      <c r="D10" s="264"/>
      <c r="E10" s="264"/>
      <c r="F10" s="264"/>
      <c r="G10" s="264"/>
      <c r="H10" s="264"/>
      <c r="I10" s="264"/>
      <c r="J10" s="264"/>
      <c r="K10" s="264"/>
      <c r="L10" s="264"/>
      <c r="M10" s="264"/>
      <c r="N10" s="108"/>
      <c r="O10" s="108"/>
    </row>
    <row r="11" spans="2:16" ht="13.5" customHeight="1">
      <c r="C11" s="108"/>
      <c r="D11" s="108"/>
      <c r="E11" s="108"/>
      <c r="F11" s="108"/>
      <c r="G11" s="108"/>
      <c r="H11" s="108"/>
      <c r="I11" s="108"/>
      <c r="J11" s="108"/>
      <c r="K11" s="108"/>
      <c r="L11" s="108"/>
      <c r="M11" s="108"/>
      <c r="N11" s="108"/>
      <c r="O11" s="108"/>
    </row>
    <row r="12" spans="2:16" ht="13.5" customHeight="1">
      <c r="C12" s="108"/>
      <c r="D12" s="108"/>
      <c r="E12" s="108"/>
      <c r="F12" s="109" t="s">
        <v>7</v>
      </c>
      <c r="G12" s="110">
        <v>2020</v>
      </c>
      <c r="H12" s="111" t="s">
        <v>54</v>
      </c>
      <c r="I12" s="111"/>
      <c r="J12" s="108"/>
      <c r="K12" s="108"/>
      <c r="L12" s="108"/>
      <c r="M12" s="108"/>
      <c r="N12" s="108"/>
      <c r="O12" s="108"/>
    </row>
    <row r="13" spans="2:16" ht="13.5" thickBot="1"/>
    <row r="14" spans="2:16" ht="39" customHeight="1">
      <c r="B14" s="103" t="s">
        <v>165</v>
      </c>
      <c r="C14" s="265" t="s">
        <v>8</v>
      </c>
      <c r="D14" s="267" t="s">
        <v>9</v>
      </c>
      <c r="E14" s="112" t="s">
        <v>119</v>
      </c>
      <c r="F14" s="113" t="s">
        <v>10</v>
      </c>
      <c r="G14" s="114" t="s">
        <v>11</v>
      </c>
      <c r="H14" s="114" t="s">
        <v>12</v>
      </c>
      <c r="I14" s="114" t="s">
        <v>81</v>
      </c>
      <c r="J14" s="114" t="s">
        <v>84</v>
      </c>
      <c r="K14" s="114" t="s">
        <v>13</v>
      </c>
      <c r="L14" s="114" t="s">
        <v>14</v>
      </c>
      <c r="M14" s="114" t="s">
        <v>121</v>
      </c>
      <c r="N14" s="114" t="s">
        <v>120</v>
      </c>
      <c r="O14" s="115" t="s">
        <v>98</v>
      </c>
      <c r="P14" s="256" t="s">
        <v>162</v>
      </c>
    </row>
    <row r="15" spans="2:16" ht="32.25" customHeight="1">
      <c r="C15" s="266"/>
      <c r="D15" s="268"/>
      <c r="E15" s="116" t="s">
        <v>15</v>
      </c>
      <c r="F15" s="116" t="s">
        <v>16</v>
      </c>
      <c r="G15" s="117" t="s">
        <v>17</v>
      </c>
      <c r="H15" s="117" t="s">
        <v>18</v>
      </c>
      <c r="I15" s="118" t="s">
        <v>19</v>
      </c>
      <c r="J15" s="119" t="s">
        <v>138</v>
      </c>
      <c r="K15" s="117" t="s">
        <v>19</v>
      </c>
      <c r="L15" s="117" t="s">
        <v>20</v>
      </c>
      <c r="M15" s="117" t="s">
        <v>21</v>
      </c>
      <c r="N15" s="117" t="s">
        <v>99</v>
      </c>
      <c r="O15" s="120" t="s">
        <v>100</v>
      </c>
      <c r="P15" s="257"/>
    </row>
    <row r="16" spans="2:16">
      <c r="B16" s="103">
        <v>1805</v>
      </c>
      <c r="C16" s="122">
        <v>1805</v>
      </c>
      <c r="D16" s="123" t="s">
        <v>22</v>
      </c>
      <c r="E16" s="124">
        <v>27202613.359999999</v>
      </c>
      <c r="F16" s="124"/>
      <c r="G16" s="125">
        <f t="shared" ref="G16:G28" si="0">E16-F16</f>
        <v>27202613.359999999</v>
      </c>
      <c r="H16" s="124">
        <v>9922.8000000000011</v>
      </c>
      <c r="I16" s="124"/>
      <c r="J16" s="124">
        <f>G16+0.5*H16+0.5*I16</f>
        <v>27207574.759999998</v>
      </c>
      <c r="K16" s="126">
        <v>0</v>
      </c>
      <c r="L16" s="127" t="str">
        <f>IF(K16=0,"",1/K16)</f>
        <v/>
      </c>
      <c r="M16" s="128" t="str">
        <f t="shared" ref="M16:M48" si="1">IF(K16=0,"",J16/K16)</f>
        <v/>
      </c>
      <c r="N16" s="128"/>
      <c r="O16" s="129"/>
      <c r="P16" s="236"/>
    </row>
    <row r="17" spans="2:16">
      <c r="B17" s="103">
        <v>1806</v>
      </c>
      <c r="C17" s="130">
        <v>1806</v>
      </c>
      <c r="D17" s="131" t="s">
        <v>32</v>
      </c>
      <c r="E17" s="124">
        <v>1042764.0399999999</v>
      </c>
      <c r="F17" s="124"/>
      <c r="G17" s="125">
        <f t="shared" si="0"/>
        <v>1042764.0399999999</v>
      </c>
      <c r="H17" s="124">
        <v>36369.64</v>
      </c>
      <c r="I17" s="124"/>
      <c r="J17" s="124">
        <f t="shared" ref="J17:J28" si="2">G17+0.5*H17+0.5*I17</f>
        <v>1060948.8599999999</v>
      </c>
      <c r="K17" s="126">
        <v>0</v>
      </c>
      <c r="L17" s="127"/>
      <c r="M17" s="128" t="str">
        <f t="shared" si="1"/>
        <v/>
      </c>
      <c r="N17" s="128"/>
      <c r="O17" s="129"/>
      <c r="P17" s="236"/>
    </row>
    <row r="18" spans="2:16">
      <c r="B18" s="103">
        <v>1808</v>
      </c>
      <c r="C18" s="130">
        <v>1808</v>
      </c>
      <c r="D18" s="132" t="s">
        <v>23</v>
      </c>
      <c r="E18" s="124">
        <v>7374877.3400000008</v>
      </c>
      <c r="F18" s="124"/>
      <c r="G18" s="125">
        <f t="shared" si="0"/>
        <v>7374877.3400000008</v>
      </c>
      <c r="H18" s="124">
        <v>138804.66999999995</v>
      </c>
      <c r="I18" s="124"/>
      <c r="J18" s="124">
        <f t="shared" si="2"/>
        <v>7444279.6750000007</v>
      </c>
      <c r="K18" s="126">
        <v>40</v>
      </c>
      <c r="L18" s="127">
        <f t="shared" ref="L18:L80" si="3">IF(K18=0,"",1/K18)</f>
        <v>2.5000000000000001E-2</v>
      </c>
      <c r="M18" s="128">
        <f t="shared" si="1"/>
        <v>186106.99187500001</v>
      </c>
      <c r="N18" s="128">
        <v>231011.60462500004</v>
      </c>
      <c r="O18" s="129">
        <f>+M18-N18</f>
        <v>-44904.612750000029</v>
      </c>
      <c r="P18" s="237" t="s">
        <v>95</v>
      </c>
    </row>
    <row r="19" spans="2:16">
      <c r="B19" s="103">
        <v>1810</v>
      </c>
      <c r="C19" s="130">
        <v>1810</v>
      </c>
      <c r="D19" s="131" t="s">
        <v>53</v>
      </c>
      <c r="E19" s="124">
        <v>9878496.4900000002</v>
      </c>
      <c r="F19" s="124"/>
      <c r="G19" s="125">
        <f t="shared" si="0"/>
        <v>9878496.4900000002</v>
      </c>
      <c r="H19" s="124">
        <v>0</v>
      </c>
      <c r="I19" s="124"/>
      <c r="J19" s="124">
        <f t="shared" si="2"/>
        <v>9878496.4900000002</v>
      </c>
      <c r="K19" s="126">
        <v>0</v>
      </c>
      <c r="L19" s="127" t="str">
        <f t="shared" si="3"/>
        <v/>
      </c>
      <c r="M19" s="128" t="str">
        <f t="shared" si="1"/>
        <v/>
      </c>
      <c r="N19" s="128"/>
      <c r="O19" s="129"/>
      <c r="P19" s="236"/>
    </row>
    <row r="20" spans="2:16" ht="22.5" customHeight="1">
      <c r="B20" s="103">
        <v>1815</v>
      </c>
      <c r="C20" s="130">
        <v>1815</v>
      </c>
      <c r="D20" s="132" t="s">
        <v>24</v>
      </c>
      <c r="E20" s="124">
        <v>-1155942.6031454708</v>
      </c>
      <c r="F20" s="124"/>
      <c r="G20" s="125">
        <f t="shared" si="0"/>
        <v>-1155942.6031454708</v>
      </c>
      <c r="H20" s="124">
        <v>-16856.271500780014</v>
      </c>
      <c r="I20" s="124"/>
      <c r="J20" s="124">
        <f t="shared" si="2"/>
        <v>-1164370.738895861</v>
      </c>
      <c r="K20" s="126">
        <v>40</v>
      </c>
      <c r="L20" s="127">
        <f t="shared" si="3"/>
        <v>2.5000000000000001E-2</v>
      </c>
      <c r="M20" s="128">
        <f t="shared" si="1"/>
        <v>-29109.268472396525</v>
      </c>
      <c r="N20" s="128">
        <v>-27910.184597396586</v>
      </c>
      <c r="O20" s="129">
        <f t="shared" ref="O20:O33" si="4">+M20-N20</f>
        <v>-1199.0838749999384</v>
      </c>
      <c r="P20" s="236" t="s">
        <v>95</v>
      </c>
    </row>
    <row r="21" spans="2:16" s="136" customFormat="1">
      <c r="B21" s="136">
        <v>1816</v>
      </c>
      <c r="C21" s="130">
        <v>1815</v>
      </c>
      <c r="D21" s="131" t="s">
        <v>55</v>
      </c>
      <c r="E21" s="124">
        <v>34197833.510536499</v>
      </c>
      <c r="F21" s="125"/>
      <c r="G21" s="125">
        <f t="shared" si="0"/>
        <v>34197833.510536499</v>
      </c>
      <c r="H21" s="125">
        <v>1788083.777386266</v>
      </c>
      <c r="I21" s="125"/>
      <c r="J21" s="124">
        <f t="shared" si="2"/>
        <v>35091875.399229631</v>
      </c>
      <c r="K21" s="133">
        <v>40</v>
      </c>
      <c r="L21" s="134">
        <f t="shared" si="3"/>
        <v>2.5000000000000001E-2</v>
      </c>
      <c r="M21" s="135">
        <f t="shared" si="1"/>
        <v>877296.88498074072</v>
      </c>
      <c r="N21" s="135">
        <v>949747.68148074101</v>
      </c>
      <c r="O21" s="129">
        <f t="shared" si="4"/>
        <v>-72450.796500000288</v>
      </c>
      <c r="P21" s="238" t="s">
        <v>95</v>
      </c>
    </row>
    <row r="22" spans="2:16">
      <c r="B22" s="103">
        <v>1817</v>
      </c>
      <c r="C22" s="130">
        <v>1815</v>
      </c>
      <c r="D22" s="132" t="s">
        <v>56</v>
      </c>
      <c r="E22" s="124">
        <v>10282261.659999998</v>
      </c>
      <c r="F22" s="124">
        <v>2061779.5999999999</v>
      </c>
      <c r="G22" s="125">
        <f t="shared" si="0"/>
        <v>8220482.0599999987</v>
      </c>
      <c r="H22" s="124">
        <v>8970.869999999999</v>
      </c>
      <c r="I22" s="124"/>
      <c r="J22" s="124">
        <f t="shared" si="2"/>
        <v>8224967.4949999982</v>
      </c>
      <c r="K22" s="150">
        <v>25</v>
      </c>
      <c r="L22" s="127">
        <f t="shared" si="3"/>
        <v>0.04</v>
      </c>
      <c r="M22" s="135">
        <f t="shared" si="1"/>
        <v>328998.69979999994</v>
      </c>
      <c r="N22" s="135">
        <v>399559.27760000003</v>
      </c>
      <c r="O22" s="129">
        <f t="shared" si="4"/>
        <v>-70560.577800000086</v>
      </c>
      <c r="P22" s="236" t="s">
        <v>95</v>
      </c>
    </row>
    <row r="23" spans="2:16">
      <c r="B23" s="103">
        <v>1818</v>
      </c>
      <c r="C23" s="130">
        <v>1815</v>
      </c>
      <c r="D23" s="132" t="s">
        <v>57</v>
      </c>
      <c r="E23" s="124">
        <v>40774472.451867312</v>
      </c>
      <c r="F23" s="124"/>
      <c r="G23" s="125">
        <f t="shared" si="0"/>
        <v>40774472.451867312</v>
      </c>
      <c r="H23" s="124">
        <v>0</v>
      </c>
      <c r="I23" s="124"/>
      <c r="J23" s="124">
        <f t="shared" si="2"/>
        <v>40774472.451867312</v>
      </c>
      <c r="K23" s="126">
        <v>40</v>
      </c>
      <c r="L23" s="127">
        <f t="shared" si="3"/>
        <v>2.5000000000000001E-2</v>
      </c>
      <c r="M23" s="135">
        <f t="shared" si="1"/>
        <v>1019361.8112966828</v>
      </c>
      <c r="N23" s="135">
        <v>1346175.6756716832</v>
      </c>
      <c r="O23" s="129">
        <f t="shared" si="4"/>
        <v>-326813.86437500035</v>
      </c>
      <c r="P23" s="236" t="s">
        <v>95</v>
      </c>
    </row>
    <row r="24" spans="2:16">
      <c r="B24" s="103">
        <v>1819</v>
      </c>
      <c r="C24" s="130">
        <v>1815</v>
      </c>
      <c r="D24" s="132" t="s">
        <v>58</v>
      </c>
      <c r="E24" s="124">
        <v>7040426.5700000022</v>
      </c>
      <c r="F24" s="124"/>
      <c r="G24" s="125">
        <f t="shared" si="0"/>
        <v>7040426.5700000022</v>
      </c>
      <c r="H24" s="124">
        <v>89704.430000000008</v>
      </c>
      <c r="I24" s="124"/>
      <c r="J24" s="124">
        <f t="shared" si="2"/>
        <v>7085278.785000002</v>
      </c>
      <c r="K24" s="126">
        <v>40</v>
      </c>
      <c r="L24" s="127">
        <f t="shared" si="3"/>
        <v>2.5000000000000001E-2</v>
      </c>
      <c r="M24" s="135">
        <f t="shared" si="1"/>
        <v>177131.96962500006</v>
      </c>
      <c r="N24" s="135">
        <v>230002.83325000014</v>
      </c>
      <c r="O24" s="129">
        <f t="shared" si="4"/>
        <v>-52870.863625000085</v>
      </c>
      <c r="P24" s="236" t="s">
        <v>95</v>
      </c>
    </row>
    <row r="25" spans="2:16">
      <c r="B25" s="103">
        <v>1821</v>
      </c>
      <c r="C25" s="130">
        <v>1815</v>
      </c>
      <c r="D25" s="132" t="s">
        <v>59</v>
      </c>
      <c r="E25" s="124">
        <v>4975879.8178235544</v>
      </c>
      <c r="F25" s="124"/>
      <c r="G25" s="125">
        <f t="shared" si="0"/>
        <v>4975879.8178235544</v>
      </c>
      <c r="H25" s="124">
        <v>8970.869999999999</v>
      </c>
      <c r="I25" s="124"/>
      <c r="J25" s="124">
        <f t="shared" si="2"/>
        <v>4980365.252823554</v>
      </c>
      <c r="K25" s="126">
        <v>40</v>
      </c>
      <c r="L25" s="127">
        <f t="shared" si="3"/>
        <v>2.5000000000000001E-2</v>
      </c>
      <c r="M25" s="135">
        <f t="shared" si="1"/>
        <v>124509.13132058884</v>
      </c>
      <c r="N25" s="135">
        <f>6192.35257058894+161870</f>
        <v>168062.35257058893</v>
      </c>
      <c r="O25" s="129">
        <f t="shared" si="4"/>
        <v>-43553.22125000009</v>
      </c>
      <c r="P25" s="236" t="s">
        <v>95</v>
      </c>
    </row>
    <row r="26" spans="2:16">
      <c r="B26" s="103">
        <v>1822</v>
      </c>
      <c r="C26" s="130">
        <v>1815</v>
      </c>
      <c r="D26" s="132" t="s">
        <v>60</v>
      </c>
      <c r="E26" s="124">
        <v>10075676.90159012</v>
      </c>
      <c r="F26" s="124">
        <v>1292873.69</v>
      </c>
      <c r="G26" s="125">
        <f t="shared" si="0"/>
        <v>8782803.2115901206</v>
      </c>
      <c r="H26" s="124">
        <v>907898.53673078492</v>
      </c>
      <c r="I26" s="124"/>
      <c r="J26" s="124">
        <f t="shared" si="2"/>
        <v>9236752.479955513</v>
      </c>
      <c r="K26" s="126">
        <v>20</v>
      </c>
      <c r="L26" s="127">
        <f t="shared" si="3"/>
        <v>0.05</v>
      </c>
      <c r="M26" s="135">
        <f t="shared" si="1"/>
        <v>461837.62399777566</v>
      </c>
      <c r="N26" s="135">
        <f>407678.551997776+135655</f>
        <v>543333.55199777603</v>
      </c>
      <c r="O26" s="129">
        <f t="shared" si="4"/>
        <v>-81495.928000000364</v>
      </c>
      <c r="P26" s="236" t="s">
        <v>95</v>
      </c>
    </row>
    <row r="27" spans="2:16">
      <c r="B27" s="103">
        <v>1823</v>
      </c>
      <c r="C27" s="130">
        <v>1815</v>
      </c>
      <c r="D27" s="132" t="s">
        <v>61</v>
      </c>
      <c r="E27" s="124">
        <v>31516264.030000001</v>
      </c>
      <c r="F27" s="124">
        <v>1200271.49</v>
      </c>
      <c r="G27" s="125">
        <f t="shared" si="0"/>
        <v>30315992.540000003</v>
      </c>
      <c r="H27" s="124">
        <v>904757.71000000008</v>
      </c>
      <c r="I27" s="124"/>
      <c r="J27" s="124">
        <f t="shared" si="2"/>
        <v>30768371.395000003</v>
      </c>
      <c r="K27" s="126">
        <v>30</v>
      </c>
      <c r="L27" s="127">
        <f t="shared" si="3"/>
        <v>3.3333333333333333E-2</v>
      </c>
      <c r="M27" s="135">
        <f t="shared" si="1"/>
        <v>1025612.3798333334</v>
      </c>
      <c r="N27" s="135">
        <f>610676.784333333+663670</f>
        <v>1274346.7843333329</v>
      </c>
      <c r="O27" s="129">
        <f t="shared" si="4"/>
        <v>-248734.40449999948</v>
      </c>
      <c r="P27" s="236" t="s">
        <v>95</v>
      </c>
    </row>
    <row r="28" spans="2:16">
      <c r="B28" s="103">
        <v>1824</v>
      </c>
      <c r="C28" s="130">
        <v>1815</v>
      </c>
      <c r="D28" s="132" t="s">
        <v>62</v>
      </c>
      <c r="E28" s="124">
        <v>5426910.0099999998</v>
      </c>
      <c r="F28" s="124">
        <v>266726.99</v>
      </c>
      <c r="G28" s="125">
        <f t="shared" si="0"/>
        <v>5160183.0199999996</v>
      </c>
      <c r="H28" s="124">
        <v>5403.5599999999995</v>
      </c>
      <c r="I28" s="124"/>
      <c r="J28" s="124">
        <f t="shared" si="2"/>
        <v>5162884.8</v>
      </c>
      <c r="K28" s="126">
        <v>30</v>
      </c>
      <c r="L28" s="127">
        <f t="shared" si="3"/>
        <v>3.3333333333333333E-2</v>
      </c>
      <c r="M28" s="135">
        <f t="shared" si="1"/>
        <v>172096.16</v>
      </c>
      <c r="N28" s="135">
        <f>937352.236-755678</f>
        <v>181674.23600000003</v>
      </c>
      <c r="O28" s="129">
        <f t="shared" si="4"/>
        <v>-9578.07600000003</v>
      </c>
      <c r="P28" s="236" t="s">
        <v>95</v>
      </c>
    </row>
    <row r="29" spans="2:16" ht="24.75" customHeight="1">
      <c r="C29" s="137"/>
      <c r="D29" s="138"/>
      <c r="E29" s="139"/>
      <c r="F29" s="139"/>
      <c r="G29" s="140"/>
      <c r="H29" s="139"/>
      <c r="I29" s="139"/>
      <c r="J29" s="141" t="s">
        <v>86</v>
      </c>
      <c r="K29" s="142"/>
      <c r="L29" s="143"/>
      <c r="M29" s="125">
        <f>SUM(M20:M28)</f>
        <v>4157735.3923817249</v>
      </c>
      <c r="N29" s="125">
        <f>SUM(N20:N28)</f>
        <v>5064992.2083067261</v>
      </c>
      <c r="O29" s="129">
        <f>+M29-N29</f>
        <v>-907256.81592500117</v>
      </c>
      <c r="P29" s="236"/>
    </row>
    <row r="30" spans="2:16" ht="20.25" customHeight="1">
      <c r="B30" s="103">
        <v>1820</v>
      </c>
      <c r="C30" s="144">
        <v>1820</v>
      </c>
      <c r="D30" s="145" t="s">
        <v>25</v>
      </c>
      <c r="E30" s="124">
        <v>-2090987.7481049709</v>
      </c>
      <c r="F30" s="124"/>
      <c r="G30" s="125">
        <f>E30-F30</f>
        <v>-2090987.7481049709</v>
      </c>
      <c r="H30" s="124">
        <v>1760574.5437035719</v>
      </c>
      <c r="I30" s="124"/>
      <c r="J30" s="124">
        <f t="shared" ref="J30:J33" si="5">G30+0.5*H30+0.5*I30</f>
        <v>-1210700.476253185</v>
      </c>
      <c r="K30" s="126">
        <v>30</v>
      </c>
      <c r="L30" s="146">
        <f t="shared" si="3"/>
        <v>3.3333333333333333E-2</v>
      </c>
      <c r="M30" s="135">
        <f t="shared" si="1"/>
        <v>-40356.682541772832</v>
      </c>
      <c r="N30" s="135">
        <f>134809.126291561-205517</f>
        <v>-70707.873708439001</v>
      </c>
      <c r="O30" s="129">
        <f t="shared" si="4"/>
        <v>30351.191166666169</v>
      </c>
      <c r="P30" s="236" t="s">
        <v>95</v>
      </c>
    </row>
    <row r="31" spans="2:16">
      <c r="B31" s="103">
        <v>1826</v>
      </c>
      <c r="C31" s="147">
        <v>1820</v>
      </c>
      <c r="D31" s="132" t="s">
        <v>63</v>
      </c>
      <c r="E31" s="124">
        <v>40174455.25999999</v>
      </c>
      <c r="F31" s="124"/>
      <c r="G31" s="125">
        <f>E31-F31</f>
        <v>40174455.25999999</v>
      </c>
      <c r="H31" s="124">
        <v>4631450.6600000011</v>
      </c>
      <c r="I31" s="124"/>
      <c r="J31" s="124">
        <f t="shared" si="5"/>
        <v>42490180.589999989</v>
      </c>
      <c r="K31" s="126">
        <v>40</v>
      </c>
      <c r="L31" s="146">
        <f t="shared" si="3"/>
        <v>2.5000000000000001E-2</v>
      </c>
      <c r="M31" s="135">
        <f t="shared" si="1"/>
        <v>1062254.5147499996</v>
      </c>
      <c r="N31" s="135">
        <v>1131762.4805000001</v>
      </c>
      <c r="O31" s="129">
        <f t="shared" si="4"/>
        <v>-69507.96575000044</v>
      </c>
      <c r="P31" s="236" t="s">
        <v>95</v>
      </c>
    </row>
    <row r="32" spans="2:16">
      <c r="B32" s="103">
        <v>1827</v>
      </c>
      <c r="C32" s="147">
        <v>1820</v>
      </c>
      <c r="D32" s="132" t="s">
        <v>64</v>
      </c>
      <c r="E32" s="124">
        <v>11237433.820192646</v>
      </c>
      <c r="F32" s="124">
        <v>3245130.6100000003</v>
      </c>
      <c r="G32" s="125">
        <f>E32-F32</f>
        <v>7992303.2101926459</v>
      </c>
      <c r="H32" s="124">
        <v>113744.20588294925</v>
      </c>
      <c r="I32" s="124"/>
      <c r="J32" s="124">
        <f t="shared" si="5"/>
        <v>8049175.3131341208</v>
      </c>
      <c r="K32" s="126">
        <v>20</v>
      </c>
      <c r="L32" s="146">
        <f t="shared" si="3"/>
        <v>0.05</v>
      </c>
      <c r="M32" s="135">
        <f t="shared" si="1"/>
        <v>402458.76565670606</v>
      </c>
      <c r="N32" s="135">
        <v>626222.04215670621</v>
      </c>
      <c r="O32" s="129">
        <f t="shared" si="4"/>
        <v>-223763.27650000015</v>
      </c>
      <c r="P32" s="236" t="s">
        <v>95</v>
      </c>
    </row>
    <row r="33" spans="2:16">
      <c r="B33" s="103">
        <v>1828</v>
      </c>
      <c r="C33" s="147">
        <v>1820</v>
      </c>
      <c r="D33" s="132" t="s">
        <v>65</v>
      </c>
      <c r="E33" s="124">
        <v>4987129.9000000004</v>
      </c>
      <c r="F33" s="124">
        <v>213671.93</v>
      </c>
      <c r="G33" s="125">
        <f>E33-F33</f>
        <v>4773457.9700000007</v>
      </c>
      <c r="H33" s="124">
        <v>1150412.24</v>
      </c>
      <c r="I33" s="124"/>
      <c r="J33" s="124">
        <f t="shared" si="5"/>
        <v>5348664.0900000008</v>
      </c>
      <c r="K33" s="126">
        <v>30</v>
      </c>
      <c r="L33" s="146">
        <f t="shared" si="3"/>
        <v>3.3333333333333333E-2</v>
      </c>
      <c r="M33" s="135">
        <f t="shared" si="1"/>
        <v>178288.80300000001</v>
      </c>
      <c r="N33" s="135">
        <v>212053.79400000037</v>
      </c>
      <c r="O33" s="129">
        <f t="shared" si="4"/>
        <v>-33764.991000000358</v>
      </c>
      <c r="P33" s="236" t="s">
        <v>95</v>
      </c>
    </row>
    <row r="34" spans="2:16" ht="20.25" customHeight="1">
      <c r="C34" s="137"/>
      <c r="D34" s="138"/>
      <c r="E34" s="139"/>
      <c r="F34" s="139"/>
      <c r="G34" s="140"/>
      <c r="H34" s="139"/>
      <c r="I34" s="139"/>
      <c r="J34" s="141" t="s">
        <v>87</v>
      </c>
      <c r="K34" s="142"/>
      <c r="L34" s="143"/>
      <c r="M34" s="125">
        <f>SUM(M30:M33)</f>
        <v>1602645.4008649329</v>
      </c>
      <c r="N34" s="125">
        <f>SUM(N30:N33)</f>
        <v>1899330.4429482676</v>
      </c>
      <c r="O34" s="129">
        <f>+M34-N34</f>
        <v>-296685.04208333464</v>
      </c>
      <c r="P34" s="236"/>
    </row>
    <row r="35" spans="2:16" ht="24" customHeight="1">
      <c r="B35" s="103">
        <v>1825</v>
      </c>
      <c r="C35" s="147">
        <v>1825</v>
      </c>
      <c r="D35" s="148" t="s">
        <v>26</v>
      </c>
      <c r="E35" s="124">
        <v>0</v>
      </c>
      <c r="F35" s="124"/>
      <c r="G35" s="125">
        <f t="shared" ref="G35:G51" si="6">E35-F35</f>
        <v>0</v>
      </c>
      <c r="H35" s="124">
        <v>0</v>
      </c>
      <c r="I35" s="124"/>
      <c r="J35" s="124">
        <f t="shared" ref="J35:J51" si="7">G35+0.5*H35+0.5*I35</f>
        <v>0</v>
      </c>
      <c r="K35" s="126">
        <v>0</v>
      </c>
      <c r="L35" s="146" t="str">
        <f t="shared" si="3"/>
        <v/>
      </c>
      <c r="M35" s="135" t="str">
        <f t="shared" si="1"/>
        <v/>
      </c>
      <c r="N35" s="135">
        <v>0</v>
      </c>
      <c r="O35" s="129"/>
      <c r="P35" s="236"/>
    </row>
    <row r="36" spans="2:16">
      <c r="B36" s="103">
        <v>1830</v>
      </c>
      <c r="C36" s="147">
        <v>1830</v>
      </c>
      <c r="D36" s="148" t="s">
        <v>27</v>
      </c>
      <c r="E36" s="124">
        <v>248892797.67595366</v>
      </c>
      <c r="F36" s="124"/>
      <c r="G36" s="125">
        <f t="shared" si="6"/>
        <v>248892797.67595366</v>
      </c>
      <c r="H36" s="124">
        <v>18905868.675668083</v>
      </c>
      <c r="I36" s="124">
        <v>-86967</v>
      </c>
      <c r="J36" s="124">
        <f t="shared" si="7"/>
        <v>258302248.51378769</v>
      </c>
      <c r="K36" s="150">
        <v>45</v>
      </c>
      <c r="L36" s="146">
        <f t="shared" si="3"/>
        <v>2.2222222222222223E-2</v>
      </c>
      <c r="M36" s="135">
        <f t="shared" si="1"/>
        <v>5740049.9669730598</v>
      </c>
      <c r="N36" s="135">
        <v>5974424.9494175017</v>
      </c>
      <c r="O36" s="129">
        <f t="shared" ref="O36:O51" si="8">+M36-N36</f>
        <v>-234374.98244444188</v>
      </c>
      <c r="P36" s="236" t="s">
        <v>95</v>
      </c>
    </row>
    <row r="37" spans="2:16">
      <c r="B37" s="103">
        <v>1835</v>
      </c>
      <c r="C37" s="147">
        <v>1835</v>
      </c>
      <c r="D37" s="148" t="s">
        <v>28</v>
      </c>
      <c r="E37" s="124">
        <f>235867634.371536+1277</f>
        <v>235868911.37153599</v>
      </c>
      <c r="F37" s="124"/>
      <c r="G37" s="125">
        <f t="shared" si="6"/>
        <v>235868911.37153599</v>
      </c>
      <c r="H37" s="124">
        <v>21064588.174823899</v>
      </c>
      <c r="I37" s="124">
        <v>-130287.935</v>
      </c>
      <c r="J37" s="124">
        <f t="shared" si="7"/>
        <v>246336061.49144793</v>
      </c>
      <c r="K37" s="150">
        <v>40</v>
      </c>
      <c r="L37" s="146">
        <f t="shared" si="3"/>
        <v>2.5000000000000001E-2</v>
      </c>
      <c r="M37" s="135">
        <f t="shared" si="1"/>
        <v>6158401.5372861978</v>
      </c>
      <c r="N37" s="135">
        <f>6552145.6718487+4306</f>
        <v>6556451.6718487004</v>
      </c>
      <c r="O37" s="129">
        <f t="shared" si="8"/>
        <v>-398050.13456250262</v>
      </c>
      <c r="P37" s="236" t="s">
        <v>95</v>
      </c>
    </row>
    <row r="38" spans="2:16">
      <c r="B38" s="103">
        <v>1840</v>
      </c>
      <c r="C38" s="147">
        <v>1840</v>
      </c>
      <c r="D38" s="148" t="s">
        <v>29</v>
      </c>
      <c r="E38" s="124">
        <v>133144382.3116664</v>
      </c>
      <c r="F38" s="124">
        <v>690172.11999999988</v>
      </c>
      <c r="G38" s="125">
        <f t="shared" si="6"/>
        <v>132454210.19166639</v>
      </c>
      <c r="H38" s="124">
        <v>7901972.1294017676</v>
      </c>
      <c r="I38" s="124"/>
      <c r="J38" s="124">
        <f t="shared" si="7"/>
        <v>136405196.25636727</v>
      </c>
      <c r="K38" s="150">
        <v>60</v>
      </c>
      <c r="L38" s="146">
        <f t="shared" si="3"/>
        <v>1.6666666666666666E-2</v>
      </c>
      <c r="M38" s="135">
        <f t="shared" si="1"/>
        <v>2273419.9376061209</v>
      </c>
      <c r="N38" s="135">
        <v>2375315.3061894495</v>
      </c>
      <c r="O38" s="129">
        <f t="shared" si="8"/>
        <v>-101895.36858332856</v>
      </c>
      <c r="P38" s="236" t="s">
        <v>95</v>
      </c>
    </row>
    <row r="39" spans="2:16">
      <c r="B39" s="103">
        <v>1845</v>
      </c>
      <c r="C39" s="147">
        <v>1845</v>
      </c>
      <c r="D39" s="148" t="s">
        <v>30</v>
      </c>
      <c r="E39" s="124">
        <v>450986257.48568565</v>
      </c>
      <c r="F39" s="124">
        <v>7448181.1699999999</v>
      </c>
      <c r="G39" s="125">
        <f t="shared" si="6"/>
        <v>443538076.31568563</v>
      </c>
      <c r="H39" s="124">
        <v>43662874.778918594</v>
      </c>
      <c r="I39" s="124">
        <v>-433074.76500000001</v>
      </c>
      <c r="J39" s="124">
        <f t="shared" si="7"/>
        <v>465152976.32264495</v>
      </c>
      <c r="K39" s="150">
        <v>45</v>
      </c>
      <c r="L39" s="146">
        <f t="shared" si="3"/>
        <v>2.2222222222222223E-2</v>
      </c>
      <c r="M39" s="135">
        <f t="shared" si="1"/>
        <v>10336732.807169888</v>
      </c>
      <c r="N39" s="135">
        <v>11520996.952558769</v>
      </c>
      <c r="O39" s="129">
        <f t="shared" si="8"/>
        <v>-1184264.1453888807</v>
      </c>
      <c r="P39" s="236" t="s">
        <v>95</v>
      </c>
    </row>
    <row r="40" spans="2:16">
      <c r="B40" s="103">
        <v>1846</v>
      </c>
      <c r="C40" s="147">
        <v>1845</v>
      </c>
      <c r="D40" s="131" t="s">
        <v>115</v>
      </c>
      <c r="E40" s="124">
        <v>32169004.34</v>
      </c>
      <c r="F40" s="124"/>
      <c r="G40" s="125">
        <f t="shared" si="6"/>
        <v>32169004.34</v>
      </c>
      <c r="H40" s="124">
        <v>4626219.4799999995</v>
      </c>
      <c r="I40" s="124"/>
      <c r="J40" s="124">
        <f t="shared" si="7"/>
        <v>34482114.079999998</v>
      </c>
      <c r="K40" s="150">
        <v>20</v>
      </c>
      <c r="L40" s="146">
        <f t="shared" si="3"/>
        <v>0.05</v>
      </c>
      <c r="M40" s="135">
        <f t="shared" si="1"/>
        <v>1724105.7039999999</v>
      </c>
      <c r="N40" s="135">
        <v>1752056.5577500002</v>
      </c>
      <c r="O40" s="129">
        <f t="shared" si="8"/>
        <v>-27950.853750000242</v>
      </c>
      <c r="P40" s="236" t="s">
        <v>95</v>
      </c>
    </row>
    <row r="41" spans="2:16">
      <c r="B41" s="103">
        <v>1849</v>
      </c>
      <c r="C41" s="147">
        <v>1849</v>
      </c>
      <c r="D41" s="131" t="s">
        <v>44</v>
      </c>
      <c r="E41" s="124">
        <v>22430144.712198127</v>
      </c>
      <c r="F41" s="124"/>
      <c r="G41" s="125">
        <f t="shared" si="6"/>
        <v>22430144.712198127</v>
      </c>
      <c r="H41" s="124">
        <v>1381350.8484021686</v>
      </c>
      <c r="I41" s="124">
        <v>-586943.06499999994</v>
      </c>
      <c r="J41" s="124">
        <f t="shared" si="7"/>
        <v>22827348.603899211</v>
      </c>
      <c r="K41" s="126">
        <v>40</v>
      </c>
      <c r="L41" s="146">
        <f t="shared" si="3"/>
        <v>2.5000000000000001E-2</v>
      </c>
      <c r="M41" s="135">
        <f t="shared" si="1"/>
        <v>570683.71509748022</v>
      </c>
      <c r="N41" s="135">
        <v>788729.99865997909</v>
      </c>
      <c r="O41" s="129">
        <f t="shared" si="8"/>
        <v>-218046.28356249887</v>
      </c>
      <c r="P41" s="236" t="s">
        <v>95</v>
      </c>
    </row>
    <row r="42" spans="2:16">
      <c r="B42" s="103">
        <v>1850</v>
      </c>
      <c r="C42" s="147">
        <v>1850</v>
      </c>
      <c r="D42" s="148" t="s">
        <v>77</v>
      </c>
      <c r="E42" s="124">
        <v>194864136.60896692</v>
      </c>
      <c r="F42" s="124">
        <v>3157725.51</v>
      </c>
      <c r="G42" s="125">
        <f t="shared" si="6"/>
        <v>191706411.09896693</v>
      </c>
      <c r="H42" s="124">
        <v>13170993.360142181</v>
      </c>
      <c r="I42" s="124">
        <v>-1313699.4100000001</v>
      </c>
      <c r="J42" s="124">
        <f t="shared" si="7"/>
        <v>197635058.074038</v>
      </c>
      <c r="K42" s="126">
        <v>30</v>
      </c>
      <c r="L42" s="146">
        <f t="shared" si="3"/>
        <v>3.3333333333333333E-2</v>
      </c>
      <c r="M42" s="135">
        <f t="shared" si="1"/>
        <v>6587835.2691345997</v>
      </c>
      <c r="N42" s="135">
        <v>8120280.0896346029</v>
      </c>
      <c r="O42" s="129">
        <f t="shared" si="8"/>
        <v>-1532444.8205000032</v>
      </c>
      <c r="P42" s="236" t="s">
        <v>95</v>
      </c>
    </row>
    <row r="43" spans="2:16">
      <c r="B43" s="103">
        <v>1855</v>
      </c>
      <c r="C43" s="147">
        <v>1855</v>
      </c>
      <c r="D43" s="148" t="s">
        <v>94</v>
      </c>
      <c r="E43" s="124">
        <v>18229506.376948308</v>
      </c>
      <c r="F43" s="124"/>
      <c r="G43" s="125">
        <f t="shared" si="6"/>
        <v>18229506.376948308</v>
      </c>
      <c r="H43" s="124">
        <v>1136905.2857178985</v>
      </c>
      <c r="I43" s="124"/>
      <c r="J43" s="124">
        <f t="shared" si="7"/>
        <v>18797959.019807257</v>
      </c>
      <c r="K43" s="126">
        <v>40</v>
      </c>
      <c r="L43" s="146">
        <f t="shared" si="3"/>
        <v>2.5000000000000001E-2</v>
      </c>
      <c r="M43" s="135">
        <f t="shared" si="1"/>
        <v>469948.9754951814</v>
      </c>
      <c r="N43" s="135">
        <v>423972.19724518282</v>
      </c>
      <c r="O43" s="129">
        <f t="shared" si="8"/>
        <v>45976.778249998577</v>
      </c>
      <c r="P43" s="236" t="s">
        <v>95</v>
      </c>
    </row>
    <row r="44" spans="2:16">
      <c r="B44" s="103">
        <v>1856</v>
      </c>
      <c r="C44" s="147">
        <v>1856</v>
      </c>
      <c r="D44" s="131" t="s">
        <v>45</v>
      </c>
      <c r="E44" s="124">
        <v>71144949.835169777</v>
      </c>
      <c r="F44" s="124"/>
      <c r="G44" s="125">
        <f t="shared" si="6"/>
        <v>71144949.835169777</v>
      </c>
      <c r="H44" s="124">
        <v>3639818.7002884028</v>
      </c>
      <c r="I44" s="124"/>
      <c r="J44" s="124">
        <f t="shared" si="7"/>
        <v>72964859.185313985</v>
      </c>
      <c r="K44" s="126">
        <v>25</v>
      </c>
      <c r="L44" s="146">
        <f t="shared" si="3"/>
        <v>0.04</v>
      </c>
      <c r="M44" s="135">
        <f t="shared" si="1"/>
        <v>2918594.3674125592</v>
      </c>
      <c r="N44" s="135">
        <v>3439693.2334125605</v>
      </c>
      <c r="O44" s="129">
        <f t="shared" si="8"/>
        <v>-521098.86600000132</v>
      </c>
      <c r="P44" s="236" t="s">
        <v>95</v>
      </c>
    </row>
    <row r="45" spans="2:16">
      <c r="B45" s="103">
        <v>1860</v>
      </c>
      <c r="C45" s="147">
        <v>1860</v>
      </c>
      <c r="D45" s="148" t="s">
        <v>31</v>
      </c>
      <c r="E45" s="124">
        <v>12039954.575186549</v>
      </c>
      <c r="F45" s="124">
        <v>9433.82</v>
      </c>
      <c r="G45" s="125">
        <f t="shared" si="6"/>
        <v>12030520.755186548</v>
      </c>
      <c r="H45" s="124">
        <v>1245485.77</v>
      </c>
      <c r="I45" s="124">
        <v>-1175716.9696969697</v>
      </c>
      <c r="J45" s="124">
        <f t="shared" si="7"/>
        <v>12065405.155338064</v>
      </c>
      <c r="K45" s="126">
        <v>25</v>
      </c>
      <c r="L45" s="146">
        <f t="shared" si="3"/>
        <v>0.04</v>
      </c>
      <c r="M45" s="135">
        <f t="shared" si="1"/>
        <v>482616.20621352253</v>
      </c>
      <c r="N45" s="135">
        <v>775122.49461958348</v>
      </c>
      <c r="O45" s="129">
        <f t="shared" si="8"/>
        <v>-292506.28840606095</v>
      </c>
      <c r="P45" s="236" t="s">
        <v>95</v>
      </c>
    </row>
    <row r="46" spans="2:16">
      <c r="B46" s="103">
        <v>1861</v>
      </c>
      <c r="C46" s="147">
        <v>1861</v>
      </c>
      <c r="D46" s="131" t="s">
        <v>46</v>
      </c>
      <c r="E46" s="124">
        <v>29775649.3545104</v>
      </c>
      <c r="F46" s="124"/>
      <c r="G46" s="125">
        <f t="shared" si="6"/>
        <v>29775649.3545104</v>
      </c>
      <c r="H46" s="124">
        <v>1619315.0800000003</v>
      </c>
      <c r="I46" s="124"/>
      <c r="J46" s="124">
        <f t="shared" si="7"/>
        <v>30585306.8945104</v>
      </c>
      <c r="K46" s="126">
        <v>15</v>
      </c>
      <c r="L46" s="146">
        <f t="shared" si="3"/>
        <v>6.6666666666666666E-2</v>
      </c>
      <c r="M46" s="135">
        <f t="shared" si="1"/>
        <v>2039020.4596340267</v>
      </c>
      <c r="N46" s="135">
        <v>2155189.5799673619</v>
      </c>
      <c r="O46" s="129">
        <f t="shared" si="8"/>
        <v>-116169.12033333513</v>
      </c>
      <c r="P46" s="236" t="s">
        <v>95</v>
      </c>
    </row>
    <row r="47" spans="2:16">
      <c r="B47" s="103">
        <v>1862</v>
      </c>
      <c r="C47" s="147">
        <v>1862</v>
      </c>
      <c r="D47" s="148" t="s">
        <v>79</v>
      </c>
      <c r="E47" s="124">
        <v>60077529.177247807</v>
      </c>
      <c r="F47" s="124"/>
      <c r="G47" s="125">
        <f t="shared" si="6"/>
        <v>60077529.177247807</v>
      </c>
      <c r="H47" s="124">
        <v>5654697.6200000001</v>
      </c>
      <c r="I47" s="124"/>
      <c r="J47" s="124">
        <f t="shared" si="7"/>
        <v>62904877.98724781</v>
      </c>
      <c r="K47" s="126">
        <v>15</v>
      </c>
      <c r="L47" s="146">
        <f t="shared" si="3"/>
        <v>6.6666666666666666E-2</v>
      </c>
      <c r="M47" s="135">
        <f t="shared" si="1"/>
        <v>4193658.5324831875</v>
      </c>
      <c r="N47" s="135">
        <v>4479848.2178165205</v>
      </c>
      <c r="O47" s="129">
        <f t="shared" si="8"/>
        <v>-286189.68533333298</v>
      </c>
      <c r="P47" s="236" t="s">
        <v>95</v>
      </c>
    </row>
    <row r="48" spans="2:16">
      <c r="B48" s="103">
        <v>1870</v>
      </c>
      <c r="C48" s="147">
        <v>1870</v>
      </c>
      <c r="D48" s="131" t="s">
        <v>47</v>
      </c>
      <c r="E48" s="124">
        <v>191136</v>
      </c>
      <c r="F48" s="124"/>
      <c r="G48" s="125">
        <f t="shared" si="6"/>
        <v>191136</v>
      </c>
      <c r="H48" s="124">
        <v>0</v>
      </c>
      <c r="I48" s="124"/>
      <c r="J48" s="124">
        <f t="shared" si="7"/>
        <v>191136</v>
      </c>
      <c r="K48" s="126">
        <v>10</v>
      </c>
      <c r="L48" s="146">
        <f t="shared" si="3"/>
        <v>0.1</v>
      </c>
      <c r="M48" s="135">
        <f t="shared" si="1"/>
        <v>19113.599999999999</v>
      </c>
      <c r="N48" s="135">
        <v>-1259</v>
      </c>
      <c r="O48" s="129">
        <f t="shared" si="8"/>
        <v>20372.599999999999</v>
      </c>
      <c r="P48" s="236" t="s">
        <v>95</v>
      </c>
    </row>
    <row r="49" spans="2:16" ht="21.75" customHeight="1">
      <c r="B49" s="103">
        <v>1908</v>
      </c>
      <c r="C49" s="147">
        <v>1908</v>
      </c>
      <c r="D49" s="148" t="s">
        <v>33</v>
      </c>
      <c r="E49" s="124">
        <v>28750813.509999998</v>
      </c>
      <c r="F49" s="125">
        <v>654834.52</v>
      </c>
      <c r="G49" s="125">
        <f t="shared" si="6"/>
        <v>28095978.989999998</v>
      </c>
      <c r="H49" s="124">
        <v>417027.12</v>
      </c>
      <c r="I49" s="124"/>
      <c r="J49" s="124">
        <f t="shared" si="7"/>
        <v>28304492.549999997</v>
      </c>
      <c r="K49" s="126">
        <v>50</v>
      </c>
      <c r="L49" s="146">
        <f t="shared" si="3"/>
        <v>0.02</v>
      </c>
      <c r="M49" s="135">
        <f>IF(K49=0,"",J49/K49)</f>
        <v>566089.85099999991</v>
      </c>
      <c r="N49" s="135">
        <v>595363.78999999992</v>
      </c>
      <c r="O49" s="129">
        <f t="shared" si="8"/>
        <v>-29273.939000000013</v>
      </c>
      <c r="P49" s="236" t="s">
        <v>95</v>
      </c>
    </row>
    <row r="50" spans="2:16">
      <c r="B50" s="103">
        <v>1912</v>
      </c>
      <c r="C50" s="147">
        <v>1908</v>
      </c>
      <c r="D50" s="148" t="s">
        <v>96</v>
      </c>
      <c r="E50" s="124">
        <v>17401865.419889718</v>
      </c>
      <c r="F50" s="124">
        <v>19085</v>
      </c>
      <c r="G50" s="125">
        <f t="shared" si="6"/>
        <v>17382780.419889718</v>
      </c>
      <c r="H50" s="124">
        <v>0</v>
      </c>
      <c r="I50" s="124"/>
      <c r="J50" s="124">
        <f t="shared" si="7"/>
        <v>17382780.419889718</v>
      </c>
      <c r="K50" s="126">
        <v>50</v>
      </c>
      <c r="L50" s="146">
        <f t="shared" si="3"/>
        <v>0.02</v>
      </c>
      <c r="M50" s="135">
        <f>IF(K50=0,"",J50/K50)</f>
        <v>347655.60839779436</v>
      </c>
      <c r="N50" s="135">
        <v>404087.8799977944</v>
      </c>
      <c r="O50" s="129">
        <f t="shared" si="8"/>
        <v>-56432.271600000036</v>
      </c>
      <c r="P50" s="236" t="s">
        <v>95</v>
      </c>
    </row>
    <row r="51" spans="2:16">
      <c r="B51" s="103">
        <v>1913</v>
      </c>
      <c r="C51" s="147">
        <v>1908</v>
      </c>
      <c r="D51" s="151" t="s">
        <v>66</v>
      </c>
      <c r="E51" s="124">
        <v>2785049.54</v>
      </c>
      <c r="F51" s="124"/>
      <c r="G51" s="125">
        <f t="shared" si="6"/>
        <v>2785049.54</v>
      </c>
      <c r="H51" s="124">
        <v>0</v>
      </c>
      <c r="I51" s="124"/>
      <c r="J51" s="124">
        <f t="shared" si="7"/>
        <v>2785049.54</v>
      </c>
      <c r="K51" s="126">
        <v>30</v>
      </c>
      <c r="L51" s="146">
        <f t="shared" si="3"/>
        <v>3.3333333333333333E-2</v>
      </c>
      <c r="M51" s="135">
        <f>IF(K51=0,"",J51/K51)</f>
        <v>92834.984666666671</v>
      </c>
      <c r="N51" s="135">
        <v>101319.065</v>
      </c>
      <c r="O51" s="129">
        <f t="shared" si="8"/>
        <v>-8484.0803333333315</v>
      </c>
      <c r="P51" s="236" t="s">
        <v>95</v>
      </c>
    </row>
    <row r="52" spans="2:16" ht="18">
      <c r="C52" s="137"/>
      <c r="D52" s="138"/>
      <c r="E52" s="139"/>
      <c r="F52" s="139"/>
      <c r="G52" s="140"/>
      <c r="H52" s="139"/>
      <c r="I52" s="139"/>
      <c r="J52" s="141" t="s">
        <v>88</v>
      </c>
      <c r="K52" s="142"/>
      <c r="L52" s="143"/>
      <c r="M52" s="125">
        <f>SUM(M49:M51)</f>
        <v>1006580.4440644609</v>
      </c>
      <c r="N52" s="125">
        <f>SUM(N49:N51)</f>
        <v>1100770.7349977943</v>
      </c>
      <c r="O52" s="129">
        <f>+M52-N52</f>
        <v>-94190.290933333337</v>
      </c>
      <c r="P52" s="236"/>
    </row>
    <row r="53" spans="2:16" ht="25.5" customHeight="1">
      <c r="B53" s="103">
        <v>1915</v>
      </c>
      <c r="C53" s="147">
        <v>1915</v>
      </c>
      <c r="D53" s="148" t="s">
        <v>82</v>
      </c>
      <c r="E53" s="124">
        <v>5120100.6000000006</v>
      </c>
      <c r="F53" s="124">
        <v>2898349.0700000003</v>
      </c>
      <c r="G53" s="125">
        <f t="shared" ref="G53:G58" si="9">E53-F53</f>
        <v>2221751.5300000003</v>
      </c>
      <c r="H53" s="124">
        <v>286251.83999999997</v>
      </c>
      <c r="I53" s="124"/>
      <c r="J53" s="124">
        <f t="shared" ref="J53:J58" si="10">G53+0.5*H53+0.5*I53</f>
        <v>2364877.4500000002</v>
      </c>
      <c r="K53" s="126">
        <v>10</v>
      </c>
      <c r="L53" s="146">
        <f t="shared" si="3"/>
        <v>0.1</v>
      </c>
      <c r="M53" s="135">
        <f>IF(K53=0,"",J53/K53)</f>
        <v>236487.74500000002</v>
      </c>
      <c r="N53" s="135">
        <v>174563.53700000016</v>
      </c>
      <c r="O53" s="129">
        <f>+M53-N53</f>
        <v>61924.207999999868</v>
      </c>
      <c r="P53" s="236" t="s">
        <v>95</v>
      </c>
    </row>
    <row r="54" spans="2:16" ht="24" customHeight="1">
      <c r="B54" s="103">
        <v>1920</v>
      </c>
      <c r="C54" s="147">
        <v>1920</v>
      </c>
      <c r="D54" s="148" t="s">
        <v>34</v>
      </c>
      <c r="E54" s="124">
        <v>1.0000000096624717E-2</v>
      </c>
      <c r="F54" s="124"/>
      <c r="G54" s="125">
        <f t="shared" si="9"/>
        <v>1.0000000096624717E-2</v>
      </c>
      <c r="H54" s="124">
        <v>0</v>
      </c>
      <c r="I54" s="124"/>
      <c r="J54" s="124">
        <f t="shared" si="10"/>
        <v>1.0000000096624717E-2</v>
      </c>
      <c r="K54" s="126">
        <v>5</v>
      </c>
      <c r="L54" s="146">
        <f t="shared" si="3"/>
        <v>0.2</v>
      </c>
      <c r="M54" s="135">
        <f>IF(K54=0,"",J54/K54)</f>
        <v>2.0000000193249436E-3</v>
      </c>
      <c r="N54" s="135">
        <v>-8269.2890000000007</v>
      </c>
      <c r="O54" s="129">
        <f t="shared" ref="O54:O58" si="11">+M54-N54</f>
        <v>8269.2910000000193</v>
      </c>
      <c r="P54" s="236" t="s">
        <v>95</v>
      </c>
    </row>
    <row r="55" spans="2:16">
      <c r="B55" s="103">
        <v>1921</v>
      </c>
      <c r="C55" s="147">
        <v>1920</v>
      </c>
      <c r="D55" s="131" t="s">
        <v>67</v>
      </c>
      <c r="E55" s="124">
        <v>5219133.8054245412</v>
      </c>
      <c r="F55" s="124">
        <f>2447744.84+1164836</f>
        <v>3612580.84</v>
      </c>
      <c r="G55" s="125">
        <f t="shared" si="9"/>
        <v>1606552.9654245414</v>
      </c>
      <c r="H55" s="124">
        <v>531984.76</v>
      </c>
      <c r="I55" s="124"/>
      <c r="J55" s="124">
        <f t="shared" si="10"/>
        <v>1872545.3454245413</v>
      </c>
      <c r="K55" s="126">
        <v>4</v>
      </c>
      <c r="L55" s="146">
        <f t="shared" si="3"/>
        <v>0.25</v>
      </c>
      <c r="M55" s="135">
        <f t="shared" ref="M55:M70" si="12">IF(K55=0,"",J55/K55)</f>
        <v>468136.33635613532</v>
      </c>
      <c r="N55" s="135">
        <v>685311.36635613546</v>
      </c>
      <c r="O55" s="129">
        <f t="shared" si="11"/>
        <v>-217175.03000000014</v>
      </c>
      <c r="P55" s="236" t="s">
        <v>95</v>
      </c>
    </row>
    <row r="56" spans="2:16">
      <c r="B56" s="103">
        <v>1922</v>
      </c>
      <c r="C56" s="147">
        <v>1920</v>
      </c>
      <c r="D56" s="131" t="s">
        <v>68</v>
      </c>
      <c r="E56" s="124">
        <v>13630032.67</v>
      </c>
      <c r="F56" s="124">
        <f>5806970.39+989676</f>
        <v>6796646.3899999997</v>
      </c>
      <c r="G56" s="125">
        <f t="shared" si="9"/>
        <v>6833386.2800000003</v>
      </c>
      <c r="H56" s="124">
        <v>1893578.1</v>
      </c>
      <c r="I56" s="124"/>
      <c r="J56" s="124">
        <f t="shared" si="10"/>
        <v>7780175.3300000001</v>
      </c>
      <c r="K56" s="126">
        <v>5</v>
      </c>
      <c r="L56" s="146">
        <f t="shared" si="3"/>
        <v>0.2</v>
      </c>
      <c r="M56" s="135">
        <f t="shared" si="12"/>
        <v>1556035.0660000001</v>
      </c>
      <c r="N56" s="135">
        <v>1715846.17</v>
      </c>
      <c r="O56" s="129">
        <f t="shared" si="11"/>
        <v>-159811.10399999982</v>
      </c>
      <c r="P56" s="236" t="s">
        <v>95</v>
      </c>
    </row>
    <row r="57" spans="2:16">
      <c r="B57" s="103">
        <v>1923</v>
      </c>
      <c r="C57" s="147">
        <v>1920</v>
      </c>
      <c r="D57" s="131" t="s">
        <v>69</v>
      </c>
      <c r="E57" s="124">
        <v>1154930.82</v>
      </c>
      <c r="F57" s="124">
        <f>639440.97+42800</f>
        <v>682240.97</v>
      </c>
      <c r="G57" s="125">
        <f t="shared" si="9"/>
        <v>472689.85000000009</v>
      </c>
      <c r="H57" s="124">
        <v>39999.839999999997</v>
      </c>
      <c r="I57" s="124"/>
      <c r="J57" s="124">
        <f t="shared" si="10"/>
        <v>492689.77000000008</v>
      </c>
      <c r="K57" s="126">
        <v>5</v>
      </c>
      <c r="L57" s="146">
        <f t="shared" si="3"/>
        <v>0.2</v>
      </c>
      <c r="M57" s="135">
        <f t="shared" si="12"/>
        <v>98537.954000000012</v>
      </c>
      <c r="N57" s="135">
        <v>124066.99299999999</v>
      </c>
      <c r="O57" s="129">
        <f t="shared" si="11"/>
        <v>-25529.038999999975</v>
      </c>
      <c r="P57" s="236" t="s">
        <v>95</v>
      </c>
    </row>
    <row r="58" spans="2:16">
      <c r="B58" s="103">
        <v>1924</v>
      </c>
      <c r="C58" s="147">
        <v>1920</v>
      </c>
      <c r="D58" s="131" t="s">
        <v>70</v>
      </c>
      <c r="E58" s="124">
        <v>2171612.9739786489</v>
      </c>
      <c r="F58" s="124">
        <v>1925575</v>
      </c>
      <c r="G58" s="125">
        <f t="shared" si="9"/>
        <v>246037.97397864889</v>
      </c>
      <c r="H58" s="124">
        <v>65264.76</v>
      </c>
      <c r="I58" s="124"/>
      <c r="J58" s="124">
        <f t="shared" si="10"/>
        <v>278670.3539786489</v>
      </c>
      <c r="K58" s="126">
        <v>6</v>
      </c>
      <c r="L58" s="146">
        <f t="shared" si="3"/>
        <v>0.16666666666666666</v>
      </c>
      <c r="M58" s="135">
        <f t="shared" si="12"/>
        <v>46445.058996441483</v>
      </c>
      <c r="N58" s="135">
        <v>133003.58649644151</v>
      </c>
      <c r="O58" s="129">
        <f t="shared" si="11"/>
        <v>-86558.527500000026</v>
      </c>
      <c r="P58" s="236" t="s">
        <v>95</v>
      </c>
    </row>
    <row r="59" spans="2:16" ht="22.5" customHeight="1">
      <c r="C59" s="137"/>
      <c r="D59" s="138"/>
      <c r="E59" s="139"/>
      <c r="F59" s="139"/>
      <c r="G59" s="140"/>
      <c r="H59" s="139"/>
      <c r="I59" s="139"/>
      <c r="J59" s="141" t="s">
        <v>92</v>
      </c>
      <c r="K59" s="142"/>
      <c r="L59" s="143"/>
      <c r="M59" s="125">
        <f>SUM(M54:M58)</f>
        <v>2169154.4173525767</v>
      </c>
      <c r="N59" s="125">
        <f>SUM(N54:N58)</f>
        <v>2649958.8268525768</v>
      </c>
      <c r="O59" s="129">
        <f>+M59-N59</f>
        <v>-480804.40950000007</v>
      </c>
      <c r="P59" s="236"/>
    </row>
    <row r="60" spans="2:16" ht="24.75" customHeight="1">
      <c r="B60" s="103">
        <v>1925</v>
      </c>
      <c r="C60" s="147">
        <v>1611</v>
      </c>
      <c r="D60" s="148" t="s">
        <v>35</v>
      </c>
      <c r="E60" s="124">
        <v>39627424.120000005</v>
      </c>
      <c r="F60" s="124">
        <f>16145519.62+11480724</f>
        <v>27626243.619999997</v>
      </c>
      <c r="G60" s="125">
        <f>E60-F60</f>
        <v>12001180.500000007</v>
      </c>
      <c r="H60" s="124">
        <v>5301801.79</v>
      </c>
      <c r="I60" s="124"/>
      <c r="J60" s="124">
        <f t="shared" ref="J60:J62" si="13">G60+0.5*H60+0.5*I60</f>
        <v>14652081.395000007</v>
      </c>
      <c r="K60" s="126">
        <v>4</v>
      </c>
      <c r="L60" s="146">
        <f t="shared" si="3"/>
        <v>0.25</v>
      </c>
      <c r="M60" s="135">
        <f t="shared" si="12"/>
        <v>3663020.3487500018</v>
      </c>
      <c r="N60" s="135">
        <v>4000933.4812499993</v>
      </c>
      <c r="O60" s="152">
        <f>+M60-N60</f>
        <v>-337913.1324999975</v>
      </c>
      <c r="P60" s="236" t="s">
        <v>95</v>
      </c>
    </row>
    <row r="61" spans="2:16" ht="24.75" customHeight="1">
      <c r="B61" s="103">
        <v>1926</v>
      </c>
      <c r="C61" s="147">
        <v>1611</v>
      </c>
      <c r="D61" s="131" t="s">
        <v>116</v>
      </c>
      <c r="E61" s="124">
        <v>112039.77219851727</v>
      </c>
      <c r="F61" s="124">
        <v>112795</v>
      </c>
      <c r="G61" s="125">
        <f t="shared" ref="G61:G62" si="14">E61-F61</f>
        <v>-755.22780148273159</v>
      </c>
      <c r="H61" s="124">
        <v>0</v>
      </c>
      <c r="I61" s="124"/>
      <c r="J61" s="124">
        <f t="shared" si="13"/>
        <v>-755.22780148273159</v>
      </c>
      <c r="K61" s="126">
        <v>3</v>
      </c>
      <c r="L61" s="146">
        <f t="shared" si="3"/>
        <v>0.33333333333333331</v>
      </c>
      <c r="M61" s="135">
        <f t="shared" si="12"/>
        <v>-251.74260049424387</v>
      </c>
      <c r="N61" s="135">
        <v>-14847.709267160912</v>
      </c>
      <c r="O61" s="152">
        <f>+M61-N61</f>
        <v>14595.966666666667</v>
      </c>
      <c r="P61" s="236" t="s">
        <v>95</v>
      </c>
    </row>
    <row r="62" spans="2:16" ht="24.75" customHeight="1">
      <c r="B62" s="103">
        <v>1927</v>
      </c>
      <c r="C62" s="147">
        <v>1611</v>
      </c>
      <c r="D62" s="131" t="s">
        <v>117</v>
      </c>
      <c r="E62" s="124">
        <v>58775915.68</v>
      </c>
      <c r="F62" s="124"/>
      <c r="G62" s="125">
        <f t="shared" si="14"/>
        <v>58775915.68</v>
      </c>
      <c r="H62" s="124">
        <v>2910400</v>
      </c>
      <c r="I62" s="124"/>
      <c r="J62" s="124">
        <f t="shared" si="13"/>
        <v>60231115.68</v>
      </c>
      <c r="K62" s="126">
        <v>10</v>
      </c>
      <c r="L62" s="146">
        <f t="shared" si="3"/>
        <v>0.1</v>
      </c>
      <c r="M62" s="135">
        <f t="shared" si="12"/>
        <v>6023111.568</v>
      </c>
      <c r="N62" s="135">
        <v>5988975.3599999994</v>
      </c>
      <c r="O62" s="152">
        <f t="shared" ref="O62:O66" si="15">+M62-N62</f>
        <v>34136.208000000566</v>
      </c>
      <c r="P62" s="236" t="s">
        <v>95</v>
      </c>
    </row>
    <row r="63" spans="2:16" ht="24.75" customHeight="1">
      <c r="C63" s="153"/>
      <c r="D63" s="154"/>
      <c r="E63" s="139"/>
      <c r="F63" s="139"/>
      <c r="G63" s="140"/>
      <c r="H63" s="139"/>
      <c r="I63" s="139"/>
      <c r="J63" s="141" t="s">
        <v>118</v>
      </c>
      <c r="K63" s="142"/>
      <c r="L63" s="155"/>
      <c r="M63" s="125">
        <f>SUM(M60:M62)</f>
        <v>9685880.1741495077</v>
      </c>
      <c r="N63" s="125">
        <f>SUM(N60:N62)</f>
        <v>9975061.1319828369</v>
      </c>
      <c r="O63" s="125">
        <f>SUM(O60:O62)</f>
        <v>-289180.95783333026</v>
      </c>
      <c r="P63" s="236"/>
    </row>
    <row r="64" spans="2:16" ht="29.25" customHeight="1">
      <c r="B64" s="103">
        <v>1930</v>
      </c>
      <c r="C64" s="147">
        <v>1930</v>
      </c>
      <c r="D64" s="151" t="s">
        <v>71</v>
      </c>
      <c r="E64" s="124">
        <v>11993804.727017216</v>
      </c>
      <c r="F64" s="124">
        <v>9233092.4499999993</v>
      </c>
      <c r="G64" s="125">
        <f>E64-F64</f>
        <v>2760712.2770172171</v>
      </c>
      <c r="H64" s="124">
        <v>1423100.04</v>
      </c>
      <c r="I64" s="124"/>
      <c r="J64" s="124">
        <f t="shared" ref="J64:J66" si="16">G64+0.5*H64+0.5*I64</f>
        <v>3472262.2970172171</v>
      </c>
      <c r="K64" s="126">
        <v>7</v>
      </c>
      <c r="L64" s="146">
        <f t="shared" si="3"/>
        <v>0.14285714285714285</v>
      </c>
      <c r="M64" s="135">
        <f t="shared" si="12"/>
        <v>496037.47100245958</v>
      </c>
      <c r="N64" s="135">
        <v>1077900.0381453168</v>
      </c>
      <c r="O64" s="152">
        <f t="shared" si="15"/>
        <v>-581862.56714285724</v>
      </c>
      <c r="P64" s="236" t="s">
        <v>95</v>
      </c>
    </row>
    <row r="65" spans="2:16">
      <c r="B65" s="103">
        <v>1931</v>
      </c>
      <c r="C65" s="147">
        <v>1930</v>
      </c>
      <c r="D65" s="151" t="s">
        <v>72</v>
      </c>
      <c r="E65" s="124">
        <v>16225440.09</v>
      </c>
      <c r="F65" s="124">
        <v>673.57999999999993</v>
      </c>
      <c r="G65" s="125">
        <f>E65-F65</f>
        <v>16224766.51</v>
      </c>
      <c r="H65" s="124">
        <v>1524750.02</v>
      </c>
      <c r="I65" s="124"/>
      <c r="J65" s="124">
        <f t="shared" si="16"/>
        <v>16987141.52</v>
      </c>
      <c r="K65" s="126">
        <v>12</v>
      </c>
      <c r="L65" s="146">
        <f t="shared" si="3"/>
        <v>8.3333333333333329E-2</v>
      </c>
      <c r="M65" s="135">
        <f t="shared" si="12"/>
        <v>1415595.1266666667</v>
      </c>
      <c r="N65" s="135">
        <v>1286541.7779166668</v>
      </c>
      <c r="O65" s="152">
        <f t="shared" si="15"/>
        <v>129053.34874999989</v>
      </c>
      <c r="P65" s="236" t="s">
        <v>95</v>
      </c>
    </row>
    <row r="66" spans="2:16">
      <c r="B66" s="103">
        <v>1932</v>
      </c>
      <c r="C66" s="147">
        <v>1930</v>
      </c>
      <c r="D66" s="151" t="s">
        <v>73</v>
      </c>
      <c r="E66" s="124">
        <v>165563.29</v>
      </c>
      <c r="F66" s="124"/>
      <c r="G66" s="125">
        <f>E66-F66</f>
        <v>165563.29</v>
      </c>
      <c r="H66" s="124">
        <v>0</v>
      </c>
      <c r="I66" s="124"/>
      <c r="J66" s="124">
        <f t="shared" si="16"/>
        <v>165563.29</v>
      </c>
      <c r="K66" s="126">
        <v>22</v>
      </c>
      <c r="L66" s="146">
        <f t="shared" si="3"/>
        <v>4.5454545454545456E-2</v>
      </c>
      <c r="M66" s="135">
        <f t="shared" si="12"/>
        <v>7525.6040909090916</v>
      </c>
      <c r="N66" s="135">
        <v>8082.7418181818184</v>
      </c>
      <c r="O66" s="152">
        <f t="shared" si="15"/>
        <v>-557.13772727272681</v>
      </c>
      <c r="P66" s="236" t="s">
        <v>95</v>
      </c>
    </row>
    <row r="67" spans="2:16" ht="18.75" customHeight="1">
      <c r="C67" s="137"/>
      <c r="D67" s="138"/>
      <c r="E67" s="139"/>
      <c r="F67" s="139"/>
      <c r="G67" s="140"/>
      <c r="H67" s="139"/>
      <c r="I67" s="139"/>
      <c r="J67" s="141" t="s">
        <v>89</v>
      </c>
      <c r="K67" s="142"/>
      <c r="L67" s="143"/>
      <c r="M67" s="125">
        <f>SUM(M64:M66)</f>
        <v>1919158.2017600352</v>
      </c>
      <c r="N67" s="125">
        <f>SUM(N64:N66)</f>
        <v>2372524.5578801655</v>
      </c>
      <c r="O67" s="152">
        <f>+M67-N67</f>
        <v>-453366.35612013028</v>
      </c>
      <c r="P67" s="236"/>
    </row>
    <row r="68" spans="2:16">
      <c r="B68" s="103">
        <v>1935</v>
      </c>
      <c r="C68" s="147">
        <v>1935</v>
      </c>
      <c r="D68" s="148" t="s">
        <v>36</v>
      </c>
      <c r="E68" s="124">
        <v>680930.7026550764</v>
      </c>
      <c r="F68" s="124"/>
      <c r="G68" s="125">
        <f>E68-F68</f>
        <v>680930.7026550764</v>
      </c>
      <c r="H68" s="124">
        <v>0</v>
      </c>
      <c r="I68" s="124"/>
      <c r="J68" s="124">
        <f t="shared" ref="J68:J71" si="17">G68+0.5*H68+0.5*I68</f>
        <v>680930.7026550764</v>
      </c>
      <c r="K68" s="126">
        <v>10</v>
      </c>
      <c r="L68" s="146">
        <f t="shared" si="3"/>
        <v>0.1</v>
      </c>
      <c r="M68" s="135">
        <f t="shared" si="12"/>
        <v>68093.070265507646</v>
      </c>
      <c r="N68" s="135">
        <v>65662.273765507634</v>
      </c>
      <c r="O68" s="129">
        <f>+M68-N68</f>
        <v>2430.7965000000113</v>
      </c>
      <c r="P68" s="236" t="s">
        <v>95</v>
      </c>
    </row>
    <row r="69" spans="2:16" ht="16.5" customHeight="1">
      <c r="B69" s="103">
        <v>1940</v>
      </c>
      <c r="C69" s="147">
        <v>1940</v>
      </c>
      <c r="D69" s="148" t="s">
        <v>37</v>
      </c>
      <c r="E69" s="124">
        <v>6988671.0200000005</v>
      </c>
      <c r="F69" s="124">
        <v>1921275.8</v>
      </c>
      <c r="G69" s="125">
        <f>E69-F69</f>
        <v>5067395.2200000007</v>
      </c>
      <c r="H69" s="124">
        <v>543314.48</v>
      </c>
      <c r="I69" s="124"/>
      <c r="J69" s="124">
        <f t="shared" si="17"/>
        <v>5339052.4600000009</v>
      </c>
      <c r="K69" s="126">
        <v>10</v>
      </c>
      <c r="L69" s="146">
        <f t="shared" si="3"/>
        <v>0.1</v>
      </c>
      <c r="M69" s="135">
        <f t="shared" si="12"/>
        <v>533905.24600000004</v>
      </c>
      <c r="N69" s="135">
        <v>552840.72800000012</v>
      </c>
      <c r="O69" s="129">
        <f>+M69-N69</f>
        <v>-18935.482000000076</v>
      </c>
      <c r="P69" s="236" t="s">
        <v>95</v>
      </c>
    </row>
    <row r="70" spans="2:16" ht="24.75" customHeight="1">
      <c r="B70" s="103">
        <v>1955</v>
      </c>
      <c r="C70" s="147">
        <v>1955</v>
      </c>
      <c r="D70" s="148" t="s">
        <v>38</v>
      </c>
      <c r="E70" s="124">
        <v>3955617.2338659363</v>
      </c>
      <c r="F70" s="124">
        <f>2109233.45+87216</f>
        <v>2196449.4500000002</v>
      </c>
      <c r="G70" s="125">
        <f>E70-F70</f>
        <v>1759167.7838659361</v>
      </c>
      <c r="H70" s="124">
        <v>309641.66000000003</v>
      </c>
      <c r="I70" s="124"/>
      <c r="J70" s="124">
        <f t="shared" si="17"/>
        <v>1913988.6138659362</v>
      </c>
      <c r="K70" s="126">
        <v>6</v>
      </c>
      <c r="L70" s="146">
        <f t="shared" si="3"/>
        <v>0.16666666666666666</v>
      </c>
      <c r="M70" s="135">
        <f t="shared" si="12"/>
        <v>318998.10231098934</v>
      </c>
      <c r="N70" s="135">
        <v>206271.5608865938</v>
      </c>
      <c r="O70" s="152">
        <f t="shared" ref="O70:O77" si="18">+M70-N70</f>
        <v>112726.54142439555</v>
      </c>
      <c r="P70" s="236" t="s">
        <v>95</v>
      </c>
    </row>
    <row r="71" spans="2:16">
      <c r="B71" s="103">
        <v>1956</v>
      </c>
      <c r="C71" s="147">
        <v>1955</v>
      </c>
      <c r="D71" s="131" t="s">
        <v>48</v>
      </c>
      <c r="E71" s="124">
        <v>58854.070000000007</v>
      </c>
      <c r="F71" s="125">
        <v>58854.07</v>
      </c>
      <c r="G71" s="125">
        <f>E71-F71</f>
        <v>0</v>
      </c>
      <c r="H71" s="124">
        <v>0</v>
      </c>
      <c r="I71" s="124"/>
      <c r="J71" s="124">
        <f t="shared" si="17"/>
        <v>0</v>
      </c>
      <c r="K71" s="126">
        <v>3</v>
      </c>
      <c r="L71" s="146">
        <f t="shared" si="3"/>
        <v>0.33333333333333331</v>
      </c>
      <c r="M71" s="135">
        <f>IF(K71=0,"",J71/K71)</f>
        <v>0</v>
      </c>
      <c r="N71" s="135">
        <v>-3.979039320256561E-13</v>
      </c>
      <c r="O71" s="152">
        <f t="shared" si="18"/>
        <v>3.979039320256561E-13</v>
      </c>
      <c r="P71" s="236" t="s">
        <v>95</v>
      </c>
    </row>
    <row r="72" spans="2:16" ht="18">
      <c r="C72" s="137"/>
      <c r="D72" s="138"/>
      <c r="E72" s="139"/>
      <c r="F72" s="139"/>
      <c r="G72" s="140"/>
      <c r="H72" s="139"/>
      <c r="I72" s="139"/>
      <c r="J72" s="141" t="s">
        <v>90</v>
      </c>
      <c r="K72" s="142"/>
      <c r="L72" s="143"/>
      <c r="M72" s="125">
        <f>SUM(M70:M71)</f>
        <v>318998.10231098934</v>
      </c>
      <c r="N72" s="125">
        <f>SUM(N70:N71)</f>
        <v>206271.5608865938</v>
      </c>
      <c r="O72" s="129">
        <f>+M72-N72</f>
        <v>112726.54142439555</v>
      </c>
      <c r="P72" s="236"/>
    </row>
    <row r="73" spans="2:16" ht="26.25" customHeight="1">
      <c r="B73" s="103">
        <v>1960</v>
      </c>
      <c r="C73" s="147">
        <v>1960</v>
      </c>
      <c r="D73" s="148" t="s">
        <v>39</v>
      </c>
      <c r="E73" s="124">
        <v>0</v>
      </c>
      <c r="F73" s="124"/>
      <c r="G73" s="125">
        <f>E73-F73</f>
        <v>0</v>
      </c>
      <c r="H73" s="124">
        <v>0</v>
      </c>
      <c r="I73" s="124"/>
      <c r="J73" s="124">
        <f t="shared" ref="J73:J77" si="19">G73+0.5*H73+0.5*I73</f>
        <v>0</v>
      </c>
      <c r="K73" s="126">
        <v>0</v>
      </c>
      <c r="L73" s="146" t="str">
        <f t="shared" si="3"/>
        <v/>
      </c>
      <c r="M73" s="135" t="str">
        <f>IF(K73=0,"",J73/K73)</f>
        <v/>
      </c>
      <c r="N73" s="152">
        <v>0</v>
      </c>
      <c r="O73" s="152"/>
      <c r="P73" s="236"/>
    </row>
    <row r="74" spans="2:16" ht="14.25" customHeight="1">
      <c r="B74" s="103">
        <v>1961</v>
      </c>
      <c r="C74" s="147">
        <v>1961</v>
      </c>
      <c r="D74" s="131" t="s">
        <v>49</v>
      </c>
      <c r="E74" s="124"/>
      <c r="F74" s="124"/>
      <c r="G74" s="125">
        <f>E74-F74</f>
        <v>0</v>
      </c>
      <c r="H74" s="124">
        <v>0</v>
      </c>
      <c r="I74" s="124"/>
      <c r="J74" s="124">
        <f t="shared" si="19"/>
        <v>0</v>
      </c>
      <c r="K74" s="126">
        <v>0</v>
      </c>
      <c r="L74" s="146" t="str">
        <f t="shared" si="3"/>
        <v/>
      </c>
      <c r="M74" s="135">
        <v>0</v>
      </c>
      <c r="N74" s="135">
        <v>-45.38</v>
      </c>
      <c r="O74" s="152">
        <f t="shared" si="18"/>
        <v>45.38</v>
      </c>
      <c r="P74" s="236" t="s">
        <v>95</v>
      </c>
    </row>
    <row r="75" spans="2:16" ht="23.25" customHeight="1">
      <c r="B75" s="103">
        <v>1980</v>
      </c>
      <c r="C75" s="147">
        <v>1980</v>
      </c>
      <c r="D75" s="148" t="s">
        <v>40</v>
      </c>
      <c r="E75" s="124">
        <v>4355380.5500000017</v>
      </c>
      <c r="F75" s="124">
        <v>825693.25</v>
      </c>
      <c r="G75" s="125">
        <f>E75-F75</f>
        <v>3529687.3000000017</v>
      </c>
      <c r="H75" s="124">
        <v>197296.92</v>
      </c>
      <c r="I75" s="124"/>
      <c r="J75" s="124">
        <f t="shared" si="19"/>
        <v>3628335.7600000016</v>
      </c>
      <c r="K75" s="126">
        <v>15</v>
      </c>
      <c r="L75" s="146">
        <f t="shared" si="3"/>
        <v>6.6666666666666666E-2</v>
      </c>
      <c r="M75" s="135">
        <f>IF(K75=0,"",J75/K75)</f>
        <v>241889.05066666676</v>
      </c>
      <c r="N75" s="156">
        <v>283314.46388888889</v>
      </c>
      <c r="O75" s="152">
        <f t="shared" si="18"/>
        <v>-41425.413222222123</v>
      </c>
      <c r="P75" s="236" t="s">
        <v>95</v>
      </c>
    </row>
    <row r="76" spans="2:16" ht="14.25">
      <c r="B76" s="103">
        <v>1981</v>
      </c>
      <c r="C76" s="147">
        <v>1980</v>
      </c>
      <c r="D76" s="131" t="s">
        <v>74</v>
      </c>
      <c r="E76" s="124">
        <v>9341549.8490305785</v>
      </c>
      <c r="F76" s="124">
        <v>3066744.6899999995</v>
      </c>
      <c r="G76" s="125">
        <f>E76-F76</f>
        <v>6274805.159030579</v>
      </c>
      <c r="H76" s="124">
        <v>296250.27999999997</v>
      </c>
      <c r="I76" s="124"/>
      <c r="J76" s="124">
        <f t="shared" si="19"/>
        <v>6422930.2990305787</v>
      </c>
      <c r="K76" s="126">
        <v>15</v>
      </c>
      <c r="L76" s="146">
        <f t="shared" si="3"/>
        <v>6.6666666666666666E-2</v>
      </c>
      <c r="M76" s="135">
        <f>IF(K76=0,"",J76/K76)</f>
        <v>428195.35326870525</v>
      </c>
      <c r="N76" s="156">
        <v>494860.83893537184</v>
      </c>
      <c r="O76" s="152">
        <f t="shared" si="18"/>
        <v>-66665.485666666587</v>
      </c>
      <c r="P76" s="236" t="s">
        <v>95</v>
      </c>
    </row>
    <row r="77" spans="2:16" ht="14.25">
      <c r="B77" s="103">
        <v>1982</v>
      </c>
      <c r="C77" s="147">
        <v>1980</v>
      </c>
      <c r="D77" s="131" t="s">
        <v>75</v>
      </c>
      <c r="E77" s="124">
        <f>3572222.47562925+686</f>
        <v>3572908.4756292501</v>
      </c>
      <c r="F77" s="124">
        <v>525677.55999999994</v>
      </c>
      <c r="G77" s="125">
        <f>E77-F77</f>
        <v>3047230.91562925</v>
      </c>
      <c r="H77" s="124">
        <v>710789.44</v>
      </c>
      <c r="I77" s="124"/>
      <c r="J77" s="124">
        <f t="shared" si="19"/>
        <v>3402625.6356292497</v>
      </c>
      <c r="K77" s="126">
        <v>10</v>
      </c>
      <c r="L77" s="146">
        <f t="shared" si="3"/>
        <v>0.1</v>
      </c>
      <c r="M77" s="135">
        <f>IF(K77=0,"",J77/K77)</f>
        <v>340262.56356292497</v>
      </c>
      <c r="N77" s="156">
        <f>341897.289562925+7</f>
        <v>341904.289562925</v>
      </c>
      <c r="O77" s="152">
        <f t="shared" si="18"/>
        <v>-1641.7260000000242</v>
      </c>
      <c r="P77" s="236" t="s">
        <v>95</v>
      </c>
    </row>
    <row r="78" spans="2:16" ht="18">
      <c r="C78" s="137"/>
      <c r="D78" s="138"/>
      <c r="E78" s="139"/>
      <c r="F78" s="139"/>
      <c r="G78" s="140"/>
      <c r="H78" s="139"/>
      <c r="I78" s="139"/>
      <c r="J78" s="141" t="s">
        <v>93</v>
      </c>
      <c r="K78" s="142"/>
      <c r="L78" s="143"/>
      <c r="M78" s="125">
        <f>SUM(M75:M77)</f>
        <v>1010346.967498297</v>
      </c>
      <c r="N78" s="125">
        <f>SUM(N75:N77)</f>
        <v>1120079.5923871857</v>
      </c>
      <c r="O78" s="129">
        <f>+M78-N78</f>
        <v>-109732.62488888868</v>
      </c>
      <c r="P78" s="236"/>
    </row>
    <row r="79" spans="2:16" ht="27" customHeight="1">
      <c r="B79" s="103">
        <v>1985</v>
      </c>
      <c r="C79" s="147">
        <v>1985</v>
      </c>
      <c r="D79" s="151" t="s">
        <v>50</v>
      </c>
      <c r="E79" s="124">
        <v>0</v>
      </c>
      <c r="F79" s="124"/>
      <c r="G79" s="125">
        <f t="shared" ref="G79:G84" si="20">E79-F79</f>
        <v>0</v>
      </c>
      <c r="H79" s="124">
        <v>0</v>
      </c>
      <c r="I79" s="124"/>
      <c r="J79" s="124">
        <f t="shared" ref="J79:J83" si="21">G79+0.5*H79+0.5*I79</f>
        <v>0</v>
      </c>
      <c r="K79" s="126">
        <v>0</v>
      </c>
      <c r="L79" s="146" t="str">
        <f t="shared" si="3"/>
        <v/>
      </c>
      <c r="M79" s="135">
        <v>0</v>
      </c>
      <c r="N79" s="135"/>
      <c r="O79" s="149"/>
      <c r="P79" s="236"/>
    </row>
    <row r="80" spans="2:16">
      <c r="B80" s="103" t="s">
        <v>140</v>
      </c>
      <c r="C80" s="147">
        <v>1995</v>
      </c>
      <c r="D80" s="148" t="s">
        <v>41</v>
      </c>
      <c r="E80" s="124">
        <v>-430481036.335895</v>
      </c>
      <c r="F80" s="124">
        <v>-407333.89999999997</v>
      </c>
      <c r="G80" s="125">
        <f t="shared" si="20"/>
        <v>-430073702.43589503</v>
      </c>
      <c r="H80" s="124">
        <v>-25322604.32</v>
      </c>
      <c r="I80" s="124">
        <v>992581.00000000023</v>
      </c>
      <c r="J80" s="124">
        <f t="shared" si="21"/>
        <v>-442238714.09589505</v>
      </c>
      <c r="K80" s="126">
        <v>38</v>
      </c>
      <c r="L80" s="146">
        <f t="shared" si="3"/>
        <v>2.6315789473684209E-2</v>
      </c>
      <c r="M80" s="135">
        <f>IF(K80=0,"",J80/K80)</f>
        <v>-11637860.897260396</v>
      </c>
      <c r="N80" s="135">
        <v>-13475689.117503628</v>
      </c>
      <c r="O80" s="152">
        <f>+M80-N80</f>
        <v>1837828.2202432323</v>
      </c>
      <c r="P80" s="236" t="s">
        <v>95</v>
      </c>
    </row>
    <row r="81" spans="2:16" ht="14.25">
      <c r="B81" s="103">
        <v>2005</v>
      </c>
      <c r="C81" s="147">
        <v>2005</v>
      </c>
      <c r="D81" s="132" t="s">
        <v>51</v>
      </c>
      <c r="E81" s="124">
        <v>17549082.289999999</v>
      </c>
      <c r="F81" s="124"/>
      <c r="G81" s="125">
        <f t="shared" si="20"/>
        <v>17549082.289999999</v>
      </c>
      <c r="H81" s="124">
        <v>0</v>
      </c>
      <c r="I81" s="124"/>
      <c r="J81" s="124">
        <f t="shared" si="21"/>
        <v>17549082.289999999</v>
      </c>
      <c r="K81" s="126">
        <v>25</v>
      </c>
      <c r="L81" s="146">
        <f>IF(K81=0,"",1/K81)</f>
        <v>0.04</v>
      </c>
      <c r="M81" s="135">
        <f>IF(K81=0,"",J81/K81)</f>
        <v>701963.2916</v>
      </c>
      <c r="N81" s="186">
        <v>732713.24</v>
      </c>
      <c r="O81" s="129">
        <f>+M81-N81</f>
        <v>-30749.948399999994</v>
      </c>
      <c r="P81" s="236" t="s">
        <v>95</v>
      </c>
    </row>
    <row r="82" spans="2:16">
      <c r="B82" s="103">
        <v>1611</v>
      </c>
      <c r="C82" s="147">
        <v>1611</v>
      </c>
      <c r="D82" s="151" t="s">
        <v>52</v>
      </c>
      <c r="E82" s="124">
        <v>4953506.92</v>
      </c>
      <c r="F82" s="124"/>
      <c r="G82" s="125">
        <f t="shared" si="20"/>
        <v>4953506.92</v>
      </c>
      <c r="H82" s="124">
        <v>0</v>
      </c>
      <c r="I82" s="124"/>
      <c r="J82" s="124">
        <f t="shared" si="21"/>
        <v>4953506.92</v>
      </c>
      <c r="K82" s="126">
        <v>25</v>
      </c>
      <c r="L82" s="146">
        <f>IF(K82=0,"",1/K82)</f>
        <v>0.04</v>
      </c>
      <c r="M82" s="135">
        <f>IF(K82=0,"",J82/K82)</f>
        <v>198140.27679999999</v>
      </c>
      <c r="N82" s="135">
        <v>288281.38</v>
      </c>
      <c r="O82" s="129">
        <f>+M82-N82</f>
        <v>-90141.103200000012</v>
      </c>
      <c r="P82" s="236" t="s">
        <v>95</v>
      </c>
    </row>
    <row r="83" spans="2:16">
      <c r="C83" s="147"/>
      <c r="D83" s="148"/>
      <c r="E83" s="124"/>
      <c r="F83" s="124"/>
      <c r="G83" s="125">
        <f t="shared" si="20"/>
        <v>0</v>
      </c>
      <c r="H83" s="124"/>
      <c r="I83" s="124"/>
      <c r="J83" s="124">
        <f t="shared" si="21"/>
        <v>0</v>
      </c>
      <c r="K83" s="126"/>
      <c r="L83" s="146" t="str">
        <f>IF(K83=0,"",1/K83)</f>
        <v/>
      </c>
      <c r="M83" s="128" t="str">
        <f>IF(K83=0,"",J83/K83)</f>
        <v/>
      </c>
      <c r="N83" s="128"/>
      <c r="O83" s="129"/>
      <c r="P83" s="236"/>
    </row>
    <row r="84" spans="2:16" ht="13.5" thickBot="1">
      <c r="C84" s="157"/>
      <c r="D84" s="158"/>
      <c r="E84" s="159"/>
      <c r="F84" s="159"/>
      <c r="G84" s="160">
        <f t="shared" si="20"/>
        <v>0</v>
      </c>
      <c r="H84" s="159"/>
      <c r="I84" s="159"/>
      <c r="J84" s="161">
        <f>G84+0.5*H84</f>
        <v>0</v>
      </c>
      <c r="K84" s="162"/>
      <c r="L84" s="163" t="str">
        <f>IF(K84=0,"",1/K84)</f>
        <v/>
      </c>
      <c r="M84" s="164" t="str">
        <f>IF(K84=0,"",J84/K84)</f>
        <v/>
      </c>
      <c r="N84" s="164"/>
      <c r="O84" s="165"/>
      <c r="P84" s="239"/>
    </row>
    <row r="85" spans="2:16" ht="14.25" thickTop="1" thickBot="1">
      <c r="C85" s="166"/>
      <c r="D85" s="167" t="s">
        <v>42</v>
      </c>
      <c r="E85" s="168">
        <f t="shared" ref="E85:J85" si="22">SUM(E16:E84)</f>
        <v>1576864116.4396229</v>
      </c>
      <c r="F85" s="168">
        <f t="shared" si="22"/>
        <v>81335444.289999977</v>
      </c>
      <c r="G85" s="168">
        <f t="shared" si="22"/>
        <v>1495528672.1496232</v>
      </c>
      <c r="H85" s="168">
        <f t="shared" si="22"/>
        <v>126677148.87556574</v>
      </c>
      <c r="I85" s="168">
        <f>SUM(I16:I84)</f>
        <v>-2734108.1446969695</v>
      </c>
      <c r="J85" s="168">
        <f t="shared" si="22"/>
        <v>1557500192.515058</v>
      </c>
      <c r="K85" s="169"/>
      <c r="L85" s="170"/>
      <c r="M85" s="171">
        <f>+M18+M29+M34+M36+M37+M38+M39+M41+M42+M43+M44+M45+M46+M47+M52+M53+M59+M67+M68+M69+M72+M78+M80+M81+M82+M48+M63+M74+M40</f>
        <v>55671515.903168455</v>
      </c>
      <c r="N85" s="171">
        <f>+N18+N29+N34+N36+N37+N38+N39+N41+N42+N43+N44+N45+N46+N47+N52+N53+N59+N67+N68+N69+N72+N78+N80+N81+N82+N48+N63+N74+N40</f>
        <v>61319149.571249239</v>
      </c>
      <c r="O85" s="171">
        <f>+O18+O29+O34+O36+O37+O38+O39+O41+O42+O43+O44+O45+O46+O47+O52+O53+O59+O67+O68+O69+O72+O78+O80+O81+O82+O48+O63+O74+O40</f>
        <v>-5647633.6680807788</v>
      </c>
      <c r="P85" s="172"/>
    </row>
    <row r="86" spans="2:16" ht="15.75" customHeight="1">
      <c r="O86" s="173">
        <f>+M85-N85</f>
        <v>-5647633.6680807844</v>
      </c>
      <c r="P86" s="103" t="s">
        <v>163</v>
      </c>
    </row>
    <row r="87" spans="2:16" ht="11.25" customHeight="1">
      <c r="C87" s="104" t="s">
        <v>43</v>
      </c>
      <c r="D87" s="136"/>
      <c r="E87" s="136"/>
      <c r="F87" s="174"/>
      <c r="G87" s="175"/>
      <c r="H87" s="136"/>
      <c r="I87" s="136"/>
      <c r="J87" s="136"/>
      <c r="K87" s="136"/>
      <c r="L87" s="136"/>
      <c r="M87" s="136"/>
      <c r="N87" s="136"/>
      <c r="O87" s="136"/>
    </row>
    <row r="88" spans="2:16" ht="7.5" customHeight="1">
      <c r="C88" s="136"/>
      <c r="D88" s="136"/>
      <c r="E88" s="136"/>
      <c r="F88" s="136"/>
      <c r="G88" s="136"/>
      <c r="H88" s="136"/>
      <c r="I88" s="136"/>
      <c r="J88" s="136"/>
      <c r="K88" s="136"/>
      <c r="L88" s="136"/>
      <c r="M88" s="136"/>
      <c r="N88" s="136"/>
      <c r="O88" s="136"/>
    </row>
    <row r="89" spans="2:16" ht="12.75" customHeight="1">
      <c r="C89" s="263" t="s">
        <v>151</v>
      </c>
      <c r="D89" s="263"/>
      <c r="E89" s="263"/>
      <c r="F89" s="263"/>
      <c r="G89" s="263"/>
      <c r="H89" s="263"/>
      <c r="I89" s="263"/>
      <c r="J89" s="263"/>
      <c r="K89" s="263"/>
      <c r="L89" s="263"/>
      <c r="M89" s="263"/>
    </row>
    <row r="90" spans="2:16" ht="21" customHeight="1">
      <c r="C90" s="258" t="s">
        <v>97</v>
      </c>
      <c r="D90" s="259"/>
      <c r="E90" s="259"/>
      <c r="F90" s="259"/>
      <c r="G90" s="259"/>
      <c r="H90" s="259"/>
      <c r="I90" s="259"/>
      <c r="J90" s="259"/>
      <c r="K90" s="259"/>
      <c r="L90" s="259"/>
    </row>
    <row r="91" spans="2:16" ht="14.25" customHeight="1">
      <c r="C91" s="260" t="s">
        <v>91</v>
      </c>
      <c r="D91" s="261"/>
      <c r="E91" s="261"/>
      <c r="F91" s="261"/>
      <c r="G91" s="261"/>
      <c r="H91" s="261"/>
      <c r="I91" s="261"/>
      <c r="J91" s="261"/>
      <c r="K91" s="261"/>
      <c r="L91" s="261"/>
    </row>
    <row r="92" spans="2:16" ht="15" customHeight="1">
      <c r="C92" s="261"/>
      <c r="D92" s="261"/>
      <c r="E92" s="261"/>
      <c r="F92" s="261"/>
      <c r="G92" s="261"/>
      <c r="H92" s="261"/>
      <c r="I92" s="261"/>
      <c r="J92" s="261"/>
      <c r="K92" s="261"/>
      <c r="L92" s="261"/>
    </row>
    <row r="93" spans="2:16" ht="15.75" customHeight="1">
      <c r="C93" s="258" t="s">
        <v>152</v>
      </c>
      <c r="D93" s="262"/>
      <c r="E93" s="262"/>
      <c r="F93" s="262"/>
      <c r="G93" s="262"/>
      <c r="H93" s="262"/>
      <c r="I93" s="262"/>
      <c r="J93" s="262"/>
      <c r="K93" s="262"/>
      <c r="L93" s="262"/>
      <c r="M93" s="136"/>
      <c r="N93" s="136"/>
      <c r="O93" s="136"/>
    </row>
    <row r="94" spans="2:16" ht="14.25" customHeight="1">
      <c r="C94" s="258" t="s">
        <v>150</v>
      </c>
      <c r="D94" s="259"/>
      <c r="E94" s="259"/>
      <c r="F94" s="259"/>
      <c r="G94" s="259"/>
      <c r="H94" s="259"/>
      <c r="I94" s="259"/>
      <c r="J94" s="259"/>
      <c r="K94" s="259"/>
      <c r="L94" s="259"/>
      <c r="M94" s="259"/>
      <c r="N94" s="259"/>
      <c r="O94" s="259"/>
    </row>
    <row r="95" spans="2:16">
      <c r="C95" s="136"/>
      <c r="D95" s="176"/>
      <c r="E95" s="176"/>
      <c r="F95" s="176"/>
      <c r="G95" s="176"/>
      <c r="H95" s="176"/>
      <c r="I95" s="176"/>
      <c r="J95" s="176"/>
      <c r="K95" s="176"/>
      <c r="L95" s="176"/>
      <c r="M95" s="176"/>
      <c r="N95" s="176"/>
      <c r="O95" s="176"/>
    </row>
    <row r="96" spans="2:16">
      <c r="C96" s="136"/>
      <c r="D96" s="176"/>
      <c r="E96" s="176"/>
      <c r="F96" s="176"/>
      <c r="G96" s="176"/>
      <c r="H96" s="176"/>
      <c r="I96" s="176"/>
      <c r="J96" s="176"/>
      <c r="K96" s="176"/>
      <c r="L96" s="176"/>
      <c r="M96" s="176"/>
      <c r="N96" s="176"/>
      <c r="O96" s="176"/>
    </row>
  </sheetData>
  <mergeCells count="10">
    <mergeCell ref="C94:O94"/>
    <mergeCell ref="C9:M9"/>
    <mergeCell ref="C10:M10"/>
    <mergeCell ref="C14:C15"/>
    <mergeCell ref="D14:D15"/>
    <mergeCell ref="P14:P15"/>
    <mergeCell ref="C90:L90"/>
    <mergeCell ref="C91:L92"/>
    <mergeCell ref="C93:L93"/>
    <mergeCell ref="C89:M89"/>
  </mergeCells>
  <dataValidations count="2">
    <dataValidation allowBlank="1" showInputMessage="1" showErrorMessage="1" promptTitle="Date Format" prompt="E.g:  &quot;August 1, 2011&quot;" sqref="M7:O7"/>
    <dataValidation type="list" allowBlank="1" showInputMessage="1" showErrorMessage="1" sqref="P16:P84">
      <formula1>"Yes, No"</formula1>
    </dataValidation>
  </dataValidations>
  <printOptions horizontalCentered="1"/>
  <pageMargins left="0" right="0" top="0.13" bottom="0" header="0" footer="0"/>
  <pageSetup paperSize="17" scale="48" orientation="landscape" cellComments="asDisplayed" r:id="rId1"/>
  <headerFooter alignWithMargins="0"/>
  <rowBreaks count="1" manualBreakCount="1">
    <brk id="5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96"/>
  <sheetViews>
    <sheetView showGridLines="0" topLeftCell="E1" zoomScaleNormal="100" workbookViewId="0">
      <selection activeCell="M5" sqref="M5"/>
    </sheetView>
  </sheetViews>
  <sheetFormatPr defaultRowHeight="12.75"/>
  <cols>
    <col min="1" max="1" width="2.7109375" style="103" customWidth="1"/>
    <col min="2" max="2" width="7.42578125" style="103" customWidth="1"/>
    <col min="3" max="3" width="9.140625" style="103"/>
    <col min="4" max="4" width="38.5703125" style="103" customWidth="1"/>
    <col min="5" max="5" width="17.140625" style="103" customWidth="1"/>
    <col min="6" max="6" width="14" style="103" customWidth="1"/>
    <col min="7" max="7" width="16.5703125" style="103" customWidth="1"/>
    <col min="8" max="8" width="13.7109375" style="103" customWidth="1"/>
    <col min="9" max="9" width="13.42578125" style="103" customWidth="1"/>
    <col min="10" max="10" width="17.85546875" style="103" customWidth="1"/>
    <col min="11" max="11" width="7.7109375" style="103" customWidth="1"/>
    <col min="12" max="12" width="12.28515625" style="103" customWidth="1"/>
    <col min="13" max="13" width="15.140625" style="103" bestFit="1" customWidth="1"/>
    <col min="14" max="15" width="15" style="103" customWidth="1"/>
    <col min="16" max="16" width="15.85546875" style="103" customWidth="1"/>
    <col min="17" max="16384" width="9.140625" style="103"/>
  </cols>
  <sheetData>
    <row r="1" spans="2:16">
      <c r="K1" s="104" t="s">
        <v>0</v>
      </c>
      <c r="M1" s="105" t="s">
        <v>128</v>
      </c>
      <c r="N1" s="105"/>
      <c r="O1" s="105"/>
    </row>
    <row r="2" spans="2:16">
      <c r="K2" s="104" t="s">
        <v>1</v>
      </c>
      <c r="M2" s="105" t="s">
        <v>148</v>
      </c>
      <c r="N2" s="105"/>
      <c r="O2" s="105"/>
    </row>
    <row r="3" spans="2:16">
      <c r="K3" s="104" t="s">
        <v>2</v>
      </c>
      <c r="M3" s="106"/>
      <c r="N3" s="105"/>
      <c r="O3" s="105"/>
    </row>
    <row r="4" spans="2:16">
      <c r="K4" s="104" t="s">
        <v>3</v>
      </c>
      <c r="M4" s="105"/>
      <c r="N4" s="105"/>
      <c r="O4" s="105"/>
    </row>
    <row r="5" spans="2:16">
      <c r="K5" s="104" t="s">
        <v>4</v>
      </c>
      <c r="M5" s="105"/>
      <c r="N5" s="105"/>
      <c r="O5" s="105"/>
    </row>
    <row r="6" spans="2:16">
      <c r="K6" s="104"/>
    </row>
    <row r="7" spans="2:16">
      <c r="K7" s="104" t="s">
        <v>5</v>
      </c>
      <c r="M7" s="107" t="s">
        <v>153</v>
      </c>
      <c r="N7" s="107"/>
      <c r="O7" s="107"/>
    </row>
    <row r="9" spans="2:16" ht="18">
      <c r="C9" s="264" t="s">
        <v>148</v>
      </c>
      <c r="D9" s="264"/>
      <c r="E9" s="264"/>
      <c r="F9" s="264"/>
      <c r="G9" s="264"/>
      <c r="H9" s="264"/>
      <c r="I9" s="264"/>
      <c r="J9" s="264"/>
      <c r="K9" s="264"/>
      <c r="L9" s="264"/>
      <c r="M9" s="264"/>
      <c r="N9" s="108"/>
      <c r="O9" s="108"/>
    </row>
    <row r="10" spans="2:16" ht="18">
      <c r="C10" s="264" t="s">
        <v>6</v>
      </c>
      <c r="D10" s="264"/>
      <c r="E10" s="264"/>
      <c r="F10" s="264"/>
      <c r="G10" s="264"/>
      <c r="H10" s="264"/>
      <c r="I10" s="264"/>
      <c r="J10" s="264"/>
      <c r="K10" s="264"/>
      <c r="L10" s="264"/>
      <c r="M10" s="264"/>
      <c r="N10" s="108"/>
      <c r="O10" s="108"/>
    </row>
    <row r="11" spans="2:16" ht="13.5" customHeight="1">
      <c r="C11" s="108"/>
      <c r="D11" s="108"/>
      <c r="E11" s="108"/>
      <c r="F11" s="108"/>
      <c r="G11" s="108"/>
      <c r="H11" s="108"/>
      <c r="I11" s="108"/>
      <c r="J11" s="108"/>
      <c r="K11" s="108"/>
      <c r="L11" s="108"/>
      <c r="M11" s="108"/>
      <c r="N11" s="108"/>
      <c r="O11" s="108"/>
    </row>
    <row r="12" spans="2:16" ht="13.5" customHeight="1">
      <c r="C12" s="108"/>
      <c r="D12" s="108"/>
      <c r="E12" s="108"/>
      <c r="F12" s="109" t="s">
        <v>7</v>
      </c>
      <c r="G12" s="110">
        <v>2019</v>
      </c>
      <c r="H12" s="111" t="s">
        <v>54</v>
      </c>
      <c r="I12" s="111"/>
      <c r="J12" s="108"/>
      <c r="K12" s="108"/>
      <c r="L12" s="108"/>
      <c r="M12" s="108"/>
      <c r="N12" s="108"/>
      <c r="O12" s="108"/>
    </row>
    <row r="13" spans="2:16" ht="13.5" thickBot="1"/>
    <row r="14" spans="2:16" ht="39" customHeight="1">
      <c r="B14" s="103" t="s">
        <v>113</v>
      </c>
      <c r="C14" s="265" t="s">
        <v>8</v>
      </c>
      <c r="D14" s="267" t="s">
        <v>9</v>
      </c>
      <c r="E14" s="112" t="s">
        <v>122</v>
      </c>
      <c r="F14" s="113" t="s">
        <v>10</v>
      </c>
      <c r="G14" s="114" t="s">
        <v>11</v>
      </c>
      <c r="H14" s="114" t="s">
        <v>12</v>
      </c>
      <c r="I14" s="114" t="s">
        <v>81</v>
      </c>
      <c r="J14" s="114" t="s">
        <v>84</v>
      </c>
      <c r="K14" s="114" t="s">
        <v>13</v>
      </c>
      <c r="L14" s="114" t="s">
        <v>14</v>
      </c>
      <c r="M14" s="114" t="s">
        <v>123</v>
      </c>
      <c r="N14" s="114" t="s">
        <v>124</v>
      </c>
      <c r="O14" s="115" t="s">
        <v>98</v>
      </c>
      <c r="P14" s="256" t="s">
        <v>162</v>
      </c>
    </row>
    <row r="15" spans="2:16" ht="32.25" customHeight="1">
      <c r="C15" s="266"/>
      <c r="D15" s="268"/>
      <c r="E15" s="116" t="s">
        <v>15</v>
      </c>
      <c r="F15" s="116" t="s">
        <v>16</v>
      </c>
      <c r="G15" s="117" t="s">
        <v>17</v>
      </c>
      <c r="H15" s="117" t="s">
        <v>18</v>
      </c>
      <c r="I15" s="118" t="s">
        <v>19</v>
      </c>
      <c r="J15" s="119" t="s">
        <v>138</v>
      </c>
      <c r="K15" s="117" t="s">
        <v>19</v>
      </c>
      <c r="L15" s="117" t="s">
        <v>20</v>
      </c>
      <c r="M15" s="117" t="s">
        <v>21</v>
      </c>
      <c r="N15" s="117" t="s">
        <v>99</v>
      </c>
      <c r="O15" s="120" t="s">
        <v>100</v>
      </c>
      <c r="P15" s="257"/>
    </row>
    <row r="16" spans="2:16">
      <c r="B16" s="103">
        <v>1805</v>
      </c>
      <c r="C16" s="122">
        <v>1805</v>
      </c>
      <c r="D16" s="123" t="s">
        <v>22</v>
      </c>
      <c r="E16" s="124">
        <v>26444319.759999998</v>
      </c>
      <c r="F16" s="124"/>
      <c r="G16" s="125">
        <f t="shared" ref="G16:G28" si="0">E16-F16</f>
        <v>26444319.759999998</v>
      </c>
      <c r="H16" s="124">
        <v>758293.6</v>
      </c>
      <c r="I16" s="124"/>
      <c r="J16" s="124">
        <f>G16+0.5*H16+0.5*I16</f>
        <v>26823466.559999999</v>
      </c>
      <c r="K16" s="126">
        <v>0</v>
      </c>
      <c r="L16" s="127" t="str">
        <f>IF(K16=0,"",1/K16)</f>
        <v/>
      </c>
      <c r="M16" s="128" t="str">
        <f t="shared" ref="M16:M48" si="1">IF(K16=0,"",J16/K16)</f>
        <v/>
      </c>
      <c r="N16" s="128"/>
      <c r="O16" s="129"/>
      <c r="P16" s="236"/>
    </row>
    <row r="17" spans="2:16">
      <c r="B17" s="103">
        <v>1806</v>
      </c>
      <c r="C17" s="130">
        <v>1806</v>
      </c>
      <c r="D17" s="131" t="s">
        <v>32</v>
      </c>
      <c r="E17" s="124">
        <v>1007351.7999999999</v>
      </c>
      <c r="F17" s="124"/>
      <c r="G17" s="125">
        <f t="shared" si="0"/>
        <v>1007351.7999999999</v>
      </c>
      <c r="H17" s="124">
        <v>35412.240000000005</v>
      </c>
      <c r="I17" s="124"/>
      <c r="J17" s="124">
        <f t="shared" ref="J17:J28" si="2">G17+0.5*H17+0.5*I17</f>
        <v>1025057.9199999999</v>
      </c>
      <c r="K17" s="126">
        <v>0</v>
      </c>
      <c r="L17" s="127"/>
      <c r="M17" s="128" t="str">
        <f t="shared" si="1"/>
        <v/>
      </c>
      <c r="N17" s="128"/>
      <c r="O17" s="129"/>
      <c r="P17" s="236"/>
    </row>
    <row r="18" spans="2:16">
      <c r="B18" s="103">
        <v>1808</v>
      </c>
      <c r="C18" s="130">
        <v>1808</v>
      </c>
      <c r="D18" s="132" t="s">
        <v>23</v>
      </c>
      <c r="E18" s="124">
        <v>7237890.7000000011</v>
      </c>
      <c r="F18" s="124"/>
      <c r="G18" s="125">
        <f t="shared" si="0"/>
        <v>7237890.7000000011</v>
      </c>
      <c r="H18" s="124">
        <v>136986.64000000001</v>
      </c>
      <c r="I18" s="124"/>
      <c r="J18" s="124">
        <f t="shared" si="2"/>
        <v>7306384.0200000014</v>
      </c>
      <c r="K18" s="126">
        <v>40</v>
      </c>
      <c r="L18" s="127">
        <f t="shared" ref="L18:L80" si="3">IF(K18=0,"",1/K18)</f>
        <v>2.5000000000000001E-2</v>
      </c>
      <c r="M18" s="128">
        <f t="shared" si="1"/>
        <v>182659.60050000003</v>
      </c>
      <c r="N18" s="128">
        <v>226986.28325000004</v>
      </c>
      <c r="O18" s="129">
        <f>+M18-N18</f>
        <v>-44326.682750000007</v>
      </c>
      <c r="P18" s="237" t="s">
        <v>95</v>
      </c>
    </row>
    <row r="19" spans="2:16">
      <c r="B19" s="103">
        <v>1810</v>
      </c>
      <c r="C19" s="130">
        <v>1810</v>
      </c>
      <c r="D19" s="131" t="s">
        <v>53</v>
      </c>
      <c r="E19" s="124">
        <v>9878496.4900000002</v>
      </c>
      <c r="F19" s="124"/>
      <c r="G19" s="125"/>
      <c r="H19" s="124"/>
      <c r="I19" s="124"/>
      <c r="J19" s="124">
        <f t="shared" si="2"/>
        <v>0</v>
      </c>
      <c r="K19" s="126">
        <v>0</v>
      </c>
      <c r="L19" s="127" t="str">
        <f t="shared" si="3"/>
        <v/>
      </c>
      <c r="M19" s="128" t="str">
        <f t="shared" si="1"/>
        <v/>
      </c>
      <c r="N19" s="128"/>
      <c r="O19" s="129"/>
      <c r="P19" s="236"/>
    </row>
    <row r="20" spans="2:16" ht="22.5" customHeight="1">
      <c r="B20" s="103">
        <v>1815</v>
      </c>
      <c r="C20" s="130">
        <v>1815</v>
      </c>
      <c r="D20" s="132" t="s">
        <v>24</v>
      </c>
      <c r="E20" s="124">
        <v>-1109968.8244504707</v>
      </c>
      <c r="F20" s="124"/>
      <c r="G20" s="125">
        <f t="shared" si="0"/>
        <v>-1109968.8244504707</v>
      </c>
      <c r="H20" s="124">
        <v>-45973.778695000103</v>
      </c>
      <c r="I20" s="124"/>
      <c r="J20" s="124">
        <f t="shared" si="2"/>
        <v>-1132955.7137979707</v>
      </c>
      <c r="K20" s="126">
        <v>40</v>
      </c>
      <c r="L20" s="127">
        <f t="shared" si="3"/>
        <v>2.5000000000000001E-2</v>
      </c>
      <c r="M20" s="128">
        <f t="shared" si="1"/>
        <v>-28323.892844949267</v>
      </c>
      <c r="N20" s="128">
        <v>-27124.808969949336</v>
      </c>
      <c r="O20" s="129">
        <f t="shared" ref="O20:O33" si="4">+M20-N20</f>
        <v>-1199.0838749999311</v>
      </c>
      <c r="P20" s="236" t="s">
        <v>95</v>
      </c>
    </row>
    <row r="21" spans="2:16" s="136" customFormat="1">
      <c r="B21" s="136">
        <v>1816</v>
      </c>
      <c r="C21" s="130">
        <v>1815</v>
      </c>
      <c r="D21" s="131" t="s">
        <v>55</v>
      </c>
      <c r="E21" s="124">
        <v>33299865.373760737</v>
      </c>
      <c r="F21" s="125"/>
      <c r="G21" s="125">
        <f t="shared" si="0"/>
        <v>33299865.373760737</v>
      </c>
      <c r="H21" s="125">
        <v>897968.13677576114</v>
      </c>
      <c r="I21" s="125"/>
      <c r="J21" s="124">
        <f t="shared" si="2"/>
        <v>33748849.442148618</v>
      </c>
      <c r="K21" s="133">
        <v>40</v>
      </c>
      <c r="L21" s="134">
        <f t="shared" si="3"/>
        <v>2.5000000000000001E-2</v>
      </c>
      <c r="M21" s="135">
        <f t="shared" si="1"/>
        <v>843721.23605371546</v>
      </c>
      <c r="N21" s="135">
        <v>915225.08255371545</v>
      </c>
      <c r="O21" s="129">
        <f t="shared" si="4"/>
        <v>-71503.846499999985</v>
      </c>
      <c r="P21" s="238" t="s">
        <v>95</v>
      </c>
    </row>
    <row r="22" spans="2:16">
      <c r="B22" s="103">
        <v>1817</v>
      </c>
      <c r="C22" s="130">
        <v>1815</v>
      </c>
      <c r="D22" s="132" t="s">
        <v>56</v>
      </c>
      <c r="E22" s="124">
        <v>10273444.899999999</v>
      </c>
      <c r="F22" s="124">
        <v>2060468.9899999998</v>
      </c>
      <c r="G22" s="125">
        <f t="shared" si="0"/>
        <v>8212975.9099999983</v>
      </c>
      <c r="H22" s="124">
        <v>8816.76</v>
      </c>
      <c r="I22" s="124"/>
      <c r="J22" s="124">
        <f t="shared" si="2"/>
        <v>8217384.2899999982</v>
      </c>
      <c r="K22" s="150">
        <v>25</v>
      </c>
      <c r="L22" s="127">
        <f t="shared" si="3"/>
        <v>0.04</v>
      </c>
      <c r="M22" s="135">
        <f t="shared" si="1"/>
        <v>328695.37159999995</v>
      </c>
      <c r="N22" s="135">
        <v>398393.65500000003</v>
      </c>
      <c r="O22" s="129">
        <f t="shared" si="4"/>
        <v>-69698.283400000073</v>
      </c>
      <c r="P22" s="236" t="s">
        <v>95</v>
      </c>
    </row>
    <row r="23" spans="2:16">
      <c r="B23" s="103">
        <v>1818</v>
      </c>
      <c r="C23" s="130">
        <v>1815</v>
      </c>
      <c r="D23" s="132" t="s">
        <v>57</v>
      </c>
      <c r="E23" s="124">
        <v>40774472.451867312</v>
      </c>
      <c r="F23" s="124"/>
      <c r="G23" s="125">
        <f t="shared" si="0"/>
        <v>40774472.451867312</v>
      </c>
      <c r="H23" s="124">
        <v>0</v>
      </c>
      <c r="I23" s="124"/>
      <c r="J23" s="124">
        <f t="shared" si="2"/>
        <v>40774472.451867312</v>
      </c>
      <c r="K23" s="126">
        <v>40</v>
      </c>
      <c r="L23" s="127">
        <f t="shared" si="3"/>
        <v>2.5000000000000001E-2</v>
      </c>
      <c r="M23" s="135">
        <f t="shared" si="1"/>
        <v>1019361.8112966828</v>
      </c>
      <c r="N23" s="135">
        <v>1342594.1356716827</v>
      </c>
      <c r="O23" s="129">
        <f t="shared" si="4"/>
        <v>-323232.32437499985</v>
      </c>
      <c r="P23" s="236" t="s">
        <v>95</v>
      </c>
    </row>
    <row r="24" spans="2:16">
      <c r="B24" s="103">
        <v>1819</v>
      </c>
      <c r="C24" s="130">
        <v>1815</v>
      </c>
      <c r="D24" s="132" t="s">
        <v>58</v>
      </c>
      <c r="E24" s="124">
        <v>7026206.370000002</v>
      </c>
      <c r="F24" s="124"/>
      <c r="G24" s="125">
        <f t="shared" si="0"/>
        <v>7026206.370000002</v>
      </c>
      <c r="H24" s="124">
        <v>14220.199999999999</v>
      </c>
      <c r="I24" s="124"/>
      <c r="J24" s="124">
        <f t="shared" si="2"/>
        <v>7033316.4700000016</v>
      </c>
      <c r="K24" s="126">
        <v>40</v>
      </c>
      <c r="L24" s="127">
        <f t="shared" si="3"/>
        <v>2.5000000000000001E-2</v>
      </c>
      <c r="M24" s="135">
        <f t="shared" si="1"/>
        <v>175832.91175000003</v>
      </c>
      <c r="N24" s="135">
        <v>228093.34537500006</v>
      </c>
      <c r="O24" s="129">
        <f t="shared" si="4"/>
        <v>-52260.433625000034</v>
      </c>
      <c r="P24" s="236" t="s">
        <v>95</v>
      </c>
    </row>
    <row r="25" spans="2:16">
      <c r="B25" s="103">
        <v>1821</v>
      </c>
      <c r="C25" s="130">
        <v>1815</v>
      </c>
      <c r="D25" s="132" t="s">
        <v>59</v>
      </c>
      <c r="E25" s="124">
        <v>4856018.4578235541</v>
      </c>
      <c r="F25" s="124"/>
      <c r="G25" s="125">
        <f t="shared" si="0"/>
        <v>4856018.4578235541</v>
      </c>
      <c r="H25" s="124">
        <v>119861.36</v>
      </c>
      <c r="I25" s="124"/>
      <c r="J25" s="124">
        <f t="shared" si="2"/>
        <v>4915949.1378235538</v>
      </c>
      <c r="K25" s="126">
        <v>40</v>
      </c>
      <c r="L25" s="127">
        <f t="shared" si="3"/>
        <v>2.5000000000000001E-2</v>
      </c>
      <c r="M25" s="135">
        <f t="shared" si="1"/>
        <v>122898.72844558884</v>
      </c>
      <c r="N25" s="135">
        <f>4147.69969558885+161870</f>
        <v>166017.69969558885</v>
      </c>
      <c r="O25" s="129">
        <f t="shared" si="4"/>
        <v>-43118.971250000002</v>
      </c>
      <c r="P25" s="236" t="s">
        <v>95</v>
      </c>
    </row>
    <row r="26" spans="2:16">
      <c r="B26" s="103">
        <v>1822</v>
      </c>
      <c r="C26" s="130">
        <v>1815</v>
      </c>
      <c r="D26" s="132" t="s">
        <v>60</v>
      </c>
      <c r="E26" s="124">
        <v>8978857.7642488293</v>
      </c>
      <c r="F26" s="124">
        <v>1059931.7</v>
      </c>
      <c r="G26" s="125">
        <f t="shared" si="0"/>
        <v>7918926.0642488291</v>
      </c>
      <c r="H26" s="124">
        <v>1096819.1373412898</v>
      </c>
      <c r="I26" s="124"/>
      <c r="J26" s="124">
        <f t="shared" si="2"/>
        <v>8467335.6329194736</v>
      </c>
      <c r="K26" s="126">
        <v>20</v>
      </c>
      <c r="L26" s="127">
        <f t="shared" si="3"/>
        <v>0.05</v>
      </c>
      <c r="M26" s="135">
        <f t="shared" si="1"/>
        <v>423366.78164597368</v>
      </c>
      <c r="N26" s="135">
        <f>369492.460145974+135655</f>
        <v>505147.46014597401</v>
      </c>
      <c r="O26" s="129">
        <f t="shared" si="4"/>
        <v>-81780.678500000329</v>
      </c>
      <c r="P26" s="236" t="s">
        <v>95</v>
      </c>
    </row>
    <row r="27" spans="2:16">
      <c r="B27" s="103">
        <v>1823</v>
      </c>
      <c r="C27" s="130">
        <v>1815</v>
      </c>
      <c r="D27" s="132" t="s">
        <v>61</v>
      </c>
      <c r="E27" s="124">
        <v>29370410.010000002</v>
      </c>
      <c r="F27" s="124">
        <v>1203135.51</v>
      </c>
      <c r="G27" s="125">
        <f t="shared" si="0"/>
        <v>28167274.5</v>
      </c>
      <c r="H27" s="124">
        <v>2145854.0199999996</v>
      </c>
      <c r="I27" s="124"/>
      <c r="J27" s="124">
        <f t="shared" si="2"/>
        <v>29240201.509999998</v>
      </c>
      <c r="K27" s="126">
        <v>30</v>
      </c>
      <c r="L27" s="127">
        <f t="shared" si="3"/>
        <v>3.3333333333333333E-2</v>
      </c>
      <c r="M27" s="135">
        <f t="shared" si="1"/>
        <v>974673.38366666657</v>
      </c>
      <c r="N27" s="135">
        <f>595429.5455+663670</f>
        <v>1259099.5455</v>
      </c>
      <c r="O27" s="129">
        <f t="shared" si="4"/>
        <v>-284426.16183333343</v>
      </c>
      <c r="P27" s="236" t="s">
        <v>95</v>
      </c>
    </row>
    <row r="28" spans="2:16">
      <c r="B28" s="103">
        <v>1824</v>
      </c>
      <c r="C28" s="130">
        <v>1815</v>
      </c>
      <c r="D28" s="132" t="s">
        <v>62</v>
      </c>
      <c r="E28" s="124">
        <v>5401989.96</v>
      </c>
      <c r="F28" s="124">
        <v>267363.44</v>
      </c>
      <c r="G28" s="125">
        <f t="shared" si="0"/>
        <v>5134626.5199999996</v>
      </c>
      <c r="H28" s="124">
        <v>24920.05</v>
      </c>
      <c r="I28" s="124"/>
      <c r="J28" s="124">
        <f t="shared" si="2"/>
        <v>5147086.5449999999</v>
      </c>
      <c r="K28" s="126">
        <v>30</v>
      </c>
      <c r="L28" s="127">
        <f t="shared" si="3"/>
        <v>3.3333333333333333E-2</v>
      </c>
      <c r="M28" s="135">
        <f t="shared" si="1"/>
        <v>171569.5515</v>
      </c>
      <c r="N28" s="135">
        <f>944775.9725-755678</f>
        <v>189097.97250000003</v>
      </c>
      <c r="O28" s="129">
        <f t="shared" si="4"/>
        <v>-17528.421000000031</v>
      </c>
      <c r="P28" s="236" t="s">
        <v>95</v>
      </c>
    </row>
    <row r="29" spans="2:16" ht="24.75" customHeight="1">
      <c r="C29" s="137"/>
      <c r="D29" s="138"/>
      <c r="E29" s="139"/>
      <c r="F29" s="139"/>
      <c r="G29" s="140"/>
      <c r="H29" s="139"/>
      <c r="I29" s="139"/>
      <c r="J29" s="141" t="s">
        <v>86</v>
      </c>
      <c r="K29" s="142"/>
      <c r="L29" s="143"/>
      <c r="M29" s="125">
        <f>SUM(M20:M28)</f>
        <v>4031795.8831136785</v>
      </c>
      <c r="N29" s="125">
        <f>SUM(N20:N28)</f>
        <v>4976544.0874720123</v>
      </c>
      <c r="O29" s="129">
        <f>+M29-N29</f>
        <v>-944748.20435833372</v>
      </c>
      <c r="P29" s="236"/>
    </row>
    <row r="30" spans="2:16" ht="20.25" customHeight="1">
      <c r="B30" s="103">
        <v>1820</v>
      </c>
      <c r="C30" s="144">
        <v>1820</v>
      </c>
      <c r="D30" s="145" t="s">
        <v>25</v>
      </c>
      <c r="E30" s="124">
        <v>-12474386.1042662</v>
      </c>
      <c r="F30" s="124"/>
      <c r="G30" s="125">
        <f>E30-F30</f>
        <v>-12474386.1042662</v>
      </c>
      <c r="H30" s="124">
        <v>10383398.356161229</v>
      </c>
      <c r="I30" s="124"/>
      <c r="J30" s="124">
        <f t="shared" ref="J30:J33" si="5">G30+0.5*H30+0.5*I30</f>
        <v>-7282686.9261855856</v>
      </c>
      <c r="K30" s="126">
        <v>30</v>
      </c>
      <c r="L30" s="146">
        <f t="shared" si="3"/>
        <v>3.3333333333333333E-2</v>
      </c>
      <c r="M30" s="135">
        <f t="shared" si="1"/>
        <v>-242756.23087285284</v>
      </c>
      <c r="N30" s="135">
        <f>-67590.4220395194-205517</f>
        <v>-273107.42203951941</v>
      </c>
      <c r="O30" s="129">
        <f t="shared" si="4"/>
        <v>30351.191166666569</v>
      </c>
      <c r="P30" s="236" t="s">
        <v>95</v>
      </c>
    </row>
    <row r="31" spans="2:16">
      <c r="B31" s="103">
        <v>1826</v>
      </c>
      <c r="C31" s="147">
        <v>1820</v>
      </c>
      <c r="D31" s="132" t="s">
        <v>63</v>
      </c>
      <c r="E31" s="124">
        <v>38614954.25999999</v>
      </c>
      <c r="F31" s="124"/>
      <c r="G31" s="125">
        <f>E31-F31</f>
        <v>38614954.25999999</v>
      </c>
      <c r="H31" s="124">
        <v>1559501.0000000002</v>
      </c>
      <c r="I31" s="124"/>
      <c r="J31" s="124">
        <f t="shared" si="5"/>
        <v>39394704.75999999</v>
      </c>
      <c r="K31" s="126">
        <v>40</v>
      </c>
      <c r="L31" s="146">
        <f t="shared" si="3"/>
        <v>2.5000000000000001E-2</v>
      </c>
      <c r="M31" s="135">
        <f t="shared" si="1"/>
        <v>984867.61899999972</v>
      </c>
      <c r="N31" s="135">
        <v>1053459.6447500002</v>
      </c>
      <c r="O31" s="129">
        <f t="shared" si="4"/>
        <v>-68592.025750000495</v>
      </c>
      <c r="P31" s="236" t="s">
        <v>95</v>
      </c>
    </row>
    <row r="32" spans="2:16">
      <c r="B32" s="103">
        <v>1827</v>
      </c>
      <c r="C32" s="147">
        <v>1820</v>
      </c>
      <c r="D32" s="132" t="s">
        <v>64</v>
      </c>
      <c r="E32" s="124">
        <v>10952881.204309696</v>
      </c>
      <c r="F32" s="124">
        <v>1670539.4900000002</v>
      </c>
      <c r="G32" s="125">
        <f>E32-F32</f>
        <v>9282341.7143096961</v>
      </c>
      <c r="H32" s="124">
        <v>284552.61588294926</v>
      </c>
      <c r="I32" s="124"/>
      <c r="J32" s="124">
        <f t="shared" si="5"/>
        <v>9424618.0222511701</v>
      </c>
      <c r="K32" s="126">
        <v>20</v>
      </c>
      <c r="L32" s="146">
        <f t="shared" si="3"/>
        <v>0.05</v>
      </c>
      <c r="M32" s="135">
        <f t="shared" si="1"/>
        <v>471230.90111255849</v>
      </c>
      <c r="N32" s="135">
        <v>700560.18161255866</v>
      </c>
      <c r="O32" s="129">
        <f t="shared" si="4"/>
        <v>-229329.28050000017</v>
      </c>
      <c r="P32" s="236" t="s">
        <v>95</v>
      </c>
    </row>
    <row r="33" spans="2:16">
      <c r="B33" s="103">
        <v>1828</v>
      </c>
      <c r="C33" s="147">
        <v>1820</v>
      </c>
      <c r="D33" s="132" t="s">
        <v>65</v>
      </c>
      <c r="E33" s="124">
        <v>4176643.6300000004</v>
      </c>
      <c r="F33" s="124">
        <v>136062.46</v>
      </c>
      <c r="G33" s="125">
        <f>E33-F33</f>
        <v>4040581.1700000004</v>
      </c>
      <c r="H33" s="124">
        <v>810486.26999999967</v>
      </c>
      <c r="I33" s="124"/>
      <c r="J33" s="124">
        <f t="shared" si="5"/>
        <v>4445824.3050000006</v>
      </c>
      <c r="K33" s="126">
        <v>30</v>
      </c>
      <c r="L33" s="146">
        <f t="shared" si="3"/>
        <v>3.3333333333333333E-2</v>
      </c>
      <c r="M33" s="135">
        <f t="shared" si="1"/>
        <v>148194.14350000003</v>
      </c>
      <c r="N33" s="135">
        <v>186343.81216666702</v>
      </c>
      <c r="O33" s="129">
        <f t="shared" si="4"/>
        <v>-38149.668666666985</v>
      </c>
      <c r="P33" s="236" t="s">
        <v>95</v>
      </c>
    </row>
    <row r="34" spans="2:16" ht="20.25" customHeight="1">
      <c r="C34" s="137"/>
      <c r="D34" s="138"/>
      <c r="E34" s="139"/>
      <c r="F34" s="139"/>
      <c r="G34" s="140"/>
      <c r="H34" s="139"/>
      <c r="I34" s="139"/>
      <c r="J34" s="141" t="s">
        <v>87</v>
      </c>
      <c r="K34" s="142"/>
      <c r="L34" s="143"/>
      <c r="M34" s="125">
        <f>SUM(M30:M33)</f>
        <v>1361536.4327397053</v>
      </c>
      <c r="N34" s="125">
        <f>SUM(N30:N33)</f>
        <v>1667256.2164897067</v>
      </c>
      <c r="O34" s="129">
        <f>+M34-N34</f>
        <v>-305719.78375000134</v>
      </c>
      <c r="P34" s="236"/>
    </row>
    <row r="35" spans="2:16" ht="24" customHeight="1">
      <c r="B35" s="103">
        <v>1825</v>
      </c>
      <c r="C35" s="147">
        <v>1825</v>
      </c>
      <c r="D35" s="148" t="s">
        <v>26</v>
      </c>
      <c r="E35" s="124">
        <v>0</v>
      </c>
      <c r="F35" s="124"/>
      <c r="G35" s="125">
        <f t="shared" ref="G35:G51" si="6">E35-F35</f>
        <v>0</v>
      </c>
      <c r="H35" s="124">
        <v>0</v>
      </c>
      <c r="I35" s="124"/>
      <c r="J35" s="124">
        <f t="shared" ref="J35:J51" si="7">G35+0.5*H35+0.5*I35</f>
        <v>0</v>
      </c>
      <c r="K35" s="126">
        <v>0</v>
      </c>
      <c r="L35" s="146" t="str">
        <f t="shared" si="3"/>
        <v/>
      </c>
      <c r="M35" s="135" t="str">
        <f t="shared" si="1"/>
        <v/>
      </c>
      <c r="N35" s="135">
        <v>0</v>
      </c>
      <c r="O35" s="149"/>
      <c r="P35" s="236"/>
    </row>
    <row r="36" spans="2:16">
      <c r="B36" s="103">
        <v>1830</v>
      </c>
      <c r="C36" s="147">
        <v>1830</v>
      </c>
      <c r="D36" s="148" t="s">
        <v>27</v>
      </c>
      <c r="E36" s="124">
        <v>230731049.94226712</v>
      </c>
      <c r="F36" s="124"/>
      <c r="G36" s="125">
        <f t="shared" si="6"/>
        <v>230731049.94226712</v>
      </c>
      <c r="H36" s="124">
        <v>18248714.733686544</v>
      </c>
      <c r="I36" s="124">
        <v>-86967</v>
      </c>
      <c r="J36" s="124">
        <f t="shared" si="7"/>
        <v>239811923.8091104</v>
      </c>
      <c r="K36" s="150">
        <v>45</v>
      </c>
      <c r="L36" s="146">
        <f t="shared" si="3"/>
        <v>2.2222222222222223E-2</v>
      </c>
      <c r="M36" s="135">
        <f t="shared" si="1"/>
        <v>5329153.8624246754</v>
      </c>
      <c r="N36" s="135">
        <v>5553001.1448691171</v>
      </c>
      <c r="O36" s="129">
        <f t="shared" ref="O36:O51" si="8">+M36-N36</f>
        <v>-223847.28244444169</v>
      </c>
      <c r="P36" s="236" t="s">
        <v>95</v>
      </c>
    </row>
    <row r="37" spans="2:16">
      <c r="B37" s="103">
        <v>1835</v>
      </c>
      <c r="C37" s="147">
        <v>1835</v>
      </c>
      <c r="D37" s="148" t="s">
        <v>28</v>
      </c>
      <c r="E37" s="124">
        <f>206654354.416891+1277</f>
        <v>206655631.41689101</v>
      </c>
      <c r="F37" s="124"/>
      <c r="G37" s="125">
        <f t="shared" si="6"/>
        <v>206655631.41689101</v>
      </c>
      <c r="H37" s="124">
        <v>29343567.889645562</v>
      </c>
      <c r="I37" s="124">
        <v>-130287.935</v>
      </c>
      <c r="J37" s="124">
        <f t="shared" si="7"/>
        <v>221262271.3942138</v>
      </c>
      <c r="K37" s="150">
        <v>40</v>
      </c>
      <c r="L37" s="146">
        <f t="shared" si="3"/>
        <v>2.5000000000000001E-2</v>
      </c>
      <c r="M37" s="135">
        <f t="shared" si="1"/>
        <v>5531556.7848553453</v>
      </c>
      <c r="N37" s="135">
        <f>5912647.76104283+4305</f>
        <v>5916952.7610428296</v>
      </c>
      <c r="O37" s="129">
        <f t="shared" si="8"/>
        <v>-385395.97618748434</v>
      </c>
      <c r="P37" s="236" t="s">
        <v>95</v>
      </c>
    </row>
    <row r="38" spans="2:16">
      <c r="B38" s="103">
        <v>1840</v>
      </c>
      <c r="C38" s="147">
        <v>1840</v>
      </c>
      <c r="D38" s="148" t="s">
        <v>29</v>
      </c>
      <c r="E38" s="124">
        <v>125912777.21446486</v>
      </c>
      <c r="F38" s="124">
        <v>577808.40999999992</v>
      </c>
      <c r="G38" s="125">
        <f t="shared" si="6"/>
        <v>125334968.80446486</v>
      </c>
      <c r="H38" s="124">
        <v>7231605.0972015485</v>
      </c>
      <c r="I38" s="124"/>
      <c r="J38" s="124">
        <f t="shared" si="7"/>
        <v>128950771.35306564</v>
      </c>
      <c r="K38" s="150">
        <v>60</v>
      </c>
      <c r="L38" s="146">
        <f t="shared" si="3"/>
        <v>1.6666666666666666E-2</v>
      </c>
      <c r="M38" s="135">
        <f t="shared" si="1"/>
        <v>2149179.5225510942</v>
      </c>
      <c r="N38" s="135">
        <v>2245164.5226344224</v>
      </c>
      <c r="O38" s="129">
        <f t="shared" si="8"/>
        <v>-95985.000083328225</v>
      </c>
      <c r="P38" s="236" t="s">
        <v>95</v>
      </c>
    </row>
    <row r="39" spans="2:16">
      <c r="B39" s="103">
        <v>1845</v>
      </c>
      <c r="C39" s="147">
        <v>1845</v>
      </c>
      <c r="D39" s="148" t="s">
        <v>30</v>
      </c>
      <c r="E39" s="124">
        <v>413125857.04912943</v>
      </c>
      <c r="F39" s="124">
        <v>6072788.3300000001</v>
      </c>
      <c r="G39" s="125">
        <f t="shared" si="6"/>
        <v>407053068.71912944</v>
      </c>
      <c r="H39" s="124">
        <v>38293475.201556198</v>
      </c>
      <c r="I39" s="124">
        <v>-433074.76500000001</v>
      </c>
      <c r="J39" s="124">
        <f t="shared" si="7"/>
        <v>425983268.93740755</v>
      </c>
      <c r="K39" s="150">
        <v>45</v>
      </c>
      <c r="L39" s="146">
        <f t="shared" si="3"/>
        <v>2.2222222222222223E-2</v>
      </c>
      <c r="M39" s="135">
        <f t="shared" si="1"/>
        <v>9466294.8652757239</v>
      </c>
      <c r="N39" s="135">
        <v>10670063.021664605</v>
      </c>
      <c r="O39" s="129">
        <f t="shared" si="8"/>
        <v>-1203768.1563888807</v>
      </c>
      <c r="P39" s="236" t="s">
        <v>95</v>
      </c>
    </row>
    <row r="40" spans="2:16">
      <c r="B40" s="103">
        <v>1846</v>
      </c>
      <c r="C40" s="147">
        <v>1845</v>
      </c>
      <c r="D40" s="131" t="s">
        <v>115</v>
      </c>
      <c r="E40" s="124">
        <v>27669681.75</v>
      </c>
      <c r="F40" s="124"/>
      <c r="G40" s="125">
        <f t="shared" si="6"/>
        <v>27669681.75</v>
      </c>
      <c r="H40" s="124">
        <v>4499322.59</v>
      </c>
      <c r="I40" s="124"/>
      <c r="J40" s="124">
        <f t="shared" si="7"/>
        <v>29919343.045000002</v>
      </c>
      <c r="K40" s="150">
        <v>20</v>
      </c>
      <c r="L40" s="146">
        <f t="shared" si="3"/>
        <v>0.05</v>
      </c>
      <c r="M40" s="135">
        <f t="shared" si="1"/>
        <v>1495967.15225</v>
      </c>
      <c r="N40" s="135">
        <v>1523918.0060000001</v>
      </c>
      <c r="O40" s="129">
        <f t="shared" si="8"/>
        <v>-27950.853750000009</v>
      </c>
      <c r="P40" s="236" t="s">
        <v>95</v>
      </c>
    </row>
    <row r="41" spans="2:16">
      <c r="B41" s="103">
        <v>1849</v>
      </c>
      <c r="C41" s="147">
        <v>1849</v>
      </c>
      <c r="D41" s="131" t="s">
        <v>44</v>
      </c>
      <c r="E41" s="124">
        <v>21630657.08117551</v>
      </c>
      <c r="F41" s="124"/>
      <c r="G41" s="125">
        <f t="shared" si="6"/>
        <v>21630657.08117551</v>
      </c>
      <c r="H41" s="124">
        <v>1386430.6960226162</v>
      </c>
      <c r="I41" s="124">
        <v>-586943.06499999994</v>
      </c>
      <c r="J41" s="124">
        <f t="shared" si="7"/>
        <v>22030400.896686818</v>
      </c>
      <c r="K41" s="126">
        <v>40</v>
      </c>
      <c r="L41" s="146">
        <f t="shared" si="3"/>
        <v>2.5000000000000001E-2</v>
      </c>
      <c r="M41" s="135">
        <f t="shared" si="1"/>
        <v>550760.02241717046</v>
      </c>
      <c r="N41" s="135">
        <v>752281.68935466919</v>
      </c>
      <c r="O41" s="129">
        <f t="shared" si="8"/>
        <v>-201521.66693749873</v>
      </c>
      <c r="P41" s="236" t="s">
        <v>95</v>
      </c>
    </row>
    <row r="42" spans="2:16">
      <c r="B42" s="103">
        <v>1850</v>
      </c>
      <c r="C42" s="147">
        <v>1850</v>
      </c>
      <c r="D42" s="148" t="s">
        <v>77</v>
      </c>
      <c r="E42" s="124">
        <v>182734170.64193156</v>
      </c>
      <c r="F42" s="124">
        <v>2256450.54</v>
      </c>
      <c r="G42" s="125">
        <f t="shared" si="6"/>
        <v>180477720.10193157</v>
      </c>
      <c r="H42" s="124">
        <v>13443665.37703535</v>
      </c>
      <c r="I42" s="124">
        <v>-1313699.4100000001</v>
      </c>
      <c r="J42" s="124">
        <f t="shared" si="7"/>
        <v>186542703.08544925</v>
      </c>
      <c r="K42" s="126">
        <v>30</v>
      </c>
      <c r="L42" s="146">
        <f t="shared" si="3"/>
        <v>3.3333333333333333E-2</v>
      </c>
      <c r="M42" s="135">
        <f t="shared" si="1"/>
        <v>6218090.1028483082</v>
      </c>
      <c r="N42" s="135">
        <v>7751242.4640149772</v>
      </c>
      <c r="O42" s="129">
        <f t="shared" si="8"/>
        <v>-1533152.3611666691</v>
      </c>
      <c r="P42" s="236" t="s">
        <v>95</v>
      </c>
    </row>
    <row r="43" spans="2:16">
      <c r="B43" s="103">
        <v>1855</v>
      </c>
      <c r="C43" s="147">
        <v>1855</v>
      </c>
      <c r="D43" s="148" t="s">
        <v>94</v>
      </c>
      <c r="E43" s="124">
        <v>17105268.632525384</v>
      </c>
      <c r="F43" s="124"/>
      <c r="G43" s="125">
        <f t="shared" si="6"/>
        <v>17105268.632525384</v>
      </c>
      <c r="H43" s="124">
        <v>1124237.7444229252</v>
      </c>
      <c r="I43" s="124"/>
      <c r="J43" s="124">
        <f t="shared" si="7"/>
        <v>17667387.504736848</v>
      </c>
      <c r="K43" s="126">
        <v>40</v>
      </c>
      <c r="L43" s="146">
        <f t="shared" si="3"/>
        <v>2.5000000000000001E-2</v>
      </c>
      <c r="M43" s="135">
        <f t="shared" si="1"/>
        <v>441684.68761842122</v>
      </c>
      <c r="N43" s="135">
        <v>394816.59936842253</v>
      </c>
      <c r="O43" s="129">
        <f t="shared" si="8"/>
        <v>46868.088249998691</v>
      </c>
      <c r="P43" s="236" t="s">
        <v>95</v>
      </c>
    </row>
    <row r="44" spans="2:16">
      <c r="B44" s="103">
        <v>1856</v>
      </c>
      <c r="C44" s="147">
        <v>1856</v>
      </c>
      <c r="D44" s="131" t="s">
        <v>45</v>
      </c>
      <c r="E44" s="124">
        <v>67427564.7904232</v>
      </c>
      <c r="F44" s="124"/>
      <c r="G44" s="125">
        <f t="shared" si="6"/>
        <v>67427564.7904232</v>
      </c>
      <c r="H44" s="124">
        <v>3717385.0447465763</v>
      </c>
      <c r="I44" s="124"/>
      <c r="J44" s="124">
        <f t="shared" si="7"/>
        <v>69286257.312796488</v>
      </c>
      <c r="K44" s="126">
        <v>25</v>
      </c>
      <c r="L44" s="146">
        <f t="shared" si="3"/>
        <v>0.04</v>
      </c>
      <c r="M44" s="135">
        <f t="shared" si="1"/>
        <v>2771450.2925118594</v>
      </c>
      <c r="N44" s="135">
        <v>3342416.2785118609</v>
      </c>
      <c r="O44" s="129">
        <f t="shared" si="8"/>
        <v>-570965.98600000143</v>
      </c>
      <c r="P44" s="236" t="s">
        <v>95</v>
      </c>
    </row>
    <row r="45" spans="2:16">
      <c r="B45" s="103">
        <v>1860</v>
      </c>
      <c r="C45" s="147">
        <v>1860</v>
      </c>
      <c r="D45" s="148" t="s">
        <v>31</v>
      </c>
      <c r="E45" s="124">
        <v>11967441.264883518</v>
      </c>
      <c r="F45" s="124">
        <v>9433.82</v>
      </c>
      <c r="G45" s="125">
        <f t="shared" si="6"/>
        <v>11958007.444883518</v>
      </c>
      <c r="H45" s="124">
        <v>1248230.2800000005</v>
      </c>
      <c r="I45" s="124">
        <v>-1175716.9696969697</v>
      </c>
      <c r="J45" s="124">
        <f t="shared" si="7"/>
        <v>11994264.100035034</v>
      </c>
      <c r="K45" s="126">
        <v>25</v>
      </c>
      <c r="L45" s="146">
        <f t="shared" si="3"/>
        <v>0.04</v>
      </c>
      <c r="M45" s="135">
        <f t="shared" si="1"/>
        <v>479770.56400140136</v>
      </c>
      <c r="N45" s="135">
        <v>723754.0636195835</v>
      </c>
      <c r="O45" s="129">
        <f t="shared" si="8"/>
        <v>-243983.49961818213</v>
      </c>
      <c r="P45" s="236" t="s">
        <v>95</v>
      </c>
    </row>
    <row r="46" spans="2:16">
      <c r="B46" s="103">
        <v>1861</v>
      </c>
      <c r="C46" s="147">
        <v>1861</v>
      </c>
      <c r="D46" s="131" t="s">
        <v>46</v>
      </c>
      <c r="E46" s="124">
        <v>27577472.954510402</v>
      </c>
      <c r="F46" s="124"/>
      <c r="G46" s="125">
        <f t="shared" si="6"/>
        <v>27577472.954510402</v>
      </c>
      <c r="H46" s="124">
        <v>2198176.4</v>
      </c>
      <c r="I46" s="124"/>
      <c r="J46" s="124">
        <f t="shared" si="7"/>
        <v>28676561.154510401</v>
      </c>
      <c r="K46" s="126">
        <v>15</v>
      </c>
      <c r="L46" s="146">
        <f t="shared" si="3"/>
        <v>6.6666666666666666E-2</v>
      </c>
      <c r="M46" s="135">
        <f t="shared" si="1"/>
        <v>1911770.7436340267</v>
      </c>
      <c r="N46" s="135">
        <v>2024695.6939673617</v>
      </c>
      <c r="O46" s="129">
        <f t="shared" si="8"/>
        <v>-112924.95033333497</v>
      </c>
      <c r="P46" s="236" t="s">
        <v>95</v>
      </c>
    </row>
    <row r="47" spans="2:16">
      <c r="B47" s="103">
        <v>1862</v>
      </c>
      <c r="C47" s="147">
        <v>1862</v>
      </c>
      <c r="D47" s="148" t="s">
        <v>79</v>
      </c>
      <c r="E47" s="124">
        <v>56860393.527247809</v>
      </c>
      <c r="F47" s="124"/>
      <c r="G47" s="125">
        <f t="shared" si="6"/>
        <v>56860393.527247809</v>
      </c>
      <c r="H47" s="124">
        <v>3217135.65</v>
      </c>
      <c r="I47" s="124"/>
      <c r="J47" s="124">
        <f t="shared" si="7"/>
        <v>58468961.352247812</v>
      </c>
      <c r="K47" s="126">
        <v>15</v>
      </c>
      <c r="L47" s="146">
        <f t="shared" si="3"/>
        <v>6.6666666666666666E-2</v>
      </c>
      <c r="M47" s="135">
        <f t="shared" si="1"/>
        <v>3897930.7568165208</v>
      </c>
      <c r="N47" s="135">
        <v>4174480.9321498531</v>
      </c>
      <c r="O47" s="129">
        <f t="shared" si="8"/>
        <v>-276550.17533333227</v>
      </c>
      <c r="P47" s="236" t="s">
        <v>95</v>
      </c>
    </row>
    <row r="48" spans="2:16">
      <c r="B48" s="103">
        <v>1870</v>
      </c>
      <c r="C48" s="147">
        <v>1870</v>
      </c>
      <c r="D48" s="131" t="s">
        <v>47</v>
      </c>
      <c r="E48" s="124">
        <v>191136</v>
      </c>
      <c r="F48" s="124"/>
      <c r="G48" s="125">
        <f t="shared" si="6"/>
        <v>191136</v>
      </c>
      <c r="H48" s="124">
        <v>0</v>
      </c>
      <c r="I48" s="124"/>
      <c r="J48" s="124">
        <f t="shared" si="7"/>
        <v>191136</v>
      </c>
      <c r="K48" s="126">
        <v>10</v>
      </c>
      <c r="L48" s="146">
        <f t="shared" si="3"/>
        <v>0.1</v>
      </c>
      <c r="M48" s="135">
        <f t="shared" si="1"/>
        <v>19113.599999999999</v>
      </c>
      <c r="N48" s="135">
        <v>-1281</v>
      </c>
      <c r="O48" s="129">
        <f t="shared" si="8"/>
        <v>20394.599999999999</v>
      </c>
      <c r="P48" s="236" t="s">
        <v>95</v>
      </c>
    </row>
    <row r="49" spans="2:16" ht="21.75" customHeight="1">
      <c r="B49" s="103">
        <v>1908</v>
      </c>
      <c r="C49" s="147">
        <v>1908</v>
      </c>
      <c r="D49" s="148" t="s">
        <v>33</v>
      </c>
      <c r="E49" s="124">
        <v>28334079.469999999</v>
      </c>
      <c r="F49" s="125">
        <v>654834.52</v>
      </c>
      <c r="G49" s="125">
        <f t="shared" si="6"/>
        <v>27679244.949999999</v>
      </c>
      <c r="H49" s="124">
        <v>416734.04000000004</v>
      </c>
      <c r="I49" s="124"/>
      <c r="J49" s="124">
        <f t="shared" si="7"/>
        <v>27887611.969999999</v>
      </c>
      <c r="K49" s="126">
        <v>50</v>
      </c>
      <c r="L49" s="146">
        <f t="shared" si="3"/>
        <v>0.02</v>
      </c>
      <c r="M49" s="135">
        <f>IF(K49=0,"",J49/K49)</f>
        <v>557752.23939999996</v>
      </c>
      <c r="N49" s="135">
        <v>585793.17839999998</v>
      </c>
      <c r="O49" s="129">
        <f t="shared" si="8"/>
        <v>-28040.939000000013</v>
      </c>
      <c r="P49" s="236" t="s">
        <v>95</v>
      </c>
    </row>
    <row r="50" spans="2:16">
      <c r="B50" s="103">
        <v>1912</v>
      </c>
      <c r="C50" s="147">
        <v>1908</v>
      </c>
      <c r="D50" s="148" t="s">
        <v>96</v>
      </c>
      <c r="E50" s="124">
        <v>17401865.419889718</v>
      </c>
      <c r="F50" s="124">
        <v>19085</v>
      </c>
      <c r="G50" s="125">
        <f t="shared" si="6"/>
        <v>17382780.419889718</v>
      </c>
      <c r="H50" s="124">
        <v>0</v>
      </c>
      <c r="I50" s="124"/>
      <c r="J50" s="124">
        <f t="shared" si="7"/>
        <v>17382780.419889718</v>
      </c>
      <c r="K50" s="126">
        <v>50</v>
      </c>
      <c r="L50" s="146">
        <f t="shared" si="3"/>
        <v>0.02</v>
      </c>
      <c r="M50" s="135">
        <f>IF(K50=0,"",J50/K50)</f>
        <v>347655.60839779436</v>
      </c>
      <c r="N50" s="135">
        <v>402993.27999779442</v>
      </c>
      <c r="O50" s="129">
        <f t="shared" si="8"/>
        <v>-55337.67160000006</v>
      </c>
      <c r="P50" s="236" t="s">
        <v>95</v>
      </c>
    </row>
    <row r="51" spans="2:16">
      <c r="B51" s="103">
        <v>1913</v>
      </c>
      <c r="C51" s="147">
        <v>1908</v>
      </c>
      <c r="D51" s="151" t="s">
        <v>66</v>
      </c>
      <c r="E51" s="124">
        <v>2785049.54</v>
      </c>
      <c r="F51" s="124"/>
      <c r="G51" s="125">
        <f t="shared" si="6"/>
        <v>2785049.54</v>
      </c>
      <c r="H51" s="124">
        <v>0</v>
      </c>
      <c r="I51" s="124"/>
      <c r="J51" s="124">
        <f t="shared" si="7"/>
        <v>2785049.54</v>
      </c>
      <c r="K51" s="126">
        <v>30</v>
      </c>
      <c r="L51" s="146">
        <f t="shared" si="3"/>
        <v>3.3333333333333333E-2</v>
      </c>
      <c r="M51" s="135">
        <f>IF(K51=0,"",J51/K51)</f>
        <v>92834.984666666671</v>
      </c>
      <c r="N51" s="135">
        <v>101044.215</v>
      </c>
      <c r="O51" s="129">
        <f t="shared" si="8"/>
        <v>-8209.2303333333257</v>
      </c>
      <c r="P51" s="236" t="s">
        <v>95</v>
      </c>
    </row>
    <row r="52" spans="2:16" ht="18">
      <c r="C52" s="137"/>
      <c r="D52" s="138"/>
      <c r="E52" s="139"/>
      <c r="F52" s="139"/>
      <c r="G52" s="140"/>
      <c r="H52" s="139"/>
      <c r="I52" s="139"/>
      <c r="J52" s="141" t="s">
        <v>88</v>
      </c>
      <c r="K52" s="142"/>
      <c r="L52" s="143"/>
      <c r="M52" s="125">
        <f>SUM(M49:M51)</f>
        <v>998242.83246446098</v>
      </c>
      <c r="N52" s="125">
        <f>SUM(N49:N51)</f>
        <v>1089830.6733977944</v>
      </c>
      <c r="O52" s="129">
        <f>+M52-N52</f>
        <v>-91587.840933333384</v>
      </c>
      <c r="P52" s="236"/>
    </row>
    <row r="53" spans="2:16" ht="25.5" customHeight="1">
      <c r="B53" s="103">
        <v>1915</v>
      </c>
      <c r="C53" s="147">
        <v>1915</v>
      </c>
      <c r="D53" s="148" t="s">
        <v>82</v>
      </c>
      <c r="E53" s="124">
        <v>5106725.5500000007</v>
      </c>
      <c r="F53" s="124">
        <v>2898349.0700000003</v>
      </c>
      <c r="G53" s="125">
        <f t="shared" ref="G53:G58" si="9">E53-F53</f>
        <v>2208376.4800000004</v>
      </c>
      <c r="H53" s="124">
        <v>13375.05</v>
      </c>
      <c r="I53" s="124"/>
      <c r="J53" s="124">
        <f t="shared" ref="J53:J58" si="10">G53+0.5*H53+0.5*I53</f>
        <v>2215064.0050000004</v>
      </c>
      <c r="K53" s="126">
        <v>10</v>
      </c>
      <c r="L53" s="146">
        <f t="shared" si="3"/>
        <v>0.1</v>
      </c>
      <c r="M53" s="135">
        <f>IF(K53=0,"",J53/K53)</f>
        <v>221506.40050000005</v>
      </c>
      <c r="N53" s="135">
        <v>245982.26250000016</v>
      </c>
      <c r="O53" s="129">
        <f>+M53-N53</f>
        <v>-24475.86200000011</v>
      </c>
      <c r="P53" s="236" t="s">
        <v>95</v>
      </c>
    </row>
    <row r="54" spans="2:16" ht="24" customHeight="1">
      <c r="B54" s="103">
        <v>1920</v>
      </c>
      <c r="C54" s="147">
        <v>1920</v>
      </c>
      <c r="D54" s="148" t="s">
        <v>34</v>
      </c>
      <c r="E54" s="124">
        <v>1.0000000096624717E-2</v>
      </c>
      <c r="F54" s="124"/>
      <c r="G54" s="125">
        <f t="shared" si="9"/>
        <v>1.0000000096624717E-2</v>
      </c>
      <c r="H54" s="124">
        <v>0</v>
      </c>
      <c r="I54" s="124"/>
      <c r="J54" s="124">
        <f t="shared" si="10"/>
        <v>1.0000000096624717E-2</v>
      </c>
      <c r="K54" s="126">
        <v>5</v>
      </c>
      <c r="L54" s="146">
        <f t="shared" si="3"/>
        <v>0.2</v>
      </c>
      <c r="M54" s="135">
        <f>IF(K54=0,"",J54/K54)</f>
        <v>2.0000000193249436E-3</v>
      </c>
      <c r="N54" s="135">
        <v>-8269.2890000000007</v>
      </c>
      <c r="O54" s="129">
        <f t="shared" ref="O54:O58" si="11">+M54-N54</f>
        <v>8269.2910000000193</v>
      </c>
      <c r="P54" s="236" t="s">
        <v>95</v>
      </c>
    </row>
    <row r="55" spans="2:16">
      <c r="B55" s="103">
        <v>1921</v>
      </c>
      <c r="C55" s="147">
        <v>1920</v>
      </c>
      <c r="D55" s="131" t="s">
        <v>67</v>
      </c>
      <c r="E55" s="124">
        <v>4692479.7654245412</v>
      </c>
      <c r="F55" s="124">
        <f>2447744.84+535428</f>
        <v>2983172.84</v>
      </c>
      <c r="G55" s="125">
        <f t="shared" si="9"/>
        <v>1709306.9254245413</v>
      </c>
      <c r="H55" s="124">
        <v>526654.03999999992</v>
      </c>
      <c r="I55" s="124"/>
      <c r="J55" s="124">
        <f t="shared" si="10"/>
        <v>1972633.9454245414</v>
      </c>
      <c r="K55" s="126">
        <v>4</v>
      </c>
      <c r="L55" s="146">
        <f t="shared" si="3"/>
        <v>0.25</v>
      </c>
      <c r="M55" s="135">
        <f t="shared" ref="M55:M70" si="12">IF(K55=0,"",J55/K55)</f>
        <v>493158.48635613534</v>
      </c>
      <c r="N55" s="135">
        <v>710333.59635613544</v>
      </c>
      <c r="O55" s="129">
        <f t="shared" si="11"/>
        <v>-217175.1100000001</v>
      </c>
      <c r="P55" s="236" t="s">
        <v>95</v>
      </c>
    </row>
    <row r="56" spans="2:16">
      <c r="B56" s="103">
        <v>1922</v>
      </c>
      <c r="C56" s="147">
        <v>1920</v>
      </c>
      <c r="D56" s="131" t="s">
        <v>68</v>
      </c>
      <c r="E56" s="124">
        <v>11950033.1</v>
      </c>
      <c r="F56" s="124">
        <v>5806970.3900000006</v>
      </c>
      <c r="G56" s="125">
        <f t="shared" si="9"/>
        <v>6143062.709999999</v>
      </c>
      <c r="H56" s="124">
        <v>1679999.57</v>
      </c>
      <c r="I56" s="124"/>
      <c r="J56" s="124">
        <f t="shared" si="10"/>
        <v>6983062.4949999992</v>
      </c>
      <c r="K56" s="126">
        <v>5</v>
      </c>
      <c r="L56" s="146">
        <f t="shared" si="3"/>
        <v>0.2</v>
      </c>
      <c r="M56" s="135">
        <f t="shared" si="12"/>
        <v>1396612.4989999998</v>
      </c>
      <c r="N56" s="135">
        <v>1553678.385</v>
      </c>
      <c r="O56" s="129">
        <f t="shared" si="11"/>
        <v>-157065.88600000017</v>
      </c>
      <c r="P56" s="236" t="s">
        <v>95</v>
      </c>
    </row>
    <row r="57" spans="2:16">
      <c r="B57" s="103">
        <v>1923</v>
      </c>
      <c r="C57" s="147">
        <v>1920</v>
      </c>
      <c r="D57" s="131" t="s">
        <v>69</v>
      </c>
      <c r="E57" s="124">
        <v>1114931.1000000001</v>
      </c>
      <c r="F57" s="124">
        <f>639440.97+13726</f>
        <v>653166.97</v>
      </c>
      <c r="G57" s="125">
        <f t="shared" si="9"/>
        <v>461764.13000000012</v>
      </c>
      <c r="H57" s="124">
        <v>39999.72</v>
      </c>
      <c r="I57" s="124"/>
      <c r="J57" s="124">
        <f t="shared" si="10"/>
        <v>481763.99000000011</v>
      </c>
      <c r="K57" s="126">
        <v>5</v>
      </c>
      <c r="L57" s="146">
        <f t="shared" si="3"/>
        <v>0.2</v>
      </c>
      <c r="M57" s="135">
        <f t="shared" si="12"/>
        <v>96352.798000000024</v>
      </c>
      <c r="N57" s="135">
        <v>124627.03099999999</v>
      </c>
      <c r="O57" s="129">
        <f t="shared" si="11"/>
        <v>-28274.232999999964</v>
      </c>
      <c r="P57" s="236" t="s">
        <v>95</v>
      </c>
    </row>
    <row r="58" spans="2:16">
      <c r="B58" s="103">
        <v>1924</v>
      </c>
      <c r="C58" s="147">
        <v>1920</v>
      </c>
      <c r="D58" s="131" t="s">
        <v>70</v>
      </c>
      <c r="E58" s="124">
        <v>2108171.573978649</v>
      </c>
      <c r="F58" s="124">
        <v>1615358.08</v>
      </c>
      <c r="G58" s="125">
        <f t="shared" si="9"/>
        <v>492813.49397864891</v>
      </c>
      <c r="H58" s="124">
        <v>63441.4</v>
      </c>
      <c r="I58" s="124"/>
      <c r="J58" s="124">
        <f t="shared" si="10"/>
        <v>524534.19397864887</v>
      </c>
      <c r="K58" s="126">
        <v>6</v>
      </c>
      <c r="L58" s="146">
        <f t="shared" si="3"/>
        <v>0.16666666666666666</v>
      </c>
      <c r="M58" s="135">
        <f t="shared" si="12"/>
        <v>87422.365663108139</v>
      </c>
      <c r="N58" s="135">
        <v>179013.40316310819</v>
      </c>
      <c r="O58" s="129">
        <f t="shared" si="11"/>
        <v>-91591.037500000049</v>
      </c>
      <c r="P58" s="236" t="s">
        <v>95</v>
      </c>
    </row>
    <row r="59" spans="2:16" ht="22.5" customHeight="1">
      <c r="C59" s="137"/>
      <c r="D59" s="138"/>
      <c r="E59" s="139"/>
      <c r="F59" s="139"/>
      <c r="G59" s="140"/>
      <c r="H59" s="139"/>
      <c r="I59" s="139"/>
      <c r="J59" s="141" t="s">
        <v>92</v>
      </c>
      <c r="K59" s="142"/>
      <c r="L59" s="143"/>
      <c r="M59" s="125">
        <f>SUM(M54:M58)</f>
        <v>2073546.1510192433</v>
      </c>
      <c r="N59" s="125">
        <f>SUM(N54:N58)</f>
        <v>2559383.1265192437</v>
      </c>
      <c r="O59" s="129">
        <f>+M59-N59</f>
        <v>-485836.97550000041</v>
      </c>
      <c r="P59" s="236"/>
    </row>
    <row r="60" spans="2:16" ht="24.75" customHeight="1">
      <c r="B60" s="103">
        <v>1925</v>
      </c>
      <c r="C60" s="147">
        <v>1611</v>
      </c>
      <c r="D60" s="148" t="s">
        <v>35</v>
      </c>
      <c r="E60" s="124">
        <v>34655939.060000002</v>
      </c>
      <c r="F60" s="124">
        <f>16145519.62+5799843</f>
        <v>21945362.619999997</v>
      </c>
      <c r="G60" s="125">
        <f>E60-F60</f>
        <v>12710576.440000005</v>
      </c>
      <c r="H60" s="124">
        <v>4971485.0599999996</v>
      </c>
      <c r="I60" s="124"/>
      <c r="J60" s="124">
        <f t="shared" ref="J60:J62" si="13">G60+0.5*H60+0.5*I60</f>
        <v>15196318.970000004</v>
      </c>
      <c r="K60" s="126">
        <v>4</v>
      </c>
      <c r="L60" s="146">
        <f t="shared" si="3"/>
        <v>0.25</v>
      </c>
      <c r="M60" s="135">
        <f t="shared" si="12"/>
        <v>3799079.7425000011</v>
      </c>
      <c r="N60" s="135">
        <v>4136992.8224999993</v>
      </c>
      <c r="O60" s="152">
        <f>+M60-N60</f>
        <v>-337913.07999999821</v>
      </c>
      <c r="P60" s="236" t="s">
        <v>95</v>
      </c>
    </row>
    <row r="61" spans="2:16" ht="24.75" customHeight="1">
      <c r="B61" s="103">
        <v>1926</v>
      </c>
      <c r="C61" s="147">
        <v>1611</v>
      </c>
      <c r="D61" s="131" t="s">
        <v>116</v>
      </c>
      <c r="E61" s="124">
        <v>112039.77219851727</v>
      </c>
      <c r="F61" s="124">
        <v>112795</v>
      </c>
      <c r="G61" s="125">
        <f t="shared" ref="G61:G62" si="14">E61-F61</f>
        <v>-755.22780148273159</v>
      </c>
      <c r="H61" s="124">
        <v>0</v>
      </c>
      <c r="I61" s="124"/>
      <c r="J61" s="124">
        <f t="shared" si="13"/>
        <v>-755.22780148273159</v>
      </c>
      <c r="K61" s="126">
        <v>3</v>
      </c>
      <c r="L61" s="146">
        <f t="shared" si="3"/>
        <v>0.33333333333333331</v>
      </c>
      <c r="M61" s="135">
        <f t="shared" si="12"/>
        <v>-251.74260049424387</v>
      </c>
      <c r="N61" s="135">
        <v>-311.75593382761144</v>
      </c>
      <c r="O61" s="152">
        <f>+M61-N61</f>
        <v>60.013333333367569</v>
      </c>
      <c r="P61" s="236" t="s">
        <v>95</v>
      </c>
    </row>
    <row r="62" spans="2:16" ht="24.75" customHeight="1">
      <c r="B62" s="103">
        <v>1927</v>
      </c>
      <c r="C62" s="147">
        <v>1611</v>
      </c>
      <c r="D62" s="131" t="s">
        <v>117</v>
      </c>
      <c r="E62" s="124">
        <v>55867715.68</v>
      </c>
      <c r="F62" s="124"/>
      <c r="G62" s="125">
        <f t="shared" si="14"/>
        <v>55867715.68</v>
      </c>
      <c r="H62" s="124">
        <v>2908200</v>
      </c>
      <c r="I62" s="124"/>
      <c r="J62" s="124">
        <f t="shared" si="13"/>
        <v>57321815.68</v>
      </c>
      <c r="K62" s="126">
        <v>10</v>
      </c>
      <c r="L62" s="146">
        <f t="shared" si="3"/>
        <v>0.1</v>
      </c>
      <c r="M62" s="135">
        <f t="shared" si="12"/>
        <v>5732181.568</v>
      </c>
      <c r="N62" s="135">
        <v>5698045.3599999994</v>
      </c>
      <c r="O62" s="152">
        <f t="shared" ref="O62:O66" si="15">+M62-N62</f>
        <v>34136.208000000566</v>
      </c>
      <c r="P62" s="236" t="s">
        <v>95</v>
      </c>
    </row>
    <row r="63" spans="2:16" ht="24.75" customHeight="1">
      <c r="C63" s="153"/>
      <c r="D63" s="154"/>
      <c r="E63" s="139"/>
      <c r="F63" s="139"/>
      <c r="G63" s="140"/>
      <c r="H63" s="139"/>
      <c r="I63" s="139"/>
      <c r="J63" s="141" t="s">
        <v>118</v>
      </c>
      <c r="K63" s="142"/>
      <c r="L63" s="155"/>
      <c r="M63" s="125">
        <f>SUM(M60:M62)</f>
        <v>9531009.5678995065</v>
      </c>
      <c r="N63" s="125">
        <f>SUM(N60:N62)</f>
        <v>9834726.4265661705</v>
      </c>
      <c r="O63" s="125">
        <f>SUM(O60:O62)</f>
        <v>-303716.85866666428</v>
      </c>
      <c r="P63" s="236"/>
    </row>
    <row r="64" spans="2:16" ht="29.25" customHeight="1">
      <c r="B64" s="103">
        <v>1930</v>
      </c>
      <c r="C64" s="147">
        <v>1930</v>
      </c>
      <c r="D64" s="151" t="s">
        <v>71</v>
      </c>
      <c r="E64" s="124">
        <v>10629554.647017216</v>
      </c>
      <c r="F64" s="124">
        <v>6110419.3400000008</v>
      </c>
      <c r="G64" s="125">
        <f>E64-F64</f>
        <v>4519135.3070172155</v>
      </c>
      <c r="H64" s="124">
        <v>1364250.08</v>
      </c>
      <c r="I64" s="124"/>
      <c r="J64" s="124">
        <f t="shared" ref="J64:J66" si="16">G64+0.5*H64+0.5*I64</f>
        <v>5201260.3470172156</v>
      </c>
      <c r="K64" s="126">
        <v>7</v>
      </c>
      <c r="L64" s="146">
        <f t="shared" si="3"/>
        <v>0.14285714285714285</v>
      </c>
      <c r="M64" s="135">
        <f t="shared" si="12"/>
        <v>743037.19243103079</v>
      </c>
      <c r="N64" s="135">
        <v>1060092.5310024596</v>
      </c>
      <c r="O64" s="152">
        <f t="shared" si="15"/>
        <v>-317055.33857142879</v>
      </c>
      <c r="P64" s="236" t="s">
        <v>95</v>
      </c>
    </row>
    <row r="65" spans="2:16">
      <c r="B65" s="103">
        <v>1931</v>
      </c>
      <c r="C65" s="147">
        <v>1930</v>
      </c>
      <c r="D65" s="151" t="s">
        <v>72</v>
      </c>
      <c r="E65" s="124">
        <v>14492040.210000001</v>
      </c>
      <c r="F65" s="124">
        <v>673.57999999999993</v>
      </c>
      <c r="G65" s="125">
        <f>E65-F65</f>
        <v>14491366.630000001</v>
      </c>
      <c r="H65" s="124">
        <v>1733399.88</v>
      </c>
      <c r="I65" s="124"/>
      <c r="J65" s="124">
        <f t="shared" si="16"/>
        <v>15358066.57</v>
      </c>
      <c r="K65" s="126">
        <v>12</v>
      </c>
      <c r="L65" s="146">
        <f t="shared" si="3"/>
        <v>8.3333333333333329E-2</v>
      </c>
      <c r="M65" s="135">
        <f t="shared" si="12"/>
        <v>1279838.8808333334</v>
      </c>
      <c r="N65" s="135">
        <v>1293766.1820833334</v>
      </c>
      <c r="O65" s="152">
        <f t="shared" si="15"/>
        <v>-13927.301250000019</v>
      </c>
      <c r="P65" s="236" t="s">
        <v>95</v>
      </c>
    </row>
    <row r="66" spans="2:16">
      <c r="B66" s="103">
        <v>1932</v>
      </c>
      <c r="C66" s="147">
        <v>1930</v>
      </c>
      <c r="D66" s="151" t="s">
        <v>73</v>
      </c>
      <c r="E66" s="124">
        <v>165563.29</v>
      </c>
      <c r="F66" s="124"/>
      <c r="G66" s="125">
        <f>E66-F66</f>
        <v>165563.29</v>
      </c>
      <c r="H66" s="124">
        <v>0</v>
      </c>
      <c r="I66" s="124"/>
      <c r="J66" s="124">
        <f t="shared" si="16"/>
        <v>165563.29</v>
      </c>
      <c r="K66" s="126">
        <v>22</v>
      </c>
      <c r="L66" s="146">
        <f t="shared" si="3"/>
        <v>4.5454545454545456E-2</v>
      </c>
      <c r="M66" s="135">
        <f t="shared" si="12"/>
        <v>7525.6040909090916</v>
      </c>
      <c r="N66" s="135">
        <v>8060.6718181818187</v>
      </c>
      <c r="O66" s="152">
        <f t="shared" si="15"/>
        <v>-535.0677272727271</v>
      </c>
      <c r="P66" s="236" t="s">
        <v>95</v>
      </c>
    </row>
    <row r="67" spans="2:16" ht="18.75" customHeight="1">
      <c r="C67" s="137"/>
      <c r="D67" s="138"/>
      <c r="E67" s="139"/>
      <c r="F67" s="139"/>
      <c r="G67" s="140"/>
      <c r="H67" s="139"/>
      <c r="I67" s="139"/>
      <c r="J67" s="141" t="s">
        <v>89</v>
      </c>
      <c r="K67" s="142"/>
      <c r="L67" s="143"/>
      <c r="M67" s="125">
        <f>SUM(M64:M66)</f>
        <v>2030401.6773552732</v>
      </c>
      <c r="N67" s="125">
        <f>SUM(N64:N66)</f>
        <v>2361919.3849039748</v>
      </c>
      <c r="O67" s="152">
        <f>+M67-N67</f>
        <v>-331517.70754870167</v>
      </c>
      <c r="P67" s="236"/>
    </row>
    <row r="68" spans="2:16">
      <c r="B68" s="103">
        <v>1935</v>
      </c>
      <c r="C68" s="147">
        <v>1935</v>
      </c>
      <c r="D68" s="148" t="s">
        <v>36</v>
      </c>
      <c r="E68" s="124">
        <v>680930.7026550764</v>
      </c>
      <c r="F68" s="124"/>
      <c r="G68" s="125">
        <f>E68-F68</f>
        <v>680930.7026550764</v>
      </c>
      <c r="H68" s="124">
        <v>0</v>
      </c>
      <c r="I68" s="124"/>
      <c r="J68" s="124">
        <f t="shared" ref="J68:J71" si="17">G68+0.5*H68+0.5*I68</f>
        <v>680930.7026550764</v>
      </c>
      <c r="K68" s="126">
        <v>10</v>
      </c>
      <c r="L68" s="146">
        <f t="shared" si="3"/>
        <v>0.1</v>
      </c>
      <c r="M68" s="135">
        <f t="shared" si="12"/>
        <v>68093.070265507646</v>
      </c>
      <c r="N68" s="135">
        <v>65660.353765507636</v>
      </c>
      <c r="O68" s="129">
        <f>+M68-N68</f>
        <v>2432.7165000000095</v>
      </c>
      <c r="P68" s="236" t="s">
        <v>95</v>
      </c>
    </row>
    <row r="69" spans="2:16" ht="16.5" customHeight="1">
      <c r="B69" s="103">
        <v>1940</v>
      </c>
      <c r="C69" s="147">
        <v>1940</v>
      </c>
      <c r="D69" s="148" t="s">
        <v>37</v>
      </c>
      <c r="E69" s="124">
        <v>6399422.8500000006</v>
      </c>
      <c r="F69" s="124">
        <v>1519414.46</v>
      </c>
      <c r="G69" s="125">
        <f>E69-F69</f>
        <v>4880008.3900000006</v>
      </c>
      <c r="H69" s="124">
        <v>589248.16999999993</v>
      </c>
      <c r="I69" s="124"/>
      <c r="J69" s="124">
        <f t="shared" si="17"/>
        <v>5174632.4750000006</v>
      </c>
      <c r="K69" s="126">
        <v>10</v>
      </c>
      <c r="L69" s="146">
        <f t="shared" si="3"/>
        <v>0.1</v>
      </c>
      <c r="M69" s="135">
        <f t="shared" si="12"/>
        <v>517463.24750000006</v>
      </c>
      <c r="N69" s="135">
        <v>541609.08550000016</v>
      </c>
      <c r="O69" s="129">
        <f>+M69-N69</f>
        <v>-24145.838000000105</v>
      </c>
      <c r="P69" s="236" t="s">
        <v>95</v>
      </c>
    </row>
    <row r="70" spans="2:16" ht="24.75" customHeight="1">
      <c r="B70" s="103">
        <v>1955</v>
      </c>
      <c r="C70" s="147">
        <v>1955</v>
      </c>
      <c r="D70" s="148" t="s">
        <v>38</v>
      </c>
      <c r="E70" s="124">
        <v>3638583.5538659361</v>
      </c>
      <c r="F70" s="124">
        <v>2056756.17</v>
      </c>
      <c r="G70" s="125">
        <f>E70-F70</f>
        <v>1581827.3838659362</v>
      </c>
      <c r="H70" s="124">
        <v>317033.68</v>
      </c>
      <c r="I70" s="124"/>
      <c r="J70" s="124">
        <f t="shared" si="17"/>
        <v>1740344.2238659363</v>
      </c>
      <c r="K70" s="126">
        <v>6</v>
      </c>
      <c r="L70" s="146">
        <f t="shared" si="3"/>
        <v>0.16666666666666666</v>
      </c>
      <c r="M70" s="135">
        <f t="shared" si="12"/>
        <v>290057.37064432271</v>
      </c>
      <c r="N70" s="135">
        <v>202403.9438865938</v>
      </c>
      <c r="O70" s="152">
        <f t="shared" ref="O70:O77" si="18">+M70-N70</f>
        <v>87653.426757728914</v>
      </c>
      <c r="P70" s="236" t="s">
        <v>95</v>
      </c>
    </row>
    <row r="71" spans="2:16">
      <c r="B71" s="103">
        <v>1956</v>
      </c>
      <c r="C71" s="147">
        <v>1955</v>
      </c>
      <c r="D71" s="131" t="s">
        <v>48</v>
      </c>
      <c r="E71" s="124">
        <v>58854.070000000007</v>
      </c>
      <c r="F71" s="125">
        <v>58854.07</v>
      </c>
      <c r="G71" s="125">
        <f>E71-F71</f>
        <v>0</v>
      </c>
      <c r="H71" s="124">
        <v>0</v>
      </c>
      <c r="I71" s="124"/>
      <c r="J71" s="124">
        <f t="shared" si="17"/>
        <v>0</v>
      </c>
      <c r="K71" s="126">
        <v>3</v>
      </c>
      <c r="L71" s="146">
        <f t="shared" si="3"/>
        <v>0.33333333333333331</v>
      </c>
      <c r="M71" s="135">
        <f>IF(K71=0,"",J71/K71)</f>
        <v>0</v>
      </c>
      <c r="N71" s="135">
        <v>-3.979039320256561E-13</v>
      </c>
      <c r="O71" s="152">
        <f t="shared" si="18"/>
        <v>3.979039320256561E-13</v>
      </c>
      <c r="P71" s="236" t="s">
        <v>95</v>
      </c>
    </row>
    <row r="72" spans="2:16" ht="18">
      <c r="C72" s="137"/>
      <c r="D72" s="138"/>
      <c r="E72" s="139"/>
      <c r="F72" s="139"/>
      <c r="G72" s="140"/>
      <c r="H72" s="139"/>
      <c r="I72" s="139"/>
      <c r="J72" s="141" t="s">
        <v>90</v>
      </c>
      <c r="K72" s="142"/>
      <c r="L72" s="143"/>
      <c r="M72" s="125">
        <f>SUM(M70:M71)</f>
        <v>290057.37064432271</v>
      </c>
      <c r="N72" s="125">
        <f>SUM(N70:N71)</f>
        <v>202403.9438865938</v>
      </c>
      <c r="O72" s="129">
        <f>+M72-N72</f>
        <v>87653.426757728914</v>
      </c>
      <c r="P72" s="236"/>
    </row>
    <row r="73" spans="2:16" ht="26.25" customHeight="1">
      <c r="B73" s="103">
        <v>1960</v>
      </c>
      <c r="C73" s="147">
        <v>1960</v>
      </c>
      <c r="D73" s="148" t="s">
        <v>39</v>
      </c>
      <c r="E73" s="124">
        <v>0</v>
      </c>
      <c r="F73" s="124"/>
      <c r="G73" s="125">
        <f>E73-F73</f>
        <v>0</v>
      </c>
      <c r="H73" s="124">
        <v>0</v>
      </c>
      <c r="I73" s="124"/>
      <c r="J73" s="124">
        <f t="shared" ref="J73:J77" si="19">G73+0.5*H73+0.5*I73</f>
        <v>0</v>
      </c>
      <c r="K73" s="126">
        <v>0</v>
      </c>
      <c r="L73" s="146" t="str">
        <f t="shared" si="3"/>
        <v/>
      </c>
      <c r="M73" s="135" t="str">
        <f>IF(K73=0,"",J73/K73)</f>
        <v/>
      </c>
      <c r="N73" s="152">
        <v>0</v>
      </c>
      <c r="O73" s="152"/>
      <c r="P73" s="236"/>
    </row>
    <row r="74" spans="2:16" ht="14.25" customHeight="1">
      <c r="B74" s="103">
        <v>1961</v>
      </c>
      <c r="C74" s="147">
        <v>1961</v>
      </c>
      <c r="D74" s="131" t="s">
        <v>49</v>
      </c>
      <c r="E74" s="124">
        <v>0</v>
      </c>
      <c r="F74" s="124"/>
      <c r="G74" s="125">
        <f>E74-F74</f>
        <v>0</v>
      </c>
      <c r="H74" s="124">
        <v>0</v>
      </c>
      <c r="I74" s="124"/>
      <c r="J74" s="124">
        <f t="shared" si="19"/>
        <v>0</v>
      </c>
      <c r="K74" s="126">
        <v>0</v>
      </c>
      <c r="L74" s="146" t="str">
        <f t="shared" si="3"/>
        <v/>
      </c>
      <c r="M74" s="135">
        <v>0</v>
      </c>
      <c r="N74" s="135">
        <v>-45.38</v>
      </c>
      <c r="O74" s="152">
        <f t="shared" si="18"/>
        <v>45.38</v>
      </c>
      <c r="P74" s="236" t="s">
        <v>95</v>
      </c>
    </row>
    <row r="75" spans="2:16" ht="23.25" customHeight="1">
      <c r="B75" s="103">
        <v>1980</v>
      </c>
      <c r="C75" s="147">
        <v>1980</v>
      </c>
      <c r="D75" s="148" t="s">
        <v>40</v>
      </c>
      <c r="E75" s="124">
        <v>4216741.7300000014</v>
      </c>
      <c r="F75" s="124">
        <v>695807.63</v>
      </c>
      <c r="G75" s="125">
        <f>E75-F75</f>
        <v>3520934.1000000015</v>
      </c>
      <c r="H75" s="124">
        <v>138638.82</v>
      </c>
      <c r="I75" s="124"/>
      <c r="J75" s="124">
        <f t="shared" si="19"/>
        <v>3590253.5100000016</v>
      </c>
      <c r="K75" s="126">
        <v>15</v>
      </c>
      <c r="L75" s="146">
        <f t="shared" si="3"/>
        <v>6.6666666666666666E-2</v>
      </c>
      <c r="M75" s="135">
        <f>IF(K75=0,"",J75/K75)</f>
        <v>239350.23400000011</v>
      </c>
      <c r="N75" s="156">
        <v>284645.0658888889</v>
      </c>
      <c r="O75" s="152">
        <f t="shared" si="18"/>
        <v>-45294.831888888788</v>
      </c>
      <c r="P75" s="236" t="s">
        <v>95</v>
      </c>
    </row>
    <row r="76" spans="2:16" ht="14.25">
      <c r="B76" s="103">
        <v>1981</v>
      </c>
      <c r="C76" s="147">
        <v>1980</v>
      </c>
      <c r="D76" s="131" t="s">
        <v>74</v>
      </c>
      <c r="E76" s="124">
        <v>9031288.1290305778</v>
      </c>
      <c r="F76" s="124">
        <v>2580336.2699999996</v>
      </c>
      <c r="G76" s="125">
        <f>E76-F76</f>
        <v>6450951.8590305783</v>
      </c>
      <c r="H76" s="124">
        <v>310261.71999999997</v>
      </c>
      <c r="I76" s="124"/>
      <c r="J76" s="124">
        <f t="shared" si="19"/>
        <v>6606082.7190305786</v>
      </c>
      <c r="K76" s="126">
        <v>15</v>
      </c>
      <c r="L76" s="146">
        <f t="shared" si="3"/>
        <v>6.6666666666666666E-2</v>
      </c>
      <c r="M76" s="135">
        <f>IF(K76=0,"",J76/K76)</f>
        <v>440405.5146020386</v>
      </c>
      <c r="N76" s="156">
        <v>521618.52226870519</v>
      </c>
      <c r="O76" s="152">
        <f t="shared" si="18"/>
        <v>-81213.007666666585</v>
      </c>
      <c r="P76" s="236" t="s">
        <v>95</v>
      </c>
    </row>
    <row r="77" spans="2:16" ht="14.25">
      <c r="B77" s="103">
        <v>1982</v>
      </c>
      <c r="C77" s="147">
        <v>1980</v>
      </c>
      <c r="D77" s="131" t="s">
        <v>75</v>
      </c>
      <c r="E77" s="124">
        <f>2861676.93562925+686</f>
        <v>2862362.93562925</v>
      </c>
      <c r="F77" s="124">
        <v>482969.18</v>
      </c>
      <c r="G77" s="125">
        <f>E77-F77</f>
        <v>2379393.7556292498</v>
      </c>
      <c r="H77" s="124">
        <v>710545.54</v>
      </c>
      <c r="I77" s="124"/>
      <c r="J77" s="124">
        <f t="shared" si="19"/>
        <v>2734666.5256292499</v>
      </c>
      <c r="K77" s="126">
        <v>10</v>
      </c>
      <c r="L77" s="146">
        <f t="shared" si="3"/>
        <v>0.1</v>
      </c>
      <c r="M77" s="135">
        <f>IF(K77=0,"",J77/K77)</f>
        <v>273466.65256292501</v>
      </c>
      <c r="N77" s="156">
        <f>274231.040562925+7</f>
        <v>274238.04056292499</v>
      </c>
      <c r="O77" s="152">
        <f t="shared" si="18"/>
        <v>-771.38799999997718</v>
      </c>
      <c r="P77" s="236" t="s">
        <v>95</v>
      </c>
    </row>
    <row r="78" spans="2:16" ht="18">
      <c r="C78" s="137"/>
      <c r="D78" s="138"/>
      <c r="E78" s="139"/>
      <c r="F78" s="139"/>
      <c r="G78" s="140"/>
      <c r="H78" s="139"/>
      <c r="I78" s="139"/>
      <c r="J78" s="141" t="s">
        <v>93</v>
      </c>
      <c r="K78" s="142"/>
      <c r="L78" s="143"/>
      <c r="M78" s="125">
        <f>SUM(M75:M77)</f>
        <v>953222.40116496373</v>
      </c>
      <c r="N78" s="125">
        <f>SUM(N75:N77)</f>
        <v>1080501.6287205191</v>
      </c>
      <c r="O78" s="129">
        <f>+M78-N78</f>
        <v>-127279.22755555541</v>
      </c>
      <c r="P78" s="236"/>
    </row>
    <row r="79" spans="2:16" ht="27" customHeight="1">
      <c r="B79" s="103">
        <v>1985</v>
      </c>
      <c r="C79" s="147">
        <v>1985</v>
      </c>
      <c r="D79" s="151" t="s">
        <v>50</v>
      </c>
      <c r="E79" s="124">
        <v>0</v>
      </c>
      <c r="F79" s="124"/>
      <c r="G79" s="125">
        <f t="shared" ref="G79:G84" si="20">E79-F79</f>
        <v>0</v>
      </c>
      <c r="H79" s="124">
        <v>0</v>
      </c>
      <c r="I79" s="124"/>
      <c r="J79" s="124">
        <f t="shared" ref="J79:J83" si="21">G79+0.5*H79+0.5*I79</f>
        <v>0</v>
      </c>
      <c r="K79" s="126">
        <v>0</v>
      </c>
      <c r="L79" s="146" t="str">
        <f t="shared" si="3"/>
        <v/>
      </c>
      <c r="M79" s="135">
        <v>0</v>
      </c>
      <c r="N79" s="135"/>
      <c r="O79" s="149"/>
      <c r="P79" s="236"/>
    </row>
    <row r="80" spans="2:16">
      <c r="B80" s="103" t="s">
        <v>140</v>
      </c>
      <c r="C80" s="147">
        <v>1995</v>
      </c>
      <c r="D80" s="148" t="s">
        <v>41</v>
      </c>
      <c r="E80" s="124">
        <v>-407671324.12589502</v>
      </c>
      <c r="F80" s="124">
        <v>-376678.05</v>
      </c>
      <c r="G80" s="125">
        <f t="shared" si="20"/>
        <v>-407294646.07589501</v>
      </c>
      <c r="H80" s="124">
        <v>-23802293.209999997</v>
      </c>
      <c r="I80" s="124">
        <v>992581.00000000023</v>
      </c>
      <c r="J80" s="124">
        <f t="shared" si="21"/>
        <v>-418699502.18089503</v>
      </c>
      <c r="K80" s="126">
        <v>38</v>
      </c>
      <c r="L80" s="146">
        <f t="shared" si="3"/>
        <v>2.6315789473684209E-2</v>
      </c>
      <c r="M80" s="135">
        <f>IF(K80=0,"",J80/K80)</f>
        <v>-11018407.952128816</v>
      </c>
      <c r="N80" s="135">
        <v>-12784016.335745819</v>
      </c>
      <c r="O80" s="152">
        <f>+M80-N80</f>
        <v>1765608.3836170025</v>
      </c>
      <c r="P80" s="236" t="s">
        <v>95</v>
      </c>
    </row>
    <row r="81" spans="2:16">
      <c r="B81" s="103">
        <v>2005</v>
      </c>
      <c r="C81" s="147">
        <v>2005</v>
      </c>
      <c r="D81" s="132" t="s">
        <v>51</v>
      </c>
      <c r="E81" s="124">
        <v>17549082.289999999</v>
      </c>
      <c r="F81" s="124"/>
      <c r="G81" s="125">
        <f t="shared" si="20"/>
        <v>17549082.289999999</v>
      </c>
      <c r="H81" s="124"/>
      <c r="I81" s="124"/>
      <c r="J81" s="124">
        <f t="shared" si="21"/>
        <v>17549082.289999999</v>
      </c>
      <c r="K81" s="126">
        <v>25</v>
      </c>
      <c r="L81" s="146">
        <f>IF(K81=0,"",1/K81)</f>
        <v>0.04</v>
      </c>
      <c r="M81" s="135">
        <f>IF(K81=0,"",J81/K81)</f>
        <v>701963.2916</v>
      </c>
      <c r="N81" s="135">
        <v>730711.29</v>
      </c>
      <c r="O81" s="129">
        <f>+M81-N81</f>
        <v>-28747.99840000004</v>
      </c>
      <c r="P81" s="236" t="s">
        <v>95</v>
      </c>
    </row>
    <row r="82" spans="2:16">
      <c r="B82" s="103">
        <v>1611</v>
      </c>
      <c r="C82" s="147">
        <v>1611</v>
      </c>
      <c r="D82" s="151" t="s">
        <v>52</v>
      </c>
      <c r="E82" s="124">
        <v>4953506.92</v>
      </c>
      <c r="F82" s="124"/>
      <c r="G82" s="125">
        <f t="shared" si="20"/>
        <v>4953506.92</v>
      </c>
      <c r="H82" s="124"/>
      <c r="I82" s="124"/>
      <c r="J82" s="124">
        <f t="shared" si="21"/>
        <v>4953506.92</v>
      </c>
      <c r="K82" s="126">
        <v>25</v>
      </c>
      <c r="L82" s="146">
        <f>IF(K82=0,"",1/K82)</f>
        <v>0.04</v>
      </c>
      <c r="M82" s="135">
        <f>IF(K82=0,"",J82/K82)</f>
        <v>198140.27679999999</v>
      </c>
      <c r="N82" s="135">
        <v>288281.38</v>
      </c>
      <c r="O82" s="129">
        <f>+M82-N82</f>
        <v>-90141.103200000012</v>
      </c>
      <c r="P82" s="236" t="s">
        <v>95</v>
      </c>
    </row>
    <row r="83" spans="2:16">
      <c r="C83" s="147"/>
      <c r="D83" s="148"/>
      <c r="E83" s="124"/>
      <c r="F83" s="124"/>
      <c r="G83" s="125">
        <f t="shared" si="20"/>
        <v>0</v>
      </c>
      <c r="H83" s="124"/>
      <c r="I83" s="124"/>
      <c r="J83" s="124">
        <f t="shared" si="21"/>
        <v>0</v>
      </c>
      <c r="K83" s="126"/>
      <c r="L83" s="146" t="str">
        <f>IF(K83=0,"",1/K83)</f>
        <v/>
      </c>
      <c r="M83" s="128" t="str">
        <f>IF(K83=0,"",J83/K83)</f>
        <v/>
      </c>
      <c r="N83" s="128"/>
      <c r="O83" s="129"/>
      <c r="P83" s="236"/>
    </row>
    <row r="84" spans="2:16" ht="13.5" thickBot="1">
      <c r="C84" s="157"/>
      <c r="D84" s="158"/>
      <c r="E84" s="159"/>
      <c r="F84" s="159"/>
      <c r="G84" s="160">
        <f t="shared" si="20"/>
        <v>0</v>
      </c>
      <c r="H84" s="159"/>
      <c r="I84" s="159"/>
      <c r="J84" s="161"/>
      <c r="K84" s="162"/>
      <c r="L84" s="163" t="str">
        <f>IF(K84=0,"",1/K84)</f>
        <v/>
      </c>
      <c r="M84" s="164" t="str">
        <f>IF(K84=0,"",J84/K84)</f>
        <v/>
      </c>
      <c r="N84" s="164"/>
      <c r="O84" s="165"/>
      <c r="P84" s="239"/>
    </row>
    <row r="85" spans="2:16" ht="14.25" thickTop="1" thickBot="1">
      <c r="C85" s="166"/>
      <c r="D85" s="167" t="s">
        <v>42</v>
      </c>
      <c r="E85" s="168">
        <f t="shared" ref="E85:J85" si="22">SUM(E16:E84)</f>
        <v>1445434187.7125375</v>
      </c>
      <c r="F85" s="168">
        <f t="shared" si="22"/>
        <v>65131629.830000006</v>
      </c>
      <c r="G85" s="168">
        <f t="shared" si="22"/>
        <v>1370424061.3925383</v>
      </c>
      <c r="H85" s="168">
        <f t="shared" si="22"/>
        <v>134164036.87178357</v>
      </c>
      <c r="I85" s="168">
        <f>SUM(I16:I84)</f>
        <v>-2734108.1446969695</v>
      </c>
      <c r="J85" s="168">
        <f t="shared" si="22"/>
        <v>1436139025.7560809</v>
      </c>
      <c r="K85" s="169"/>
      <c r="L85" s="170"/>
      <c r="M85" s="171">
        <f>+M18+M29+M34+M36+M37+M38+M39+M41+M42+M43+M44+M45+M46+M47+M52+M53+M59+M67+M68+M69+M72+M78+M80+M81+M82+M48+M63+M74+M40</f>
        <v>52403953.208642401</v>
      </c>
      <c r="N85" s="171">
        <f>+N18+N29+N34+N36+N37+N38+N39+N41+N42+N43+N44+N45+N46+N47+N52+N53+N59+N67+N68+N69+N72+N78+N80+N81+N82+N48+N63+N74+N40</f>
        <v>58159240.604423404</v>
      </c>
      <c r="O85" s="171">
        <f>+O18+O29+O34+O36+O37+O38+O39+O41+O42+O43+O44+O45+O46+O47+O52+O53+O59+O67+O68+O69+O72+O78+O80+O81+O82+O48+O63+O74+O40</f>
        <v>-5755287.3957810132</v>
      </c>
      <c r="P85" s="172"/>
    </row>
    <row r="86" spans="2:16" ht="15.75" customHeight="1">
      <c r="O86" s="173">
        <f>+M85-N85</f>
        <v>-5755287.3957810029</v>
      </c>
      <c r="P86" s="103" t="s">
        <v>163</v>
      </c>
    </row>
    <row r="87" spans="2:16" ht="11.25" customHeight="1">
      <c r="C87" s="104" t="s">
        <v>43</v>
      </c>
      <c r="D87" s="136"/>
      <c r="E87" s="136"/>
      <c r="F87" s="174"/>
      <c r="G87" s="175"/>
      <c r="H87" s="136"/>
      <c r="I87" s="136"/>
      <c r="J87" s="136"/>
      <c r="K87" s="136"/>
      <c r="L87" s="136"/>
      <c r="M87" s="136"/>
      <c r="N87" s="136"/>
      <c r="O87" s="136"/>
    </row>
    <row r="88" spans="2:16" ht="7.5" customHeight="1">
      <c r="C88" s="136"/>
      <c r="D88" s="136"/>
      <c r="E88" s="136"/>
      <c r="F88" s="136"/>
      <c r="G88" s="136"/>
      <c r="H88" s="136"/>
      <c r="I88" s="136"/>
      <c r="J88" s="136"/>
      <c r="K88" s="136"/>
      <c r="L88" s="136"/>
      <c r="M88" s="136"/>
      <c r="N88" s="136"/>
      <c r="O88" s="136"/>
    </row>
    <row r="89" spans="2:16" ht="12.75" customHeight="1">
      <c r="C89" s="263" t="s">
        <v>151</v>
      </c>
      <c r="D89" s="263"/>
      <c r="E89" s="263"/>
      <c r="F89" s="263"/>
      <c r="G89" s="263"/>
      <c r="H89" s="263"/>
      <c r="I89" s="263"/>
      <c r="J89" s="263"/>
      <c r="K89" s="263"/>
      <c r="L89" s="263"/>
      <c r="M89" s="263"/>
    </row>
    <row r="90" spans="2:16" ht="21" customHeight="1">
      <c r="C90" s="258" t="s">
        <v>97</v>
      </c>
      <c r="D90" s="258"/>
      <c r="E90" s="258"/>
      <c r="F90" s="258"/>
      <c r="G90" s="258"/>
      <c r="H90" s="258"/>
      <c r="I90" s="258"/>
      <c r="J90" s="258"/>
      <c r="K90" s="258"/>
      <c r="L90" s="258"/>
    </row>
    <row r="91" spans="2:16" ht="14.25" customHeight="1">
      <c r="C91" s="260" t="s">
        <v>91</v>
      </c>
      <c r="D91" s="260"/>
      <c r="E91" s="260"/>
      <c r="F91" s="260"/>
      <c r="G91" s="260"/>
      <c r="H91" s="260"/>
      <c r="I91" s="260"/>
      <c r="J91" s="260"/>
      <c r="K91" s="260"/>
      <c r="L91" s="260"/>
    </row>
    <row r="92" spans="2:16" ht="15.75" customHeight="1">
      <c r="C92" s="260"/>
      <c r="D92" s="260"/>
      <c r="E92" s="260"/>
      <c r="F92" s="260"/>
      <c r="G92" s="260"/>
      <c r="H92" s="260"/>
      <c r="I92" s="260"/>
      <c r="J92" s="260"/>
      <c r="K92" s="260"/>
      <c r="L92" s="260"/>
    </row>
    <row r="93" spans="2:16" ht="12" customHeight="1">
      <c r="C93" s="258" t="s">
        <v>161</v>
      </c>
      <c r="D93" s="262"/>
      <c r="E93" s="262"/>
      <c r="F93" s="262"/>
      <c r="G93" s="262"/>
      <c r="H93" s="262"/>
      <c r="I93" s="262"/>
      <c r="J93" s="262"/>
      <c r="K93" s="262"/>
      <c r="L93" s="262"/>
      <c r="M93" s="136"/>
      <c r="N93" s="136"/>
      <c r="O93" s="136"/>
    </row>
    <row r="94" spans="2:16" ht="15.75" customHeight="1">
      <c r="C94" s="258" t="s">
        <v>150</v>
      </c>
      <c r="D94" s="259"/>
      <c r="E94" s="259"/>
      <c r="F94" s="259"/>
      <c r="G94" s="259"/>
      <c r="H94" s="259"/>
      <c r="I94" s="259"/>
      <c r="J94" s="259"/>
      <c r="K94" s="259"/>
      <c r="L94" s="259"/>
      <c r="M94" s="259"/>
      <c r="N94" s="259"/>
      <c r="O94" s="259"/>
    </row>
    <row r="95" spans="2:16">
      <c r="C95" s="136"/>
      <c r="D95" s="176"/>
      <c r="E95" s="176"/>
      <c r="F95" s="176"/>
      <c r="G95" s="176"/>
      <c r="H95" s="176"/>
      <c r="I95" s="176"/>
      <c r="J95" s="176"/>
      <c r="K95" s="176"/>
      <c r="L95" s="176"/>
      <c r="M95" s="176"/>
      <c r="N95" s="176"/>
      <c r="O95" s="176"/>
    </row>
    <row r="96" spans="2:16">
      <c r="C96" s="136"/>
      <c r="D96" s="176"/>
      <c r="E96" s="176"/>
      <c r="F96" s="176"/>
      <c r="G96" s="176"/>
      <c r="H96" s="176"/>
      <c r="I96" s="176"/>
      <c r="J96" s="176"/>
      <c r="K96" s="176"/>
      <c r="L96" s="176"/>
      <c r="M96" s="176"/>
      <c r="N96" s="176"/>
      <c r="O96" s="176"/>
    </row>
  </sheetData>
  <mergeCells count="10">
    <mergeCell ref="C94:O94"/>
    <mergeCell ref="C9:M9"/>
    <mergeCell ref="C10:M10"/>
    <mergeCell ref="C14:C15"/>
    <mergeCell ref="D14:D15"/>
    <mergeCell ref="P14:P15"/>
    <mergeCell ref="C90:L90"/>
    <mergeCell ref="C91:L92"/>
    <mergeCell ref="C93:L93"/>
    <mergeCell ref="C89:M89"/>
  </mergeCells>
  <dataValidations count="2">
    <dataValidation type="list" allowBlank="1" showInputMessage="1" showErrorMessage="1" sqref="P16:P84">
      <formula1>"Yes, No"</formula1>
    </dataValidation>
    <dataValidation allowBlank="1" showInputMessage="1" showErrorMessage="1" promptTitle="Date Format" prompt="E.g:  &quot;August 1, 2011&quot;" sqref="M7:O7"/>
  </dataValidations>
  <printOptions horizontalCentered="1"/>
  <pageMargins left="0" right="0" top="0.13" bottom="0" header="0" footer="0"/>
  <pageSetup paperSize="17" scale="48" orientation="landscape" cellComments="asDisplayed" r:id="rId1"/>
  <headerFooter alignWithMargins="0"/>
  <rowBreaks count="1" manualBreakCount="1">
    <brk id="5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96"/>
  <sheetViews>
    <sheetView showGridLines="0" topLeftCell="G1" zoomScale="110" zoomScaleNormal="110" workbookViewId="0">
      <selection activeCell="M5" sqref="M5"/>
    </sheetView>
  </sheetViews>
  <sheetFormatPr defaultRowHeight="12.75"/>
  <cols>
    <col min="1" max="1" width="2.7109375" style="103" customWidth="1"/>
    <col min="2" max="2" width="7.140625" style="103" customWidth="1"/>
    <col min="3" max="3" width="9.140625" style="103"/>
    <col min="4" max="4" width="38.5703125" style="103" customWidth="1"/>
    <col min="5" max="5" width="17.140625" style="103" customWidth="1"/>
    <col min="6" max="6" width="14" style="103" customWidth="1"/>
    <col min="7" max="7" width="16.5703125" style="103" customWidth="1"/>
    <col min="8" max="8" width="13.7109375" style="103" customWidth="1"/>
    <col min="9" max="9" width="13.42578125" style="103" customWidth="1"/>
    <col min="10" max="10" width="17.85546875" style="103" customWidth="1"/>
    <col min="11" max="11" width="7.7109375" style="103" customWidth="1"/>
    <col min="12" max="12" width="12.28515625" style="103" customWidth="1"/>
    <col min="13" max="13" width="15.140625" style="103" bestFit="1" customWidth="1"/>
    <col min="14" max="15" width="15" style="103" customWidth="1"/>
    <col min="16" max="16" width="15.85546875" style="103" customWidth="1"/>
    <col min="17" max="17" width="9.140625" style="225"/>
    <col min="18" max="18" width="15.140625" style="225" bestFit="1" customWidth="1"/>
    <col min="19" max="19" width="15" style="225" customWidth="1"/>
    <col min="20" max="20" width="9.28515625" style="225" bestFit="1" customWidth="1"/>
    <col min="21" max="21" width="16" style="227" bestFit="1" customWidth="1"/>
    <col min="22" max="16384" width="9.140625" style="103"/>
  </cols>
  <sheetData>
    <row r="1" spans="2:20">
      <c r="K1" s="104" t="s">
        <v>0</v>
      </c>
      <c r="M1" s="177" t="s">
        <v>128</v>
      </c>
      <c r="N1" s="105"/>
      <c r="O1" s="105"/>
      <c r="R1" s="226"/>
      <c r="S1" s="226"/>
    </row>
    <row r="2" spans="2:20">
      <c r="K2" s="104" t="s">
        <v>1</v>
      </c>
      <c r="M2" s="192" t="s">
        <v>147</v>
      </c>
      <c r="N2" s="105"/>
      <c r="O2" s="105"/>
      <c r="R2" s="226"/>
      <c r="S2" s="226"/>
    </row>
    <row r="3" spans="2:20">
      <c r="K3" s="104" t="s">
        <v>2</v>
      </c>
      <c r="M3" s="106"/>
      <c r="N3" s="105"/>
      <c r="O3" s="105"/>
      <c r="R3" s="226"/>
      <c r="S3" s="226"/>
    </row>
    <row r="4" spans="2:20">
      <c r="K4" s="104" t="s">
        <v>3</v>
      </c>
      <c r="M4" s="105"/>
      <c r="N4" s="105"/>
      <c r="O4" s="105"/>
      <c r="R4" s="226"/>
      <c r="S4" s="226"/>
    </row>
    <row r="5" spans="2:20">
      <c r="K5" s="104" t="s">
        <v>4</v>
      </c>
      <c r="M5" s="105"/>
      <c r="N5" s="105"/>
      <c r="O5" s="105"/>
      <c r="R5" s="226"/>
      <c r="S5" s="226"/>
    </row>
    <row r="6" spans="2:20">
      <c r="K6" s="104"/>
      <c r="R6" s="226"/>
      <c r="S6" s="226"/>
    </row>
    <row r="7" spans="2:20">
      <c r="K7" s="104" t="s">
        <v>5</v>
      </c>
      <c r="M7" s="107" t="s">
        <v>153</v>
      </c>
      <c r="N7" s="107"/>
      <c r="O7" s="107"/>
      <c r="R7" s="226"/>
      <c r="S7" s="226"/>
    </row>
    <row r="9" spans="2:20" ht="18">
      <c r="C9" s="264" t="s">
        <v>147</v>
      </c>
      <c r="D9" s="264"/>
      <c r="E9" s="264"/>
      <c r="F9" s="264"/>
      <c r="G9" s="264"/>
      <c r="H9" s="264"/>
      <c r="I9" s="264"/>
      <c r="J9" s="264"/>
      <c r="K9" s="264"/>
      <c r="L9" s="264"/>
      <c r="M9" s="264"/>
      <c r="N9" s="108"/>
      <c r="O9" s="108"/>
    </row>
    <row r="10" spans="2:20" ht="18">
      <c r="C10" s="264" t="s">
        <v>6</v>
      </c>
      <c r="D10" s="264"/>
      <c r="E10" s="264"/>
      <c r="F10" s="264"/>
      <c r="G10" s="264"/>
      <c r="H10" s="264"/>
      <c r="I10" s="264"/>
      <c r="J10" s="264"/>
      <c r="K10" s="264"/>
      <c r="L10" s="264"/>
      <c r="M10" s="264"/>
      <c r="N10" s="108"/>
      <c r="O10" s="108"/>
    </row>
    <row r="11" spans="2:20" ht="13.5" customHeight="1">
      <c r="C11" s="108"/>
      <c r="D11" s="108"/>
      <c r="E11" s="108"/>
      <c r="F11" s="108"/>
      <c r="G11" s="108"/>
      <c r="H11" s="108"/>
      <c r="I11" s="108"/>
      <c r="J11" s="108"/>
      <c r="K11" s="108"/>
      <c r="L11" s="108"/>
      <c r="M11" s="108"/>
      <c r="N11" s="108"/>
      <c r="O11" s="108"/>
    </row>
    <row r="12" spans="2:20" ht="13.5" customHeight="1">
      <c r="C12" s="108"/>
      <c r="D12" s="108"/>
      <c r="E12" s="108"/>
      <c r="F12" s="109" t="s">
        <v>7</v>
      </c>
      <c r="G12" s="110">
        <v>2018</v>
      </c>
      <c r="H12" s="111" t="s">
        <v>54</v>
      </c>
      <c r="I12" s="111"/>
      <c r="J12" s="108"/>
      <c r="K12" s="108"/>
      <c r="L12" s="108"/>
      <c r="M12" s="108"/>
      <c r="N12" s="108"/>
      <c r="O12" s="108"/>
    </row>
    <row r="13" spans="2:20" ht="13.5" thickBot="1"/>
    <row r="14" spans="2:20" ht="39" customHeight="1">
      <c r="B14" s="103" t="s">
        <v>113</v>
      </c>
      <c r="C14" s="265" t="s">
        <v>8</v>
      </c>
      <c r="D14" s="267" t="s">
        <v>9</v>
      </c>
      <c r="E14" s="112" t="s">
        <v>125</v>
      </c>
      <c r="F14" s="113" t="s">
        <v>10</v>
      </c>
      <c r="G14" s="114" t="s">
        <v>11</v>
      </c>
      <c r="H14" s="114" t="s">
        <v>12</v>
      </c>
      <c r="I14" s="114" t="s">
        <v>81</v>
      </c>
      <c r="J14" s="114" t="s">
        <v>84</v>
      </c>
      <c r="K14" s="114" t="s">
        <v>13</v>
      </c>
      <c r="L14" s="114" t="s">
        <v>14</v>
      </c>
      <c r="M14" s="114" t="s">
        <v>126</v>
      </c>
      <c r="N14" s="114" t="s">
        <v>127</v>
      </c>
      <c r="O14" s="115" t="s">
        <v>98</v>
      </c>
      <c r="P14" s="256" t="s">
        <v>162</v>
      </c>
    </row>
    <row r="15" spans="2:20" ht="32.25" customHeight="1">
      <c r="C15" s="266"/>
      <c r="D15" s="268"/>
      <c r="E15" s="116" t="s">
        <v>15</v>
      </c>
      <c r="F15" s="116" t="s">
        <v>16</v>
      </c>
      <c r="G15" s="117" t="s">
        <v>17</v>
      </c>
      <c r="H15" s="117" t="s">
        <v>18</v>
      </c>
      <c r="I15" s="118" t="s">
        <v>19</v>
      </c>
      <c r="J15" s="119" t="s">
        <v>138</v>
      </c>
      <c r="K15" s="117" t="s">
        <v>19</v>
      </c>
      <c r="L15" s="117" t="s">
        <v>20</v>
      </c>
      <c r="M15" s="117" t="s">
        <v>21</v>
      </c>
      <c r="N15" s="117" t="s">
        <v>99</v>
      </c>
      <c r="O15" s="120" t="s">
        <v>100</v>
      </c>
      <c r="P15" s="257"/>
      <c r="R15" s="121"/>
      <c r="S15" s="121"/>
      <c r="T15" s="228"/>
    </row>
    <row r="16" spans="2:20">
      <c r="B16" s="103">
        <v>1805</v>
      </c>
      <c r="C16" s="122">
        <v>1805</v>
      </c>
      <c r="D16" s="123" t="s">
        <v>22</v>
      </c>
      <c r="E16" s="124">
        <v>26435637.279999997</v>
      </c>
      <c r="F16" s="124"/>
      <c r="G16" s="125">
        <f t="shared" ref="G16:G28" si="0">E16-F16</f>
        <v>26435637.279999997</v>
      </c>
      <c r="H16" s="124">
        <v>8682.48</v>
      </c>
      <c r="I16" s="124"/>
      <c r="J16" s="124">
        <f>G16+0.5*H16+0.5*I16</f>
        <v>26439978.519999996</v>
      </c>
      <c r="K16" s="126">
        <v>0</v>
      </c>
      <c r="L16" s="127" t="str">
        <f>IF(K16=0,"",1/K16)</f>
        <v/>
      </c>
      <c r="M16" s="128" t="str">
        <f t="shared" ref="M16:M48" si="1">IF(K16=0,"",J16/K16)</f>
        <v/>
      </c>
      <c r="N16" s="128"/>
      <c r="O16" s="129"/>
      <c r="P16" s="236"/>
      <c r="R16" s="227"/>
      <c r="S16" s="227"/>
      <c r="T16" s="229"/>
    </row>
    <row r="17" spans="2:21">
      <c r="B17" s="103">
        <v>1806</v>
      </c>
      <c r="C17" s="130">
        <v>1806</v>
      </c>
      <c r="D17" s="131" t="s">
        <v>32</v>
      </c>
      <c r="E17" s="124">
        <v>972809.53999999992</v>
      </c>
      <c r="F17" s="124"/>
      <c r="G17" s="125">
        <f t="shared" si="0"/>
        <v>972809.53999999992</v>
      </c>
      <c r="H17" s="124">
        <v>34542.26</v>
      </c>
      <c r="I17" s="124"/>
      <c r="J17" s="124">
        <f t="shared" ref="J17:J28" si="2">G17+0.5*H17+0.5*I17</f>
        <v>990080.66999999993</v>
      </c>
      <c r="K17" s="126">
        <v>0</v>
      </c>
      <c r="L17" s="127"/>
      <c r="M17" s="128" t="str">
        <f t="shared" si="1"/>
        <v/>
      </c>
      <c r="N17" s="128"/>
      <c r="O17" s="129"/>
      <c r="P17" s="236"/>
      <c r="R17" s="227"/>
      <c r="S17" s="227"/>
      <c r="T17" s="229"/>
    </row>
    <row r="18" spans="2:21">
      <c r="B18" s="103">
        <v>1808</v>
      </c>
      <c r="C18" s="130">
        <v>1808</v>
      </c>
      <c r="D18" s="132" t="s">
        <v>23</v>
      </c>
      <c r="E18" s="124">
        <v>7082078.2800000012</v>
      </c>
      <c r="F18" s="124"/>
      <c r="G18" s="125">
        <f t="shared" si="0"/>
        <v>7082078.2800000012</v>
      </c>
      <c r="H18" s="124">
        <v>155812.41999999998</v>
      </c>
      <c r="I18" s="124"/>
      <c r="J18" s="124">
        <f t="shared" si="2"/>
        <v>7159984.4900000012</v>
      </c>
      <c r="K18" s="126">
        <v>40</v>
      </c>
      <c r="L18" s="127">
        <f t="shared" ref="L18:L80" si="3">IF(K18=0,"",1/K18)</f>
        <v>2.5000000000000001E-2</v>
      </c>
      <c r="M18" s="128">
        <f t="shared" si="1"/>
        <v>178999.61225000003</v>
      </c>
      <c r="N18" s="128">
        <v>223326.29500000004</v>
      </c>
      <c r="O18" s="129">
        <f>+M18-N18</f>
        <v>-44326.682750000007</v>
      </c>
      <c r="P18" s="237" t="s">
        <v>95</v>
      </c>
      <c r="R18" s="227"/>
      <c r="S18" s="227"/>
      <c r="T18" s="230"/>
    </row>
    <row r="19" spans="2:21">
      <c r="B19" s="103">
        <v>1810</v>
      </c>
      <c r="C19" s="130">
        <v>1810</v>
      </c>
      <c r="D19" s="131" t="s">
        <v>53</v>
      </c>
      <c r="E19" s="124">
        <v>9878496.4900000002</v>
      </c>
      <c r="F19" s="124"/>
      <c r="G19" s="125"/>
      <c r="H19" s="124">
        <v>0</v>
      </c>
      <c r="I19" s="124"/>
      <c r="J19" s="124">
        <f t="shared" si="2"/>
        <v>0</v>
      </c>
      <c r="K19" s="126">
        <v>0</v>
      </c>
      <c r="L19" s="127" t="str">
        <f t="shared" si="3"/>
        <v/>
      </c>
      <c r="M19" s="128" t="str">
        <f t="shared" si="1"/>
        <v/>
      </c>
      <c r="N19" s="128"/>
      <c r="O19" s="129"/>
      <c r="P19" s="236"/>
      <c r="R19" s="227"/>
      <c r="S19" s="227"/>
      <c r="T19" s="229"/>
    </row>
    <row r="20" spans="2:21" ht="22.5" customHeight="1">
      <c r="B20" s="103">
        <v>1815</v>
      </c>
      <c r="C20" s="130">
        <v>1815</v>
      </c>
      <c r="D20" s="132" t="s">
        <v>24</v>
      </c>
      <c r="E20" s="124">
        <v>-1315376.9302346408</v>
      </c>
      <c r="F20" s="124"/>
      <c r="G20" s="125"/>
      <c r="H20" s="124">
        <v>205408.1057841701</v>
      </c>
      <c r="I20" s="124"/>
      <c r="J20" s="124">
        <f t="shared" si="2"/>
        <v>102704.05289208505</v>
      </c>
      <c r="K20" s="126">
        <v>40</v>
      </c>
      <c r="L20" s="127">
        <f t="shared" si="3"/>
        <v>2.5000000000000001E-2</v>
      </c>
      <c r="M20" s="128">
        <f t="shared" si="1"/>
        <v>2567.6013223021264</v>
      </c>
      <c r="N20" s="128">
        <v>-29117.738058563962</v>
      </c>
      <c r="O20" s="129">
        <f t="shared" ref="O20:O33" si="4">+M20-N20</f>
        <v>31685.339380866088</v>
      </c>
      <c r="P20" s="236" t="s">
        <v>95</v>
      </c>
      <c r="R20" s="227"/>
      <c r="S20" s="227"/>
      <c r="T20" s="229"/>
    </row>
    <row r="21" spans="2:21" s="136" customFormat="1">
      <c r="B21" s="136">
        <v>1816</v>
      </c>
      <c r="C21" s="130">
        <v>1815</v>
      </c>
      <c r="D21" s="131" t="s">
        <v>55</v>
      </c>
      <c r="E21" s="124">
        <v>32625335.796956249</v>
      </c>
      <c r="F21" s="125"/>
      <c r="G21" s="125">
        <f t="shared" si="0"/>
        <v>32625335.796956249</v>
      </c>
      <c r="H21" s="125">
        <v>674529.57680449029</v>
      </c>
      <c r="I21" s="125"/>
      <c r="J21" s="124">
        <f t="shared" si="2"/>
        <v>32962600.585358493</v>
      </c>
      <c r="K21" s="133">
        <v>40</v>
      </c>
      <c r="L21" s="134">
        <f t="shared" si="3"/>
        <v>2.5000000000000001E-2</v>
      </c>
      <c r="M21" s="135">
        <f t="shared" si="1"/>
        <v>824065.0146339623</v>
      </c>
      <c r="N21" s="135">
        <v>895568.86113396229</v>
      </c>
      <c r="O21" s="129">
        <f t="shared" si="4"/>
        <v>-71503.846499999985</v>
      </c>
      <c r="P21" s="238" t="s">
        <v>95</v>
      </c>
      <c r="Q21" s="231"/>
      <c r="R21" s="232"/>
      <c r="S21" s="232"/>
      <c r="T21" s="233"/>
      <c r="U21" s="232"/>
    </row>
    <row r="22" spans="2:21">
      <c r="B22" s="103">
        <v>1817</v>
      </c>
      <c r="C22" s="130">
        <v>1815</v>
      </c>
      <c r="D22" s="132" t="s">
        <v>56</v>
      </c>
      <c r="E22" s="124">
        <v>10209782.349999998</v>
      </c>
      <c r="F22" s="124">
        <v>2057538.0399999998</v>
      </c>
      <c r="G22" s="125">
        <f t="shared" si="0"/>
        <v>8152244.3099999977</v>
      </c>
      <c r="H22" s="124">
        <v>63662.549999999988</v>
      </c>
      <c r="I22" s="124"/>
      <c r="J22" s="124">
        <f t="shared" si="2"/>
        <v>8184075.5849999981</v>
      </c>
      <c r="K22" s="150">
        <v>25</v>
      </c>
      <c r="L22" s="127">
        <f t="shared" si="3"/>
        <v>0.04</v>
      </c>
      <c r="M22" s="135">
        <f t="shared" si="1"/>
        <v>327363.02339999995</v>
      </c>
      <c r="N22" s="135">
        <v>398039.46880000003</v>
      </c>
      <c r="O22" s="129">
        <f t="shared" si="4"/>
        <v>-70676.445400000084</v>
      </c>
      <c r="P22" s="236" t="s">
        <v>95</v>
      </c>
      <c r="R22" s="227"/>
      <c r="S22" s="227"/>
      <c r="T22" s="229"/>
    </row>
    <row r="23" spans="2:21">
      <c r="B23" s="103">
        <v>1818</v>
      </c>
      <c r="C23" s="130">
        <v>1815</v>
      </c>
      <c r="D23" s="132" t="s">
        <v>57</v>
      </c>
      <c r="E23" s="124">
        <v>40774472.451867312</v>
      </c>
      <c r="F23" s="124"/>
      <c r="G23" s="125">
        <f t="shared" si="0"/>
        <v>40774472.451867312</v>
      </c>
      <c r="H23" s="124">
        <v>0</v>
      </c>
      <c r="I23" s="124"/>
      <c r="J23" s="124">
        <f t="shared" si="2"/>
        <v>40774472.451867312</v>
      </c>
      <c r="K23" s="126">
        <v>40</v>
      </c>
      <c r="L23" s="127">
        <f t="shared" si="3"/>
        <v>2.5000000000000001E-2</v>
      </c>
      <c r="M23" s="135">
        <f t="shared" si="1"/>
        <v>1019361.8112966828</v>
      </c>
      <c r="N23" s="135">
        <v>1342594.1356716827</v>
      </c>
      <c r="O23" s="129">
        <f t="shared" si="4"/>
        <v>-323232.32437499985</v>
      </c>
      <c r="P23" s="236" t="s">
        <v>95</v>
      </c>
      <c r="R23" s="227"/>
      <c r="S23" s="227"/>
      <c r="T23" s="229"/>
    </row>
    <row r="24" spans="2:21">
      <c r="B24" s="103">
        <v>1819</v>
      </c>
      <c r="C24" s="130">
        <v>1815</v>
      </c>
      <c r="D24" s="132" t="s">
        <v>58</v>
      </c>
      <c r="E24" s="124">
        <v>7012140.2600000016</v>
      </c>
      <c r="F24" s="124"/>
      <c r="G24" s="125">
        <f t="shared" si="0"/>
        <v>7012140.2600000016</v>
      </c>
      <c r="H24" s="124">
        <v>14066.11</v>
      </c>
      <c r="I24" s="124"/>
      <c r="J24" s="124">
        <f t="shared" si="2"/>
        <v>7019173.3150000013</v>
      </c>
      <c r="K24" s="126">
        <v>40</v>
      </c>
      <c r="L24" s="127">
        <f t="shared" si="3"/>
        <v>2.5000000000000001E-2</v>
      </c>
      <c r="M24" s="135">
        <f t="shared" si="1"/>
        <v>175479.33287500002</v>
      </c>
      <c r="N24" s="135">
        <v>227739.76650000006</v>
      </c>
      <c r="O24" s="129">
        <f t="shared" si="4"/>
        <v>-52260.433625000034</v>
      </c>
      <c r="P24" s="236" t="s">
        <v>95</v>
      </c>
      <c r="R24" s="227"/>
      <c r="S24" s="227"/>
      <c r="T24" s="229"/>
    </row>
    <row r="25" spans="2:21">
      <c r="B25" s="103">
        <v>1821</v>
      </c>
      <c r="C25" s="130">
        <v>1815</v>
      </c>
      <c r="D25" s="132" t="s">
        <v>59</v>
      </c>
      <c r="E25" s="124">
        <v>4847355.9078235542</v>
      </c>
      <c r="F25" s="124"/>
      <c r="G25" s="125">
        <f t="shared" si="0"/>
        <v>4847355.9078235542</v>
      </c>
      <c r="H25" s="124">
        <v>8662.5499999999993</v>
      </c>
      <c r="I25" s="124"/>
      <c r="J25" s="124">
        <f t="shared" si="2"/>
        <v>4851687.1828235546</v>
      </c>
      <c r="K25" s="126">
        <v>40</v>
      </c>
      <c r="L25" s="127">
        <f t="shared" si="3"/>
        <v>2.5000000000000001E-2</v>
      </c>
      <c r="M25" s="135">
        <f t="shared" si="1"/>
        <v>121292.17957058887</v>
      </c>
      <c r="N25" s="125">
        <f>2541.15082058885+161870</f>
        <v>164411.15082058884</v>
      </c>
      <c r="O25" s="129">
        <f t="shared" si="4"/>
        <v>-43118.971249999973</v>
      </c>
      <c r="P25" s="236" t="s">
        <v>95</v>
      </c>
      <c r="R25" s="227"/>
      <c r="S25" s="227"/>
      <c r="T25" s="229"/>
    </row>
    <row r="26" spans="2:21">
      <c r="B26" s="103">
        <v>1822</v>
      </c>
      <c r="C26" s="130">
        <v>1815</v>
      </c>
      <c r="D26" s="132" t="s">
        <v>60</v>
      </c>
      <c r="E26" s="124">
        <v>7762079.4369362686</v>
      </c>
      <c r="F26" s="124">
        <v>1054149.6599999999</v>
      </c>
      <c r="G26" s="125">
        <f t="shared" si="0"/>
        <v>6707929.7769362684</v>
      </c>
      <c r="H26" s="124">
        <v>1216778.3273125603</v>
      </c>
      <c r="I26" s="124"/>
      <c r="J26" s="124">
        <f t="shared" si="2"/>
        <v>7316318.9405925488</v>
      </c>
      <c r="K26" s="126">
        <v>20</v>
      </c>
      <c r="L26" s="127">
        <f t="shared" si="3"/>
        <v>0.05</v>
      </c>
      <c r="M26" s="135">
        <f t="shared" si="1"/>
        <v>365815.94702962745</v>
      </c>
      <c r="N26" s="125">
        <f>312700.013529627+135655</f>
        <v>448355.013529627</v>
      </c>
      <c r="O26" s="129">
        <f t="shared" si="4"/>
        <v>-82539.06649999955</v>
      </c>
      <c r="P26" s="236" t="s">
        <v>95</v>
      </c>
      <c r="R26" s="227"/>
      <c r="S26" s="227"/>
      <c r="T26" s="229"/>
    </row>
    <row r="27" spans="2:21">
      <c r="B27" s="103">
        <v>1823</v>
      </c>
      <c r="C27" s="130">
        <v>1815</v>
      </c>
      <c r="D27" s="132" t="s">
        <v>61</v>
      </c>
      <c r="E27" s="124">
        <v>26793619.41</v>
      </c>
      <c r="F27" s="124">
        <v>553486.23</v>
      </c>
      <c r="G27" s="125">
        <f t="shared" si="0"/>
        <v>26240133.18</v>
      </c>
      <c r="H27" s="124">
        <v>2576790.600000001</v>
      </c>
      <c r="I27" s="124"/>
      <c r="J27" s="124">
        <f t="shared" si="2"/>
        <v>27528528.48</v>
      </c>
      <c r="K27" s="126">
        <v>30</v>
      </c>
      <c r="L27" s="127">
        <f t="shared" si="3"/>
        <v>3.3333333333333333E-2</v>
      </c>
      <c r="M27" s="135">
        <f t="shared" si="1"/>
        <v>917617.61600000004</v>
      </c>
      <c r="N27" s="125">
        <f>577172.741833334+663670</f>
        <v>1240842.7418333339</v>
      </c>
      <c r="O27" s="129">
        <f t="shared" si="4"/>
        <v>-323225.12583333382</v>
      </c>
      <c r="P27" s="236" t="s">
        <v>95</v>
      </c>
      <c r="R27" s="227"/>
      <c r="S27" s="227"/>
      <c r="T27" s="229"/>
    </row>
    <row r="28" spans="2:21">
      <c r="B28" s="103">
        <v>1824</v>
      </c>
      <c r="C28" s="130">
        <v>1815</v>
      </c>
      <c r="D28" s="132" t="s">
        <v>62</v>
      </c>
      <c r="E28" s="124">
        <v>5396586.4000000004</v>
      </c>
      <c r="F28" s="124">
        <v>122996.93000000001</v>
      </c>
      <c r="G28" s="125">
        <f t="shared" si="0"/>
        <v>5273589.4700000007</v>
      </c>
      <c r="H28" s="124">
        <v>5403.5599999999995</v>
      </c>
      <c r="I28" s="124"/>
      <c r="J28" s="124">
        <f t="shared" si="2"/>
        <v>5276291.2500000009</v>
      </c>
      <c r="K28" s="126">
        <v>30</v>
      </c>
      <c r="L28" s="127">
        <f t="shared" si="3"/>
        <v>3.3333333333333333E-2</v>
      </c>
      <c r="M28" s="135">
        <f t="shared" si="1"/>
        <v>175876.37500000003</v>
      </c>
      <c r="N28" s="125">
        <f>957704.799-755678</f>
        <v>202026.799</v>
      </c>
      <c r="O28" s="129">
        <f t="shared" si="4"/>
        <v>-26150.42399999997</v>
      </c>
      <c r="P28" s="236" t="s">
        <v>95</v>
      </c>
      <c r="R28" s="227"/>
      <c r="S28" s="227"/>
      <c r="T28" s="229"/>
    </row>
    <row r="29" spans="2:21" ht="24.75" customHeight="1">
      <c r="C29" s="137"/>
      <c r="D29" s="138"/>
      <c r="E29" s="139"/>
      <c r="F29" s="139"/>
      <c r="G29" s="140"/>
      <c r="H29" s="139"/>
      <c r="I29" s="139"/>
      <c r="J29" s="141" t="s">
        <v>86</v>
      </c>
      <c r="K29" s="142"/>
      <c r="L29" s="143"/>
      <c r="M29" s="125">
        <f>SUM(M20:M28)</f>
        <v>3929438.9011281631</v>
      </c>
      <c r="N29" s="125">
        <f>SUM(N20:N28)</f>
        <v>4890460.1992306309</v>
      </c>
      <c r="O29" s="129">
        <f>+M29-N29</f>
        <v>-961021.29810246779</v>
      </c>
      <c r="P29" s="236"/>
      <c r="R29" s="227"/>
      <c r="S29" s="227"/>
      <c r="T29" s="229"/>
    </row>
    <row r="30" spans="2:21" ht="20.25" customHeight="1">
      <c r="B30" s="103">
        <v>1820</v>
      </c>
      <c r="C30" s="144">
        <v>1820</v>
      </c>
      <c r="D30" s="145" t="s">
        <v>25</v>
      </c>
      <c r="E30" s="124">
        <v>-9160732.3161897194</v>
      </c>
      <c r="F30" s="124"/>
      <c r="G30" s="125">
        <f>E30-F30</f>
        <v>-9160732.3161897194</v>
      </c>
      <c r="H30" s="124">
        <v>-3313653.7880764809</v>
      </c>
      <c r="I30" s="124"/>
      <c r="J30" s="124">
        <f t="shared" ref="J30:J33" si="5">G30+0.5*H30+0.5*I30</f>
        <v>-10817559.210227959</v>
      </c>
      <c r="K30" s="126">
        <v>30</v>
      </c>
      <c r="L30" s="146">
        <f t="shared" si="3"/>
        <v>3.3333333333333333E-2</v>
      </c>
      <c r="M30" s="135">
        <f t="shared" si="1"/>
        <v>-360585.30700759863</v>
      </c>
      <c r="N30" s="125">
        <f>-185419.498174265-205517</f>
        <v>-390936.49817426503</v>
      </c>
      <c r="O30" s="129">
        <f t="shared" si="4"/>
        <v>30351.191166666395</v>
      </c>
      <c r="P30" s="236" t="s">
        <v>95</v>
      </c>
      <c r="R30" s="227"/>
      <c r="S30" s="227"/>
      <c r="T30" s="229"/>
    </row>
    <row r="31" spans="2:21">
      <c r="B31" s="103">
        <v>1826</v>
      </c>
      <c r="C31" s="147">
        <v>1820</v>
      </c>
      <c r="D31" s="132" t="s">
        <v>63</v>
      </c>
      <c r="E31" s="124">
        <v>26383242.599999994</v>
      </c>
      <c r="F31" s="124"/>
      <c r="G31" s="125">
        <f>E31-F31</f>
        <v>26383242.599999994</v>
      </c>
      <c r="H31" s="124">
        <v>12231711.66</v>
      </c>
      <c r="I31" s="124"/>
      <c r="J31" s="124">
        <f t="shared" si="5"/>
        <v>32499098.429999992</v>
      </c>
      <c r="K31" s="126">
        <v>40</v>
      </c>
      <c r="L31" s="146">
        <f t="shared" si="3"/>
        <v>2.5000000000000001E-2</v>
      </c>
      <c r="M31" s="135">
        <f t="shared" si="1"/>
        <v>812477.46074999985</v>
      </c>
      <c r="N31" s="135">
        <v>881069.48650000012</v>
      </c>
      <c r="O31" s="129">
        <f t="shared" si="4"/>
        <v>-68592.025750000263</v>
      </c>
      <c r="P31" s="236" t="s">
        <v>95</v>
      </c>
      <c r="R31" s="227"/>
      <c r="S31" s="227"/>
      <c r="T31" s="229"/>
    </row>
    <row r="32" spans="2:21">
      <c r="B32" s="103">
        <v>1827</v>
      </c>
      <c r="C32" s="147">
        <v>1820</v>
      </c>
      <c r="D32" s="132" t="s">
        <v>64</v>
      </c>
      <c r="E32" s="124">
        <v>10479034.038426748</v>
      </c>
      <c r="F32" s="124">
        <v>1629586.2200000002</v>
      </c>
      <c r="G32" s="125">
        <f>E32-F32</f>
        <v>8849447.8184267469</v>
      </c>
      <c r="H32" s="124">
        <v>473847.16588294925</v>
      </c>
      <c r="I32" s="124"/>
      <c r="J32" s="124">
        <f t="shared" si="5"/>
        <v>9086371.4013682213</v>
      </c>
      <c r="K32" s="126">
        <v>20</v>
      </c>
      <c r="L32" s="146">
        <f t="shared" si="3"/>
        <v>0.05</v>
      </c>
      <c r="M32" s="135">
        <f t="shared" si="1"/>
        <v>454318.57006841106</v>
      </c>
      <c r="N32" s="135">
        <v>697322.94706841116</v>
      </c>
      <c r="O32" s="129">
        <f t="shared" si="4"/>
        <v>-243004.37700000009</v>
      </c>
      <c r="P32" s="236" t="s">
        <v>95</v>
      </c>
      <c r="R32" s="227"/>
      <c r="S32" s="227"/>
      <c r="T32" s="229"/>
    </row>
    <row r="33" spans="2:20">
      <c r="B33" s="103">
        <v>1828</v>
      </c>
      <c r="C33" s="147">
        <v>1820</v>
      </c>
      <c r="D33" s="132" t="s">
        <v>65</v>
      </c>
      <c r="E33" s="124">
        <v>4061399.7500000005</v>
      </c>
      <c r="F33" s="124">
        <v>81653.22</v>
      </c>
      <c r="G33" s="125">
        <f>E33-F33</f>
        <v>3979746.5300000003</v>
      </c>
      <c r="H33" s="124">
        <v>115243.88</v>
      </c>
      <c r="I33" s="124"/>
      <c r="J33" s="124">
        <f t="shared" si="5"/>
        <v>4037368.47</v>
      </c>
      <c r="K33" s="126">
        <v>30</v>
      </c>
      <c r="L33" s="146">
        <f t="shared" si="3"/>
        <v>3.3333333333333333E-2</v>
      </c>
      <c r="M33" s="135">
        <f t="shared" si="1"/>
        <v>134578.94899999999</v>
      </c>
      <c r="N33" s="135">
        <v>174510.7563333337</v>
      </c>
      <c r="O33" s="129">
        <f t="shared" si="4"/>
        <v>-39931.807333333709</v>
      </c>
      <c r="P33" s="236" t="s">
        <v>95</v>
      </c>
      <c r="R33" s="227"/>
      <c r="S33" s="227"/>
      <c r="T33" s="229"/>
    </row>
    <row r="34" spans="2:20" ht="20.25" customHeight="1">
      <c r="C34" s="137"/>
      <c r="D34" s="138"/>
      <c r="E34" s="139"/>
      <c r="F34" s="139"/>
      <c r="G34" s="140"/>
      <c r="H34" s="139"/>
      <c r="I34" s="139"/>
      <c r="J34" s="141" t="s">
        <v>87</v>
      </c>
      <c r="K34" s="142"/>
      <c r="L34" s="143"/>
      <c r="M34" s="125">
        <f>SUM(M30:M33)</f>
        <v>1040789.6728108122</v>
      </c>
      <c r="N34" s="125">
        <f>SUM(N30:N33)</f>
        <v>1361966.6917274799</v>
      </c>
      <c r="O34" s="129">
        <f>+M34-N34</f>
        <v>-321177.01891666767</v>
      </c>
      <c r="P34" s="236"/>
      <c r="R34" s="227"/>
      <c r="S34" s="227"/>
      <c r="T34" s="229"/>
    </row>
    <row r="35" spans="2:20" ht="24" customHeight="1">
      <c r="B35" s="103">
        <v>1825</v>
      </c>
      <c r="C35" s="147">
        <v>1825</v>
      </c>
      <c r="D35" s="148" t="s">
        <v>26</v>
      </c>
      <c r="E35" s="124">
        <v>0</v>
      </c>
      <c r="F35" s="124"/>
      <c r="G35" s="125">
        <f t="shared" ref="G35:G51" si="6">E35-F35</f>
        <v>0</v>
      </c>
      <c r="H35" s="124">
        <v>0</v>
      </c>
      <c r="I35" s="124"/>
      <c r="J35" s="124">
        <f t="shared" ref="J35:J51" si="7">G35+0.5*H35+0.5*I35</f>
        <v>0</v>
      </c>
      <c r="K35" s="126">
        <v>0</v>
      </c>
      <c r="L35" s="146" t="str">
        <f t="shared" si="3"/>
        <v/>
      </c>
      <c r="M35" s="135" t="str">
        <f t="shared" si="1"/>
        <v/>
      </c>
      <c r="N35" s="135"/>
      <c r="O35" s="149"/>
      <c r="P35" s="236"/>
      <c r="R35" s="227"/>
      <c r="S35" s="227"/>
      <c r="T35" s="229"/>
    </row>
    <row r="36" spans="2:20">
      <c r="B36" s="103">
        <v>1830</v>
      </c>
      <c r="C36" s="147">
        <v>1830</v>
      </c>
      <c r="D36" s="148" t="s">
        <v>27</v>
      </c>
      <c r="E36" s="124">
        <v>208451016.274169</v>
      </c>
      <c r="F36" s="124"/>
      <c r="G36" s="125">
        <f t="shared" si="6"/>
        <v>208451016.274169</v>
      </c>
      <c r="H36" s="124">
        <v>22367000.668098122</v>
      </c>
      <c r="I36" s="124">
        <v>-86967</v>
      </c>
      <c r="J36" s="124">
        <f t="shared" si="7"/>
        <v>219591033.10821807</v>
      </c>
      <c r="K36" s="150">
        <v>45</v>
      </c>
      <c r="L36" s="146">
        <f t="shared" si="3"/>
        <v>2.2222222222222223E-2</v>
      </c>
      <c r="M36" s="135">
        <f t="shared" si="1"/>
        <v>4879800.7357381796</v>
      </c>
      <c r="N36" s="135">
        <v>5101715.4181826208</v>
      </c>
      <c r="O36" s="129">
        <f t="shared" ref="O36:O51" si="8">+M36-N36</f>
        <v>-221914.68244444113</v>
      </c>
      <c r="P36" s="236" t="s">
        <v>95</v>
      </c>
      <c r="R36" s="227"/>
      <c r="S36" s="227"/>
      <c r="T36" s="229"/>
    </row>
    <row r="37" spans="2:20">
      <c r="B37" s="103">
        <v>1835</v>
      </c>
      <c r="C37" s="147">
        <v>1835</v>
      </c>
      <c r="D37" s="148" t="s">
        <v>28</v>
      </c>
      <c r="E37" s="124">
        <f>184471178.263262+1277</f>
        <v>184472455.263262</v>
      </c>
      <c r="F37" s="124"/>
      <c r="G37" s="125">
        <f t="shared" si="6"/>
        <v>184472455.263262</v>
      </c>
      <c r="H37" s="124">
        <v>22313464.088628389</v>
      </c>
      <c r="I37" s="124">
        <v>-130287.935</v>
      </c>
      <c r="J37" s="124">
        <f t="shared" si="7"/>
        <v>195564043.34007621</v>
      </c>
      <c r="K37" s="150">
        <v>40</v>
      </c>
      <c r="L37" s="146">
        <f t="shared" si="3"/>
        <v>2.5000000000000001E-2</v>
      </c>
      <c r="M37" s="135">
        <f t="shared" si="1"/>
        <v>4889101.0835019052</v>
      </c>
      <c r="N37" s="135">
        <f>5305826.73331441+4305</f>
        <v>5310131.7333144099</v>
      </c>
      <c r="O37" s="129">
        <f t="shared" si="8"/>
        <v>-421030.64981250465</v>
      </c>
      <c r="P37" s="236" t="s">
        <v>95</v>
      </c>
      <c r="R37" s="227"/>
      <c r="S37" s="227"/>
      <c r="T37" s="229"/>
    </row>
    <row r="38" spans="2:20">
      <c r="B38" s="103">
        <v>1840</v>
      </c>
      <c r="C38" s="147">
        <v>1840</v>
      </c>
      <c r="D38" s="148" t="s">
        <v>29</v>
      </c>
      <c r="E38" s="124">
        <v>118434870.5785173</v>
      </c>
      <c r="F38" s="124">
        <v>550902.37999999989</v>
      </c>
      <c r="G38" s="125">
        <f t="shared" si="6"/>
        <v>117883968.19851731</v>
      </c>
      <c r="H38" s="124">
        <v>7477906.6359475618</v>
      </c>
      <c r="I38" s="124"/>
      <c r="J38" s="124">
        <f t="shared" si="7"/>
        <v>121622921.51649109</v>
      </c>
      <c r="K38" s="150">
        <v>60</v>
      </c>
      <c r="L38" s="146">
        <f t="shared" si="3"/>
        <v>1.6666666666666666E-2</v>
      </c>
      <c r="M38" s="135">
        <f t="shared" si="1"/>
        <v>2027048.6919415181</v>
      </c>
      <c r="N38" s="135">
        <v>2122585.2581915134</v>
      </c>
      <c r="O38" s="129">
        <f t="shared" si="8"/>
        <v>-95536.56624999526</v>
      </c>
      <c r="P38" s="236" t="s">
        <v>95</v>
      </c>
      <c r="R38" s="227"/>
      <c r="S38" s="227"/>
      <c r="T38" s="229"/>
    </row>
    <row r="39" spans="2:20">
      <c r="B39" s="103">
        <v>1845</v>
      </c>
      <c r="C39" s="147">
        <v>1845</v>
      </c>
      <c r="D39" s="148" t="s">
        <v>30</v>
      </c>
      <c r="E39" s="124">
        <v>374520453.40381783</v>
      </c>
      <c r="F39" s="124">
        <v>5164228.03</v>
      </c>
      <c r="G39" s="125">
        <f t="shared" si="6"/>
        <v>369356225.37381786</v>
      </c>
      <c r="H39" s="124">
        <v>39038478.410311595</v>
      </c>
      <c r="I39" s="124">
        <v>-433074.76500000001</v>
      </c>
      <c r="J39" s="124">
        <f t="shared" si="7"/>
        <v>388658927.19647366</v>
      </c>
      <c r="K39" s="150">
        <v>45</v>
      </c>
      <c r="L39" s="146">
        <f t="shared" si="3"/>
        <v>2.2222222222222223E-2</v>
      </c>
      <c r="M39" s="135">
        <f t="shared" si="1"/>
        <v>8636865.0488105249</v>
      </c>
      <c r="N39" s="135">
        <v>9825603.7146438528</v>
      </c>
      <c r="O39" s="129">
        <f t="shared" si="8"/>
        <v>-1188738.6658333279</v>
      </c>
      <c r="P39" s="236" t="s">
        <v>95</v>
      </c>
      <c r="R39" s="227"/>
      <c r="S39" s="227"/>
      <c r="T39" s="229"/>
    </row>
    <row r="40" spans="2:20">
      <c r="B40" s="103">
        <v>1846</v>
      </c>
      <c r="C40" s="147">
        <v>1845</v>
      </c>
      <c r="D40" s="131" t="s">
        <v>115</v>
      </c>
      <c r="E40" s="124">
        <v>23293911.25</v>
      </c>
      <c r="F40" s="124"/>
      <c r="G40" s="125">
        <f t="shared" si="6"/>
        <v>23293911.25</v>
      </c>
      <c r="H40" s="124">
        <v>4375770.5</v>
      </c>
      <c r="I40" s="124"/>
      <c r="J40" s="124">
        <f t="shared" si="7"/>
        <v>25481796.5</v>
      </c>
      <c r="K40" s="150">
        <v>20</v>
      </c>
      <c r="L40" s="146">
        <f t="shared" si="3"/>
        <v>0.05</v>
      </c>
      <c r="M40" s="135">
        <f t="shared" si="1"/>
        <v>1274089.825</v>
      </c>
      <c r="N40" s="135">
        <v>1302040.67875</v>
      </c>
      <c r="O40" s="129">
        <f t="shared" si="8"/>
        <v>-27950.853750000009</v>
      </c>
      <c r="P40" s="236" t="s">
        <v>95</v>
      </c>
      <c r="R40" s="227"/>
      <c r="S40" s="227"/>
      <c r="T40" s="229"/>
    </row>
    <row r="41" spans="2:20">
      <c r="B41" s="103">
        <v>1849</v>
      </c>
      <c r="C41" s="147">
        <v>1849</v>
      </c>
      <c r="D41" s="131" t="s">
        <v>44</v>
      </c>
      <c r="E41" s="124">
        <v>20494202.643374044</v>
      </c>
      <c r="F41" s="124"/>
      <c r="G41" s="125">
        <f t="shared" si="6"/>
        <v>20494202.643374044</v>
      </c>
      <c r="H41" s="124">
        <v>1723397.5028014637</v>
      </c>
      <c r="I41" s="124">
        <v>-586943.06499999994</v>
      </c>
      <c r="J41" s="124">
        <f t="shared" si="7"/>
        <v>21062429.862274777</v>
      </c>
      <c r="K41" s="126">
        <v>40</v>
      </c>
      <c r="L41" s="146">
        <f t="shared" si="3"/>
        <v>2.5000000000000001E-2</v>
      </c>
      <c r="M41" s="135">
        <f t="shared" si="1"/>
        <v>526560.74655686948</v>
      </c>
      <c r="N41" s="135">
        <v>708948.75686936814</v>
      </c>
      <c r="O41" s="129">
        <f t="shared" si="8"/>
        <v>-182388.01031249866</v>
      </c>
      <c r="P41" s="236" t="s">
        <v>95</v>
      </c>
      <c r="R41" s="227"/>
      <c r="S41" s="227"/>
      <c r="T41" s="229"/>
    </row>
    <row r="42" spans="2:20">
      <c r="B42" s="103">
        <v>1850</v>
      </c>
      <c r="C42" s="147">
        <v>1850</v>
      </c>
      <c r="D42" s="148" t="s">
        <v>77</v>
      </c>
      <c r="E42" s="124">
        <v>171331818.46134704</v>
      </c>
      <c r="F42" s="124">
        <v>1553572.32</v>
      </c>
      <c r="G42" s="125">
        <f t="shared" si="6"/>
        <v>169778246.14134705</v>
      </c>
      <c r="H42" s="124">
        <v>12716051.590584509</v>
      </c>
      <c r="I42" s="124">
        <v>-1313699.4100000001</v>
      </c>
      <c r="J42" s="124">
        <f t="shared" si="7"/>
        <v>175479422.2316393</v>
      </c>
      <c r="K42" s="126">
        <v>30</v>
      </c>
      <c r="L42" s="146">
        <f t="shared" si="3"/>
        <v>3.3333333333333333E-2</v>
      </c>
      <c r="M42" s="135">
        <f t="shared" si="1"/>
        <v>5849314.0743879769</v>
      </c>
      <c r="N42" s="135">
        <v>7382777.6232213136</v>
      </c>
      <c r="O42" s="129">
        <f t="shared" si="8"/>
        <v>-1533463.5488333367</v>
      </c>
      <c r="P42" s="236" t="s">
        <v>95</v>
      </c>
      <c r="R42" s="227"/>
      <c r="S42" s="227"/>
      <c r="T42" s="229"/>
    </row>
    <row r="43" spans="2:20">
      <c r="B43" s="103">
        <v>1855</v>
      </c>
      <c r="C43" s="147">
        <v>1855</v>
      </c>
      <c r="D43" s="148" t="s">
        <v>94</v>
      </c>
      <c r="E43" s="124">
        <v>16083074.733366264</v>
      </c>
      <c r="F43" s="124"/>
      <c r="G43" s="125">
        <f t="shared" si="6"/>
        <v>16083074.733366264</v>
      </c>
      <c r="H43" s="124">
        <v>1022193.8991591223</v>
      </c>
      <c r="I43" s="124"/>
      <c r="J43" s="124">
        <f t="shared" si="7"/>
        <v>16594171.682945825</v>
      </c>
      <c r="K43" s="126">
        <v>40</v>
      </c>
      <c r="L43" s="146">
        <f t="shared" si="3"/>
        <v>2.5000000000000001E-2</v>
      </c>
      <c r="M43" s="135">
        <f t="shared" si="1"/>
        <v>414854.29207364563</v>
      </c>
      <c r="N43" s="135">
        <v>367986.20382364694</v>
      </c>
      <c r="O43" s="129">
        <f t="shared" si="8"/>
        <v>46868.088249998691</v>
      </c>
      <c r="P43" s="236" t="s">
        <v>95</v>
      </c>
      <c r="R43" s="227"/>
      <c r="S43" s="227"/>
      <c r="T43" s="229"/>
    </row>
    <row r="44" spans="2:20">
      <c r="B44" s="103">
        <v>1856</v>
      </c>
      <c r="C44" s="147">
        <v>1856</v>
      </c>
      <c r="D44" s="131" t="s">
        <v>45</v>
      </c>
      <c r="E44" s="124">
        <v>64042162.913579039</v>
      </c>
      <c r="F44" s="124"/>
      <c r="G44" s="125">
        <f t="shared" si="6"/>
        <v>64042162.913579039</v>
      </c>
      <c r="H44" s="124">
        <v>3385401.8768441658</v>
      </c>
      <c r="I44" s="124"/>
      <c r="J44" s="124">
        <f t="shared" si="7"/>
        <v>65734863.852001123</v>
      </c>
      <c r="K44" s="126">
        <v>25</v>
      </c>
      <c r="L44" s="146">
        <f t="shared" si="3"/>
        <v>0.04</v>
      </c>
      <c r="M44" s="135">
        <f t="shared" si="1"/>
        <v>2629394.5540800449</v>
      </c>
      <c r="N44" s="135">
        <v>3275244.5700800456</v>
      </c>
      <c r="O44" s="129">
        <f t="shared" si="8"/>
        <v>-645850.01600000076</v>
      </c>
      <c r="P44" s="236" t="s">
        <v>95</v>
      </c>
      <c r="R44" s="227"/>
      <c r="S44" s="227"/>
      <c r="T44" s="229"/>
    </row>
    <row r="45" spans="2:20">
      <c r="B45" s="103">
        <v>1860</v>
      </c>
      <c r="C45" s="147">
        <v>1860</v>
      </c>
      <c r="D45" s="148" t="s">
        <v>31</v>
      </c>
      <c r="E45" s="124">
        <v>11884517.154580487</v>
      </c>
      <c r="F45" s="124">
        <v>9433.82</v>
      </c>
      <c r="G45" s="125">
        <f t="shared" si="6"/>
        <v>11875083.334580487</v>
      </c>
      <c r="H45" s="124">
        <v>1258641.08</v>
      </c>
      <c r="I45" s="124">
        <v>-1175716.9696969697</v>
      </c>
      <c r="J45" s="124">
        <f t="shared" si="7"/>
        <v>11916545.389732003</v>
      </c>
      <c r="K45" s="126">
        <v>25</v>
      </c>
      <c r="L45" s="146">
        <f t="shared" si="3"/>
        <v>0.04</v>
      </c>
      <c r="M45" s="135">
        <f t="shared" si="1"/>
        <v>476661.8155892801</v>
      </c>
      <c r="N45" s="135">
        <v>674043.22041958349</v>
      </c>
      <c r="O45" s="129">
        <f t="shared" si="8"/>
        <v>-197381.40483030339</v>
      </c>
      <c r="P45" s="236" t="s">
        <v>95</v>
      </c>
      <c r="R45" s="227"/>
      <c r="S45" s="227"/>
      <c r="T45" s="229"/>
    </row>
    <row r="46" spans="2:20">
      <c r="B46" s="103">
        <v>1861</v>
      </c>
      <c r="C46" s="147">
        <v>1861</v>
      </c>
      <c r="D46" s="131" t="s">
        <v>46</v>
      </c>
      <c r="E46" s="124">
        <v>25132687.414510403</v>
      </c>
      <c r="F46" s="124"/>
      <c r="G46" s="125">
        <f t="shared" si="6"/>
        <v>25132687.414510403</v>
      </c>
      <c r="H46" s="124">
        <v>2444785.5400000005</v>
      </c>
      <c r="I46" s="124"/>
      <c r="J46" s="124">
        <f t="shared" si="7"/>
        <v>26355080.184510402</v>
      </c>
      <c r="K46" s="126">
        <v>15</v>
      </c>
      <c r="L46" s="146">
        <f t="shared" si="3"/>
        <v>6.6666666666666666E-2</v>
      </c>
      <c r="M46" s="135">
        <f t="shared" si="1"/>
        <v>1757005.3456340269</v>
      </c>
      <c r="N46" s="135">
        <v>1869930.2959673617</v>
      </c>
      <c r="O46" s="129">
        <f t="shared" si="8"/>
        <v>-112924.95033333474</v>
      </c>
      <c r="P46" s="236" t="s">
        <v>95</v>
      </c>
      <c r="R46" s="227"/>
      <c r="S46" s="227"/>
      <c r="T46" s="229"/>
    </row>
    <row r="47" spans="2:20">
      <c r="B47" s="103">
        <v>1862</v>
      </c>
      <c r="C47" s="147">
        <v>1862</v>
      </c>
      <c r="D47" s="148" t="s">
        <v>79</v>
      </c>
      <c r="E47" s="124">
        <v>54938490.087247811</v>
      </c>
      <c r="F47" s="124"/>
      <c r="G47" s="125">
        <f t="shared" si="6"/>
        <v>54938490.087247811</v>
      </c>
      <c r="H47" s="124">
        <v>1921903.44</v>
      </c>
      <c r="I47" s="124"/>
      <c r="J47" s="124">
        <f t="shared" si="7"/>
        <v>55899441.80724781</v>
      </c>
      <c r="K47" s="126">
        <v>15</v>
      </c>
      <c r="L47" s="146">
        <f t="shared" si="3"/>
        <v>6.6666666666666666E-2</v>
      </c>
      <c r="M47" s="135">
        <f t="shared" si="1"/>
        <v>3726629.4538165205</v>
      </c>
      <c r="N47" s="135">
        <v>4003179.6291498533</v>
      </c>
      <c r="O47" s="129">
        <f t="shared" si="8"/>
        <v>-276550.17533333274</v>
      </c>
      <c r="P47" s="236" t="s">
        <v>95</v>
      </c>
      <c r="R47" s="227"/>
      <c r="S47" s="227"/>
      <c r="T47" s="229"/>
    </row>
    <row r="48" spans="2:20">
      <c r="B48" s="103">
        <v>1870</v>
      </c>
      <c r="C48" s="147">
        <v>1870</v>
      </c>
      <c r="D48" s="131" t="s">
        <v>47</v>
      </c>
      <c r="E48" s="124">
        <v>191136</v>
      </c>
      <c r="F48" s="124"/>
      <c r="G48" s="125">
        <f t="shared" si="6"/>
        <v>191136</v>
      </c>
      <c r="H48" s="124">
        <v>0</v>
      </c>
      <c r="I48" s="124"/>
      <c r="J48" s="124">
        <f t="shared" si="7"/>
        <v>191136</v>
      </c>
      <c r="K48" s="126">
        <v>10</v>
      </c>
      <c r="L48" s="146">
        <f t="shared" si="3"/>
        <v>0.1</v>
      </c>
      <c r="M48" s="135">
        <f t="shared" si="1"/>
        <v>19113.599999999999</v>
      </c>
      <c r="N48" s="135">
        <v>-1281</v>
      </c>
      <c r="O48" s="129">
        <f t="shared" si="8"/>
        <v>20394.599999999999</v>
      </c>
      <c r="P48" s="236" t="s">
        <v>95</v>
      </c>
      <c r="R48" s="227"/>
      <c r="S48" s="227"/>
      <c r="T48" s="229"/>
    </row>
    <row r="49" spans="2:20" ht="21.75" customHeight="1">
      <c r="B49" s="103">
        <v>1908</v>
      </c>
      <c r="C49" s="147">
        <v>1908</v>
      </c>
      <c r="D49" s="148" t="s">
        <v>33</v>
      </c>
      <c r="E49" s="124">
        <v>27927137.109999999</v>
      </c>
      <c r="F49" s="125"/>
      <c r="G49" s="125">
        <f t="shared" si="6"/>
        <v>27927137.109999999</v>
      </c>
      <c r="H49" s="124">
        <v>406942.36</v>
      </c>
      <c r="I49" s="124"/>
      <c r="J49" s="124">
        <f t="shared" si="7"/>
        <v>28130608.289999999</v>
      </c>
      <c r="K49" s="126">
        <v>50</v>
      </c>
      <c r="L49" s="146">
        <f t="shared" si="3"/>
        <v>0.02</v>
      </c>
      <c r="M49" s="135">
        <f>IF(K49=0,"",J49/K49)</f>
        <v>562612.16579999996</v>
      </c>
      <c r="N49" s="135">
        <v>577556.41440000001</v>
      </c>
      <c r="O49" s="129">
        <f t="shared" si="8"/>
        <v>-14944.24860000005</v>
      </c>
      <c r="P49" s="236" t="s">
        <v>95</v>
      </c>
      <c r="R49" s="227"/>
      <c r="S49" s="227"/>
      <c r="T49" s="229"/>
    </row>
    <row r="50" spans="2:20">
      <c r="B50" s="103">
        <v>1912</v>
      </c>
      <c r="C50" s="147">
        <v>1908</v>
      </c>
      <c r="D50" s="148" t="s">
        <v>96</v>
      </c>
      <c r="E50" s="124">
        <v>17401865.419889718</v>
      </c>
      <c r="F50" s="124">
        <v>19085</v>
      </c>
      <c r="G50" s="125">
        <f t="shared" si="6"/>
        <v>17382780.419889718</v>
      </c>
      <c r="H50" s="124">
        <v>0</v>
      </c>
      <c r="I50" s="124"/>
      <c r="J50" s="124">
        <f t="shared" si="7"/>
        <v>17382780.419889718</v>
      </c>
      <c r="K50" s="126">
        <v>50</v>
      </c>
      <c r="L50" s="146">
        <f t="shared" si="3"/>
        <v>0.02</v>
      </c>
      <c r="M50" s="135">
        <f>IF(K50=0,"",J50/K50)</f>
        <v>347655.60839779436</v>
      </c>
      <c r="N50" s="135">
        <v>402993.27999779442</v>
      </c>
      <c r="O50" s="129">
        <f t="shared" si="8"/>
        <v>-55337.67160000006</v>
      </c>
      <c r="P50" s="236" t="s">
        <v>95</v>
      </c>
      <c r="R50" s="227"/>
      <c r="S50" s="227"/>
      <c r="T50" s="229"/>
    </row>
    <row r="51" spans="2:20">
      <c r="B51" s="103">
        <v>1913</v>
      </c>
      <c r="C51" s="147">
        <v>1908</v>
      </c>
      <c r="D51" s="151" t="s">
        <v>66</v>
      </c>
      <c r="E51" s="124">
        <v>2785049.54</v>
      </c>
      <c r="F51" s="124"/>
      <c r="G51" s="125">
        <f t="shared" si="6"/>
        <v>2785049.54</v>
      </c>
      <c r="H51" s="124">
        <v>0</v>
      </c>
      <c r="I51" s="124"/>
      <c r="J51" s="124">
        <f t="shared" si="7"/>
        <v>2785049.54</v>
      </c>
      <c r="K51" s="126">
        <v>30</v>
      </c>
      <c r="L51" s="146">
        <f t="shared" si="3"/>
        <v>3.3333333333333333E-2</v>
      </c>
      <c r="M51" s="135">
        <f>IF(K51=0,"",J51/K51)</f>
        <v>92834.984666666671</v>
      </c>
      <c r="N51" s="135">
        <v>101044.215</v>
      </c>
      <c r="O51" s="129">
        <f t="shared" si="8"/>
        <v>-8209.2303333333257</v>
      </c>
      <c r="P51" s="236" t="s">
        <v>95</v>
      </c>
      <c r="R51" s="227"/>
      <c r="S51" s="227"/>
      <c r="T51" s="229"/>
    </row>
    <row r="52" spans="2:20" ht="18">
      <c r="C52" s="137"/>
      <c r="D52" s="138"/>
      <c r="E52" s="139"/>
      <c r="F52" s="139"/>
      <c r="G52" s="140"/>
      <c r="H52" s="139"/>
      <c r="I52" s="139"/>
      <c r="J52" s="141" t="s">
        <v>88</v>
      </c>
      <c r="K52" s="142"/>
      <c r="L52" s="143"/>
      <c r="M52" s="125">
        <f>SUM(M49:M51)</f>
        <v>1003102.758864461</v>
      </c>
      <c r="N52" s="125">
        <f>SUM(N49:N51)</f>
        <v>1081593.9093977944</v>
      </c>
      <c r="O52" s="129">
        <f>+M52-N52</f>
        <v>-78491.150533333421</v>
      </c>
      <c r="P52" s="236"/>
      <c r="R52" s="227"/>
      <c r="S52" s="227"/>
      <c r="T52" s="229"/>
    </row>
    <row r="53" spans="2:20" ht="25.5" customHeight="1">
      <c r="B53" s="103">
        <v>1915</v>
      </c>
      <c r="C53" s="147">
        <v>1915</v>
      </c>
      <c r="D53" s="148" t="s">
        <v>82</v>
      </c>
      <c r="E53" s="124">
        <v>5071736.5200000005</v>
      </c>
      <c r="F53" s="124">
        <v>2657510.89</v>
      </c>
      <c r="G53" s="125">
        <f t="shared" ref="G53:G58" si="9">E53-F53</f>
        <v>2414225.6300000004</v>
      </c>
      <c r="H53" s="124">
        <v>34989.03</v>
      </c>
      <c r="I53" s="124"/>
      <c r="J53" s="124">
        <f t="shared" ref="J53:J58" si="10">G53+0.5*H53+0.5*I53</f>
        <v>2431720.1450000005</v>
      </c>
      <c r="K53" s="126">
        <v>10</v>
      </c>
      <c r="L53" s="146">
        <f t="shared" si="3"/>
        <v>0.1</v>
      </c>
      <c r="M53" s="135">
        <f>IF(K53=0,"",J53/K53)</f>
        <v>243172.01450000005</v>
      </c>
      <c r="N53" s="135">
        <v>427043.25850000017</v>
      </c>
      <c r="O53" s="129">
        <f>+M53-N53</f>
        <v>-183871.24400000012</v>
      </c>
      <c r="P53" s="236" t="s">
        <v>95</v>
      </c>
      <c r="R53" s="227"/>
      <c r="S53" s="227"/>
      <c r="T53" s="229"/>
    </row>
    <row r="54" spans="2:20" ht="24" customHeight="1">
      <c r="B54" s="103">
        <v>1920</v>
      </c>
      <c r="C54" s="147">
        <v>1920</v>
      </c>
      <c r="D54" s="148" t="s">
        <v>34</v>
      </c>
      <c r="E54" s="124">
        <v>1.0000000096624717E-2</v>
      </c>
      <c r="F54" s="124"/>
      <c r="G54" s="125">
        <f t="shared" si="9"/>
        <v>1.0000000096624717E-2</v>
      </c>
      <c r="H54" s="124">
        <v>0</v>
      </c>
      <c r="I54" s="124"/>
      <c r="J54" s="124">
        <f t="shared" si="10"/>
        <v>1.0000000096624717E-2</v>
      </c>
      <c r="K54" s="126">
        <v>5</v>
      </c>
      <c r="L54" s="146">
        <f t="shared" si="3"/>
        <v>0.2</v>
      </c>
      <c r="M54" s="135">
        <f>IF(K54=0,"",J54/K54)</f>
        <v>2.0000000193249436E-3</v>
      </c>
      <c r="N54" s="135">
        <v>-8269.2890000000007</v>
      </c>
      <c r="O54" s="129">
        <f t="shared" ref="O54:O58" si="11">+M54-N54</f>
        <v>8269.2910000000193</v>
      </c>
      <c r="P54" s="236" t="s">
        <v>95</v>
      </c>
      <c r="R54" s="227"/>
      <c r="S54" s="227"/>
      <c r="T54" s="229"/>
    </row>
    <row r="55" spans="2:20">
      <c r="B55" s="103">
        <v>1921</v>
      </c>
      <c r="C55" s="147">
        <v>1920</v>
      </c>
      <c r="D55" s="131" t="s">
        <v>67</v>
      </c>
      <c r="E55" s="124">
        <v>4139693.0954245413</v>
      </c>
      <c r="F55" s="124">
        <v>2447744.84</v>
      </c>
      <c r="G55" s="125">
        <f t="shared" si="9"/>
        <v>1691948.2554245414</v>
      </c>
      <c r="H55" s="124">
        <v>552786.67000000004</v>
      </c>
      <c r="I55" s="124"/>
      <c r="J55" s="124">
        <f t="shared" si="10"/>
        <v>1968341.5904245414</v>
      </c>
      <c r="K55" s="126">
        <v>4</v>
      </c>
      <c r="L55" s="146">
        <f t="shared" si="3"/>
        <v>0.25</v>
      </c>
      <c r="M55" s="135">
        <f t="shared" ref="M55:M70" si="12">IF(K55=0,"",J55/K55)</f>
        <v>492085.39760613535</v>
      </c>
      <c r="N55" s="135">
        <v>709260.54760613549</v>
      </c>
      <c r="O55" s="129">
        <f t="shared" si="11"/>
        <v>-217175.15000000014</v>
      </c>
      <c r="P55" s="236" t="s">
        <v>95</v>
      </c>
      <c r="R55" s="227"/>
      <c r="S55" s="227"/>
      <c r="T55" s="229"/>
    </row>
    <row r="56" spans="2:20">
      <c r="B56" s="103">
        <v>1922</v>
      </c>
      <c r="C56" s="147">
        <v>1920</v>
      </c>
      <c r="D56" s="131" t="s">
        <v>68</v>
      </c>
      <c r="E56" s="124">
        <v>11240032.57</v>
      </c>
      <c r="F56" s="124">
        <v>4905951.4000000004</v>
      </c>
      <c r="G56" s="125">
        <f t="shared" si="9"/>
        <v>6334081.1699999999</v>
      </c>
      <c r="H56" s="124">
        <v>710000.52999999991</v>
      </c>
      <c r="I56" s="124"/>
      <c r="J56" s="124">
        <f t="shared" si="10"/>
        <v>6689081.4349999996</v>
      </c>
      <c r="K56" s="126">
        <v>5</v>
      </c>
      <c r="L56" s="146">
        <f t="shared" si="3"/>
        <v>0.2</v>
      </c>
      <c r="M56" s="135">
        <f t="shared" si="12"/>
        <v>1337816.287</v>
      </c>
      <c r="N56" s="135">
        <v>1680418.817</v>
      </c>
      <c r="O56" s="129">
        <f t="shared" si="11"/>
        <v>-342602.53</v>
      </c>
      <c r="P56" s="236" t="s">
        <v>95</v>
      </c>
      <c r="R56" s="227"/>
      <c r="S56" s="227"/>
      <c r="T56" s="229"/>
    </row>
    <row r="57" spans="2:20">
      <c r="B57" s="103">
        <v>1923</v>
      </c>
      <c r="C57" s="147">
        <v>1920</v>
      </c>
      <c r="D57" s="131" t="s">
        <v>69</v>
      </c>
      <c r="E57" s="124">
        <v>1074931.26</v>
      </c>
      <c r="F57" s="124">
        <v>556004.44999999995</v>
      </c>
      <c r="G57" s="125">
        <f t="shared" si="9"/>
        <v>518926.81000000006</v>
      </c>
      <c r="H57" s="124">
        <v>39999.839999999997</v>
      </c>
      <c r="I57" s="124"/>
      <c r="J57" s="124">
        <f t="shared" si="10"/>
        <v>538926.7300000001</v>
      </c>
      <c r="K57" s="126">
        <v>5</v>
      </c>
      <c r="L57" s="146">
        <f t="shared" si="3"/>
        <v>0.2</v>
      </c>
      <c r="M57" s="135">
        <f t="shared" si="12"/>
        <v>107785.34600000002</v>
      </c>
      <c r="N57" s="135">
        <v>167448.67499999999</v>
      </c>
      <c r="O57" s="129">
        <f t="shared" si="11"/>
        <v>-59663.328999999969</v>
      </c>
      <c r="P57" s="236" t="s">
        <v>95</v>
      </c>
      <c r="R57" s="227"/>
      <c r="S57" s="227"/>
      <c r="T57" s="229"/>
    </row>
    <row r="58" spans="2:20">
      <c r="B58" s="103">
        <v>1924</v>
      </c>
      <c r="C58" s="147">
        <v>1920</v>
      </c>
      <c r="D58" s="131" t="s">
        <v>70</v>
      </c>
      <c r="E58" s="124">
        <v>2055927.7639786489</v>
      </c>
      <c r="F58" s="124">
        <v>1234239.8999999999</v>
      </c>
      <c r="G58" s="125">
        <f t="shared" si="9"/>
        <v>821687.86397864902</v>
      </c>
      <c r="H58" s="124">
        <v>52243.810000000005</v>
      </c>
      <c r="I58" s="124"/>
      <c r="J58" s="124">
        <f t="shared" si="10"/>
        <v>847809.76897864905</v>
      </c>
      <c r="K58" s="126">
        <v>6</v>
      </c>
      <c r="L58" s="146">
        <f t="shared" si="3"/>
        <v>0.16666666666666666</v>
      </c>
      <c r="M58" s="135">
        <f t="shared" si="12"/>
        <v>141301.62816310817</v>
      </c>
      <c r="N58" s="135">
        <v>191946.23899644153</v>
      </c>
      <c r="O58" s="129">
        <f t="shared" si="11"/>
        <v>-50644.610833333369</v>
      </c>
      <c r="P58" s="236" t="s">
        <v>95</v>
      </c>
      <c r="R58" s="227"/>
      <c r="S58" s="227"/>
      <c r="T58" s="229"/>
    </row>
    <row r="59" spans="2:20" ht="22.5" customHeight="1">
      <c r="C59" s="137"/>
      <c r="D59" s="138"/>
      <c r="E59" s="139"/>
      <c r="F59" s="139"/>
      <c r="G59" s="140"/>
      <c r="H59" s="139"/>
      <c r="I59" s="139"/>
      <c r="J59" s="141" t="s">
        <v>92</v>
      </c>
      <c r="K59" s="142"/>
      <c r="L59" s="143"/>
      <c r="M59" s="125">
        <f>SUM(M54:M58)</f>
        <v>2078988.6607692437</v>
      </c>
      <c r="N59" s="125">
        <f>SUM(N54:N58)</f>
        <v>2740804.9896025769</v>
      </c>
      <c r="O59" s="129">
        <f>+M59-N59</f>
        <v>-661816.32883333322</v>
      </c>
      <c r="P59" s="236"/>
      <c r="R59" s="227"/>
      <c r="S59" s="227"/>
      <c r="T59" s="229"/>
    </row>
    <row r="60" spans="2:20" ht="24.75" customHeight="1">
      <c r="B60" s="103">
        <v>1925</v>
      </c>
      <c r="C60" s="147">
        <v>1611</v>
      </c>
      <c r="D60" s="148" t="s">
        <v>35</v>
      </c>
      <c r="E60" s="124">
        <v>31241828.650000002</v>
      </c>
      <c r="F60" s="124">
        <f>16145519.62+2239352</f>
        <v>18384871.619999997</v>
      </c>
      <c r="G60" s="125">
        <f>E60-F60</f>
        <v>12856957.030000005</v>
      </c>
      <c r="H60" s="124">
        <v>3414110.41</v>
      </c>
      <c r="I60" s="124"/>
      <c r="J60" s="124">
        <f t="shared" ref="J60:J66" si="13">G60+0.5*H60+0.5*I60</f>
        <v>14564012.235000005</v>
      </c>
      <c r="K60" s="126">
        <v>4</v>
      </c>
      <c r="L60" s="146">
        <f t="shared" si="3"/>
        <v>0.25</v>
      </c>
      <c r="M60" s="135">
        <f t="shared" si="12"/>
        <v>3641003.0587500012</v>
      </c>
      <c r="N60" s="135">
        <v>3978916.0112499995</v>
      </c>
      <c r="O60" s="152">
        <f>+M60-N60</f>
        <v>-337912.95249999827</v>
      </c>
      <c r="P60" s="236" t="s">
        <v>95</v>
      </c>
      <c r="R60" s="227"/>
      <c r="S60" s="227"/>
      <c r="T60" s="229"/>
    </row>
    <row r="61" spans="2:20" ht="24.75" customHeight="1">
      <c r="B61" s="103">
        <v>1926</v>
      </c>
      <c r="C61" s="147">
        <v>1611</v>
      </c>
      <c r="D61" s="131" t="s">
        <v>116</v>
      </c>
      <c r="E61" s="124">
        <v>112039.77219851727</v>
      </c>
      <c r="F61" s="124">
        <v>112175</v>
      </c>
      <c r="G61" s="125">
        <f t="shared" ref="G61:G62" si="14">E61-F61</f>
        <v>-135.22780148273159</v>
      </c>
      <c r="H61" s="124">
        <v>0</v>
      </c>
      <c r="I61" s="124"/>
      <c r="J61" s="124">
        <f t="shared" si="13"/>
        <v>-135.22780148273159</v>
      </c>
      <c r="K61" s="126">
        <v>3</v>
      </c>
      <c r="L61" s="146">
        <f t="shared" si="3"/>
        <v>0.33333333333333331</v>
      </c>
      <c r="M61" s="135">
        <f t="shared" si="12"/>
        <v>-45.075933827577195</v>
      </c>
      <c r="N61" s="135">
        <v>-311.75593382761144</v>
      </c>
      <c r="O61" s="152">
        <f>+M61-N61</f>
        <v>266.68000000003423</v>
      </c>
      <c r="P61" s="236" t="s">
        <v>95</v>
      </c>
      <c r="R61" s="227"/>
      <c r="S61" s="227"/>
      <c r="T61" s="229"/>
    </row>
    <row r="62" spans="2:20" ht="24.75" customHeight="1">
      <c r="B62" s="103">
        <v>1927</v>
      </c>
      <c r="C62" s="147">
        <v>1611</v>
      </c>
      <c r="D62" s="131" t="s">
        <v>117</v>
      </c>
      <c r="E62" s="124">
        <v>52961615.68</v>
      </c>
      <c r="F62" s="124"/>
      <c r="G62" s="125">
        <f t="shared" si="14"/>
        <v>52961615.68</v>
      </c>
      <c r="H62" s="124">
        <v>2906100</v>
      </c>
      <c r="I62" s="124"/>
      <c r="J62" s="124">
        <f t="shared" si="13"/>
        <v>54414665.68</v>
      </c>
      <c r="K62" s="126">
        <v>10</v>
      </c>
      <c r="L62" s="146">
        <f t="shared" si="3"/>
        <v>0.1</v>
      </c>
      <c r="M62" s="135">
        <f t="shared" si="12"/>
        <v>5441466.568</v>
      </c>
      <c r="N62" s="135">
        <v>5407330.3599999994</v>
      </c>
      <c r="O62" s="152">
        <f t="shared" ref="O62:O66" si="15">+M62-N62</f>
        <v>34136.208000000566</v>
      </c>
      <c r="P62" s="236" t="s">
        <v>95</v>
      </c>
      <c r="R62" s="227"/>
      <c r="S62" s="227"/>
      <c r="T62" s="229"/>
    </row>
    <row r="63" spans="2:20" ht="24.75" customHeight="1">
      <c r="C63" s="153"/>
      <c r="D63" s="154"/>
      <c r="E63" s="139"/>
      <c r="F63" s="139"/>
      <c r="G63" s="140"/>
      <c r="H63" s="139"/>
      <c r="I63" s="139"/>
      <c r="J63" s="141" t="s">
        <v>118</v>
      </c>
      <c r="K63" s="142"/>
      <c r="L63" s="155"/>
      <c r="M63" s="125">
        <f>SUM(M60:M62)</f>
        <v>9082424.5508161746</v>
      </c>
      <c r="N63" s="125">
        <f>SUM(N60:N62)</f>
        <v>9385934.6153161712</v>
      </c>
      <c r="O63" s="125">
        <f>SUM(O60:O62)</f>
        <v>-303510.06449999765</v>
      </c>
      <c r="P63" s="236"/>
      <c r="R63" s="227"/>
      <c r="S63" s="227"/>
      <c r="T63" s="229"/>
    </row>
    <row r="64" spans="2:20" ht="29.25" customHeight="1">
      <c r="B64" s="103">
        <v>1930</v>
      </c>
      <c r="C64" s="147">
        <v>1930</v>
      </c>
      <c r="D64" s="151" t="s">
        <v>71</v>
      </c>
      <c r="E64" s="124">
        <v>10041054.617017217</v>
      </c>
      <c r="F64" s="124">
        <v>4127029.5500000007</v>
      </c>
      <c r="G64" s="125">
        <f>E64-F64</f>
        <v>5914025.0670172162</v>
      </c>
      <c r="H64" s="124">
        <v>588500.03</v>
      </c>
      <c r="I64" s="124"/>
      <c r="J64" s="124">
        <f t="shared" si="13"/>
        <v>6208275.0820172159</v>
      </c>
      <c r="K64" s="126">
        <v>7</v>
      </c>
      <c r="L64" s="146">
        <f t="shared" si="3"/>
        <v>0.14285714285714285</v>
      </c>
      <c r="M64" s="135">
        <f t="shared" si="12"/>
        <v>886896.44028817373</v>
      </c>
      <c r="N64" s="135">
        <v>955434.99028817378</v>
      </c>
      <c r="O64" s="152">
        <f t="shared" si="15"/>
        <v>-68538.550000000047</v>
      </c>
      <c r="P64" s="236" t="s">
        <v>95</v>
      </c>
      <c r="R64" s="227"/>
      <c r="S64" s="227"/>
      <c r="T64" s="229"/>
    </row>
    <row r="65" spans="2:20">
      <c r="B65" s="103">
        <v>1931</v>
      </c>
      <c r="C65" s="147">
        <v>1930</v>
      </c>
      <c r="D65" s="151" t="s">
        <v>72</v>
      </c>
      <c r="E65" s="124">
        <v>12170140.24</v>
      </c>
      <c r="F65" s="124">
        <v>673.57999999999993</v>
      </c>
      <c r="G65" s="125">
        <f>E65-F65</f>
        <v>12169466.66</v>
      </c>
      <c r="H65" s="124">
        <v>2321899.9700000002</v>
      </c>
      <c r="I65" s="124"/>
      <c r="J65" s="124">
        <f t="shared" si="13"/>
        <v>13330416.645</v>
      </c>
      <c r="K65" s="126">
        <v>12</v>
      </c>
      <c r="L65" s="146">
        <f t="shared" si="3"/>
        <v>8.3333333333333329E-2</v>
      </c>
      <c r="M65" s="135">
        <f t="shared" si="12"/>
        <v>1110868.05375</v>
      </c>
      <c r="N65" s="135">
        <v>1192412.135</v>
      </c>
      <c r="O65" s="152">
        <f t="shared" si="15"/>
        <v>-81544.081250000047</v>
      </c>
      <c r="P65" s="236" t="s">
        <v>95</v>
      </c>
      <c r="R65" s="227"/>
      <c r="S65" s="227"/>
      <c r="T65" s="229"/>
    </row>
    <row r="66" spans="2:20">
      <c r="B66" s="103">
        <v>1932</v>
      </c>
      <c r="C66" s="147">
        <v>1930</v>
      </c>
      <c r="D66" s="151" t="s">
        <v>73</v>
      </c>
      <c r="E66" s="124">
        <v>165563.29</v>
      </c>
      <c r="F66" s="124"/>
      <c r="G66" s="125">
        <f>E66-F66</f>
        <v>165563.29</v>
      </c>
      <c r="H66" s="124">
        <v>0</v>
      </c>
      <c r="I66" s="124"/>
      <c r="J66" s="124">
        <f t="shared" si="13"/>
        <v>165563.29</v>
      </c>
      <c r="K66" s="126">
        <v>22</v>
      </c>
      <c r="L66" s="146">
        <f t="shared" si="3"/>
        <v>4.5454545454545456E-2</v>
      </c>
      <c r="M66" s="135">
        <f t="shared" si="12"/>
        <v>7525.6040909090916</v>
      </c>
      <c r="N66" s="135">
        <v>8060.6718181818187</v>
      </c>
      <c r="O66" s="152">
        <f t="shared" si="15"/>
        <v>-535.0677272727271</v>
      </c>
      <c r="P66" s="236" t="s">
        <v>95</v>
      </c>
      <c r="R66" s="227"/>
      <c r="S66" s="227"/>
      <c r="T66" s="229"/>
    </row>
    <row r="67" spans="2:20" ht="18.75" customHeight="1">
      <c r="C67" s="137"/>
      <c r="D67" s="138"/>
      <c r="E67" s="139"/>
      <c r="F67" s="139"/>
      <c r="G67" s="140"/>
      <c r="H67" s="139"/>
      <c r="I67" s="139"/>
      <c r="J67" s="141" t="s">
        <v>89</v>
      </c>
      <c r="K67" s="142"/>
      <c r="L67" s="143"/>
      <c r="M67" s="125">
        <f>SUM(M64:M66)</f>
        <v>2005290.0981290827</v>
      </c>
      <c r="N67" s="125">
        <f>SUM(N64:N66)</f>
        <v>2155907.7971063554</v>
      </c>
      <c r="O67" s="152">
        <f>+M67-N67</f>
        <v>-150617.69897727272</v>
      </c>
      <c r="P67" s="236"/>
      <c r="R67" s="227"/>
      <c r="S67" s="227"/>
      <c r="T67" s="229"/>
    </row>
    <row r="68" spans="2:20">
      <c r="B68" s="103">
        <v>1935</v>
      </c>
      <c r="C68" s="147">
        <v>1935</v>
      </c>
      <c r="D68" s="148" t="s">
        <v>36</v>
      </c>
      <c r="E68" s="124">
        <v>680930.7026550764</v>
      </c>
      <c r="F68" s="124"/>
      <c r="G68" s="125">
        <f>E68-F68</f>
        <v>680930.7026550764</v>
      </c>
      <c r="H68" s="124">
        <v>0</v>
      </c>
      <c r="I68" s="124"/>
      <c r="J68" s="124">
        <f t="shared" ref="J68:J71" si="16">G68+0.5*H68+0.5*I68</f>
        <v>680930.7026550764</v>
      </c>
      <c r="K68" s="126">
        <v>10</v>
      </c>
      <c r="L68" s="146">
        <f t="shared" si="3"/>
        <v>0.1</v>
      </c>
      <c r="M68" s="135">
        <f t="shared" si="12"/>
        <v>68093.070265507646</v>
      </c>
      <c r="N68" s="135">
        <v>65600.353765507636</v>
      </c>
      <c r="O68" s="129">
        <f>+M68-N68</f>
        <v>2492.7165000000095</v>
      </c>
      <c r="P68" s="236" t="s">
        <v>95</v>
      </c>
      <c r="R68" s="227"/>
      <c r="S68" s="227"/>
      <c r="T68" s="229"/>
    </row>
    <row r="69" spans="2:20" ht="16.5" customHeight="1">
      <c r="B69" s="103">
        <v>1940</v>
      </c>
      <c r="C69" s="147">
        <v>1940</v>
      </c>
      <c r="D69" s="148" t="s">
        <v>37</v>
      </c>
      <c r="E69" s="124">
        <v>5826404.8100000005</v>
      </c>
      <c r="F69" s="124">
        <v>1096317.21</v>
      </c>
      <c r="G69" s="125">
        <f>E69-F69</f>
        <v>4730087.6000000006</v>
      </c>
      <c r="H69" s="124">
        <v>573018.03999999992</v>
      </c>
      <c r="I69" s="124"/>
      <c r="J69" s="124">
        <f t="shared" si="16"/>
        <v>5016596.62</v>
      </c>
      <c r="K69" s="126">
        <v>10</v>
      </c>
      <c r="L69" s="146">
        <f t="shared" si="3"/>
        <v>0.1</v>
      </c>
      <c r="M69" s="135">
        <f t="shared" si="12"/>
        <v>501659.66200000001</v>
      </c>
      <c r="N69" s="135">
        <v>521795.57500000019</v>
      </c>
      <c r="O69" s="129">
        <f>+M69-N69</f>
        <v>-20135.913000000175</v>
      </c>
      <c r="P69" s="236" t="s">
        <v>95</v>
      </c>
      <c r="R69" s="227"/>
      <c r="S69" s="227"/>
      <c r="T69" s="229"/>
    </row>
    <row r="70" spans="2:20" ht="24.75" customHeight="1">
      <c r="B70" s="103">
        <v>1955</v>
      </c>
      <c r="C70" s="147">
        <v>1955</v>
      </c>
      <c r="D70" s="148" t="s">
        <v>38</v>
      </c>
      <c r="E70" s="124">
        <v>3321858.1338659362</v>
      </c>
      <c r="F70" s="124">
        <v>1813878.8099999998</v>
      </c>
      <c r="G70" s="125">
        <f>E70-F70</f>
        <v>1507979.3238659364</v>
      </c>
      <c r="H70" s="124">
        <v>316725.42</v>
      </c>
      <c r="I70" s="124"/>
      <c r="J70" s="124">
        <f t="shared" si="16"/>
        <v>1666342.0338659363</v>
      </c>
      <c r="K70" s="126">
        <v>6</v>
      </c>
      <c r="L70" s="146">
        <f t="shared" si="3"/>
        <v>0.16666666666666666</v>
      </c>
      <c r="M70" s="135">
        <f t="shared" si="12"/>
        <v>277723.67231098941</v>
      </c>
      <c r="N70" s="135">
        <v>215453.86888659379</v>
      </c>
      <c r="O70" s="152">
        <f t="shared" ref="O70:O77" si="17">+M70-N70</f>
        <v>62269.803424395621</v>
      </c>
      <c r="P70" s="236" t="s">
        <v>95</v>
      </c>
      <c r="R70" s="227"/>
      <c r="S70" s="227"/>
      <c r="T70" s="229"/>
    </row>
    <row r="71" spans="2:20">
      <c r="B71" s="103">
        <v>1956</v>
      </c>
      <c r="C71" s="147">
        <v>1955</v>
      </c>
      <c r="D71" s="131" t="s">
        <v>48</v>
      </c>
      <c r="E71" s="124">
        <v>58854.070000000007</v>
      </c>
      <c r="F71" s="125">
        <v>58854.07</v>
      </c>
      <c r="G71" s="125">
        <f>E71-F71</f>
        <v>0</v>
      </c>
      <c r="H71" s="124">
        <v>0</v>
      </c>
      <c r="I71" s="124"/>
      <c r="J71" s="124">
        <f t="shared" si="16"/>
        <v>0</v>
      </c>
      <c r="K71" s="126">
        <v>3</v>
      </c>
      <c r="L71" s="146">
        <f t="shared" si="3"/>
        <v>0.33333333333333331</v>
      </c>
      <c r="M71" s="135">
        <f>IF(K71=0,"",J71/K71)</f>
        <v>0</v>
      </c>
      <c r="N71" s="135">
        <v>-3.979039320256561E-13</v>
      </c>
      <c r="O71" s="152">
        <f t="shared" si="17"/>
        <v>3.979039320256561E-13</v>
      </c>
      <c r="P71" s="236" t="s">
        <v>95</v>
      </c>
      <c r="R71" s="227"/>
      <c r="S71" s="227"/>
      <c r="T71" s="229"/>
    </row>
    <row r="72" spans="2:20" ht="18">
      <c r="C72" s="137"/>
      <c r="D72" s="138"/>
      <c r="E72" s="139"/>
      <c r="F72" s="139"/>
      <c r="G72" s="140"/>
      <c r="H72" s="139"/>
      <c r="I72" s="139"/>
      <c r="J72" s="141" t="s">
        <v>90</v>
      </c>
      <c r="K72" s="142"/>
      <c r="L72" s="143"/>
      <c r="M72" s="125">
        <f>SUM(M70:M71)</f>
        <v>277723.67231098941</v>
      </c>
      <c r="N72" s="125">
        <f>SUM(N70:N71)</f>
        <v>215453.86888659379</v>
      </c>
      <c r="O72" s="129">
        <f>+M72-N72</f>
        <v>62269.803424395621</v>
      </c>
      <c r="P72" s="236"/>
      <c r="R72" s="227"/>
      <c r="S72" s="227"/>
      <c r="T72" s="229"/>
    </row>
    <row r="73" spans="2:20" ht="26.25" customHeight="1">
      <c r="B73" s="103">
        <v>1960</v>
      </c>
      <c r="C73" s="147">
        <v>1960</v>
      </c>
      <c r="D73" s="148" t="s">
        <v>39</v>
      </c>
      <c r="E73" s="124">
        <v>0</v>
      </c>
      <c r="G73" s="125">
        <f>E73-I73</f>
        <v>0</v>
      </c>
      <c r="H73" s="124">
        <v>0</v>
      </c>
      <c r="I73" s="124"/>
      <c r="J73" s="124"/>
      <c r="K73" s="126">
        <v>0</v>
      </c>
      <c r="L73" s="146" t="str">
        <f t="shared" si="3"/>
        <v/>
      </c>
      <c r="M73" s="135" t="str">
        <f>IF(K73=0,"",J73/K73)</f>
        <v/>
      </c>
      <c r="N73" s="152">
        <v>0</v>
      </c>
      <c r="O73" s="152"/>
      <c r="P73" s="236"/>
      <c r="R73" s="227"/>
      <c r="S73" s="227"/>
      <c r="T73" s="229"/>
    </row>
    <row r="74" spans="2:20" ht="14.25" customHeight="1">
      <c r="B74" s="103">
        <v>1961</v>
      </c>
      <c r="C74" s="147">
        <v>1961</v>
      </c>
      <c r="D74" s="131" t="s">
        <v>49</v>
      </c>
      <c r="E74" s="124">
        <v>0</v>
      </c>
      <c r="F74" s="124"/>
      <c r="G74" s="125">
        <f>E74-F74</f>
        <v>0</v>
      </c>
      <c r="H74" s="124">
        <v>0</v>
      </c>
      <c r="I74" s="124"/>
      <c r="J74" s="124">
        <f t="shared" ref="J74:J77" si="18">G74+0.5*H74+0.5*I74</f>
        <v>0</v>
      </c>
      <c r="K74" s="126">
        <v>0</v>
      </c>
      <c r="L74" s="146" t="str">
        <f t="shared" si="3"/>
        <v/>
      </c>
      <c r="M74" s="135">
        <v>0</v>
      </c>
      <c r="N74" s="135">
        <v>-45.38</v>
      </c>
      <c r="O74" s="152">
        <f t="shared" si="17"/>
        <v>45.38</v>
      </c>
      <c r="P74" s="236" t="s">
        <v>95</v>
      </c>
      <c r="R74" s="227"/>
      <c r="S74" s="227"/>
      <c r="T74" s="229"/>
    </row>
    <row r="75" spans="2:20" ht="23.25" customHeight="1">
      <c r="B75" s="103">
        <v>1980</v>
      </c>
      <c r="C75" s="147">
        <v>1980</v>
      </c>
      <c r="D75" s="148" t="s">
        <v>40</v>
      </c>
      <c r="E75" s="124">
        <v>4120371.3900000011</v>
      </c>
      <c r="F75" s="124">
        <v>594337.71</v>
      </c>
      <c r="G75" s="125">
        <f>E75-F75</f>
        <v>3526033.6800000011</v>
      </c>
      <c r="H75" s="124">
        <v>96370.34</v>
      </c>
      <c r="I75" s="124"/>
      <c r="J75" s="124">
        <f t="shared" si="18"/>
        <v>3574218.850000001</v>
      </c>
      <c r="K75" s="126">
        <v>15</v>
      </c>
      <c r="L75" s="146">
        <f t="shared" si="3"/>
        <v>6.6666666666666666E-2</v>
      </c>
      <c r="M75" s="135">
        <f>IF(K75=0,"",J75/K75)</f>
        <v>238281.25666666674</v>
      </c>
      <c r="N75" s="156">
        <v>284814.02500000002</v>
      </c>
      <c r="O75" s="152">
        <f t="shared" si="17"/>
        <v>-46532.768333333282</v>
      </c>
      <c r="P75" s="236" t="s">
        <v>95</v>
      </c>
      <c r="R75" s="234"/>
      <c r="S75" s="227"/>
      <c r="T75" s="229"/>
    </row>
    <row r="76" spans="2:20" ht="15">
      <c r="B76" s="103">
        <v>1981</v>
      </c>
      <c r="C76" s="147">
        <v>1980</v>
      </c>
      <c r="D76" s="131" t="s">
        <v>74</v>
      </c>
      <c r="E76" s="124">
        <v>8847155.7690305784</v>
      </c>
      <c r="F76" s="124">
        <v>2200341.7599999998</v>
      </c>
      <c r="G76" s="125">
        <f>E76-F76</f>
        <v>6646814.0090305787</v>
      </c>
      <c r="H76" s="124">
        <v>184132.36</v>
      </c>
      <c r="I76" s="124"/>
      <c r="J76" s="124">
        <f t="shared" si="18"/>
        <v>6738880.1890305784</v>
      </c>
      <c r="K76" s="126">
        <v>15</v>
      </c>
      <c r="L76" s="146">
        <f t="shared" si="3"/>
        <v>6.6666666666666666E-2</v>
      </c>
      <c r="M76" s="135">
        <f>IF(K76=0,"",J76/K76)</f>
        <v>449258.67926870525</v>
      </c>
      <c r="N76" s="156">
        <v>567378.62960203853</v>
      </c>
      <c r="O76" s="152">
        <f t="shared" si="17"/>
        <v>-118119.95033333328</v>
      </c>
      <c r="P76" s="236" t="s">
        <v>95</v>
      </c>
      <c r="R76" s="234"/>
      <c r="S76" s="227"/>
      <c r="T76" s="229"/>
    </row>
    <row r="77" spans="2:20" ht="15">
      <c r="B77" s="103">
        <v>1982</v>
      </c>
      <c r="C77" s="147">
        <v>1980</v>
      </c>
      <c r="D77" s="131" t="s">
        <v>75</v>
      </c>
      <c r="E77" s="124">
        <f>2326676.93562925+686</f>
        <v>2327362.93562925</v>
      </c>
      <c r="F77" s="124">
        <v>446273.79</v>
      </c>
      <c r="G77" s="125">
        <f>E77-F77</f>
        <v>1881089.14562925</v>
      </c>
      <c r="H77" s="124">
        <v>535000</v>
      </c>
      <c r="I77" s="124"/>
      <c r="J77" s="124">
        <f t="shared" si="18"/>
        <v>2148589.14562925</v>
      </c>
      <c r="K77" s="126">
        <v>10</v>
      </c>
      <c r="L77" s="146">
        <f t="shared" si="3"/>
        <v>0.1</v>
      </c>
      <c r="M77" s="135">
        <f>IF(K77=0,"",J77/K77)</f>
        <v>214858.914562925</v>
      </c>
      <c r="N77" s="156">
        <f>218968.753562925+7</f>
        <v>218975.75356292501</v>
      </c>
      <c r="O77" s="152">
        <f t="shared" si="17"/>
        <v>-4116.8390000000072</v>
      </c>
      <c r="P77" s="236" t="s">
        <v>95</v>
      </c>
      <c r="R77" s="234"/>
      <c r="S77" s="227"/>
      <c r="T77" s="229"/>
    </row>
    <row r="78" spans="2:20" ht="18">
      <c r="C78" s="137"/>
      <c r="D78" s="138"/>
      <c r="E78" s="139"/>
      <c r="F78" s="139"/>
      <c r="G78" s="140"/>
      <c r="H78" s="139"/>
      <c r="I78" s="139"/>
      <c r="J78" s="141" t="s">
        <v>93</v>
      </c>
      <c r="K78" s="142"/>
      <c r="L78" s="143"/>
      <c r="M78" s="125">
        <f>SUM(M75:M77)</f>
        <v>902398.85049829702</v>
      </c>
      <c r="N78" s="125">
        <f>SUM(N75:N77)</f>
        <v>1071168.4081649636</v>
      </c>
      <c r="O78" s="129">
        <f>+M78-N78</f>
        <v>-168769.55766666657</v>
      </c>
      <c r="P78" s="236"/>
      <c r="R78" s="234"/>
      <c r="S78" s="227"/>
      <c r="T78" s="229"/>
    </row>
    <row r="79" spans="2:20" ht="27" customHeight="1">
      <c r="B79" s="103">
        <v>1985</v>
      </c>
      <c r="C79" s="147">
        <v>1985</v>
      </c>
      <c r="D79" s="151" t="s">
        <v>50</v>
      </c>
      <c r="E79" s="124">
        <v>0</v>
      </c>
      <c r="F79" s="124"/>
      <c r="G79" s="125">
        <f t="shared" ref="G79:G84" si="19">E79-F79</f>
        <v>0</v>
      </c>
      <c r="H79" s="124">
        <v>0</v>
      </c>
      <c r="I79" s="124"/>
      <c r="J79" s="124">
        <f t="shared" ref="J79:J82" si="20">G79+0.5*H79+0.5*I79</f>
        <v>0</v>
      </c>
      <c r="K79" s="126">
        <v>0</v>
      </c>
      <c r="L79" s="146" t="str">
        <f t="shared" si="3"/>
        <v/>
      </c>
      <c r="M79" s="135">
        <v>0</v>
      </c>
      <c r="N79" s="135"/>
      <c r="O79" s="149"/>
      <c r="P79" s="236"/>
      <c r="R79" s="227"/>
      <c r="S79" s="227"/>
      <c r="T79" s="229"/>
    </row>
    <row r="80" spans="2:20">
      <c r="B80" s="103" t="s">
        <v>140</v>
      </c>
      <c r="C80" s="147">
        <v>1995</v>
      </c>
      <c r="D80" s="148" t="s">
        <v>41</v>
      </c>
      <c r="E80" s="124">
        <v>-384831254.48589504</v>
      </c>
      <c r="F80" s="124">
        <v>-214311.34</v>
      </c>
      <c r="G80" s="125">
        <f t="shared" si="19"/>
        <v>-384616943.14589506</v>
      </c>
      <c r="H80" s="124">
        <v>-23832650.640000001</v>
      </c>
      <c r="I80" s="124">
        <v>992581.00000000023</v>
      </c>
      <c r="J80" s="124">
        <f t="shared" si="20"/>
        <v>-396036977.96589506</v>
      </c>
      <c r="K80" s="126">
        <v>38</v>
      </c>
      <c r="L80" s="146">
        <f t="shared" si="3"/>
        <v>2.6315789473684209E-2</v>
      </c>
      <c r="M80" s="135">
        <f>IF(K80=0,"",J80/K80)</f>
        <v>-10422025.735944606</v>
      </c>
      <c r="N80" s="135">
        <v>-12026534.355324687</v>
      </c>
      <c r="O80" s="152">
        <f>+M80-N80</f>
        <v>1604508.6193800811</v>
      </c>
      <c r="P80" s="236" t="s">
        <v>95</v>
      </c>
      <c r="R80" s="227"/>
      <c r="S80" s="227"/>
      <c r="T80" s="229"/>
    </row>
    <row r="81" spans="2:21">
      <c r="B81" s="103">
        <v>2005</v>
      </c>
      <c r="C81" s="147">
        <v>2005</v>
      </c>
      <c r="D81" s="132" t="s">
        <v>51</v>
      </c>
      <c r="E81" s="124">
        <v>17549082.289999999</v>
      </c>
      <c r="F81" s="124"/>
      <c r="G81" s="125">
        <f t="shared" si="19"/>
        <v>17549082.289999999</v>
      </c>
      <c r="H81" s="124"/>
      <c r="I81" s="124"/>
      <c r="J81" s="124">
        <f t="shared" si="20"/>
        <v>17549082.289999999</v>
      </c>
      <c r="K81" s="126">
        <v>25</v>
      </c>
      <c r="L81" s="146">
        <f>IF(K81=0,"",1/K81)</f>
        <v>0.04</v>
      </c>
      <c r="M81" s="135">
        <f>IF(K81=0,"",J81/K81)</f>
        <v>701963.2916</v>
      </c>
      <c r="N81" s="135">
        <v>730711.29</v>
      </c>
      <c r="O81" s="129">
        <f>+M81-N81</f>
        <v>-28747.99840000004</v>
      </c>
      <c r="P81" s="236" t="s">
        <v>95</v>
      </c>
      <c r="R81" s="227"/>
      <c r="S81" s="227"/>
      <c r="T81" s="229"/>
    </row>
    <row r="82" spans="2:21">
      <c r="B82" s="103">
        <v>1611</v>
      </c>
      <c r="C82" s="147">
        <v>1611</v>
      </c>
      <c r="D82" s="151" t="s">
        <v>52</v>
      </c>
      <c r="E82" s="124">
        <v>4953506.92</v>
      </c>
      <c r="F82" s="124"/>
      <c r="G82" s="125">
        <f t="shared" si="19"/>
        <v>4953506.92</v>
      </c>
      <c r="H82" s="124"/>
      <c r="I82" s="124"/>
      <c r="J82" s="124">
        <f t="shared" si="20"/>
        <v>4953506.92</v>
      </c>
      <c r="K82" s="126">
        <v>25</v>
      </c>
      <c r="L82" s="146">
        <f>IF(K82=0,"",1/K82)</f>
        <v>0.04</v>
      </c>
      <c r="M82" s="135">
        <f>IF(K82=0,"",J82/K82)</f>
        <v>198140.27679999999</v>
      </c>
      <c r="N82" s="135">
        <v>288281.38</v>
      </c>
      <c r="O82" s="129">
        <f>+M82-N82</f>
        <v>-90141.103200000012</v>
      </c>
      <c r="P82" s="236" t="s">
        <v>95</v>
      </c>
      <c r="R82" s="227"/>
      <c r="S82" s="227"/>
      <c r="T82" s="229"/>
    </row>
    <row r="83" spans="2:21">
      <c r="C83" s="147"/>
      <c r="D83" s="148"/>
      <c r="E83" s="124"/>
      <c r="F83" s="124"/>
      <c r="G83" s="125">
        <f t="shared" si="19"/>
        <v>0</v>
      </c>
      <c r="H83" s="124"/>
      <c r="I83" s="124"/>
      <c r="J83" s="124"/>
      <c r="K83" s="126"/>
      <c r="L83" s="146" t="str">
        <f>IF(K83=0,"",1/K83)</f>
        <v/>
      </c>
      <c r="M83" s="128" t="str">
        <f>IF(K83=0,"",J83/K83)</f>
        <v/>
      </c>
      <c r="N83" s="128"/>
      <c r="O83" s="129"/>
      <c r="P83" s="236"/>
      <c r="S83" s="227"/>
    </row>
    <row r="84" spans="2:21" ht="13.5" thickBot="1">
      <c r="C84" s="157"/>
      <c r="D84" s="158"/>
      <c r="E84" s="159"/>
      <c r="F84" s="159"/>
      <c r="G84" s="160">
        <f t="shared" si="19"/>
        <v>0</v>
      </c>
      <c r="H84" s="159"/>
      <c r="I84" s="159"/>
      <c r="J84" s="161"/>
      <c r="K84" s="162"/>
      <c r="L84" s="163" t="str">
        <f>IF(K84=0,"",1/K84)</f>
        <v/>
      </c>
      <c r="M84" s="164" t="str">
        <f>IF(K84=0,"",J84/K84)</f>
        <v/>
      </c>
      <c r="N84" s="164"/>
      <c r="O84" s="165"/>
      <c r="P84" s="239"/>
    </row>
    <row r="85" spans="2:21" ht="14.25" thickTop="1" thickBot="1">
      <c r="C85" s="166"/>
      <c r="D85" s="167" t="s">
        <v>42</v>
      </c>
      <c r="E85" s="168">
        <f t="shared" ref="E85:J85" si="21">SUM(E16:E84)</f>
        <v>1324751644.9971519</v>
      </c>
      <c r="F85" s="168">
        <f t="shared" si="21"/>
        <v>53218525.089999996</v>
      </c>
      <c r="G85" s="168">
        <f t="shared" si="21"/>
        <v>1262970000.3473861</v>
      </c>
      <c r="H85" s="168">
        <f t="shared" si="21"/>
        <v>123416650.86008264</v>
      </c>
      <c r="I85" s="168">
        <f>SUM(I16:I84)</f>
        <v>-2734108.1446969695</v>
      </c>
      <c r="J85" s="168">
        <f t="shared" si="21"/>
        <v>1323311271.7050786</v>
      </c>
      <c r="K85" s="169"/>
      <c r="L85" s="170"/>
      <c r="M85" s="171">
        <f>+M18+M29+M34+M36+M37+M38+M39+M41+M42+M43+M44+M45+M46+M47+M52+M53+M59+M67+M68+M69+M72+M78+M80+M81+M82+M48+M63+M74+M40</f>
        <v>48896598.623928621</v>
      </c>
      <c r="N85" s="171">
        <f>+N18+N29+N34+N36+N37+N38+N39+N41+N42+N43+N44+N45+N46+N47+N52+N53+N59+N67+N68+N69+N72+N78+N80+N81+N82+N48+N63+N74+N40</f>
        <v>55076374.998986974</v>
      </c>
      <c r="O85" s="171">
        <f>+O18+O29+O34+O36+O37+O38+O39+O41+O42+O43+O44+O45+O46+O47+O52+O53+O59+O67+O68+O69+O72+O78+O80+O81+O82+O48+O63+O74+O40</f>
        <v>-6179776.375058339</v>
      </c>
      <c r="P85" s="172"/>
      <c r="R85" s="235"/>
      <c r="S85" s="235"/>
      <c r="U85" s="235"/>
    </row>
    <row r="86" spans="2:21" ht="15.75" customHeight="1">
      <c r="O86" s="173">
        <f>+M85-N85</f>
        <v>-6179776.3750583529</v>
      </c>
      <c r="P86" s="103" t="s">
        <v>163</v>
      </c>
    </row>
    <row r="87" spans="2:21" ht="11.25" customHeight="1">
      <c r="C87" s="104" t="s">
        <v>43</v>
      </c>
      <c r="D87" s="136"/>
      <c r="E87" s="136"/>
      <c r="F87" s="174"/>
      <c r="G87" s="175"/>
      <c r="H87" s="136"/>
      <c r="I87" s="136"/>
      <c r="J87" s="136"/>
      <c r="K87" s="136"/>
      <c r="L87" s="136"/>
      <c r="M87" s="136"/>
      <c r="N87" s="136"/>
      <c r="O87" s="136"/>
    </row>
    <row r="88" spans="2:21" ht="7.5" customHeight="1">
      <c r="C88" s="136"/>
      <c r="D88" s="136"/>
      <c r="E88" s="136"/>
      <c r="F88" s="136"/>
      <c r="G88" s="136"/>
      <c r="H88" s="136"/>
      <c r="I88" s="136"/>
      <c r="J88" s="136"/>
      <c r="K88" s="136"/>
      <c r="L88" s="136"/>
      <c r="M88" s="136"/>
      <c r="N88" s="136"/>
      <c r="O88" s="136"/>
    </row>
    <row r="89" spans="2:21" ht="12.75" customHeight="1">
      <c r="C89" s="263" t="s">
        <v>151</v>
      </c>
      <c r="D89" s="263"/>
      <c r="E89" s="263"/>
      <c r="F89" s="263"/>
      <c r="G89" s="263"/>
      <c r="H89" s="263"/>
      <c r="I89" s="263"/>
      <c r="J89" s="263"/>
      <c r="K89" s="263"/>
      <c r="L89" s="263"/>
      <c r="M89" s="263"/>
    </row>
    <row r="90" spans="2:21" ht="21" customHeight="1">
      <c r="C90" s="258" t="s">
        <v>97</v>
      </c>
      <c r="D90" s="258"/>
      <c r="E90" s="258"/>
      <c r="F90" s="258"/>
      <c r="G90" s="258"/>
      <c r="H90" s="258"/>
      <c r="I90" s="258"/>
      <c r="J90" s="258"/>
      <c r="K90" s="258"/>
      <c r="L90" s="258"/>
    </row>
    <row r="91" spans="2:21" ht="14.25" customHeight="1">
      <c r="C91" s="260" t="s">
        <v>91</v>
      </c>
      <c r="D91" s="260"/>
      <c r="E91" s="260"/>
      <c r="F91" s="260"/>
      <c r="G91" s="260"/>
      <c r="H91" s="260"/>
      <c r="I91" s="260"/>
      <c r="J91" s="260"/>
      <c r="K91" s="260"/>
      <c r="L91" s="260"/>
    </row>
    <row r="92" spans="2:21" ht="19.5" customHeight="1">
      <c r="C92" s="260"/>
      <c r="D92" s="260"/>
      <c r="E92" s="260"/>
      <c r="F92" s="260"/>
      <c r="G92" s="260"/>
      <c r="H92" s="260"/>
      <c r="I92" s="260"/>
      <c r="J92" s="260"/>
      <c r="K92" s="260"/>
      <c r="L92" s="260"/>
    </row>
    <row r="93" spans="2:21" ht="12" customHeight="1">
      <c r="C93" s="258" t="s">
        <v>160</v>
      </c>
      <c r="D93" s="262"/>
      <c r="E93" s="262"/>
      <c r="F93" s="262"/>
      <c r="G93" s="262"/>
      <c r="H93" s="262"/>
      <c r="I93" s="262"/>
      <c r="J93" s="262"/>
      <c r="K93" s="262"/>
      <c r="L93" s="262"/>
      <c r="M93" s="136"/>
      <c r="N93" s="136"/>
      <c r="O93" s="136"/>
    </row>
    <row r="94" spans="2:21" ht="15.75" customHeight="1">
      <c r="C94" s="258" t="s">
        <v>150</v>
      </c>
      <c r="D94" s="259"/>
      <c r="E94" s="259"/>
      <c r="F94" s="259"/>
      <c r="G94" s="259"/>
      <c r="H94" s="259"/>
      <c r="I94" s="259"/>
      <c r="J94" s="259"/>
      <c r="K94" s="259"/>
      <c r="L94" s="259"/>
      <c r="M94" s="259"/>
      <c r="N94" s="259"/>
      <c r="O94" s="259"/>
    </row>
    <row r="95" spans="2:21">
      <c r="C95" s="136"/>
      <c r="D95" s="176"/>
      <c r="E95" s="176"/>
      <c r="F95" s="176"/>
      <c r="G95" s="176"/>
      <c r="H95" s="176"/>
      <c r="I95" s="176"/>
      <c r="J95" s="176"/>
      <c r="K95" s="176"/>
      <c r="L95" s="176"/>
      <c r="M95" s="176"/>
      <c r="N95" s="176"/>
      <c r="O95" s="176"/>
    </row>
    <row r="96" spans="2:21">
      <c r="C96" s="136"/>
      <c r="D96" s="176"/>
      <c r="E96" s="176"/>
      <c r="F96" s="176"/>
      <c r="G96" s="176"/>
      <c r="H96" s="176"/>
      <c r="I96" s="176"/>
      <c r="J96" s="176"/>
      <c r="K96" s="176"/>
      <c r="L96" s="176"/>
      <c r="M96" s="176"/>
      <c r="N96" s="176"/>
      <c r="O96" s="176"/>
    </row>
  </sheetData>
  <mergeCells count="10">
    <mergeCell ref="C94:O94"/>
    <mergeCell ref="C9:M9"/>
    <mergeCell ref="C10:M10"/>
    <mergeCell ref="C14:C15"/>
    <mergeCell ref="D14:D15"/>
    <mergeCell ref="P14:P15"/>
    <mergeCell ref="C90:L90"/>
    <mergeCell ref="C91:L92"/>
    <mergeCell ref="C93:L93"/>
    <mergeCell ref="C89:M89"/>
  </mergeCells>
  <dataValidations count="2">
    <dataValidation allowBlank="1" showInputMessage="1" showErrorMessage="1" promptTitle="Date Format" prompt="E.g:  &quot;August 1, 2011&quot;" sqref="M7:O7"/>
    <dataValidation type="list" allowBlank="1" showInputMessage="1" showErrorMessage="1" sqref="P16:P84">
      <formula1>"Yes, No"</formula1>
    </dataValidation>
  </dataValidations>
  <printOptions horizontalCentered="1"/>
  <pageMargins left="0" right="0" top="0.13" bottom="0" header="0" footer="0"/>
  <pageSetup paperSize="17" scale="48" orientation="landscape" cellComments="asDisplayed" r:id="rId1"/>
  <headerFooter alignWithMargins="0"/>
  <rowBreaks count="1" manualBreakCount="1">
    <brk id="6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96"/>
  <sheetViews>
    <sheetView showGridLines="0" tabSelected="1" topLeftCell="E1" zoomScaleNormal="100" workbookViewId="0">
      <selection activeCell="J11" sqref="J11"/>
    </sheetView>
  </sheetViews>
  <sheetFormatPr defaultRowHeight="12.75"/>
  <cols>
    <col min="1" max="1" width="2.7109375" style="103" customWidth="1"/>
    <col min="2" max="2" width="8.85546875" style="103" customWidth="1"/>
    <col min="3" max="3" width="9.140625" style="103"/>
    <col min="4" max="4" width="38.5703125" style="103" customWidth="1"/>
    <col min="5" max="5" width="17.140625" style="103" customWidth="1"/>
    <col min="6" max="6" width="14" style="103" customWidth="1"/>
    <col min="7" max="7" width="16.5703125" style="103" customWidth="1"/>
    <col min="8" max="8" width="13.7109375" style="103" customWidth="1"/>
    <col min="9" max="9" width="13.42578125" style="103" customWidth="1"/>
    <col min="10" max="10" width="17.85546875" style="103" customWidth="1"/>
    <col min="11" max="11" width="7.7109375" style="103" customWidth="1"/>
    <col min="12" max="12" width="12.28515625" style="103" customWidth="1"/>
    <col min="13" max="13" width="15.140625" style="103" bestFit="1" customWidth="1"/>
    <col min="14" max="15" width="15" style="103" customWidth="1"/>
    <col min="16" max="16" width="15.85546875" style="103" customWidth="1"/>
    <col min="17" max="16384" width="9.140625" style="103"/>
  </cols>
  <sheetData>
    <row r="1" spans="2:16">
      <c r="K1" s="104" t="s">
        <v>0</v>
      </c>
      <c r="M1" s="105" t="s">
        <v>128</v>
      </c>
      <c r="N1" s="179"/>
      <c r="O1" s="179"/>
    </row>
    <row r="2" spans="2:16">
      <c r="K2" s="104" t="s">
        <v>1</v>
      </c>
      <c r="M2" s="105" t="s">
        <v>146</v>
      </c>
      <c r="N2" s="179"/>
      <c r="O2" s="179"/>
    </row>
    <row r="3" spans="2:16">
      <c r="K3" s="104" t="s">
        <v>2</v>
      </c>
      <c r="M3" s="106"/>
      <c r="N3" s="179"/>
      <c r="O3" s="179"/>
    </row>
    <row r="4" spans="2:16">
      <c r="K4" s="104" t="s">
        <v>3</v>
      </c>
      <c r="M4" s="105"/>
      <c r="N4" s="179"/>
      <c r="O4" s="179"/>
    </row>
    <row r="5" spans="2:16">
      <c r="K5" s="104" t="s">
        <v>4</v>
      </c>
      <c r="M5" s="105"/>
      <c r="N5" s="179"/>
      <c r="O5" s="179"/>
    </row>
    <row r="6" spans="2:16">
      <c r="K6" s="104"/>
      <c r="N6" s="179"/>
      <c r="O6" s="179"/>
    </row>
    <row r="7" spans="2:16">
      <c r="K7" s="104" t="s">
        <v>5</v>
      </c>
      <c r="M7" s="107" t="s">
        <v>153</v>
      </c>
      <c r="N7" s="180"/>
      <c r="O7" s="180"/>
    </row>
    <row r="9" spans="2:16" ht="18">
      <c r="C9" s="264" t="s">
        <v>146</v>
      </c>
      <c r="D9" s="264"/>
      <c r="E9" s="264"/>
      <c r="F9" s="264"/>
      <c r="G9" s="264"/>
      <c r="H9" s="264"/>
      <c r="I9" s="264"/>
      <c r="J9" s="264"/>
      <c r="K9" s="264"/>
      <c r="L9" s="264"/>
      <c r="M9" s="264"/>
      <c r="N9" s="108"/>
      <c r="O9" s="108"/>
    </row>
    <row r="10" spans="2:16" ht="18">
      <c r="C10" s="264" t="s">
        <v>6</v>
      </c>
      <c r="D10" s="264"/>
      <c r="E10" s="264"/>
      <c r="F10" s="264"/>
      <c r="G10" s="264"/>
      <c r="H10" s="264"/>
      <c r="I10" s="264"/>
      <c r="J10" s="264"/>
      <c r="K10" s="264"/>
      <c r="L10" s="264"/>
      <c r="M10" s="264"/>
      <c r="N10" s="108"/>
      <c r="O10" s="108"/>
    </row>
    <row r="11" spans="2:16" ht="13.5" customHeight="1">
      <c r="C11" s="108"/>
      <c r="D11" s="108"/>
      <c r="E11" s="108"/>
      <c r="F11" s="108"/>
      <c r="G11" s="108"/>
      <c r="H11" s="108"/>
      <c r="I11" s="108"/>
      <c r="J11" s="108"/>
      <c r="K11" s="108"/>
      <c r="L11" s="108"/>
      <c r="M11" s="108"/>
      <c r="N11" s="108"/>
      <c r="O11" s="108"/>
    </row>
    <row r="12" spans="2:16" ht="13.5" customHeight="1">
      <c r="C12" s="108"/>
      <c r="D12" s="108"/>
      <c r="E12" s="108"/>
      <c r="F12" s="109" t="s">
        <v>7</v>
      </c>
      <c r="G12" s="110">
        <v>2017</v>
      </c>
      <c r="H12" s="111" t="s">
        <v>54</v>
      </c>
      <c r="I12" s="111"/>
      <c r="J12" s="108"/>
      <c r="K12" s="108"/>
      <c r="L12" s="108"/>
      <c r="M12" s="108"/>
      <c r="N12" s="108"/>
      <c r="O12" s="108"/>
    </row>
    <row r="13" spans="2:16" ht="13.5" thickBot="1"/>
    <row r="14" spans="2:16" ht="39" customHeight="1">
      <c r="B14" s="103" t="s">
        <v>113</v>
      </c>
      <c r="C14" s="265" t="s">
        <v>8</v>
      </c>
      <c r="D14" s="267" t="s">
        <v>9</v>
      </c>
      <c r="E14" s="112" t="s">
        <v>135</v>
      </c>
      <c r="F14" s="113" t="s">
        <v>10</v>
      </c>
      <c r="G14" s="114" t="s">
        <v>11</v>
      </c>
      <c r="H14" s="114" t="s">
        <v>12</v>
      </c>
      <c r="I14" s="114" t="s">
        <v>81</v>
      </c>
      <c r="J14" s="114" t="s">
        <v>84</v>
      </c>
      <c r="K14" s="114" t="s">
        <v>13</v>
      </c>
      <c r="L14" s="114" t="s">
        <v>14</v>
      </c>
      <c r="M14" s="114" t="s">
        <v>136</v>
      </c>
      <c r="N14" s="114" t="s">
        <v>137</v>
      </c>
      <c r="O14" s="115" t="s">
        <v>98</v>
      </c>
      <c r="P14" s="256" t="s">
        <v>162</v>
      </c>
    </row>
    <row r="15" spans="2:16" ht="32.25" customHeight="1">
      <c r="C15" s="266"/>
      <c r="D15" s="268"/>
      <c r="E15" s="116" t="s">
        <v>15</v>
      </c>
      <c r="F15" s="116" t="s">
        <v>16</v>
      </c>
      <c r="G15" s="117" t="s">
        <v>17</v>
      </c>
      <c r="H15" s="117" t="s">
        <v>18</v>
      </c>
      <c r="I15" s="118" t="s">
        <v>19</v>
      </c>
      <c r="J15" s="119" t="s">
        <v>139</v>
      </c>
      <c r="K15" s="117" t="s">
        <v>19</v>
      </c>
      <c r="L15" s="117" t="s">
        <v>20</v>
      </c>
      <c r="M15" s="117" t="s">
        <v>21</v>
      </c>
      <c r="N15" s="117" t="s">
        <v>99</v>
      </c>
      <c r="O15" s="120" t="s">
        <v>100</v>
      </c>
      <c r="P15" s="257"/>
    </row>
    <row r="16" spans="2:16">
      <c r="B16" s="103">
        <v>1805</v>
      </c>
      <c r="C16" s="122">
        <v>1805</v>
      </c>
      <c r="D16" s="123" t="s">
        <v>22</v>
      </c>
      <c r="E16" s="124">
        <v>26435637.279999997</v>
      </c>
      <c r="F16" s="124"/>
      <c r="G16" s="125">
        <f t="shared" ref="G16:G28" si="0">E16-F16</f>
        <v>26435637.279999997</v>
      </c>
      <c r="H16" s="124">
        <v>0</v>
      </c>
      <c r="I16" s="124"/>
      <c r="J16" s="124">
        <f>G16+0.5*H16+0.5*I16</f>
        <v>26435637.279999997</v>
      </c>
      <c r="K16" s="126">
        <v>0</v>
      </c>
      <c r="L16" s="127" t="str">
        <f>IF(K16=0,"",1/K16)</f>
        <v/>
      </c>
      <c r="M16" s="128" t="str">
        <f t="shared" ref="M16:M48" si="1">IF(K16=0,"",J16/K16)</f>
        <v/>
      </c>
      <c r="N16" s="128"/>
      <c r="O16" s="129"/>
      <c r="P16" s="236"/>
    </row>
    <row r="17" spans="2:16">
      <c r="B17" s="103">
        <v>1806</v>
      </c>
      <c r="C17" s="130">
        <v>1806</v>
      </c>
      <c r="D17" s="131" t="s">
        <v>32</v>
      </c>
      <c r="E17" s="124">
        <v>938785.29999999993</v>
      </c>
      <c r="F17" s="124"/>
      <c r="G17" s="125">
        <f t="shared" si="0"/>
        <v>938785.29999999993</v>
      </c>
      <c r="H17" s="124">
        <v>34024.239999999998</v>
      </c>
      <c r="I17" s="124"/>
      <c r="J17" s="124">
        <f t="shared" ref="J17:J28" si="2">G17+0.5*H17+0.5*I17</f>
        <v>955797.41999999993</v>
      </c>
      <c r="K17" s="126">
        <v>0</v>
      </c>
      <c r="L17" s="127"/>
      <c r="M17" s="128" t="str">
        <f t="shared" si="1"/>
        <v/>
      </c>
      <c r="N17" s="128"/>
      <c r="O17" s="129"/>
      <c r="P17" s="236"/>
    </row>
    <row r="18" spans="2:16">
      <c r="B18" s="103">
        <v>1808</v>
      </c>
      <c r="C18" s="130">
        <v>1808</v>
      </c>
      <c r="D18" s="132" t="s">
        <v>23</v>
      </c>
      <c r="E18" s="124">
        <v>7005139.080000001</v>
      </c>
      <c r="F18" s="124"/>
      <c r="G18" s="125">
        <f t="shared" si="0"/>
        <v>7005139.080000001</v>
      </c>
      <c r="H18" s="124">
        <v>76939.199999999968</v>
      </c>
      <c r="I18" s="124"/>
      <c r="J18" s="124">
        <f t="shared" si="2"/>
        <v>7043608.6800000006</v>
      </c>
      <c r="K18" s="126">
        <v>40</v>
      </c>
      <c r="L18" s="127">
        <f t="shared" ref="L18:L80" si="3">IF(K18=0,"",1/K18)</f>
        <v>2.5000000000000001E-2</v>
      </c>
      <c r="M18" s="128">
        <f t="shared" si="1"/>
        <v>176090.217</v>
      </c>
      <c r="N18" s="128">
        <v>220416.89975000004</v>
      </c>
      <c r="O18" s="129">
        <f>+M18-N18</f>
        <v>-44326.682750000036</v>
      </c>
      <c r="P18" s="237" t="s">
        <v>95</v>
      </c>
    </row>
    <row r="19" spans="2:16">
      <c r="B19" s="103">
        <v>1810</v>
      </c>
      <c r="C19" s="130">
        <v>1810</v>
      </c>
      <c r="D19" s="131" t="s">
        <v>53</v>
      </c>
      <c r="E19" s="124">
        <v>9878496.4900000002</v>
      </c>
      <c r="F19" s="124"/>
      <c r="G19" s="125"/>
      <c r="H19" s="124"/>
      <c r="I19" s="124"/>
      <c r="J19" s="124">
        <f t="shared" si="2"/>
        <v>0</v>
      </c>
      <c r="K19" s="126">
        <v>0</v>
      </c>
      <c r="L19" s="127" t="str">
        <f t="shared" si="3"/>
        <v/>
      </c>
      <c r="M19" s="128" t="str">
        <f t="shared" si="1"/>
        <v/>
      </c>
      <c r="N19" s="128"/>
      <c r="O19" s="129"/>
      <c r="P19" s="236"/>
    </row>
    <row r="20" spans="2:16" ht="22.5" customHeight="1">
      <c r="B20" s="103">
        <v>1815</v>
      </c>
      <c r="C20" s="130">
        <v>1815</v>
      </c>
      <c r="D20" s="132" t="s">
        <v>24</v>
      </c>
      <c r="E20" s="124">
        <v>-22337211.887941301</v>
      </c>
      <c r="F20" s="124"/>
      <c r="G20" s="125">
        <f t="shared" si="0"/>
        <v>-22337211.887941301</v>
      </c>
      <c r="H20" s="124">
        <v>21021834.95770666</v>
      </c>
      <c r="I20" s="124"/>
      <c r="J20" s="124">
        <f t="shared" si="2"/>
        <v>-11826294.409087971</v>
      </c>
      <c r="K20" s="126">
        <v>40</v>
      </c>
      <c r="L20" s="127">
        <f t="shared" si="3"/>
        <v>2.5000000000000001E-2</v>
      </c>
      <c r="M20" s="128">
        <f t="shared" si="1"/>
        <v>-295657.36022719927</v>
      </c>
      <c r="N20" s="128">
        <v>-294458.27635219932</v>
      </c>
      <c r="O20" s="129">
        <f t="shared" ref="O20:O33" si="4">+M20-N20</f>
        <v>-1199.083874999953</v>
      </c>
      <c r="P20" s="236" t="s">
        <v>95</v>
      </c>
    </row>
    <row r="21" spans="2:16" s="136" customFormat="1">
      <c r="B21" s="136">
        <v>1816</v>
      </c>
      <c r="C21" s="130">
        <v>1815</v>
      </c>
      <c r="D21" s="131" t="s">
        <v>55</v>
      </c>
      <c r="E21" s="124">
        <v>31587755.134675719</v>
      </c>
      <c r="F21" s="125"/>
      <c r="G21" s="125">
        <f t="shared" si="0"/>
        <v>31587755.134675719</v>
      </c>
      <c r="H21" s="125">
        <v>1037580.66228053</v>
      </c>
      <c r="I21" s="125"/>
      <c r="J21" s="124">
        <f t="shared" si="2"/>
        <v>32106545.465815984</v>
      </c>
      <c r="K21" s="133">
        <v>40</v>
      </c>
      <c r="L21" s="134">
        <f t="shared" si="3"/>
        <v>2.5000000000000001E-2</v>
      </c>
      <c r="M21" s="135">
        <f t="shared" si="1"/>
        <v>802663.63664539962</v>
      </c>
      <c r="N21" s="135">
        <v>874167.48314539948</v>
      </c>
      <c r="O21" s="129">
        <f t="shared" si="4"/>
        <v>-71503.846499999869</v>
      </c>
      <c r="P21" s="238" t="s">
        <v>95</v>
      </c>
    </row>
    <row r="22" spans="2:16">
      <c r="B22" s="103">
        <v>1817</v>
      </c>
      <c r="C22" s="130">
        <v>1815</v>
      </c>
      <c r="D22" s="132" t="s">
        <v>56</v>
      </c>
      <c r="E22" s="124">
        <v>10146273.849999998</v>
      </c>
      <c r="F22" s="124">
        <v>2043618.7999999998</v>
      </c>
      <c r="G22" s="125">
        <f t="shared" si="0"/>
        <v>8102655.049999998</v>
      </c>
      <c r="H22" s="124">
        <v>63508.499999999985</v>
      </c>
      <c r="I22" s="124"/>
      <c r="J22" s="124">
        <f t="shared" si="2"/>
        <v>8134409.299999998</v>
      </c>
      <c r="K22" s="150">
        <v>25</v>
      </c>
      <c r="L22" s="127">
        <f t="shared" si="3"/>
        <v>0.04</v>
      </c>
      <c r="M22" s="135">
        <f t="shared" si="1"/>
        <v>325376.37199999992</v>
      </c>
      <c r="N22" s="135">
        <v>472660.64780000004</v>
      </c>
      <c r="O22" s="129">
        <f t="shared" si="4"/>
        <v>-147284.27580000012</v>
      </c>
      <c r="P22" s="236" t="s">
        <v>95</v>
      </c>
    </row>
    <row r="23" spans="2:16">
      <c r="B23" s="103">
        <v>1818</v>
      </c>
      <c r="C23" s="130">
        <v>1815</v>
      </c>
      <c r="D23" s="132" t="s">
        <v>57</v>
      </c>
      <c r="E23" s="124">
        <v>40774472.451867312</v>
      </c>
      <c r="F23" s="124"/>
      <c r="G23" s="125">
        <f t="shared" si="0"/>
        <v>40774472.451867312</v>
      </c>
      <c r="H23" s="124">
        <v>0</v>
      </c>
      <c r="I23" s="124"/>
      <c r="J23" s="124">
        <f t="shared" si="2"/>
        <v>40774472.451867312</v>
      </c>
      <c r="K23" s="126">
        <v>40</v>
      </c>
      <c r="L23" s="127">
        <f t="shared" si="3"/>
        <v>2.5000000000000001E-2</v>
      </c>
      <c r="M23" s="135">
        <f t="shared" si="1"/>
        <v>1019361.8112966828</v>
      </c>
      <c r="N23" s="135">
        <v>1342594.1356716827</v>
      </c>
      <c r="O23" s="129">
        <f t="shared" si="4"/>
        <v>-323232.32437499985</v>
      </c>
      <c r="P23" s="236" t="s">
        <v>95</v>
      </c>
    </row>
    <row r="24" spans="2:16">
      <c r="B24" s="103">
        <v>1819</v>
      </c>
      <c r="C24" s="130">
        <v>1815</v>
      </c>
      <c r="D24" s="132" t="s">
        <v>58</v>
      </c>
      <c r="E24" s="124">
        <v>6998228.200000002</v>
      </c>
      <c r="F24" s="124"/>
      <c r="G24" s="125">
        <f t="shared" si="0"/>
        <v>6998228.200000002</v>
      </c>
      <c r="H24" s="124">
        <v>13912.06</v>
      </c>
      <c r="I24" s="124"/>
      <c r="J24" s="124">
        <f t="shared" si="2"/>
        <v>7005184.2300000023</v>
      </c>
      <c r="K24" s="126">
        <v>40</v>
      </c>
      <c r="L24" s="127">
        <f t="shared" si="3"/>
        <v>2.5000000000000001E-2</v>
      </c>
      <c r="M24" s="135">
        <f t="shared" si="1"/>
        <v>175129.60575000005</v>
      </c>
      <c r="N24" s="135">
        <v>227390.03937500005</v>
      </c>
      <c r="O24" s="129">
        <f t="shared" si="4"/>
        <v>-52260.433625000005</v>
      </c>
      <c r="P24" s="236" t="s">
        <v>95</v>
      </c>
    </row>
    <row r="25" spans="2:16">
      <c r="B25" s="103">
        <v>1821</v>
      </c>
      <c r="C25" s="130">
        <v>1815</v>
      </c>
      <c r="D25" s="132" t="s">
        <v>59</v>
      </c>
      <c r="E25" s="124">
        <v>4838847.4078235542</v>
      </c>
      <c r="F25" s="124"/>
      <c r="G25" s="125">
        <f t="shared" si="0"/>
        <v>4838847.4078235542</v>
      </c>
      <c r="H25" s="124">
        <v>8508.5</v>
      </c>
      <c r="I25" s="124"/>
      <c r="J25" s="124">
        <f t="shared" si="2"/>
        <v>4843101.6578235542</v>
      </c>
      <c r="K25" s="126">
        <v>40</v>
      </c>
      <c r="L25" s="127">
        <f t="shared" si="3"/>
        <v>2.5000000000000001E-2</v>
      </c>
      <c r="M25" s="135">
        <f t="shared" si="1"/>
        <v>121077.54144558885</v>
      </c>
      <c r="N25" s="125">
        <f>2326.51269558885+161870</f>
        <v>164196.51269558884</v>
      </c>
      <c r="O25" s="129">
        <f t="shared" si="4"/>
        <v>-43118.971249999988</v>
      </c>
      <c r="P25" s="236" t="s">
        <v>95</v>
      </c>
    </row>
    <row r="26" spans="2:16">
      <c r="B26" s="103">
        <v>1822</v>
      </c>
      <c r="C26" s="130">
        <v>1815</v>
      </c>
      <c r="D26" s="132" t="s">
        <v>60</v>
      </c>
      <c r="E26" s="124">
        <v>7326494.3417605953</v>
      </c>
      <c r="F26" s="124">
        <v>1043509.48</v>
      </c>
      <c r="G26" s="125">
        <f t="shared" si="0"/>
        <v>6282984.8617605958</v>
      </c>
      <c r="H26" s="124">
        <v>435585.09517567331</v>
      </c>
      <c r="I26" s="124"/>
      <c r="J26" s="124">
        <f t="shared" si="2"/>
        <v>6500777.4093484329</v>
      </c>
      <c r="K26" s="126">
        <v>20</v>
      </c>
      <c r="L26" s="127">
        <f t="shared" si="3"/>
        <v>0.05</v>
      </c>
      <c r="M26" s="135">
        <f t="shared" si="1"/>
        <v>325038.87046742166</v>
      </c>
      <c r="N26" s="125">
        <f>272695.187967422+135655</f>
        <v>408350.18796742201</v>
      </c>
      <c r="O26" s="129">
        <f t="shared" si="4"/>
        <v>-83311.317500000354</v>
      </c>
      <c r="P26" s="236" t="s">
        <v>95</v>
      </c>
    </row>
    <row r="27" spans="2:16">
      <c r="B27" s="103">
        <v>1823</v>
      </c>
      <c r="C27" s="130">
        <v>1815</v>
      </c>
      <c r="D27" s="132" t="s">
        <v>61</v>
      </c>
      <c r="E27" s="124">
        <v>24417671.34</v>
      </c>
      <c r="F27" s="124">
        <v>222665.37</v>
      </c>
      <c r="G27" s="125">
        <f t="shared" si="0"/>
        <v>24195005.969999999</v>
      </c>
      <c r="H27" s="124">
        <v>2375948.0699999998</v>
      </c>
      <c r="I27" s="124"/>
      <c r="J27" s="124">
        <f t="shared" si="2"/>
        <v>25382980.004999999</v>
      </c>
      <c r="K27" s="126">
        <v>30</v>
      </c>
      <c r="L27" s="127">
        <f t="shared" si="3"/>
        <v>3.3333333333333333E-2</v>
      </c>
      <c r="M27" s="135">
        <f t="shared" si="1"/>
        <v>846099.33349999995</v>
      </c>
      <c r="N27" s="125">
        <f>516891.637333334+663670</f>
        <v>1180561.637333334</v>
      </c>
      <c r="O27" s="129">
        <f t="shared" si="4"/>
        <v>-334462.30383333401</v>
      </c>
      <c r="P27" s="236" t="s">
        <v>95</v>
      </c>
    </row>
    <row r="28" spans="2:16">
      <c r="B28" s="103">
        <v>1824</v>
      </c>
      <c r="C28" s="130">
        <v>1815</v>
      </c>
      <c r="D28" s="132" t="s">
        <v>62</v>
      </c>
      <c r="E28" s="124">
        <v>5391182.8400000008</v>
      </c>
      <c r="F28" s="124">
        <v>49481.19</v>
      </c>
      <c r="G28" s="125">
        <f t="shared" si="0"/>
        <v>5341701.6500000004</v>
      </c>
      <c r="H28" s="124">
        <v>5403.5599999999995</v>
      </c>
      <c r="I28" s="124"/>
      <c r="J28" s="124">
        <f t="shared" si="2"/>
        <v>5344403.4300000006</v>
      </c>
      <c r="K28" s="126">
        <v>30</v>
      </c>
      <c r="L28" s="127">
        <f t="shared" si="3"/>
        <v>3.3333333333333333E-2</v>
      </c>
      <c r="M28" s="135">
        <f t="shared" si="1"/>
        <v>178146.78100000002</v>
      </c>
      <c r="N28" s="125">
        <f>962472.340333333-755578</f>
        <v>206894.34033333301</v>
      </c>
      <c r="O28" s="129">
        <f t="shared" si="4"/>
        <v>-28747.559333332989</v>
      </c>
      <c r="P28" s="236" t="s">
        <v>95</v>
      </c>
    </row>
    <row r="29" spans="2:16" ht="24.75" customHeight="1">
      <c r="C29" s="137"/>
      <c r="D29" s="138"/>
      <c r="E29" s="139"/>
      <c r="F29" s="139"/>
      <c r="G29" s="140"/>
      <c r="H29" s="139"/>
      <c r="I29" s="139"/>
      <c r="J29" s="141" t="s">
        <v>86</v>
      </c>
      <c r="K29" s="142"/>
      <c r="L29" s="143"/>
      <c r="M29" s="125">
        <f>SUM(M20:M28)</f>
        <v>3497236.5918778931</v>
      </c>
      <c r="N29" s="125">
        <f>SUM(N20:N28)</f>
        <v>4582356.7079695612</v>
      </c>
      <c r="O29" s="129">
        <f>+M29-N29</f>
        <v>-1085120.1160916681</v>
      </c>
      <c r="P29" s="236"/>
    </row>
    <row r="30" spans="2:16" ht="20.25" customHeight="1">
      <c r="B30" s="103">
        <v>1820</v>
      </c>
      <c r="C30" s="144">
        <v>1820</v>
      </c>
      <c r="D30" s="145" t="s">
        <v>25</v>
      </c>
      <c r="E30" s="124">
        <v>-2201511.3469273001</v>
      </c>
      <c r="F30" s="124"/>
      <c r="G30" s="125">
        <f>E30-F30</f>
        <v>-2201511.3469273001</v>
      </c>
      <c r="H30" s="124">
        <v>-6959220.9692624193</v>
      </c>
      <c r="I30" s="124"/>
      <c r="J30" s="124">
        <f t="shared" ref="J30:J33" si="5">G30+0.5*H30+0.5*I30</f>
        <v>-5681121.8315585097</v>
      </c>
      <c r="K30" s="126">
        <v>30</v>
      </c>
      <c r="L30" s="146">
        <f t="shared" si="3"/>
        <v>3.3333333333333333E-2</v>
      </c>
      <c r="M30" s="135">
        <f t="shared" si="1"/>
        <v>-189370.72771861698</v>
      </c>
      <c r="N30" s="125">
        <f>-14204.9188852835-205517</f>
        <v>-219721.91888528349</v>
      </c>
      <c r="O30" s="129">
        <f t="shared" si="4"/>
        <v>30351.191166666511</v>
      </c>
      <c r="P30" s="236" t="s">
        <v>95</v>
      </c>
    </row>
    <row r="31" spans="2:16">
      <c r="B31" s="103">
        <v>1826</v>
      </c>
      <c r="C31" s="147">
        <v>1820</v>
      </c>
      <c r="D31" s="132" t="s">
        <v>63</v>
      </c>
      <c r="E31" s="124">
        <v>17153089.069999997</v>
      </c>
      <c r="F31" s="124"/>
      <c r="G31" s="125">
        <f>E31-F31</f>
        <v>17153089.069999997</v>
      </c>
      <c r="H31" s="124">
        <v>9230153.5299999975</v>
      </c>
      <c r="I31" s="124"/>
      <c r="J31" s="124">
        <f t="shared" si="5"/>
        <v>21768165.834999993</v>
      </c>
      <c r="K31" s="126">
        <v>40</v>
      </c>
      <c r="L31" s="146">
        <f t="shared" si="3"/>
        <v>2.5000000000000001E-2</v>
      </c>
      <c r="M31" s="135">
        <f t="shared" si="1"/>
        <v>544204.14587499981</v>
      </c>
      <c r="N31" s="135">
        <v>612796.17162500008</v>
      </c>
      <c r="O31" s="129">
        <f t="shared" si="4"/>
        <v>-68592.025750000263</v>
      </c>
      <c r="P31" s="236" t="s">
        <v>95</v>
      </c>
    </row>
    <row r="32" spans="2:16">
      <c r="B32" s="103">
        <v>1827</v>
      </c>
      <c r="C32" s="147">
        <v>1820</v>
      </c>
      <c r="D32" s="132" t="s">
        <v>64</v>
      </c>
      <c r="E32" s="124">
        <v>10110000.915882949</v>
      </c>
      <c r="F32" s="124">
        <v>1428804.9000000001</v>
      </c>
      <c r="G32" s="125">
        <f>E32-F32</f>
        <v>8681196.0158829484</v>
      </c>
      <c r="H32" s="124">
        <v>369033.12254379934</v>
      </c>
      <c r="I32" s="124"/>
      <c r="J32" s="124">
        <f t="shared" si="5"/>
        <v>8865712.5771548487</v>
      </c>
      <c r="K32" s="126">
        <v>20</v>
      </c>
      <c r="L32" s="146">
        <f t="shared" si="3"/>
        <v>0.05</v>
      </c>
      <c r="M32" s="135">
        <f t="shared" si="1"/>
        <v>443285.62885774241</v>
      </c>
      <c r="N32" s="135">
        <v>689955.70985774242</v>
      </c>
      <c r="O32" s="129">
        <f t="shared" si="4"/>
        <v>-246670.08100000001</v>
      </c>
      <c r="P32" s="236" t="s">
        <v>95</v>
      </c>
    </row>
    <row r="33" spans="2:16">
      <c r="B33" s="103">
        <v>1828</v>
      </c>
      <c r="C33" s="147">
        <v>1820</v>
      </c>
      <c r="D33" s="132" t="s">
        <v>65</v>
      </c>
      <c r="E33" s="124">
        <v>3815096.0400000005</v>
      </c>
      <c r="F33" s="124">
        <v>76111.37</v>
      </c>
      <c r="G33" s="125">
        <f>E33-F33</f>
        <v>3738984.6700000004</v>
      </c>
      <c r="H33" s="124">
        <v>246303.71000000002</v>
      </c>
      <c r="I33" s="124"/>
      <c r="J33" s="124">
        <f t="shared" si="5"/>
        <v>3862136.5250000004</v>
      </c>
      <c r="K33" s="126">
        <v>30</v>
      </c>
      <c r="L33" s="146">
        <f t="shared" si="3"/>
        <v>3.3333333333333333E-2</v>
      </c>
      <c r="M33" s="135">
        <f t="shared" si="1"/>
        <v>128737.88416666668</v>
      </c>
      <c r="N33" s="135">
        <v>172697.47316666701</v>
      </c>
      <c r="O33" s="129">
        <f t="shared" si="4"/>
        <v>-43959.589000000327</v>
      </c>
      <c r="P33" s="236" t="s">
        <v>95</v>
      </c>
    </row>
    <row r="34" spans="2:16" ht="24.75" customHeight="1">
      <c r="C34" s="137"/>
      <c r="D34" s="138"/>
      <c r="E34" s="139"/>
      <c r="F34" s="139"/>
      <c r="G34" s="140"/>
      <c r="H34" s="139"/>
      <c r="I34" s="139"/>
      <c r="J34" s="141" t="s">
        <v>87</v>
      </c>
      <c r="K34" s="142"/>
      <c r="L34" s="143"/>
      <c r="M34" s="125">
        <f>SUM(M30:M33)</f>
        <v>926856.93118079193</v>
      </c>
      <c r="N34" s="125">
        <f>SUM(N30:N33)</f>
        <v>1255727.435764126</v>
      </c>
      <c r="O34" s="129">
        <f>+M34-N34</f>
        <v>-328870.50458333408</v>
      </c>
      <c r="P34" s="236"/>
    </row>
    <row r="35" spans="2:16" ht="24" customHeight="1">
      <c r="B35" s="103">
        <v>1825</v>
      </c>
      <c r="C35" s="147">
        <v>1825</v>
      </c>
      <c r="D35" s="148" t="s">
        <v>26</v>
      </c>
      <c r="E35" s="124">
        <v>0</v>
      </c>
      <c r="F35" s="124"/>
      <c r="G35" s="125">
        <f t="shared" ref="G35:G51" si="6">E35-F35</f>
        <v>0</v>
      </c>
      <c r="H35" s="124">
        <v>0</v>
      </c>
      <c r="I35" s="124"/>
      <c r="J35" s="124">
        <f t="shared" ref="J35:J51" si="7">G35+0.5*H35+0.5*I35</f>
        <v>0</v>
      </c>
      <c r="K35" s="126">
        <v>0</v>
      </c>
      <c r="L35" s="146" t="str">
        <f t="shared" si="3"/>
        <v/>
      </c>
      <c r="M35" s="135" t="str">
        <f t="shared" si="1"/>
        <v/>
      </c>
      <c r="N35" s="135">
        <v>0</v>
      </c>
      <c r="O35" s="149"/>
      <c r="P35" s="236"/>
    </row>
    <row r="36" spans="2:16">
      <c r="B36" s="103">
        <v>1830</v>
      </c>
      <c r="C36" s="147">
        <v>1830</v>
      </c>
      <c r="D36" s="148" t="s">
        <v>27</v>
      </c>
      <c r="E36" s="124">
        <v>184238622.73383847</v>
      </c>
      <c r="F36" s="124"/>
      <c r="G36" s="125">
        <f t="shared" si="6"/>
        <v>184238622.73383847</v>
      </c>
      <c r="H36" s="124">
        <v>24299360.540330529</v>
      </c>
      <c r="I36" s="124">
        <v>-86967</v>
      </c>
      <c r="J36" s="124">
        <f t="shared" si="7"/>
        <v>196344819.50400373</v>
      </c>
      <c r="K36" s="150">
        <v>45</v>
      </c>
      <c r="L36" s="146">
        <f t="shared" si="3"/>
        <v>2.2222222222222223E-2</v>
      </c>
      <c r="M36" s="135">
        <f t="shared" si="1"/>
        <v>4363218.2112000827</v>
      </c>
      <c r="N36" s="135">
        <v>4583200.2936445242</v>
      </c>
      <c r="O36" s="129">
        <f t="shared" ref="O36:O51" si="8">+M36-N36</f>
        <v>-219982.0824444415</v>
      </c>
      <c r="P36" s="236" t="s">
        <v>95</v>
      </c>
    </row>
    <row r="37" spans="2:16">
      <c r="B37" s="103">
        <v>1835</v>
      </c>
      <c r="C37" s="147">
        <v>1835</v>
      </c>
      <c r="D37" s="148" t="s">
        <v>28</v>
      </c>
      <c r="E37" s="124">
        <f>161241369.936871+1277</f>
        <v>161242646.93687099</v>
      </c>
      <c r="F37" s="124"/>
      <c r="G37" s="125">
        <f t="shared" si="6"/>
        <v>161242646.93687099</v>
      </c>
      <c r="H37" s="124">
        <v>23360096.261391528</v>
      </c>
      <c r="I37" s="124">
        <v>-130287.935</v>
      </c>
      <c r="J37" s="124">
        <f t="shared" si="7"/>
        <v>172857551.10006675</v>
      </c>
      <c r="K37" s="150">
        <v>40</v>
      </c>
      <c r="L37" s="146">
        <f t="shared" si="3"/>
        <v>2.5000000000000001E-2</v>
      </c>
      <c r="M37" s="135">
        <f t="shared" si="1"/>
        <v>4321438.7775016688</v>
      </c>
      <c r="N37" s="135">
        <f>4773799.10093916+4305</f>
        <v>4778104.1009391602</v>
      </c>
      <c r="O37" s="129">
        <f t="shared" si="8"/>
        <v>-456665.32343749143</v>
      </c>
      <c r="P37" s="236" t="s">
        <v>95</v>
      </c>
    </row>
    <row r="38" spans="2:16">
      <c r="B38" s="103">
        <v>1840</v>
      </c>
      <c r="C38" s="147">
        <v>1840</v>
      </c>
      <c r="D38" s="148" t="s">
        <v>29</v>
      </c>
      <c r="E38" s="124">
        <v>111352317.89366253</v>
      </c>
      <c r="F38" s="124">
        <v>495927.48999999993</v>
      </c>
      <c r="G38" s="125">
        <f t="shared" si="6"/>
        <v>110856390.40366253</v>
      </c>
      <c r="H38" s="124">
        <v>7082552.6848547803</v>
      </c>
      <c r="I38" s="124"/>
      <c r="J38" s="124">
        <f t="shared" si="7"/>
        <v>114397666.74608992</v>
      </c>
      <c r="K38" s="150">
        <v>60</v>
      </c>
      <c r="L38" s="146">
        <f t="shared" si="3"/>
        <v>1.6666666666666666E-2</v>
      </c>
      <c r="M38" s="135">
        <f t="shared" si="1"/>
        <v>1906627.7791014987</v>
      </c>
      <c r="N38" s="135">
        <v>2001248.0971848271</v>
      </c>
      <c r="O38" s="129">
        <f t="shared" si="8"/>
        <v>-94620.318083328428</v>
      </c>
      <c r="P38" s="236" t="s">
        <v>95</v>
      </c>
    </row>
    <row r="39" spans="2:16">
      <c r="B39" s="103">
        <v>1845</v>
      </c>
      <c r="C39" s="147">
        <v>1845</v>
      </c>
      <c r="D39" s="148" t="s">
        <v>30</v>
      </c>
      <c r="E39" s="124">
        <v>335773397.58130676</v>
      </c>
      <c r="F39" s="124">
        <v>3911098.56</v>
      </c>
      <c r="G39" s="125">
        <f t="shared" si="6"/>
        <v>331862299.02130675</v>
      </c>
      <c r="H39" s="124">
        <v>39180130.5875111</v>
      </c>
      <c r="I39" s="124">
        <v>-433074.76500000001</v>
      </c>
      <c r="J39" s="124">
        <f t="shared" si="7"/>
        <v>351235826.93256229</v>
      </c>
      <c r="K39" s="150">
        <v>45</v>
      </c>
      <c r="L39" s="146">
        <f t="shared" si="3"/>
        <v>2.2222222222222223E-2</v>
      </c>
      <c r="M39" s="135">
        <f t="shared" si="1"/>
        <v>7805240.5985013843</v>
      </c>
      <c r="N39" s="135">
        <v>8976225.7611124888</v>
      </c>
      <c r="O39" s="129">
        <f t="shared" si="8"/>
        <v>-1170985.1626111045</v>
      </c>
      <c r="P39" s="236" t="s">
        <v>95</v>
      </c>
    </row>
    <row r="40" spans="2:16">
      <c r="B40" s="103">
        <v>1846</v>
      </c>
      <c r="C40" s="147">
        <v>1845</v>
      </c>
      <c r="D40" s="131" t="s">
        <v>115</v>
      </c>
      <c r="E40" s="124">
        <v>19038445.960000001</v>
      </c>
      <c r="F40" s="124"/>
      <c r="G40" s="125">
        <f t="shared" si="6"/>
        <v>19038445.960000001</v>
      </c>
      <c r="H40" s="124">
        <v>4255465.2899999991</v>
      </c>
      <c r="I40" s="124"/>
      <c r="J40" s="124">
        <f t="shared" si="7"/>
        <v>21166178.605</v>
      </c>
      <c r="K40" s="150">
        <v>20</v>
      </c>
      <c r="L40" s="146">
        <f t="shared" si="3"/>
        <v>0.05</v>
      </c>
      <c r="M40" s="135">
        <f t="shared" si="1"/>
        <v>1058308.93025</v>
      </c>
      <c r="N40" s="135">
        <v>1086259.784</v>
      </c>
      <c r="O40" s="129">
        <f t="shared" si="8"/>
        <v>-27950.853750000009</v>
      </c>
      <c r="P40" s="236" t="s">
        <v>95</v>
      </c>
    </row>
    <row r="41" spans="2:16">
      <c r="B41" s="103">
        <v>1849</v>
      </c>
      <c r="C41" s="147">
        <v>1849</v>
      </c>
      <c r="D41" s="131" t="s">
        <v>44</v>
      </c>
      <c r="E41" s="124">
        <v>19627911.009839255</v>
      </c>
      <c r="F41" s="124"/>
      <c r="G41" s="125">
        <f t="shared" si="6"/>
        <v>19627911.009839255</v>
      </c>
      <c r="H41" s="124">
        <v>1453234.6985347904</v>
      </c>
      <c r="I41" s="124">
        <v>-586943.06499999994</v>
      </c>
      <c r="J41" s="124">
        <f t="shared" si="7"/>
        <v>20061056.826606654</v>
      </c>
      <c r="K41" s="126">
        <v>40</v>
      </c>
      <c r="L41" s="146">
        <f t="shared" si="3"/>
        <v>2.5000000000000001E-2</v>
      </c>
      <c r="M41" s="135">
        <f t="shared" si="1"/>
        <v>501526.42066516634</v>
      </c>
      <c r="N41" s="135">
        <v>664780.77435266494</v>
      </c>
      <c r="O41" s="129">
        <f t="shared" si="8"/>
        <v>-163254.3536874986</v>
      </c>
      <c r="P41" s="236" t="s">
        <v>95</v>
      </c>
    </row>
    <row r="42" spans="2:16">
      <c r="B42" s="103">
        <v>1850</v>
      </c>
      <c r="C42" s="147">
        <v>1850</v>
      </c>
      <c r="D42" s="148" t="s">
        <v>77</v>
      </c>
      <c r="E42" s="124">
        <v>160512688.12012014</v>
      </c>
      <c r="F42" s="124">
        <v>1041610.56</v>
      </c>
      <c r="G42" s="125">
        <f t="shared" si="6"/>
        <v>159471077.56012014</v>
      </c>
      <c r="H42" s="124">
        <v>12132829.751226891</v>
      </c>
      <c r="I42" s="124">
        <v>-1313699.4100000001</v>
      </c>
      <c r="J42" s="124">
        <f t="shared" si="7"/>
        <v>164880642.73073357</v>
      </c>
      <c r="K42" s="126">
        <v>30</v>
      </c>
      <c r="L42" s="146">
        <f t="shared" si="3"/>
        <v>3.3333333333333333E-2</v>
      </c>
      <c r="M42" s="135">
        <f t="shared" si="1"/>
        <v>5496021.4243577858</v>
      </c>
      <c r="N42" s="135">
        <v>7017447.432857791</v>
      </c>
      <c r="O42" s="129">
        <f t="shared" si="8"/>
        <v>-1521426.0085000051</v>
      </c>
      <c r="P42" s="236" t="s">
        <v>95</v>
      </c>
    </row>
    <row r="43" spans="2:16">
      <c r="B43" s="103">
        <v>1855</v>
      </c>
      <c r="C43" s="147">
        <v>1855</v>
      </c>
      <c r="D43" s="148" t="s">
        <v>94</v>
      </c>
      <c r="E43" s="124">
        <v>15063904.547955135</v>
      </c>
      <c r="F43" s="124"/>
      <c r="G43" s="125">
        <f t="shared" si="6"/>
        <v>15063904.547955135</v>
      </c>
      <c r="H43" s="124">
        <v>1019170.18541113</v>
      </c>
      <c r="I43" s="124"/>
      <c r="J43" s="124">
        <f t="shared" si="7"/>
        <v>15573489.640660699</v>
      </c>
      <c r="K43" s="126">
        <v>40</v>
      </c>
      <c r="L43" s="146">
        <f t="shared" si="3"/>
        <v>2.5000000000000001E-2</v>
      </c>
      <c r="M43" s="135">
        <f t="shared" si="1"/>
        <v>389337.24101651751</v>
      </c>
      <c r="N43" s="135">
        <v>342469.15276651876</v>
      </c>
      <c r="O43" s="129">
        <f t="shared" si="8"/>
        <v>46868.088249998749</v>
      </c>
      <c r="P43" s="236" t="s">
        <v>95</v>
      </c>
    </row>
    <row r="44" spans="2:16">
      <c r="B44" s="103">
        <v>1856</v>
      </c>
      <c r="C44" s="147">
        <v>1856</v>
      </c>
      <c r="D44" s="131" t="s">
        <v>45</v>
      </c>
      <c r="E44" s="124">
        <v>60858468.14845787</v>
      </c>
      <c r="F44" s="124"/>
      <c r="G44" s="125">
        <f t="shared" si="6"/>
        <v>60858468.14845787</v>
      </c>
      <c r="H44" s="124">
        <v>3183694.7651211713</v>
      </c>
      <c r="I44" s="124"/>
      <c r="J44" s="124">
        <f t="shared" si="7"/>
        <v>62450315.531018458</v>
      </c>
      <c r="K44" s="126">
        <v>25</v>
      </c>
      <c r="L44" s="146">
        <f t="shared" si="3"/>
        <v>0.04</v>
      </c>
      <c r="M44" s="135">
        <f t="shared" si="1"/>
        <v>2498012.6212407383</v>
      </c>
      <c r="N44" s="135">
        <v>3237688.597240739</v>
      </c>
      <c r="O44" s="129">
        <f t="shared" si="8"/>
        <v>-739675.97600000072</v>
      </c>
      <c r="P44" s="236" t="s">
        <v>95</v>
      </c>
    </row>
    <row r="45" spans="2:16">
      <c r="B45" s="103">
        <v>1860</v>
      </c>
      <c r="C45" s="147">
        <v>1860</v>
      </c>
      <c r="D45" s="148" t="s">
        <v>31</v>
      </c>
      <c r="E45" s="124">
        <v>12221349.650063509</v>
      </c>
      <c r="F45" s="124">
        <v>9433.82</v>
      </c>
      <c r="G45" s="125">
        <f t="shared" si="6"/>
        <v>12211915.830063509</v>
      </c>
      <c r="H45" s="124">
        <v>838884.47421394731</v>
      </c>
      <c r="I45" s="124">
        <v>-1175716.9696969697</v>
      </c>
      <c r="J45" s="124">
        <f t="shared" si="7"/>
        <v>12043499.582321998</v>
      </c>
      <c r="K45" s="126">
        <v>25</v>
      </c>
      <c r="L45" s="146">
        <f t="shared" si="3"/>
        <v>0.04</v>
      </c>
      <c r="M45" s="135">
        <f t="shared" si="1"/>
        <v>481739.98329287989</v>
      </c>
      <c r="N45" s="135">
        <v>632519.2933353046</v>
      </c>
      <c r="O45" s="129">
        <f t="shared" si="8"/>
        <v>-150779.31004242471</v>
      </c>
      <c r="P45" s="236" t="s">
        <v>95</v>
      </c>
    </row>
    <row r="46" spans="2:16">
      <c r="B46" s="103">
        <v>1861</v>
      </c>
      <c r="C46" s="147">
        <v>1861</v>
      </c>
      <c r="D46" s="131" t="s">
        <v>46</v>
      </c>
      <c r="E46" s="124">
        <v>22764985.50872435</v>
      </c>
      <c r="F46" s="124"/>
      <c r="G46" s="125">
        <f t="shared" si="6"/>
        <v>22764985.50872435</v>
      </c>
      <c r="H46" s="124">
        <v>2367701.9057860528</v>
      </c>
      <c r="I46" s="124"/>
      <c r="J46" s="124">
        <f t="shared" si="7"/>
        <v>23948836.461617377</v>
      </c>
      <c r="K46" s="126">
        <v>15</v>
      </c>
      <c r="L46" s="146">
        <f t="shared" si="3"/>
        <v>6.6666666666666666E-2</v>
      </c>
      <c r="M46" s="135">
        <f t="shared" si="1"/>
        <v>1596589.0974411585</v>
      </c>
      <c r="N46" s="135">
        <v>1709514.0477744932</v>
      </c>
      <c r="O46" s="129">
        <f t="shared" si="8"/>
        <v>-112924.95033333474</v>
      </c>
      <c r="P46" s="236" t="s">
        <v>95</v>
      </c>
    </row>
    <row r="47" spans="2:16">
      <c r="B47" s="103">
        <v>1862</v>
      </c>
      <c r="C47" s="147">
        <v>1862</v>
      </c>
      <c r="D47" s="148" t="s">
        <v>79</v>
      </c>
      <c r="E47" s="124">
        <v>53402052.187247813</v>
      </c>
      <c r="F47" s="124"/>
      <c r="G47" s="125">
        <f t="shared" si="6"/>
        <v>53402052.187247813</v>
      </c>
      <c r="H47" s="124">
        <v>1536437.9</v>
      </c>
      <c r="I47" s="124"/>
      <c r="J47" s="124">
        <f t="shared" si="7"/>
        <v>54170271.137247816</v>
      </c>
      <c r="K47" s="126">
        <v>15</v>
      </c>
      <c r="L47" s="146">
        <f t="shared" si="3"/>
        <v>6.6666666666666666E-2</v>
      </c>
      <c r="M47" s="135">
        <f t="shared" si="1"/>
        <v>3611351.4091498544</v>
      </c>
      <c r="N47" s="135">
        <v>3887901.5844831867</v>
      </c>
      <c r="O47" s="129">
        <f t="shared" si="8"/>
        <v>-276550.17533333227</v>
      </c>
      <c r="P47" s="236" t="s">
        <v>95</v>
      </c>
    </row>
    <row r="48" spans="2:16">
      <c r="B48" s="103">
        <v>1870</v>
      </c>
      <c r="C48" s="147">
        <v>1870</v>
      </c>
      <c r="D48" s="131" t="s">
        <v>47</v>
      </c>
      <c r="E48" s="124">
        <v>191136</v>
      </c>
      <c r="F48" s="124"/>
      <c r="G48" s="125">
        <f t="shared" si="6"/>
        <v>191136</v>
      </c>
      <c r="H48" s="124">
        <v>0</v>
      </c>
      <c r="I48" s="124"/>
      <c r="J48" s="124">
        <f t="shared" si="7"/>
        <v>191136</v>
      </c>
      <c r="K48" s="126">
        <v>10</v>
      </c>
      <c r="L48" s="146">
        <f t="shared" si="3"/>
        <v>0.1</v>
      </c>
      <c r="M48" s="135">
        <f t="shared" si="1"/>
        <v>19113.599999999999</v>
      </c>
      <c r="N48" s="135">
        <v>-1281</v>
      </c>
      <c r="O48" s="129">
        <f t="shared" si="8"/>
        <v>20394.599999999999</v>
      </c>
      <c r="P48" s="236" t="s">
        <v>95</v>
      </c>
    </row>
    <row r="49" spans="2:16" ht="21.75" customHeight="1">
      <c r="B49" s="103">
        <v>1908</v>
      </c>
      <c r="C49" s="147">
        <v>1908</v>
      </c>
      <c r="D49" s="148" t="s">
        <v>33</v>
      </c>
      <c r="E49" s="124">
        <v>27524581.780000001</v>
      </c>
      <c r="F49" s="125"/>
      <c r="G49" s="125">
        <f t="shared" si="6"/>
        <v>27524581.780000001</v>
      </c>
      <c r="H49" s="124">
        <v>402555.33</v>
      </c>
      <c r="I49" s="124"/>
      <c r="J49" s="124">
        <f t="shared" si="7"/>
        <v>27725859.445</v>
      </c>
      <c r="K49" s="126">
        <v>50</v>
      </c>
      <c r="L49" s="146">
        <f t="shared" si="3"/>
        <v>0.02</v>
      </c>
      <c r="M49" s="135">
        <f>IF(K49=0,"",J49/K49)</f>
        <v>554517.18889999995</v>
      </c>
      <c r="N49" s="135">
        <v>569461.4375</v>
      </c>
      <c r="O49" s="129">
        <f t="shared" si="8"/>
        <v>-14944.24860000005</v>
      </c>
      <c r="P49" s="236" t="s">
        <v>95</v>
      </c>
    </row>
    <row r="50" spans="2:16">
      <c r="B50" s="103">
        <v>1912</v>
      </c>
      <c r="C50" s="147">
        <v>1908</v>
      </c>
      <c r="D50" s="148" t="s">
        <v>96</v>
      </c>
      <c r="E50" s="124">
        <v>17401865.419889718</v>
      </c>
      <c r="F50" s="124">
        <v>19085</v>
      </c>
      <c r="G50" s="125">
        <f t="shared" si="6"/>
        <v>17382780.419889718</v>
      </c>
      <c r="H50" s="124">
        <v>0</v>
      </c>
      <c r="I50" s="124"/>
      <c r="J50" s="124">
        <f t="shared" si="7"/>
        <v>17382780.419889718</v>
      </c>
      <c r="K50" s="126">
        <v>50</v>
      </c>
      <c r="L50" s="146">
        <f t="shared" si="3"/>
        <v>0.02</v>
      </c>
      <c r="M50" s="135">
        <f>IF(K50=0,"",J50/K50)</f>
        <v>347655.60839779436</v>
      </c>
      <c r="N50" s="135">
        <v>402993.27999779442</v>
      </c>
      <c r="O50" s="129">
        <f t="shared" si="8"/>
        <v>-55337.67160000006</v>
      </c>
      <c r="P50" s="236" t="s">
        <v>95</v>
      </c>
    </row>
    <row r="51" spans="2:16">
      <c r="B51" s="103">
        <v>1913</v>
      </c>
      <c r="C51" s="147">
        <v>1908</v>
      </c>
      <c r="D51" s="151" t="s">
        <v>66</v>
      </c>
      <c r="E51" s="124">
        <v>2785049.54</v>
      </c>
      <c r="F51" s="124"/>
      <c r="G51" s="125">
        <f t="shared" si="6"/>
        <v>2785049.54</v>
      </c>
      <c r="H51" s="124">
        <v>0</v>
      </c>
      <c r="I51" s="124"/>
      <c r="J51" s="124">
        <f t="shared" si="7"/>
        <v>2785049.54</v>
      </c>
      <c r="K51" s="126">
        <v>30</v>
      </c>
      <c r="L51" s="146">
        <f t="shared" si="3"/>
        <v>3.3333333333333333E-2</v>
      </c>
      <c r="M51" s="135">
        <f>IF(K51=0,"",J51/K51)</f>
        <v>92834.984666666671</v>
      </c>
      <c r="N51" s="135">
        <v>101044.215</v>
      </c>
      <c r="O51" s="129">
        <f t="shared" si="8"/>
        <v>-8209.2303333333257</v>
      </c>
      <c r="P51" s="236" t="s">
        <v>95</v>
      </c>
    </row>
    <row r="52" spans="2:16" ht="23.25" customHeight="1">
      <c r="C52" s="137"/>
      <c r="D52" s="138"/>
      <c r="E52" s="139"/>
      <c r="F52" s="139"/>
      <c r="G52" s="140"/>
      <c r="H52" s="139"/>
      <c r="I52" s="139"/>
      <c r="J52" s="141" t="s">
        <v>88</v>
      </c>
      <c r="K52" s="142"/>
      <c r="L52" s="143"/>
      <c r="M52" s="125">
        <f>SUM(M49:M51)</f>
        <v>995007.78196446109</v>
      </c>
      <c r="N52" s="125">
        <f>SUM(N49:N51)</f>
        <v>1073498.9324977945</v>
      </c>
      <c r="O52" s="129">
        <f>+M52-N52</f>
        <v>-78491.150533333421</v>
      </c>
      <c r="P52" s="236"/>
    </row>
    <row r="53" spans="2:16" ht="27" customHeight="1">
      <c r="B53" s="103">
        <v>1915</v>
      </c>
      <c r="C53" s="147">
        <v>1915</v>
      </c>
      <c r="D53" s="148" t="s">
        <v>82</v>
      </c>
      <c r="E53" s="124">
        <v>5047661.5200000005</v>
      </c>
      <c r="F53" s="124">
        <v>95411.67</v>
      </c>
      <c r="G53" s="125">
        <f t="shared" ref="G53:G58" si="9">E53-F53</f>
        <v>4952249.8500000006</v>
      </c>
      <c r="H53" s="124">
        <v>24075</v>
      </c>
      <c r="I53" s="124"/>
      <c r="J53" s="124">
        <f t="shared" ref="J53:J58" si="10">G53+0.5*H53+0.5*I53</f>
        <v>4964287.3500000006</v>
      </c>
      <c r="K53" s="126">
        <v>10</v>
      </c>
      <c r="L53" s="146">
        <f t="shared" si="3"/>
        <v>0.1</v>
      </c>
      <c r="M53" s="135">
        <f>IF(K53=0,"",J53/K53)</f>
        <v>496428.73500000004</v>
      </c>
      <c r="N53" s="135">
        <v>597812.95700000017</v>
      </c>
      <c r="O53" s="129">
        <f>+M53-N53</f>
        <v>-101384.22200000013</v>
      </c>
      <c r="P53" s="236" t="s">
        <v>95</v>
      </c>
    </row>
    <row r="54" spans="2:16" ht="24" customHeight="1">
      <c r="B54" s="103">
        <v>1920</v>
      </c>
      <c r="C54" s="147">
        <v>1920</v>
      </c>
      <c r="D54" s="148" t="s">
        <v>34</v>
      </c>
      <c r="E54" s="124">
        <v>0</v>
      </c>
      <c r="F54" s="124"/>
      <c r="G54" s="125">
        <f t="shared" si="9"/>
        <v>0</v>
      </c>
      <c r="H54" s="124">
        <v>0</v>
      </c>
      <c r="I54" s="124"/>
      <c r="J54" s="124">
        <f t="shared" si="10"/>
        <v>0</v>
      </c>
      <c r="K54" s="126">
        <v>5</v>
      </c>
      <c r="L54" s="146">
        <f t="shared" si="3"/>
        <v>0.2</v>
      </c>
      <c r="M54" s="135">
        <f>IF(K54=0,"",J54/K54)</f>
        <v>0</v>
      </c>
      <c r="N54" s="135">
        <v>-8269.2890000000007</v>
      </c>
      <c r="O54" s="129">
        <f t="shared" ref="O54:O58" si="11">+M54-N54</f>
        <v>8269.2890000000007</v>
      </c>
      <c r="P54" s="236" t="s">
        <v>95</v>
      </c>
    </row>
    <row r="55" spans="2:16">
      <c r="B55" s="103">
        <v>1921</v>
      </c>
      <c r="C55" s="147">
        <v>1920</v>
      </c>
      <c r="D55" s="131" t="s">
        <v>67</v>
      </c>
      <c r="E55" s="124">
        <v>3480684.4554245416</v>
      </c>
      <c r="F55" s="124">
        <v>1829801.58</v>
      </c>
      <c r="G55" s="125">
        <f t="shared" si="9"/>
        <v>1650882.8754245415</v>
      </c>
      <c r="H55" s="124">
        <v>659008.6399999999</v>
      </c>
      <c r="I55" s="124"/>
      <c r="J55" s="124">
        <f t="shared" si="10"/>
        <v>1980387.1954245414</v>
      </c>
      <c r="K55" s="126">
        <v>4</v>
      </c>
      <c r="L55" s="146">
        <f t="shared" si="3"/>
        <v>0.25</v>
      </c>
      <c r="M55" s="135">
        <f t="shared" ref="M55:M70" si="12">IF(K55=0,"",J55/K55)</f>
        <v>495096.79885613534</v>
      </c>
      <c r="N55" s="135">
        <v>645412.12385613553</v>
      </c>
      <c r="O55" s="129">
        <f t="shared" si="11"/>
        <v>-150315.32500000019</v>
      </c>
      <c r="P55" s="236" t="s">
        <v>95</v>
      </c>
    </row>
    <row r="56" spans="2:16">
      <c r="B56" s="103">
        <v>1922</v>
      </c>
      <c r="C56" s="147">
        <v>1920</v>
      </c>
      <c r="D56" s="131" t="s">
        <v>68</v>
      </c>
      <c r="E56" s="124">
        <v>9194932.9700000007</v>
      </c>
      <c r="F56" s="124">
        <v>2898523.13</v>
      </c>
      <c r="G56" s="125">
        <f t="shared" si="9"/>
        <v>6296409.8400000008</v>
      </c>
      <c r="H56" s="124">
        <v>2045099.6000000003</v>
      </c>
      <c r="I56" s="124"/>
      <c r="J56" s="124">
        <f t="shared" si="10"/>
        <v>7318959.6400000006</v>
      </c>
      <c r="K56" s="126">
        <v>5</v>
      </c>
      <c r="L56" s="146">
        <f t="shared" si="3"/>
        <v>0.2</v>
      </c>
      <c r="M56" s="135">
        <f t="shared" si="12"/>
        <v>1463791.9280000001</v>
      </c>
      <c r="N56" s="135">
        <v>1488512.4939999999</v>
      </c>
      <c r="O56" s="129">
        <f t="shared" si="11"/>
        <v>-24720.565999999875</v>
      </c>
      <c r="P56" s="236" t="s">
        <v>95</v>
      </c>
    </row>
    <row r="57" spans="2:16">
      <c r="B57" s="103">
        <v>1923</v>
      </c>
      <c r="C57" s="147">
        <v>1920</v>
      </c>
      <c r="D57" s="131" t="s">
        <v>69</v>
      </c>
      <c r="E57" s="124">
        <v>824931.11</v>
      </c>
      <c r="F57" s="124">
        <v>276291.64</v>
      </c>
      <c r="G57" s="125">
        <f t="shared" si="9"/>
        <v>548639.47</v>
      </c>
      <c r="H57" s="124">
        <v>250000.15</v>
      </c>
      <c r="I57" s="124"/>
      <c r="J57" s="124">
        <f t="shared" si="10"/>
        <v>673639.54499999993</v>
      </c>
      <c r="K57" s="126">
        <v>5</v>
      </c>
      <c r="L57" s="146">
        <f t="shared" si="3"/>
        <v>0.2</v>
      </c>
      <c r="M57" s="135">
        <f t="shared" si="12"/>
        <v>134727.90899999999</v>
      </c>
      <c r="N57" s="135">
        <v>147503.98599999998</v>
      </c>
      <c r="O57" s="129">
        <f t="shared" si="11"/>
        <v>-12776.07699999999</v>
      </c>
      <c r="P57" s="236" t="s">
        <v>95</v>
      </c>
    </row>
    <row r="58" spans="2:16">
      <c r="B58" s="103">
        <v>1924</v>
      </c>
      <c r="C58" s="147">
        <v>1920</v>
      </c>
      <c r="D58" s="131" t="s">
        <v>70</v>
      </c>
      <c r="E58" s="124">
        <v>2055927.7639786489</v>
      </c>
      <c r="F58" s="124">
        <v>1083236.17</v>
      </c>
      <c r="G58" s="125">
        <f t="shared" si="9"/>
        <v>972691.59397864901</v>
      </c>
      <c r="H58" s="124">
        <v>0</v>
      </c>
      <c r="I58" s="124"/>
      <c r="J58" s="124">
        <f t="shared" si="10"/>
        <v>972691.59397864901</v>
      </c>
      <c r="K58" s="126">
        <v>6</v>
      </c>
      <c r="L58" s="146">
        <f t="shared" si="3"/>
        <v>0.16666666666666666</v>
      </c>
      <c r="M58" s="135">
        <f t="shared" si="12"/>
        <v>162115.26566310818</v>
      </c>
      <c r="N58" s="135">
        <v>228407.05816310822</v>
      </c>
      <c r="O58" s="129">
        <f t="shared" si="11"/>
        <v>-66291.79250000004</v>
      </c>
      <c r="P58" s="236" t="s">
        <v>95</v>
      </c>
    </row>
    <row r="59" spans="2:16" ht="26.25" customHeight="1">
      <c r="C59" s="137"/>
      <c r="D59" s="138"/>
      <c r="E59" s="139"/>
      <c r="F59" s="139"/>
      <c r="G59" s="140"/>
      <c r="H59" s="139"/>
      <c r="I59" s="139"/>
      <c r="J59" s="141" t="s">
        <v>92</v>
      </c>
      <c r="K59" s="142"/>
      <c r="L59" s="143"/>
      <c r="M59" s="125">
        <f>SUM(M54:M58)</f>
        <v>2255731.9015192436</v>
      </c>
      <c r="N59" s="125">
        <f>SUM(N54:N58)</f>
        <v>2501566.3730192441</v>
      </c>
      <c r="O59" s="129">
        <f>+M59-N59</f>
        <v>-245834.47150000045</v>
      </c>
      <c r="P59" s="236"/>
    </row>
    <row r="60" spans="2:16" ht="24.75" customHeight="1">
      <c r="B60" s="103">
        <v>1925</v>
      </c>
      <c r="C60" s="147">
        <v>1611</v>
      </c>
      <c r="D60" s="148" t="s">
        <v>35</v>
      </c>
      <c r="E60" s="124">
        <v>27659719.450000003</v>
      </c>
      <c r="F60" s="124">
        <v>14591926.380000001</v>
      </c>
      <c r="G60" s="125">
        <f>E60-F60</f>
        <v>13067793.070000002</v>
      </c>
      <c r="H60" s="124">
        <v>3582109.1999999993</v>
      </c>
      <c r="I60" s="124"/>
      <c r="J60" s="124">
        <f t="shared" ref="J60:J62" si="13">G60+0.5*H60+0.5*I60</f>
        <v>14858847.670000002</v>
      </c>
      <c r="K60" s="126">
        <v>4</v>
      </c>
      <c r="L60" s="146">
        <f t="shared" si="3"/>
        <v>0.25</v>
      </c>
      <c r="M60" s="135">
        <f t="shared" si="12"/>
        <v>3714711.9175000004</v>
      </c>
      <c r="N60" s="186">
        <v>4547152.8499999996</v>
      </c>
      <c r="O60" s="152">
        <f>+M60-N60</f>
        <v>-832440.93249999918</v>
      </c>
      <c r="P60" s="236" t="s">
        <v>95</v>
      </c>
    </row>
    <row r="61" spans="2:16" ht="24.75" customHeight="1">
      <c r="B61" s="103">
        <v>1926</v>
      </c>
      <c r="C61" s="147">
        <v>1611</v>
      </c>
      <c r="D61" s="131" t="s">
        <v>116</v>
      </c>
      <c r="E61" s="124">
        <v>112039.77219851727</v>
      </c>
      <c r="F61" s="124">
        <v>59475</v>
      </c>
      <c r="G61" s="125">
        <f t="shared" ref="G61:G62" si="14">E61-F61</f>
        <v>52564.772198517268</v>
      </c>
      <c r="H61" s="124">
        <v>0</v>
      </c>
      <c r="I61" s="124"/>
      <c r="J61" s="124">
        <f t="shared" si="13"/>
        <v>52564.772198517268</v>
      </c>
      <c r="K61" s="126">
        <v>3</v>
      </c>
      <c r="L61" s="146">
        <f t="shared" si="3"/>
        <v>0.33333333333333331</v>
      </c>
      <c r="M61" s="135">
        <f t="shared" si="12"/>
        <v>17521.590732839089</v>
      </c>
      <c r="N61" s="186">
        <f t="shared" ref="N61" si="15">+L61+M61</f>
        <v>17521.924066172422</v>
      </c>
      <c r="O61" s="152">
        <f>+M61-N61</f>
        <v>-0.33333333333212067</v>
      </c>
      <c r="P61" s="236" t="s">
        <v>95</v>
      </c>
    </row>
    <row r="62" spans="2:16" ht="24.75" customHeight="1">
      <c r="B62" s="103">
        <v>1927</v>
      </c>
      <c r="C62" s="147">
        <v>1611</v>
      </c>
      <c r="D62" s="131" t="s">
        <v>117</v>
      </c>
      <c r="E62" s="124">
        <v>46077525.68</v>
      </c>
      <c r="F62" s="124"/>
      <c r="G62" s="125">
        <f t="shared" si="14"/>
        <v>46077525.68</v>
      </c>
      <c r="H62" s="124">
        <v>6884090</v>
      </c>
      <c r="I62" s="124"/>
      <c r="J62" s="124">
        <f t="shared" si="13"/>
        <v>49519570.68</v>
      </c>
      <c r="K62" s="126">
        <v>10</v>
      </c>
      <c r="L62" s="146">
        <f t="shared" si="3"/>
        <v>0.1</v>
      </c>
      <c r="M62" s="135">
        <f t="shared" si="12"/>
        <v>4951957.068</v>
      </c>
      <c r="N62" s="213">
        <v>4917820.8599999994</v>
      </c>
      <c r="O62" s="152">
        <f t="shared" ref="O62:O66" si="16">+M62-N62</f>
        <v>34136.208000000566</v>
      </c>
      <c r="P62" s="236" t="s">
        <v>95</v>
      </c>
    </row>
    <row r="63" spans="2:16" ht="24.75" customHeight="1">
      <c r="C63" s="153"/>
      <c r="D63" s="154"/>
      <c r="E63" s="139"/>
      <c r="F63" s="139"/>
      <c r="G63" s="140"/>
      <c r="H63" s="139"/>
      <c r="I63" s="139"/>
      <c r="J63" s="141" t="s">
        <v>118</v>
      </c>
      <c r="K63" s="142"/>
      <c r="L63" s="155"/>
      <c r="M63" s="125">
        <f>SUM(M60:M62)</f>
        <v>8684190.5762328394</v>
      </c>
      <c r="N63" s="125">
        <f>SUM(N60:N62)</f>
        <v>9482495.6340661719</v>
      </c>
      <c r="O63" s="125">
        <f>SUM(O60:O62)</f>
        <v>-798305.05783333199</v>
      </c>
      <c r="P63" s="236"/>
    </row>
    <row r="64" spans="2:16" ht="29.25" customHeight="1">
      <c r="B64" s="103">
        <v>1930</v>
      </c>
      <c r="C64" s="147">
        <v>1930</v>
      </c>
      <c r="D64" s="151" t="s">
        <v>71</v>
      </c>
      <c r="E64" s="124">
        <v>8286254.8870172175</v>
      </c>
      <c r="F64" s="124">
        <v>3586146.0800000005</v>
      </c>
      <c r="G64" s="125">
        <f>E64-F64</f>
        <v>4700108.8070172165</v>
      </c>
      <c r="H64" s="124">
        <v>1754799.73</v>
      </c>
      <c r="I64" s="124"/>
      <c r="J64" s="124">
        <f t="shared" ref="J64:J66" si="17">G64+0.5*H64+0.5*I64</f>
        <v>5577508.6720172167</v>
      </c>
      <c r="K64" s="126">
        <v>7</v>
      </c>
      <c r="L64" s="146">
        <f t="shared" si="3"/>
        <v>0.14285714285714285</v>
      </c>
      <c r="M64" s="135">
        <f t="shared" si="12"/>
        <v>796786.95314531669</v>
      </c>
      <c r="N64" s="135">
        <v>975424.1960024595</v>
      </c>
      <c r="O64" s="152">
        <f t="shared" si="16"/>
        <v>-178637.24285714282</v>
      </c>
      <c r="P64" s="236" t="s">
        <v>95</v>
      </c>
    </row>
    <row r="65" spans="2:16">
      <c r="B65" s="103">
        <v>1931</v>
      </c>
      <c r="C65" s="147">
        <v>1930</v>
      </c>
      <c r="D65" s="151" t="s">
        <v>72</v>
      </c>
      <c r="E65" s="124">
        <v>11239240.24</v>
      </c>
      <c r="F65" s="124">
        <v>673.57999999999993</v>
      </c>
      <c r="G65" s="125">
        <f>E65-F65</f>
        <v>11238566.66</v>
      </c>
      <c r="H65" s="124">
        <v>930900</v>
      </c>
      <c r="I65" s="124"/>
      <c r="J65" s="124">
        <f t="shared" si="17"/>
        <v>11704016.66</v>
      </c>
      <c r="K65" s="126">
        <v>12</v>
      </c>
      <c r="L65" s="146">
        <f t="shared" si="3"/>
        <v>8.3333333333333329E-2</v>
      </c>
      <c r="M65" s="135">
        <f t="shared" si="12"/>
        <v>975334.72166666668</v>
      </c>
      <c r="N65" s="135">
        <v>1062653.9329166666</v>
      </c>
      <c r="O65" s="152">
        <f t="shared" si="16"/>
        <v>-87319.211249999935</v>
      </c>
      <c r="P65" s="236" t="s">
        <v>95</v>
      </c>
    </row>
    <row r="66" spans="2:16">
      <c r="B66" s="103">
        <v>1932</v>
      </c>
      <c r="C66" s="147">
        <v>1930</v>
      </c>
      <c r="D66" s="151" t="s">
        <v>73</v>
      </c>
      <c r="E66" s="124">
        <v>165563.29</v>
      </c>
      <c r="F66" s="124"/>
      <c r="G66" s="125">
        <f>E66-F66</f>
        <v>165563.29</v>
      </c>
      <c r="H66" s="124">
        <v>0</v>
      </c>
      <c r="I66" s="124"/>
      <c r="J66" s="124">
        <f t="shared" si="17"/>
        <v>165563.29</v>
      </c>
      <c r="K66" s="126">
        <v>22</v>
      </c>
      <c r="L66" s="146">
        <f t="shared" si="3"/>
        <v>4.5454545454545456E-2</v>
      </c>
      <c r="M66" s="135">
        <f t="shared" si="12"/>
        <v>7525.6040909090916</v>
      </c>
      <c r="N66" s="135">
        <v>8060.6918181818182</v>
      </c>
      <c r="O66" s="152">
        <f t="shared" si="16"/>
        <v>-535.08772727272662</v>
      </c>
      <c r="P66" s="236" t="s">
        <v>95</v>
      </c>
    </row>
    <row r="67" spans="2:16" ht="18.75" customHeight="1">
      <c r="C67" s="137"/>
      <c r="D67" s="138"/>
      <c r="E67" s="139"/>
      <c r="F67" s="139"/>
      <c r="G67" s="140"/>
      <c r="H67" s="139"/>
      <c r="I67" s="139"/>
      <c r="J67" s="141" t="s">
        <v>89</v>
      </c>
      <c r="K67" s="142"/>
      <c r="L67" s="143"/>
      <c r="M67" s="125">
        <f>SUM(M64:M66)</f>
        <v>1779647.2789028925</v>
      </c>
      <c r="N67" s="125">
        <f>SUM(N64:N66)</f>
        <v>2046138.8207373079</v>
      </c>
      <c r="O67" s="152">
        <f>+M67-N67</f>
        <v>-266491.5418344154</v>
      </c>
      <c r="P67" s="236"/>
    </row>
    <row r="68" spans="2:16">
      <c r="B68" s="103">
        <v>1935</v>
      </c>
      <c r="C68" s="147">
        <v>1935</v>
      </c>
      <c r="D68" s="148" t="s">
        <v>36</v>
      </c>
      <c r="E68" s="124">
        <v>680930.7026550764</v>
      </c>
      <c r="F68" s="124"/>
      <c r="G68" s="125">
        <f>E68-F68</f>
        <v>680930.7026550764</v>
      </c>
      <c r="H68" s="124">
        <v>0</v>
      </c>
      <c r="I68" s="124"/>
      <c r="J68" s="124">
        <f t="shared" ref="J68:J71" si="18">G68+0.5*H68+0.5*I68</f>
        <v>680930.7026550764</v>
      </c>
      <c r="K68" s="126">
        <v>10</v>
      </c>
      <c r="L68" s="146">
        <f t="shared" si="3"/>
        <v>0.1</v>
      </c>
      <c r="M68" s="135">
        <f t="shared" si="12"/>
        <v>68093.070265507646</v>
      </c>
      <c r="N68" s="135">
        <v>65540.353765507636</v>
      </c>
      <c r="O68" s="129">
        <f>+M68-N68</f>
        <v>2552.7165000000095</v>
      </c>
      <c r="P68" s="236" t="s">
        <v>95</v>
      </c>
    </row>
    <row r="69" spans="2:16" ht="16.5" customHeight="1">
      <c r="B69" s="103">
        <v>1940</v>
      </c>
      <c r="C69" s="147">
        <v>1940</v>
      </c>
      <c r="D69" s="148" t="s">
        <v>37</v>
      </c>
      <c r="E69" s="124">
        <v>5352919.0900000008</v>
      </c>
      <c r="F69" s="124">
        <v>900998.29999999993</v>
      </c>
      <c r="G69" s="125">
        <f>E69-F69</f>
        <v>4451920.790000001</v>
      </c>
      <c r="H69" s="124">
        <v>473485.72</v>
      </c>
      <c r="I69" s="124"/>
      <c r="J69" s="124">
        <f t="shared" si="18"/>
        <v>4688663.6500000013</v>
      </c>
      <c r="K69" s="126">
        <v>10</v>
      </c>
      <c r="L69" s="146">
        <f t="shared" si="3"/>
        <v>0.1</v>
      </c>
      <c r="M69" s="135">
        <f t="shared" si="12"/>
        <v>468866.36500000011</v>
      </c>
      <c r="N69" s="135">
        <v>507446.7370000002</v>
      </c>
      <c r="O69" s="129">
        <f>+M69-N69</f>
        <v>-38580.37200000009</v>
      </c>
      <c r="P69" s="236" t="s">
        <v>95</v>
      </c>
    </row>
    <row r="70" spans="2:16" ht="24.75" customHeight="1">
      <c r="B70" s="103">
        <v>1955</v>
      </c>
      <c r="C70" s="147">
        <v>1955</v>
      </c>
      <c r="D70" s="148" t="s">
        <v>38</v>
      </c>
      <c r="E70" s="124">
        <v>2808432.3138659364</v>
      </c>
      <c r="F70" s="124">
        <v>1560003.8699999999</v>
      </c>
      <c r="G70" s="125">
        <f>E70-F70</f>
        <v>1248428.4438659365</v>
      </c>
      <c r="H70" s="124">
        <v>513425.82</v>
      </c>
      <c r="I70" s="124"/>
      <c r="J70" s="124">
        <f t="shared" si="18"/>
        <v>1505141.3538659364</v>
      </c>
      <c r="K70" s="126">
        <v>6</v>
      </c>
      <c r="L70" s="146">
        <f t="shared" si="3"/>
        <v>0.16666666666666666</v>
      </c>
      <c r="M70" s="135">
        <f t="shared" si="12"/>
        <v>250856.89231098941</v>
      </c>
      <c r="N70" s="135">
        <v>211623.39688659378</v>
      </c>
      <c r="O70" s="152">
        <f t="shared" ref="O70:O77" si="19">+M70-N70</f>
        <v>39233.495424395631</v>
      </c>
      <c r="P70" s="236" t="s">
        <v>95</v>
      </c>
    </row>
    <row r="71" spans="2:16">
      <c r="B71" s="103">
        <v>1956</v>
      </c>
      <c r="C71" s="147">
        <v>1955</v>
      </c>
      <c r="D71" s="131" t="s">
        <v>48</v>
      </c>
      <c r="E71" s="124">
        <v>58854.070000000007</v>
      </c>
      <c r="F71" s="125">
        <v>58854.07</v>
      </c>
      <c r="G71" s="125">
        <f>E71-F71</f>
        <v>0</v>
      </c>
      <c r="H71" s="124">
        <v>0</v>
      </c>
      <c r="I71" s="124"/>
      <c r="J71" s="124">
        <f t="shared" si="18"/>
        <v>0</v>
      </c>
      <c r="K71" s="126">
        <v>3</v>
      </c>
      <c r="L71" s="146">
        <f t="shared" si="3"/>
        <v>0.33333333333333331</v>
      </c>
      <c r="M71" s="135">
        <f>IF(K71=0,"",J71/K71)</f>
        <v>0</v>
      </c>
      <c r="N71" s="135">
        <v>-3.979039320256561E-13</v>
      </c>
      <c r="O71" s="152">
        <f t="shared" si="19"/>
        <v>3.979039320256561E-13</v>
      </c>
      <c r="P71" s="236" t="s">
        <v>95</v>
      </c>
    </row>
    <row r="72" spans="2:16" ht="18">
      <c r="C72" s="137"/>
      <c r="D72" s="138"/>
      <c r="E72" s="139"/>
      <c r="F72" s="139"/>
      <c r="G72" s="140"/>
      <c r="H72" s="139"/>
      <c r="I72" s="139"/>
      <c r="J72" s="141" t="s">
        <v>90</v>
      </c>
      <c r="K72" s="142"/>
      <c r="L72" s="143"/>
      <c r="M72" s="125">
        <f>SUM(M70:M71)</f>
        <v>250856.89231098941</v>
      </c>
      <c r="N72" s="125">
        <f>SUM(N70:N71)</f>
        <v>211623.39688659378</v>
      </c>
      <c r="O72" s="129">
        <f>+M72-N72</f>
        <v>39233.495424395631</v>
      </c>
      <c r="P72" s="236"/>
    </row>
    <row r="73" spans="2:16" ht="26.25" customHeight="1">
      <c r="B73" s="103">
        <v>1960</v>
      </c>
      <c r="C73" s="147">
        <v>1960</v>
      </c>
      <c r="D73" s="148" t="s">
        <v>39</v>
      </c>
      <c r="E73" s="124">
        <v>0</v>
      </c>
      <c r="F73" s="124"/>
      <c r="G73" s="125">
        <f>E73-F73</f>
        <v>0</v>
      </c>
      <c r="H73" s="124">
        <v>0</v>
      </c>
      <c r="I73" s="124"/>
      <c r="J73" s="124">
        <f t="shared" ref="J73:J77" si="20">G73+0.5*H73+0.5*I73</f>
        <v>0</v>
      </c>
      <c r="K73" s="126">
        <v>0</v>
      </c>
      <c r="L73" s="146" t="str">
        <f t="shared" si="3"/>
        <v/>
      </c>
      <c r="M73" s="135" t="str">
        <f>IF(K73=0,"",J73/K73)</f>
        <v/>
      </c>
      <c r="N73" s="152">
        <v>0</v>
      </c>
      <c r="O73" s="152"/>
      <c r="P73" s="236"/>
    </row>
    <row r="74" spans="2:16" ht="14.25" customHeight="1">
      <c r="B74" s="103">
        <v>1961</v>
      </c>
      <c r="C74" s="147">
        <v>1961</v>
      </c>
      <c r="D74" s="131" t="s">
        <v>49</v>
      </c>
      <c r="E74" s="124">
        <v>0</v>
      </c>
      <c r="F74" s="124"/>
      <c r="G74" s="125">
        <f>E74-F74</f>
        <v>0</v>
      </c>
      <c r="H74" s="124">
        <v>0</v>
      </c>
      <c r="I74" s="124"/>
      <c r="J74" s="124">
        <f t="shared" si="20"/>
        <v>0</v>
      </c>
      <c r="K74" s="126">
        <v>0</v>
      </c>
      <c r="L74" s="146" t="str">
        <f t="shared" si="3"/>
        <v/>
      </c>
      <c r="M74" s="135">
        <v>0</v>
      </c>
      <c r="N74" s="135">
        <v>-45.38</v>
      </c>
      <c r="O74" s="152">
        <f t="shared" si="19"/>
        <v>45.38</v>
      </c>
      <c r="P74" s="236" t="s">
        <v>95</v>
      </c>
    </row>
    <row r="75" spans="2:16" ht="23.25" customHeight="1">
      <c r="B75" s="103">
        <v>1980</v>
      </c>
      <c r="C75" s="147">
        <v>1980</v>
      </c>
      <c r="D75" s="148" t="s">
        <v>40</v>
      </c>
      <c r="E75" s="124">
        <v>3745413.7800000012</v>
      </c>
      <c r="F75" s="124">
        <v>434250.42</v>
      </c>
      <c r="G75" s="125">
        <f>E75-F75</f>
        <v>3311163.3600000013</v>
      </c>
      <c r="H75" s="124">
        <v>374957.61</v>
      </c>
      <c r="I75" s="124"/>
      <c r="J75" s="124">
        <f t="shared" si="20"/>
        <v>3498642.1650000014</v>
      </c>
      <c r="K75" s="126">
        <v>15</v>
      </c>
      <c r="L75" s="146">
        <f t="shared" si="3"/>
        <v>6.6666666666666666E-2</v>
      </c>
      <c r="M75" s="135">
        <f>IF(K75=0,"",J75/K75)</f>
        <v>233242.8110000001</v>
      </c>
      <c r="N75" s="156">
        <v>276517.04111111112</v>
      </c>
      <c r="O75" s="152">
        <f t="shared" si="19"/>
        <v>-43274.230111111014</v>
      </c>
      <c r="P75" s="236" t="s">
        <v>95</v>
      </c>
    </row>
    <row r="76" spans="2:16" ht="14.25">
      <c r="B76" s="103">
        <v>1981</v>
      </c>
      <c r="C76" s="147">
        <v>1980</v>
      </c>
      <c r="D76" s="131" t="s">
        <v>74</v>
      </c>
      <c r="E76" s="124">
        <v>8664167.6090305783</v>
      </c>
      <c r="F76" s="124">
        <v>1600831.18</v>
      </c>
      <c r="G76" s="125">
        <f>E76-F76</f>
        <v>7063336.4290305786</v>
      </c>
      <c r="H76" s="124">
        <v>182988.16000000003</v>
      </c>
      <c r="I76" s="124"/>
      <c r="J76" s="124">
        <f t="shared" si="20"/>
        <v>7154830.5090305787</v>
      </c>
      <c r="K76" s="126">
        <v>15</v>
      </c>
      <c r="L76" s="146">
        <f t="shared" si="3"/>
        <v>6.6666666666666666E-2</v>
      </c>
      <c r="M76" s="135">
        <f>IF(K76=0,"",J76/K76)</f>
        <v>476988.70060203859</v>
      </c>
      <c r="N76" s="156">
        <v>614586.58893537172</v>
      </c>
      <c r="O76" s="152">
        <f t="shared" si="19"/>
        <v>-137597.88833333313</v>
      </c>
      <c r="P76" s="236" t="s">
        <v>95</v>
      </c>
    </row>
    <row r="77" spans="2:16" ht="14.25">
      <c r="B77" s="103">
        <v>1982</v>
      </c>
      <c r="C77" s="147">
        <v>1980</v>
      </c>
      <c r="D77" s="131" t="s">
        <v>75</v>
      </c>
      <c r="E77" s="124">
        <f>1791676.93562925+686</f>
        <v>1792362.93562925</v>
      </c>
      <c r="F77" s="124">
        <v>371250.74</v>
      </c>
      <c r="G77" s="125">
        <f>E77-F77</f>
        <v>1421112.19562925</v>
      </c>
      <c r="H77" s="124">
        <v>535000</v>
      </c>
      <c r="I77" s="124"/>
      <c r="J77" s="124">
        <f t="shared" si="20"/>
        <v>1688612.19562925</v>
      </c>
      <c r="K77" s="126">
        <v>10</v>
      </c>
      <c r="L77" s="146">
        <f t="shared" si="3"/>
        <v>0.1</v>
      </c>
      <c r="M77" s="135">
        <f>IF(K77=0,"",J77/K77)</f>
        <v>168861.21956292499</v>
      </c>
      <c r="N77" s="156">
        <f>172588.923562925+7</f>
        <v>172595.92356292499</v>
      </c>
      <c r="O77" s="152">
        <f t="shared" si="19"/>
        <v>-3734.7039999999979</v>
      </c>
      <c r="P77" s="236" t="s">
        <v>95</v>
      </c>
    </row>
    <row r="78" spans="2:16" ht="18">
      <c r="C78" s="137"/>
      <c r="D78" s="138"/>
      <c r="E78" s="139"/>
      <c r="F78" s="139"/>
      <c r="G78" s="140"/>
      <c r="H78" s="139"/>
      <c r="I78" s="139"/>
      <c r="J78" s="141" t="s">
        <v>93</v>
      </c>
      <c r="K78" s="142"/>
      <c r="L78" s="143"/>
      <c r="M78" s="125">
        <f>SUM(M75:M77)</f>
        <v>879092.73116496368</v>
      </c>
      <c r="N78" s="125">
        <f>SUM(N75:N77)</f>
        <v>1063699.553609408</v>
      </c>
      <c r="O78" s="129">
        <f>+M78-N78</f>
        <v>-184606.82244444429</v>
      </c>
      <c r="P78" s="236"/>
    </row>
    <row r="79" spans="2:16" ht="27" customHeight="1">
      <c r="B79" s="103">
        <v>1985</v>
      </c>
      <c r="C79" s="147">
        <v>1985</v>
      </c>
      <c r="D79" s="151" t="s">
        <v>50</v>
      </c>
      <c r="E79" s="124">
        <v>0</v>
      </c>
      <c r="F79" s="124"/>
      <c r="G79" s="125">
        <f t="shared" ref="G79:G84" si="21">E79-F79</f>
        <v>0</v>
      </c>
      <c r="H79" s="124">
        <v>0</v>
      </c>
      <c r="I79" s="124"/>
      <c r="J79" s="124">
        <f t="shared" ref="J79:J82" si="22">G79+0.5*H79+0.5*I79</f>
        <v>0</v>
      </c>
      <c r="K79" s="126">
        <v>0</v>
      </c>
      <c r="L79" s="146" t="str">
        <f t="shared" si="3"/>
        <v/>
      </c>
      <c r="M79" s="135">
        <v>0</v>
      </c>
      <c r="N79" s="135">
        <v>0</v>
      </c>
      <c r="O79" s="149"/>
      <c r="P79" s="236"/>
    </row>
    <row r="80" spans="2:16">
      <c r="B80" s="103" t="s">
        <v>140</v>
      </c>
      <c r="C80" s="147">
        <v>1995</v>
      </c>
      <c r="D80" s="148" t="s">
        <v>41</v>
      </c>
      <c r="E80" s="124">
        <v>-362901106.72589505</v>
      </c>
      <c r="F80" s="124">
        <v>-152616.65</v>
      </c>
      <c r="G80" s="125">
        <f t="shared" si="21"/>
        <v>-362748490.07589507</v>
      </c>
      <c r="H80" s="124">
        <v>-22922728.760000005</v>
      </c>
      <c r="I80" s="124">
        <v>992581.00000000023</v>
      </c>
      <c r="J80" s="124">
        <f t="shared" si="22"/>
        <v>-373713563.95589507</v>
      </c>
      <c r="K80" s="126">
        <v>38</v>
      </c>
      <c r="L80" s="146">
        <f t="shared" si="3"/>
        <v>2.6315789473684209E-2</v>
      </c>
      <c r="M80" s="135">
        <f>IF(K80=0,"",J80/K80)</f>
        <v>-9834567.4725235552</v>
      </c>
      <c r="N80" s="135">
        <v>-11275604.22552699</v>
      </c>
      <c r="O80" s="152">
        <f>+M80-N80</f>
        <v>1441036.7530034352</v>
      </c>
      <c r="P80" s="236" t="s">
        <v>95</v>
      </c>
    </row>
    <row r="81" spans="2:16">
      <c r="B81" s="103">
        <v>2005</v>
      </c>
      <c r="C81" s="147">
        <v>2005</v>
      </c>
      <c r="D81" s="132" t="s">
        <v>51</v>
      </c>
      <c r="E81" s="124">
        <v>17549082.289999999</v>
      </c>
      <c r="F81" s="124"/>
      <c r="G81" s="125">
        <f t="shared" si="21"/>
        <v>17549082.289999999</v>
      </c>
      <c r="H81" s="124">
        <v>0</v>
      </c>
      <c r="I81" s="124"/>
      <c r="J81" s="124">
        <f t="shared" si="22"/>
        <v>17549082.289999999</v>
      </c>
      <c r="K81" s="126">
        <v>25</v>
      </c>
      <c r="L81" s="146">
        <f>IF(K81=0,"",1/K81)</f>
        <v>0.04</v>
      </c>
      <c r="M81" s="135">
        <f>IF(K81=0,"",J81/K81)</f>
        <v>701963.2916</v>
      </c>
      <c r="N81" s="135">
        <v>730711.29</v>
      </c>
      <c r="O81" s="129">
        <f>+M81-N81</f>
        <v>-28747.99840000004</v>
      </c>
      <c r="P81" s="236" t="s">
        <v>95</v>
      </c>
    </row>
    <row r="82" spans="2:16">
      <c r="B82" s="103">
        <v>1611</v>
      </c>
      <c r="C82" s="147">
        <v>1611</v>
      </c>
      <c r="D82" s="151" t="s">
        <v>52</v>
      </c>
      <c r="E82" s="124">
        <v>4953506.92</v>
      </c>
      <c r="F82" s="124"/>
      <c r="G82" s="125">
        <f t="shared" si="21"/>
        <v>4953506.92</v>
      </c>
      <c r="H82" s="124">
        <v>0</v>
      </c>
      <c r="I82" s="124"/>
      <c r="J82" s="124">
        <f t="shared" si="22"/>
        <v>4953506.92</v>
      </c>
      <c r="K82" s="126">
        <v>25</v>
      </c>
      <c r="L82" s="146">
        <f>IF(K82=0,"",1/K82)</f>
        <v>0.04</v>
      </c>
      <c r="M82" s="135">
        <f>IF(K82=0,"",J82/K82)</f>
        <v>198140.27679999999</v>
      </c>
      <c r="N82" s="135">
        <v>288281.38</v>
      </c>
      <c r="O82" s="129">
        <f>+M82-N82</f>
        <v>-90141.103200000012</v>
      </c>
      <c r="P82" s="236" t="s">
        <v>95</v>
      </c>
    </row>
    <row r="83" spans="2:16">
      <c r="C83" s="147"/>
      <c r="D83" s="148"/>
      <c r="E83" s="124"/>
      <c r="F83" s="124"/>
      <c r="G83" s="125">
        <f t="shared" si="21"/>
        <v>0</v>
      </c>
      <c r="H83" s="124"/>
      <c r="I83" s="124"/>
      <c r="J83" s="124"/>
      <c r="K83" s="126"/>
      <c r="L83" s="146" t="str">
        <f>IF(K83=0,"",1/K83)</f>
        <v/>
      </c>
      <c r="M83" s="128" t="str">
        <f>IF(K83=0,"",J83/K83)</f>
        <v/>
      </c>
      <c r="N83" s="128"/>
      <c r="O83" s="129"/>
      <c r="P83" s="236"/>
    </row>
    <row r="84" spans="2:16" ht="13.5" thickBot="1">
      <c r="C84" s="157"/>
      <c r="D84" s="158"/>
      <c r="E84" s="159"/>
      <c r="F84" s="159"/>
      <c r="G84" s="160">
        <f t="shared" si="21"/>
        <v>0</v>
      </c>
      <c r="H84" s="159"/>
      <c r="I84" s="159"/>
      <c r="J84" s="161">
        <f>G84+0.5*H84</f>
        <v>0</v>
      </c>
      <c r="K84" s="162"/>
      <c r="L84" s="163" t="str">
        <f>IF(K84=0,"",1/K84)</f>
        <v/>
      </c>
      <c r="M84" s="164" t="str">
        <f>IF(K84=0,"",J84/K84)</f>
        <v/>
      </c>
      <c r="N84" s="164"/>
      <c r="O84" s="165"/>
      <c r="P84" s="239"/>
    </row>
    <row r="85" spans="2:16" ht="14.25" thickTop="1" thickBot="1">
      <c r="C85" s="166"/>
      <c r="D85" s="167" t="s">
        <v>42</v>
      </c>
      <c r="E85" s="168">
        <f t="shared" ref="E85:J85" si="23">SUM(E16:E84)</f>
        <v>1183126913.6490226</v>
      </c>
      <c r="F85" s="168">
        <f t="shared" si="23"/>
        <v>39536403.700000003</v>
      </c>
      <c r="G85" s="168">
        <f t="shared" si="23"/>
        <v>1133712013.4590228</v>
      </c>
      <c r="H85" s="168">
        <f t="shared" si="23"/>
        <v>144358839.48282611</v>
      </c>
      <c r="I85" s="168">
        <f>SUM(I16:I84)</f>
        <v>-2734108.1446969695</v>
      </c>
      <c r="J85" s="168">
        <f t="shared" si="23"/>
        <v>1204524379.1280875</v>
      </c>
      <c r="K85" s="169"/>
      <c r="L85" s="170"/>
      <c r="M85" s="171">
        <f>+M18+M29+M34+M36+M37+M38+M39+M41+M42+M43+M44+M45+M46+M47+M52+M53+M59+M67+M68+M69+M72+M78+M80+M81+M82+M48+M63+M74+M40</f>
        <v>45592161.262014769</v>
      </c>
      <c r="N85" s="171">
        <f>+N18+N29+N34+N36+N37+N38+N39+N41+N42+N43+N44+N45+N46+N47+N52+N53+N59+N67+N68+N69+N72+N78+N80+N81+N82+N48+N63+N74+N40</f>
        <v>52267744.78623043</v>
      </c>
      <c r="O85" s="171">
        <f>+O18+O29+O34+O36+O37+O38+O39+O41+O42+O43+O44+O45+O46+O47+O52+O53+O59+O67+O68+O69+O72+O78+O80+O81+O82+O48+O63+O74+O40</f>
        <v>-6675583.5242156619</v>
      </c>
      <c r="P85" s="240"/>
    </row>
    <row r="86" spans="2:16" ht="15.75" customHeight="1">
      <c r="O86" s="173">
        <f>+M85-N85</f>
        <v>-6675583.524215661</v>
      </c>
      <c r="P86" s="103" t="s">
        <v>164</v>
      </c>
    </row>
    <row r="87" spans="2:16" ht="11.25" customHeight="1">
      <c r="C87" s="104" t="s">
        <v>43</v>
      </c>
      <c r="D87" s="136"/>
      <c r="E87" s="136"/>
      <c r="F87" s="174"/>
      <c r="G87" s="175"/>
      <c r="H87" s="136"/>
      <c r="I87" s="136"/>
      <c r="J87" s="136"/>
      <c r="K87" s="136"/>
      <c r="L87" s="136"/>
      <c r="M87" s="136"/>
      <c r="N87" s="136"/>
      <c r="O87" s="136"/>
    </row>
    <row r="88" spans="2:16" ht="7.5" customHeight="1">
      <c r="C88" s="136"/>
      <c r="D88" s="136"/>
      <c r="E88" s="136"/>
      <c r="F88" s="136"/>
      <c r="G88" s="136"/>
      <c r="H88" s="136"/>
      <c r="I88" s="136"/>
      <c r="J88" s="136"/>
      <c r="K88" s="136"/>
      <c r="L88" s="136"/>
      <c r="M88" s="136"/>
      <c r="N88" s="136"/>
      <c r="O88" s="136"/>
    </row>
    <row r="89" spans="2:16" ht="12.75" customHeight="1">
      <c r="C89" s="263" t="s">
        <v>151</v>
      </c>
      <c r="D89" s="263"/>
      <c r="E89" s="263"/>
      <c r="F89" s="263"/>
      <c r="G89" s="263"/>
      <c r="H89" s="263"/>
      <c r="I89" s="263"/>
      <c r="J89" s="263"/>
      <c r="K89" s="263"/>
      <c r="L89" s="263"/>
      <c r="M89" s="263"/>
    </row>
    <row r="90" spans="2:16" ht="21" customHeight="1">
      <c r="C90" s="258" t="s">
        <v>97</v>
      </c>
      <c r="D90" s="258"/>
      <c r="E90" s="258"/>
      <c r="F90" s="258"/>
      <c r="G90" s="258"/>
      <c r="H90" s="258"/>
      <c r="I90" s="258"/>
      <c r="J90" s="258"/>
      <c r="K90" s="258"/>
      <c r="L90" s="258"/>
    </row>
    <row r="91" spans="2:16" ht="14.25" customHeight="1">
      <c r="C91" s="260" t="s">
        <v>91</v>
      </c>
      <c r="D91" s="260"/>
      <c r="E91" s="260"/>
      <c r="F91" s="260"/>
      <c r="G91" s="260"/>
      <c r="H91" s="260"/>
      <c r="I91" s="260"/>
      <c r="J91" s="260"/>
      <c r="K91" s="260"/>
      <c r="L91" s="260"/>
    </row>
    <row r="92" spans="2:16" ht="19.5" customHeight="1">
      <c r="C92" s="260"/>
      <c r="D92" s="260"/>
      <c r="E92" s="260"/>
      <c r="F92" s="260"/>
      <c r="G92" s="260"/>
      <c r="H92" s="260"/>
      <c r="I92" s="260"/>
      <c r="J92" s="260"/>
      <c r="K92" s="260"/>
      <c r="L92" s="260"/>
    </row>
    <row r="93" spans="2:16" ht="24.75" customHeight="1">
      <c r="C93" s="258" t="s">
        <v>159</v>
      </c>
      <c r="D93" s="262"/>
      <c r="E93" s="262"/>
      <c r="F93" s="262"/>
      <c r="G93" s="262"/>
      <c r="H93" s="262"/>
      <c r="I93" s="262"/>
      <c r="J93" s="262"/>
      <c r="K93" s="262"/>
      <c r="L93" s="262"/>
      <c r="M93" s="136"/>
      <c r="N93" s="136"/>
      <c r="O93" s="136"/>
    </row>
    <row r="94" spans="2:16" ht="20.25" customHeight="1">
      <c r="C94" s="258" t="s">
        <v>150</v>
      </c>
      <c r="D94" s="259"/>
      <c r="E94" s="259"/>
      <c r="F94" s="259"/>
      <c r="G94" s="259"/>
      <c r="H94" s="259"/>
      <c r="I94" s="259"/>
      <c r="J94" s="259"/>
      <c r="K94" s="259"/>
      <c r="L94" s="259"/>
      <c r="M94" s="259"/>
      <c r="N94" s="259"/>
      <c r="O94" s="259"/>
    </row>
    <row r="95" spans="2:16">
      <c r="C95" s="136"/>
      <c r="D95" s="176"/>
      <c r="E95" s="176"/>
      <c r="F95" s="176"/>
      <c r="G95" s="176"/>
      <c r="H95" s="176"/>
      <c r="I95" s="176"/>
      <c r="J95" s="176"/>
      <c r="K95" s="176"/>
      <c r="L95" s="176"/>
      <c r="M95" s="176"/>
      <c r="N95" s="176"/>
      <c r="O95" s="176"/>
    </row>
    <row r="96" spans="2:16">
      <c r="C96" s="136"/>
      <c r="D96" s="176"/>
      <c r="E96" s="176"/>
      <c r="F96" s="176"/>
      <c r="G96" s="176"/>
      <c r="H96" s="176"/>
      <c r="I96" s="176"/>
      <c r="J96" s="176"/>
      <c r="K96" s="176"/>
      <c r="L96" s="176"/>
      <c r="M96" s="176"/>
      <c r="N96" s="176"/>
      <c r="O96" s="176"/>
    </row>
  </sheetData>
  <mergeCells count="10">
    <mergeCell ref="C94:O94"/>
    <mergeCell ref="C9:M9"/>
    <mergeCell ref="C10:M10"/>
    <mergeCell ref="C14:C15"/>
    <mergeCell ref="D14:D15"/>
    <mergeCell ref="P14:P15"/>
    <mergeCell ref="C90:L90"/>
    <mergeCell ref="C91:L92"/>
    <mergeCell ref="C93:L93"/>
    <mergeCell ref="C89:M89"/>
  </mergeCells>
  <dataValidations count="2">
    <dataValidation type="list" allowBlank="1" showInputMessage="1" showErrorMessage="1" sqref="P16:P84">
      <formula1>"Yes, No"</formula1>
    </dataValidation>
    <dataValidation allowBlank="1" showInputMessage="1" showErrorMessage="1" promptTitle="Date Format" prompt="E.g:  &quot;August 1, 2011&quot;" sqref="M7:O7"/>
  </dataValidations>
  <printOptions horizontalCentered="1"/>
  <pageMargins left="0" right="0" top="0.13" bottom="0" header="0" footer="0"/>
  <pageSetup paperSize="17" scale="48" orientation="landscape" cellComments="asDisplayed" r:id="rId1"/>
  <headerFooter alignWithMargins="0"/>
  <rowBreaks count="1" manualBreakCount="1">
    <brk id="63"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96"/>
  <sheetViews>
    <sheetView showGridLines="0" zoomScaleNormal="100" workbookViewId="0">
      <selection activeCell="C9" sqref="C9:M9"/>
    </sheetView>
  </sheetViews>
  <sheetFormatPr defaultRowHeight="12.75"/>
  <cols>
    <col min="1" max="1" width="2.7109375" style="103" customWidth="1"/>
    <col min="2" max="2" width="7.85546875" style="103" customWidth="1"/>
    <col min="3" max="3" width="9.140625" style="103"/>
    <col min="4" max="4" width="38.5703125" style="103" customWidth="1"/>
    <col min="5" max="5" width="17.140625" style="103" customWidth="1"/>
    <col min="6" max="6" width="14" style="103" customWidth="1"/>
    <col min="7" max="7" width="16.5703125" style="103" customWidth="1"/>
    <col min="8" max="8" width="13.7109375" style="103" customWidth="1"/>
    <col min="9" max="9" width="13.42578125" style="103" customWidth="1"/>
    <col min="10" max="10" width="17.85546875" style="103" customWidth="1"/>
    <col min="11" max="11" width="7.7109375" style="103" customWidth="1"/>
    <col min="12" max="12" width="12.28515625" style="103" customWidth="1"/>
    <col min="13" max="13" width="15.140625" style="103" bestFit="1" customWidth="1"/>
    <col min="14" max="15" width="15" style="103" customWidth="1"/>
    <col min="16" max="16" width="15.85546875" style="103" customWidth="1"/>
    <col min="17" max="16384" width="9.140625" style="103"/>
  </cols>
  <sheetData>
    <row r="1" spans="2:16">
      <c r="K1" s="104" t="s">
        <v>0</v>
      </c>
      <c r="M1" s="105" t="s">
        <v>128</v>
      </c>
      <c r="N1" s="105"/>
      <c r="O1" s="105"/>
    </row>
    <row r="2" spans="2:16">
      <c r="K2" s="104" t="s">
        <v>1</v>
      </c>
      <c r="M2" s="105" t="s">
        <v>141</v>
      </c>
      <c r="N2" s="105"/>
      <c r="O2" s="105"/>
    </row>
    <row r="3" spans="2:16">
      <c r="K3" s="104" t="s">
        <v>2</v>
      </c>
      <c r="M3" s="106"/>
      <c r="N3" s="105"/>
      <c r="O3" s="105"/>
    </row>
    <row r="4" spans="2:16">
      <c r="K4" s="104" t="s">
        <v>3</v>
      </c>
      <c r="M4" s="105"/>
      <c r="N4" s="105"/>
      <c r="O4" s="105"/>
    </row>
    <row r="5" spans="2:16">
      <c r="K5" s="104" t="s">
        <v>4</v>
      </c>
      <c r="M5" s="105"/>
      <c r="N5" s="105"/>
      <c r="O5" s="105"/>
    </row>
    <row r="6" spans="2:16">
      <c r="K6" s="104"/>
    </row>
    <row r="7" spans="2:16">
      <c r="K7" s="104" t="s">
        <v>5</v>
      </c>
      <c r="M7" s="107"/>
      <c r="N7" s="107"/>
      <c r="O7" s="107"/>
    </row>
    <row r="9" spans="2:16" ht="18">
      <c r="C9" s="264" t="s">
        <v>141</v>
      </c>
      <c r="D9" s="264"/>
      <c r="E9" s="264"/>
      <c r="F9" s="264"/>
      <c r="G9" s="264"/>
      <c r="H9" s="264"/>
      <c r="I9" s="264"/>
      <c r="J9" s="264"/>
      <c r="K9" s="264"/>
      <c r="L9" s="264"/>
      <c r="M9" s="264"/>
      <c r="N9" s="108"/>
      <c r="O9" s="108"/>
    </row>
    <row r="10" spans="2:16" ht="18">
      <c r="C10" s="264" t="s">
        <v>6</v>
      </c>
      <c r="D10" s="264"/>
      <c r="E10" s="264"/>
      <c r="F10" s="264"/>
      <c r="G10" s="264"/>
      <c r="H10" s="264"/>
      <c r="I10" s="264"/>
      <c r="J10" s="264"/>
      <c r="K10" s="264"/>
      <c r="L10" s="264"/>
      <c r="M10" s="264"/>
      <c r="N10" s="108"/>
      <c r="O10" s="108"/>
    </row>
    <row r="11" spans="2:16" ht="13.5" customHeight="1">
      <c r="C11" s="108"/>
      <c r="D11" s="108"/>
      <c r="E11" s="108"/>
      <c r="F11" s="108"/>
      <c r="G11" s="108"/>
      <c r="H11" s="108"/>
      <c r="I11" s="108"/>
      <c r="J11" s="108"/>
      <c r="K11" s="108"/>
      <c r="L11" s="108"/>
      <c r="M11" s="108"/>
      <c r="N11" s="108"/>
      <c r="O11" s="108"/>
    </row>
    <row r="12" spans="2:16" ht="13.5" customHeight="1">
      <c r="C12" s="108"/>
      <c r="D12" s="108"/>
      <c r="E12" s="108"/>
      <c r="F12" s="109" t="s">
        <v>7</v>
      </c>
      <c r="G12" s="110">
        <v>2016</v>
      </c>
      <c r="H12" s="111" t="s">
        <v>54</v>
      </c>
      <c r="I12" s="111"/>
      <c r="J12" s="108"/>
      <c r="K12" s="108"/>
      <c r="L12" s="108"/>
      <c r="M12" s="108"/>
      <c r="N12" s="108"/>
      <c r="O12" s="108"/>
    </row>
    <row r="13" spans="2:16" ht="13.5" thickBot="1"/>
    <row r="14" spans="2:16" ht="39" customHeight="1">
      <c r="B14" s="103" t="s">
        <v>165</v>
      </c>
      <c r="C14" s="265" t="s">
        <v>8</v>
      </c>
      <c r="D14" s="267" t="s">
        <v>9</v>
      </c>
      <c r="E14" s="112" t="s">
        <v>132</v>
      </c>
      <c r="F14" s="113" t="s">
        <v>10</v>
      </c>
      <c r="G14" s="114" t="s">
        <v>11</v>
      </c>
      <c r="H14" s="114" t="s">
        <v>12</v>
      </c>
      <c r="I14" s="114" t="s">
        <v>81</v>
      </c>
      <c r="J14" s="114" t="s">
        <v>84</v>
      </c>
      <c r="K14" s="114" t="s">
        <v>13</v>
      </c>
      <c r="L14" s="114" t="s">
        <v>14</v>
      </c>
      <c r="M14" s="114" t="s">
        <v>133</v>
      </c>
      <c r="N14" s="114" t="s">
        <v>134</v>
      </c>
      <c r="O14" s="115" t="s">
        <v>98</v>
      </c>
      <c r="P14" s="256" t="s">
        <v>162</v>
      </c>
    </row>
    <row r="15" spans="2:16" ht="32.25" customHeight="1">
      <c r="C15" s="266"/>
      <c r="D15" s="268"/>
      <c r="E15" s="116" t="s">
        <v>15</v>
      </c>
      <c r="F15" s="116" t="s">
        <v>16</v>
      </c>
      <c r="G15" s="117" t="s">
        <v>17</v>
      </c>
      <c r="H15" s="117" t="s">
        <v>18</v>
      </c>
      <c r="I15" s="118" t="s">
        <v>19</v>
      </c>
      <c r="J15" s="119" t="s">
        <v>138</v>
      </c>
      <c r="K15" s="117" t="s">
        <v>19</v>
      </c>
      <c r="L15" s="117" t="s">
        <v>20</v>
      </c>
      <c r="M15" s="117" t="s">
        <v>21</v>
      </c>
      <c r="N15" s="117" t="s">
        <v>99</v>
      </c>
      <c r="O15" s="120" t="s">
        <v>100</v>
      </c>
      <c r="P15" s="257"/>
    </row>
    <row r="16" spans="2:16">
      <c r="B16" s="103">
        <v>1805</v>
      </c>
      <c r="C16" s="122">
        <v>1805</v>
      </c>
      <c r="D16" s="123" t="s">
        <v>22</v>
      </c>
      <c r="E16" s="124">
        <v>23546637.149999999</v>
      </c>
      <c r="F16" s="124"/>
      <c r="G16" s="125">
        <f t="shared" ref="G16:G28" si="0">E16-F16</f>
        <v>23546637.149999999</v>
      </c>
      <c r="H16" s="124">
        <v>2889000.13</v>
      </c>
      <c r="I16" s="124"/>
      <c r="J16" s="124">
        <f>G16+0.5*H16+0.5*I16</f>
        <v>24991137.215</v>
      </c>
      <c r="K16" s="126">
        <v>0</v>
      </c>
      <c r="L16" s="127" t="str">
        <f>IF(K16=0,"",1/K16)</f>
        <v/>
      </c>
      <c r="M16" s="128" t="str">
        <f t="shared" ref="M16:M48" si="1">IF(K16=0,"",J16/K16)</f>
        <v/>
      </c>
      <c r="N16" s="128"/>
      <c r="O16" s="129"/>
      <c r="P16" s="236"/>
    </row>
    <row r="17" spans="2:16">
      <c r="B17" s="103">
        <v>1806</v>
      </c>
      <c r="C17" s="130">
        <v>1806</v>
      </c>
      <c r="D17" s="131" t="s">
        <v>32</v>
      </c>
      <c r="E17" s="124">
        <v>905279.92999999993</v>
      </c>
      <c r="F17" s="124"/>
      <c r="G17" s="125">
        <f t="shared" si="0"/>
        <v>905279.92999999993</v>
      </c>
      <c r="H17" s="124">
        <v>33505.370000000003</v>
      </c>
      <c r="I17" s="124"/>
      <c r="J17" s="124">
        <f t="shared" ref="J17:J28" si="2">G17+0.5*H17+0.5*I17</f>
        <v>922032.61499999999</v>
      </c>
      <c r="K17" s="126">
        <v>0</v>
      </c>
      <c r="L17" s="127"/>
      <c r="M17" s="128" t="str">
        <f t="shared" si="1"/>
        <v/>
      </c>
      <c r="N17" s="128"/>
      <c r="O17" s="129"/>
      <c r="P17" s="236"/>
    </row>
    <row r="18" spans="2:16">
      <c r="B18" s="103">
        <v>1808</v>
      </c>
      <c r="C18" s="130">
        <v>1808</v>
      </c>
      <c r="D18" s="132" t="s">
        <v>23</v>
      </c>
      <c r="E18" s="124">
        <v>6928662.2500000009</v>
      </c>
      <c r="F18" s="124"/>
      <c r="G18" s="125">
        <f t="shared" si="0"/>
        <v>6928662.2500000009</v>
      </c>
      <c r="H18" s="124">
        <v>76476.83</v>
      </c>
      <c r="I18" s="124"/>
      <c r="J18" s="124">
        <f t="shared" si="2"/>
        <v>6966900.665000001</v>
      </c>
      <c r="K18" s="126">
        <v>40</v>
      </c>
      <c r="L18" s="127">
        <f t="shared" ref="L18:L80" si="3">IF(K18=0,"",1/K18)</f>
        <v>2.5000000000000001E-2</v>
      </c>
      <c r="M18" s="128">
        <f t="shared" si="1"/>
        <v>174172.51662500002</v>
      </c>
      <c r="N18" s="128">
        <v>219077.14937500001</v>
      </c>
      <c r="O18" s="129">
        <f>+M18-N18</f>
        <v>-44904.63274999999</v>
      </c>
      <c r="P18" s="237" t="s">
        <v>95</v>
      </c>
    </row>
    <row r="19" spans="2:16">
      <c r="B19" s="103">
        <v>1810</v>
      </c>
      <c r="C19" s="130">
        <v>1810</v>
      </c>
      <c r="D19" s="131" t="s">
        <v>53</v>
      </c>
      <c r="E19" s="124">
        <v>9878496.4900000002</v>
      </c>
      <c r="F19" s="124"/>
      <c r="G19" s="125"/>
      <c r="H19" s="124">
        <v>0</v>
      </c>
      <c r="I19" s="124"/>
      <c r="J19" s="124">
        <f t="shared" si="2"/>
        <v>0</v>
      </c>
      <c r="K19" s="126">
        <v>0</v>
      </c>
      <c r="L19" s="127" t="str">
        <f t="shared" si="3"/>
        <v/>
      </c>
      <c r="M19" s="128" t="str">
        <f t="shared" si="1"/>
        <v/>
      </c>
      <c r="N19" s="128"/>
      <c r="O19" s="129"/>
      <c r="P19" s="236"/>
    </row>
    <row r="20" spans="2:16" ht="22.5" customHeight="1">
      <c r="B20" s="103">
        <v>1815</v>
      </c>
      <c r="C20" s="130">
        <v>1815</v>
      </c>
      <c r="D20" s="132" t="s">
        <v>24</v>
      </c>
      <c r="E20" s="124">
        <v>-11027060.1649653</v>
      </c>
      <c r="F20" s="124"/>
      <c r="G20" s="125">
        <f t="shared" si="0"/>
        <v>-11027060.1649653</v>
      </c>
      <c r="H20" s="124">
        <v>-11310151.722976001</v>
      </c>
      <c r="I20" s="124"/>
      <c r="J20" s="124">
        <f t="shared" si="2"/>
        <v>-16682136.026453301</v>
      </c>
      <c r="K20" s="126">
        <v>40</v>
      </c>
      <c r="L20" s="127">
        <f t="shared" si="3"/>
        <v>2.5000000000000001E-2</v>
      </c>
      <c r="M20" s="128">
        <f t="shared" si="1"/>
        <v>-417053.40066133253</v>
      </c>
      <c r="N20" s="128">
        <v>-415854.31678633252</v>
      </c>
      <c r="O20" s="129">
        <f t="shared" ref="O20:O33" si="4">+M20-N20</f>
        <v>-1199.0838750000112</v>
      </c>
      <c r="P20" s="236" t="s">
        <v>95</v>
      </c>
    </row>
    <row r="21" spans="2:16" s="136" customFormat="1">
      <c r="B21" s="136">
        <v>1816</v>
      </c>
      <c r="C21" s="130">
        <v>1815</v>
      </c>
      <c r="D21" s="131" t="s">
        <v>55</v>
      </c>
      <c r="E21" s="124">
        <v>21833387.379999988</v>
      </c>
      <c r="F21" s="125"/>
      <c r="G21" s="125">
        <f t="shared" si="0"/>
        <v>21833387.379999988</v>
      </c>
      <c r="H21" s="125">
        <v>9754367.7546757292</v>
      </c>
      <c r="I21" s="125"/>
      <c r="J21" s="124">
        <f t="shared" si="2"/>
        <v>26710571.257337853</v>
      </c>
      <c r="K21" s="133">
        <v>40</v>
      </c>
      <c r="L21" s="134">
        <f t="shared" si="3"/>
        <v>2.5000000000000001E-2</v>
      </c>
      <c r="M21" s="135">
        <f t="shared" si="1"/>
        <v>667764.28143344633</v>
      </c>
      <c r="N21" s="135">
        <v>740215.04793344648</v>
      </c>
      <c r="O21" s="152">
        <f t="shared" si="4"/>
        <v>-72450.766500000143</v>
      </c>
      <c r="P21" s="238" t="s">
        <v>95</v>
      </c>
    </row>
    <row r="22" spans="2:16">
      <c r="B22" s="103">
        <v>1817</v>
      </c>
      <c r="C22" s="130">
        <v>1815</v>
      </c>
      <c r="D22" s="132" t="s">
        <v>56</v>
      </c>
      <c r="E22" s="124">
        <v>10082919.329999998</v>
      </c>
      <c r="F22" s="124">
        <v>1049306.94</v>
      </c>
      <c r="G22" s="125">
        <f t="shared" si="0"/>
        <v>9033612.3899999987</v>
      </c>
      <c r="H22" s="124">
        <v>63354.52</v>
      </c>
      <c r="I22" s="124"/>
      <c r="J22" s="124">
        <f t="shared" si="2"/>
        <v>9065289.6499999985</v>
      </c>
      <c r="K22" s="150">
        <v>25</v>
      </c>
      <c r="L22" s="127">
        <f t="shared" si="3"/>
        <v>0.04</v>
      </c>
      <c r="M22" s="135">
        <f t="shared" si="1"/>
        <v>362611.58599999995</v>
      </c>
      <c r="N22" s="135">
        <v>582918.68740000005</v>
      </c>
      <c r="O22" s="152">
        <f t="shared" si="4"/>
        <v>-220307.1014000001</v>
      </c>
      <c r="P22" s="236" t="s">
        <v>95</v>
      </c>
    </row>
    <row r="23" spans="2:16">
      <c r="B23" s="103">
        <v>1818</v>
      </c>
      <c r="C23" s="130">
        <v>1815</v>
      </c>
      <c r="D23" s="132" t="s">
        <v>57</v>
      </c>
      <c r="E23" s="124">
        <v>40774472.451867312</v>
      </c>
      <c r="F23" s="124"/>
      <c r="G23" s="125">
        <f t="shared" si="0"/>
        <v>40774472.451867312</v>
      </c>
      <c r="H23" s="124">
        <v>0</v>
      </c>
      <c r="I23" s="124"/>
      <c r="J23" s="124">
        <f t="shared" si="2"/>
        <v>40774472.451867312</v>
      </c>
      <c r="K23" s="126">
        <v>40</v>
      </c>
      <c r="L23" s="127">
        <f t="shared" si="3"/>
        <v>2.5000000000000001E-2</v>
      </c>
      <c r="M23" s="135">
        <f t="shared" si="1"/>
        <v>1019361.8112966828</v>
      </c>
      <c r="N23" s="135">
        <v>1346175.6556716831</v>
      </c>
      <c r="O23" s="152">
        <f t="shared" si="4"/>
        <v>-326813.84437500034</v>
      </c>
      <c r="P23" s="236" t="s">
        <v>95</v>
      </c>
    </row>
    <row r="24" spans="2:16">
      <c r="B24" s="103">
        <v>1819</v>
      </c>
      <c r="C24" s="130">
        <v>1815</v>
      </c>
      <c r="D24" s="132" t="s">
        <v>58</v>
      </c>
      <c r="E24" s="124">
        <v>6844300.200000002</v>
      </c>
      <c r="F24" s="124"/>
      <c r="G24" s="125">
        <f t="shared" si="0"/>
        <v>6844300.200000002</v>
      </c>
      <c r="H24" s="124">
        <v>153928</v>
      </c>
      <c r="I24" s="124"/>
      <c r="J24" s="124">
        <f t="shared" si="2"/>
        <v>6921264.200000002</v>
      </c>
      <c r="K24" s="126">
        <v>40</v>
      </c>
      <c r="L24" s="127">
        <f t="shared" si="3"/>
        <v>2.5000000000000001E-2</v>
      </c>
      <c r="M24" s="135">
        <f t="shared" si="1"/>
        <v>173031.60500000004</v>
      </c>
      <c r="N24" s="135">
        <v>225902.4686250001</v>
      </c>
      <c r="O24" s="129">
        <f t="shared" si="4"/>
        <v>-52870.863625000056</v>
      </c>
      <c r="P24" s="236" t="s">
        <v>95</v>
      </c>
    </row>
    <row r="25" spans="2:16">
      <c r="B25" s="103">
        <v>1821</v>
      </c>
      <c r="C25" s="130">
        <v>1815</v>
      </c>
      <c r="D25" s="132" t="s">
        <v>59</v>
      </c>
      <c r="E25" s="124">
        <v>4830492.8878235547</v>
      </c>
      <c r="F25" s="124"/>
      <c r="G25" s="125">
        <f t="shared" si="0"/>
        <v>4830492.8878235547</v>
      </c>
      <c r="H25" s="124">
        <v>8354.52</v>
      </c>
      <c r="I25" s="124"/>
      <c r="J25" s="124">
        <f t="shared" si="2"/>
        <v>4834670.1478235545</v>
      </c>
      <c r="K25" s="126">
        <v>40</v>
      </c>
      <c r="L25" s="127">
        <f t="shared" si="3"/>
        <v>2.5000000000000001E-2</v>
      </c>
      <c r="M25" s="135">
        <f t="shared" si="1"/>
        <v>120866.75369558886</v>
      </c>
      <c r="N25" s="125">
        <f>2549.96494558896+161870</f>
        <v>164419.96494558896</v>
      </c>
      <c r="O25" s="129">
        <f t="shared" si="4"/>
        <v>-43553.211250000095</v>
      </c>
      <c r="P25" s="236" t="s">
        <v>95</v>
      </c>
    </row>
    <row r="26" spans="2:16">
      <c r="B26" s="103">
        <v>1822</v>
      </c>
      <c r="C26" s="130">
        <v>1815</v>
      </c>
      <c r="D26" s="132" t="s">
        <v>60</v>
      </c>
      <c r="E26" s="124">
        <v>6445466.0623192852</v>
      </c>
      <c r="F26" s="124">
        <v>1035838.12</v>
      </c>
      <c r="G26" s="125">
        <f t="shared" si="0"/>
        <v>5409627.9423192851</v>
      </c>
      <c r="H26" s="124">
        <v>881028.27944130998</v>
      </c>
      <c r="I26" s="124"/>
      <c r="J26" s="124">
        <f t="shared" si="2"/>
        <v>5850142.0820399402</v>
      </c>
      <c r="K26" s="126">
        <v>20</v>
      </c>
      <c r="L26" s="127">
        <f t="shared" si="3"/>
        <v>0.05</v>
      </c>
      <c r="M26" s="135">
        <f t="shared" si="1"/>
        <v>292507.10410199699</v>
      </c>
      <c r="N26" s="125">
        <f>241554.653601997+135655</f>
        <v>377209.65360199701</v>
      </c>
      <c r="O26" s="129">
        <f t="shared" si="4"/>
        <v>-84702.549500000023</v>
      </c>
      <c r="P26" s="236" t="s">
        <v>95</v>
      </c>
    </row>
    <row r="27" spans="2:16">
      <c r="B27" s="103">
        <v>1823</v>
      </c>
      <c r="C27" s="130">
        <v>1815</v>
      </c>
      <c r="D27" s="132" t="s">
        <v>61</v>
      </c>
      <c r="E27" s="124">
        <v>21374617.539999999</v>
      </c>
      <c r="F27" s="124">
        <v>222665.37</v>
      </c>
      <c r="G27" s="125">
        <f t="shared" si="0"/>
        <v>21151952.169999998</v>
      </c>
      <c r="H27" s="124">
        <v>3043053.8</v>
      </c>
      <c r="I27" s="124"/>
      <c r="J27" s="124">
        <f t="shared" si="2"/>
        <v>22673479.069999997</v>
      </c>
      <c r="K27" s="126">
        <v>30</v>
      </c>
      <c r="L27" s="127">
        <f t="shared" si="3"/>
        <v>3.3333333333333333E-2</v>
      </c>
      <c r="M27" s="135">
        <f t="shared" si="1"/>
        <v>755782.63566666655</v>
      </c>
      <c r="N27" s="125">
        <f>449063.7895+663670</f>
        <v>1112733.7895</v>
      </c>
      <c r="O27" s="152">
        <f t="shared" si="4"/>
        <v>-356951.1538333334</v>
      </c>
      <c r="P27" s="236" t="s">
        <v>95</v>
      </c>
    </row>
    <row r="28" spans="2:16">
      <c r="B28" s="103">
        <v>1824</v>
      </c>
      <c r="C28" s="130">
        <v>1815</v>
      </c>
      <c r="D28" s="132" t="s">
        <v>62</v>
      </c>
      <c r="E28" s="124">
        <v>5093669.4000000004</v>
      </c>
      <c r="F28" s="124">
        <v>49481.19</v>
      </c>
      <c r="G28" s="125">
        <f t="shared" si="0"/>
        <v>5044188.21</v>
      </c>
      <c r="H28" s="124">
        <v>297513.44</v>
      </c>
      <c r="I28" s="124"/>
      <c r="J28" s="124">
        <f t="shared" si="2"/>
        <v>5192944.93</v>
      </c>
      <c r="K28" s="126">
        <v>30</v>
      </c>
      <c r="L28" s="127">
        <f t="shared" si="3"/>
        <v>3.3333333333333333E-2</v>
      </c>
      <c r="M28" s="135">
        <f t="shared" si="1"/>
        <v>173098.16433333332</v>
      </c>
      <c r="N28" s="125">
        <f>962402.393666667+-755678</f>
        <v>206724.39366666705</v>
      </c>
      <c r="O28" s="129">
        <f t="shared" si="4"/>
        <v>-33626.229333333729</v>
      </c>
      <c r="P28" s="236" t="s">
        <v>95</v>
      </c>
    </row>
    <row r="29" spans="2:16" ht="24.75" customHeight="1">
      <c r="C29" s="137"/>
      <c r="D29" s="138"/>
      <c r="E29" s="139"/>
      <c r="F29" s="139"/>
      <c r="G29" s="140"/>
      <c r="H29" s="139"/>
      <c r="I29" s="139"/>
      <c r="J29" s="141" t="s">
        <v>86</v>
      </c>
      <c r="K29" s="142"/>
      <c r="L29" s="143"/>
      <c r="M29" s="125">
        <f>SUM(M20:M28)</f>
        <v>3147970.540866382</v>
      </c>
      <c r="N29" s="125">
        <f>SUM(N20:N28)</f>
        <v>4340445.3445580509</v>
      </c>
      <c r="O29" s="129">
        <f>+M29-N29</f>
        <v>-1192474.8036916689</v>
      </c>
      <c r="P29" s="236"/>
    </row>
    <row r="30" spans="2:16" ht="20.25" customHeight="1">
      <c r="B30" s="103">
        <v>1820</v>
      </c>
      <c r="C30" s="144">
        <v>1820</v>
      </c>
      <c r="D30" s="145" t="s">
        <v>25</v>
      </c>
      <c r="E30" s="124">
        <v>-131161.17311642197</v>
      </c>
      <c r="F30" s="124"/>
      <c r="G30" s="125">
        <f>E30-F30</f>
        <v>-131161.17311642197</v>
      </c>
      <c r="H30" s="124">
        <v>-2070350.1738108783</v>
      </c>
      <c r="I30" s="124"/>
      <c r="J30" s="124">
        <f t="shared" ref="J30:J33" si="5">G30+0.5*H30+0.5*I30</f>
        <v>-1166336.2600218612</v>
      </c>
      <c r="K30" s="126">
        <v>30</v>
      </c>
      <c r="L30" s="146">
        <f t="shared" si="3"/>
        <v>3.3333333333333333E-2</v>
      </c>
      <c r="M30" s="135">
        <f t="shared" si="1"/>
        <v>-38877.875334062039</v>
      </c>
      <c r="N30" s="125">
        <f>136287.933499271-205517</f>
        <v>-69229.066500729008</v>
      </c>
      <c r="O30" s="129">
        <f t="shared" si="4"/>
        <v>30351.191166666969</v>
      </c>
      <c r="P30" s="236" t="s">
        <v>95</v>
      </c>
    </row>
    <row r="31" spans="2:16">
      <c r="B31" s="103">
        <v>1826</v>
      </c>
      <c r="C31" s="147">
        <v>1820</v>
      </c>
      <c r="D31" s="132" t="s">
        <v>63</v>
      </c>
      <c r="E31" s="124">
        <v>15298485.009999998</v>
      </c>
      <c r="F31" s="124"/>
      <c r="G31" s="125">
        <f>E31-F31</f>
        <v>15298485.009999998</v>
      </c>
      <c r="H31" s="124">
        <v>1854604.0599999998</v>
      </c>
      <c r="I31" s="124"/>
      <c r="J31" s="124">
        <f t="shared" si="5"/>
        <v>16225787.039999997</v>
      </c>
      <c r="K31" s="126">
        <v>40</v>
      </c>
      <c r="L31" s="146">
        <f t="shared" si="3"/>
        <v>2.5000000000000001E-2</v>
      </c>
      <c r="M31" s="135">
        <f t="shared" si="1"/>
        <v>405644.67599999992</v>
      </c>
      <c r="N31" s="135">
        <v>475152.70175000007</v>
      </c>
      <c r="O31" s="129">
        <f t="shared" si="4"/>
        <v>-69508.025750000146</v>
      </c>
      <c r="P31" s="236" t="s">
        <v>95</v>
      </c>
    </row>
    <row r="32" spans="2:16">
      <c r="B32" s="103">
        <v>1827</v>
      </c>
      <c r="C32" s="147">
        <v>1820</v>
      </c>
      <c r="D32" s="132" t="s">
        <v>64</v>
      </c>
      <c r="E32" s="124">
        <v>10053900.699999999</v>
      </c>
      <c r="F32" s="124">
        <v>1426299.5100000002</v>
      </c>
      <c r="G32" s="125">
        <f>E32-F32</f>
        <v>8627601.1899999995</v>
      </c>
      <c r="H32" s="124">
        <v>56100.215882949233</v>
      </c>
      <c r="I32" s="124"/>
      <c r="J32" s="124">
        <f t="shared" si="5"/>
        <v>8655651.2979414742</v>
      </c>
      <c r="K32" s="126">
        <v>20</v>
      </c>
      <c r="L32" s="146">
        <f t="shared" si="3"/>
        <v>0.05</v>
      </c>
      <c r="M32" s="135">
        <f t="shared" si="1"/>
        <v>432782.56489707372</v>
      </c>
      <c r="N32" s="135">
        <v>709786.75639707386</v>
      </c>
      <c r="O32" s="129">
        <f t="shared" si="4"/>
        <v>-277004.19150000013</v>
      </c>
      <c r="P32" s="236" t="s">
        <v>95</v>
      </c>
    </row>
    <row r="33" spans="2:16">
      <c r="B33" s="103">
        <v>1828</v>
      </c>
      <c r="C33" s="147">
        <v>1820</v>
      </c>
      <c r="D33" s="132" t="s">
        <v>65</v>
      </c>
      <c r="E33" s="124">
        <v>3164871.4800000004</v>
      </c>
      <c r="F33" s="124">
        <v>26028.410000000003</v>
      </c>
      <c r="G33" s="125">
        <f>E33-F33</f>
        <v>3138843.0700000003</v>
      </c>
      <c r="H33" s="124">
        <v>650224.56000000006</v>
      </c>
      <c r="I33" s="124"/>
      <c r="J33" s="124">
        <f t="shared" si="5"/>
        <v>3463955.3500000006</v>
      </c>
      <c r="K33" s="126">
        <v>30</v>
      </c>
      <c r="L33" s="146">
        <f t="shared" si="3"/>
        <v>3.3333333333333333E-2</v>
      </c>
      <c r="M33" s="135">
        <f t="shared" si="1"/>
        <v>115465.17833333336</v>
      </c>
      <c r="N33" s="135">
        <v>162464.81533333368</v>
      </c>
      <c r="O33" s="129">
        <f t="shared" si="4"/>
        <v>-46999.637000000323</v>
      </c>
      <c r="P33" s="236" t="s">
        <v>95</v>
      </c>
    </row>
    <row r="34" spans="2:16" ht="20.25" customHeight="1">
      <c r="C34" s="137"/>
      <c r="D34" s="138"/>
      <c r="E34" s="139"/>
      <c r="F34" s="139"/>
      <c r="G34" s="140"/>
      <c r="H34" s="139"/>
      <c r="I34" s="139"/>
      <c r="J34" s="141" t="s">
        <v>87</v>
      </c>
      <c r="K34" s="142"/>
      <c r="L34" s="143"/>
      <c r="M34" s="125">
        <f>SUM(M30:M33)</f>
        <v>915014.54389634496</v>
      </c>
      <c r="N34" s="125">
        <f>SUM(N30:N33)</f>
        <v>1278175.2069796785</v>
      </c>
      <c r="O34" s="129">
        <f>+M34-N34</f>
        <v>-363160.66308333352</v>
      </c>
      <c r="P34" s="236"/>
    </row>
    <row r="35" spans="2:16" ht="24" customHeight="1">
      <c r="B35" s="103">
        <v>1825</v>
      </c>
      <c r="C35" s="147">
        <v>1825</v>
      </c>
      <c r="D35" s="148" t="s">
        <v>26</v>
      </c>
      <c r="E35" s="124">
        <v>0</v>
      </c>
      <c r="F35" s="124"/>
      <c r="G35" s="125">
        <f t="shared" ref="G35:G51" si="6">E35-F35</f>
        <v>0</v>
      </c>
      <c r="H35" s="124">
        <v>0</v>
      </c>
      <c r="I35" s="124"/>
      <c r="J35" s="124">
        <f t="shared" ref="J35:J51" si="7">G35+0.5*H35+0.5*I35</f>
        <v>0</v>
      </c>
      <c r="K35" s="126">
        <v>0</v>
      </c>
      <c r="L35" s="146" t="str">
        <f t="shared" si="3"/>
        <v/>
      </c>
      <c r="M35" s="135" t="str">
        <f t="shared" si="1"/>
        <v/>
      </c>
      <c r="N35" s="135">
        <v>0</v>
      </c>
      <c r="O35" s="149"/>
      <c r="P35" s="236" t="s">
        <v>95</v>
      </c>
    </row>
    <row r="36" spans="2:16">
      <c r="B36" s="103">
        <v>1830</v>
      </c>
      <c r="C36" s="147">
        <v>1830</v>
      </c>
      <c r="D36" s="148" t="s">
        <v>27</v>
      </c>
      <c r="E36" s="124">
        <v>160780260.96429604</v>
      </c>
      <c r="F36" s="124"/>
      <c r="G36" s="125">
        <f t="shared" si="6"/>
        <v>160780260.96429604</v>
      </c>
      <c r="H36" s="124">
        <v>23545328.769542433</v>
      </c>
      <c r="I36" s="124">
        <v>-86967</v>
      </c>
      <c r="J36" s="124">
        <f t="shared" si="7"/>
        <v>172509441.84906727</v>
      </c>
      <c r="K36" s="150">
        <v>45</v>
      </c>
      <c r="L36" s="146">
        <f t="shared" si="3"/>
        <v>2.2222222222222223E-2</v>
      </c>
      <c r="M36" s="135">
        <f t="shared" si="1"/>
        <v>3833543.1522014951</v>
      </c>
      <c r="N36" s="135">
        <v>4060187.7346459362</v>
      </c>
      <c r="O36" s="129">
        <f t="shared" ref="O36:O51" si="8">+M36-N36</f>
        <v>-226644.58244444104</v>
      </c>
      <c r="P36" s="236" t="s">
        <v>95</v>
      </c>
    </row>
    <row r="37" spans="2:16">
      <c r="B37" s="103">
        <v>1835</v>
      </c>
      <c r="C37" s="147">
        <v>1835</v>
      </c>
      <c r="D37" s="148" t="s">
        <v>28</v>
      </c>
      <c r="E37" s="124">
        <v>136976317.09245801</v>
      </c>
      <c r="F37" s="124"/>
      <c r="G37" s="125">
        <f t="shared" si="6"/>
        <v>136976317.09245801</v>
      </c>
      <c r="H37" s="124">
        <v>24396617.77941284</v>
      </c>
      <c r="I37" s="124">
        <v>-130287.935</v>
      </c>
      <c r="J37" s="124">
        <f t="shared" si="7"/>
        <v>149109482.01466444</v>
      </c>
      <c r="K37" s="150">
        <v>40</v>
      </c>
      <c r="L37" s="146">
        <f t="shared" si="3"/>
        <v>2.5000000000000001E-2</v>
      </c>
      <c r="M37" s="135">
        <f t="shared" si="1"/>
        <v>3727737.0503666112</v>
      </c>
      <c r="N37" s="135">
        <f>4225127.9774291+4306</f>
        <v>4229433.9774291003</v>
      </c>
      <c r="O37" s="152">
        <f t="shared" si="8"/>
        <v>-501696.92706248909</v>
      </c>
      <c r="P37" s="236" t="s">
        <v>95</v>
      </c>
    </row>
    <row r="38" spans="2:16">
      <c r="B38" s="103">
        <v>1840</v>
      </c>
      <c r="C38" s="147">
        <v>1840</v>
      </c>
      <c r="D38" s="148" t="s">
        <v>29</v>
      </c>
      <c r="E38" s="124">
        <v>105019483.45628834</v>
      </c>
      <c r="F38" s="124">
        <v>437156.80999999994</v>
      </c>
      <c r="G38" s="125">
        <f t="shared" si="6"/>
        <v>104582326.64628834</v>
      </c>
      <c r="H38" s="124">
        <v>6332834.4373741848</v>
      </c>
      <c r="I38" s="124"/>
      <c r="J38" s="124">
        <f t="shared" si="7"/>
        <v>107748743.86497542</v>
      </c>
      <c r="K38" s="150">
        <v>60</v>
      </c>
      <c r="L38" s="146">
        <f t="shared" si="3"/>
        <v>1.6666666666666666E-2</v>
      </c>
      <c r="M38" s="135">
        <f t="shared" si="1"/>
        <v>1795812.3977495905</v>
      </c>
      <c r="N38" s="135">
        <v>1893490.8344995854</v>
      </c>
      <c r="O38" s="129">
        <f t="shared" si="8"/>
        <v>-97678.436749994988</v>
      </c>
      <c r="P38" s="236" t="s">
        <v>95</v>
      </c>
    </row>
    <row r="39" spans="2:16">
      <c r="B39" s="103">
        <v>1845</v>
      </c>
      <c r="C39" s="147">
        <v>1845</v>
      </c>
      <c r="D39" s="148" t="s">
        <v>30</v>
      </c>
      <c r="E39" s="124">
        <v>301741857.08960038</v>
      </c>
      <c r="F39" s="124">
        <v>2953048.75</v>
      </c>
      <c r="G39" s="125">
        <f t="shared" si="6"/>
        <v>298788808.33960038</v>
      </c>
      <c r="H39" s="124">
        <v>34464615.256706394</v>
      </c>
      <c r="I39" s="124"/>
      <c r="J39" s="124">
        <f t="shared" si="7"/>
        <v>316021115.96795356</v>
      </c>
      <c r="K39" s="150">
        <v>45</v>
      </c>
      <c r="L39" s="146">
        <f t="shared" si="3"/>
        <v>2.2222222222222223E-2</v>
      </c>
      <c r="M39" s="135">
        <f t="shared" si="1"/>
        <v>7022691.4659545235</v>
      </c>
      <c r="N39" s="135">
        <v>8179182.8292878484</v>
      </c>
      <c r="O39" s="152">
        <f t="shared" si="8"/>
        <v>-1156491.3633333249</v>
      </c>
      <c r="P39" s="236" t="s">
        <v>95</v>
      </c>
    </row>
    <row r="40" spans="2:16">
      <c r="B40" s="103">
        <v>1846</v>
      </c>
      <c r="C40" s="147">
        <v>1845</v>
      </c>
      <c r="D40" s="131" t="s">
        <v>115</v>
      </c>
      <c r="E40" s="124">
        <v>14900133.98</v>
      </c>
      <c r="F40" s="124"/>
      <c r="G40" s="125">
        <f t="shared" si="6"/>
        <v>14900133.98</v>
      </c>
      <c r="H40" s="124">
        <v>4138311.98</v>
      </c>
      <c r="I40" s="124">
        <v>-433074.76500000001</v>
      </c>
      <c r="J40" s="124">
        <f t="shared" si="7"/>
        <v>16752752.587499999</v>
      </c>
      <c r="K40" s="150">
        <v>20</v>
      </c>
      <c r="L40" s="146">
        <f t="shared" si="3"/>
        <v>0.05</v>
      </c>
      <c r="M40" s="135">
        <f t="shared" si="1"/>
        <v>837637.6293749999</v>
      </c>
      <c r="N40" s="135">
        <v>876415.35225000011</v>
      </c>
      <c r="O40" s="129">
        <f t="shared" si="8"/>
        <v>-38777.72287500021</v>
      </c>
      <c r="P40" s="236" t="s">
        <v>95</v>
      </c>
    </row>
    <row r="41" spans="2:16">
      <c r="B41" s="103">
        <v>1849</v>
      </c>
      <c r="C41" s="147">
        <v>1849</v>
      </c>
      <c r="D41" s="131" t="s">
        <v>44</v>
      </c>
      <c r="E41" s="124">
        <v>18785084.913078777</v>
      </c>
      <c r="F41" s="124"/>
      <c r="G41" s="125">
        <f t="shared" si="6"/>
        <v>18785084.913078777</v>
      </c>
      <c r="H41" s="124">
        <v>1429769.1617604785</v>
      </c>
      <c r="I41" s="124">
        <v>-586943.06499999994</v>
      </c>
      <c r="J41" s="124">
        <f t="shared" si="7"/>
        <v>19206497.961459018</v>
      </c>
      <c r="K41" s="126">
        <v>40</v>
      </c>
      <c r="L41" s="146">
        <f t="shared" si="3"/>
        <v>2.5000000000000001E-2</v>
      </c>
      <c r="M41" s="135">
        <f t="shared" si="1"/>
        <v>480162.44903647545</v>
      </c>
      <c r="N41" s="135">
        <v>626134.16609897418</v>
      </c>
      <c r="O41" s="129">
        <f t="shared" si="8"/>
        <v>-145971.71706249873</v>
      </c>
      <c r="P41" s="236" t="s">
        <v>95</v>
      </c>
    </row>
    <row r="42" spans="2:16">
      <c r="B42" s="103">
        <v>1850</v>
      </c>
      <c r="C42" s="147">
        <v>1850</v>
      </c>
      <c r="D42" s="148" t="s">
        <v>77</v>
      </c>
      <c r="E42" s="124">
        <v>150021623.85530919</v>
      </c>
      <c r="F42" s="124">
        <v>743614.03</v>
      </c>
      <c r="G42" s="125">
        <f t="shared" si="6"/>
        <v>149278009.82530919</v>
      </c>
      <c r="H42" s="124">
        <v>11804763.674810959</v>
      </c>
      <c r="I42" s="124">
        <v>-1313699.4100000001</v>
      </c>
      <c r="J42" s="124">
        <f t="shared" si="7"/>
        <v>154523541.95771465</v>
      </c>
      <c r="K42" s="126">
        <v>30</v>
      </c>
      <c r="L42" s="146">
        <f t="shared" si="3"/>
        <v>3.3333333333333333E-2</v>
      </c>
      <c r="M42" s="135">
        <f t="shared" si="1"/>
        <v>5150784.7319238214</v>
      </c>
      <c r="N42" s="135">
        <v>6647791.2844238253</v>
      </c>
      <c r="O42" s="152">
        <f t="shared" si="8"/>
        <v>-1497006.5525000039</v>
      </c>
      <c r="P42" s="236" t="s">
        <v>95</v>
      </c>
    </row>
    <row r="43" spans="2:16">
      <c r="B43" s="103">
        <v>1855</v>
      </c>
      <c r="C43" s="147">
        <v>1855</v>
      </c>
      <c r="D43" s="148" t="s">
        <v>94</v>
      </c>
      <c r="E43" s="124">
        <v>13903005.991259661</v>
      </c>
      <c r="F43" s="124"/>
      <c r="G43" s="125">
        <f t="shared" si="6"/>
        <v>13903005.991259661</v>
      </c>
      <c r="H43" s="124">
        <v>1160898.5566954745</v>
      </c>
      <c r="I43" s="124"/>
      <c r="J43" s="124">
        <f t="shared" si="7"/>
        <v>14483455.269607399</v>
      </c>
      <c r="K43" s="126">
        <v>40</v>
      </c>
      <c r="L43" s="146">
        <f t="shared" si="3"/>
        <v>2.5000000000000001E-2</v>
      </c>
      <c r="M43" s="135">
        <f t="shared" si="1"/>
        <v>362086.38174018497</v>
      </c>
      <c r="N43" s="135">
        <v>316109.55349018623</v>
      </c>
      <c r="O43" s="129">
        <f t="shared" si="8"/>
        <v>45976.82824999874</v>
      </c>
      <c r="P43" s="236" t="s">
        <v>95</v>
      </c>
    </row>
    <row r="44" spans="2:16">
      <c r="B44" s="103">
        <v>1856</v>
      </c>
      <c r="C44" s="147">
        <v>1856</v>
      </c>
      <c r="D44" s="131" t="s">
        <v>45</v>
      </c>
      <c r="E44" s="124">
        <v>57901274.403718263</v>
      </c>
      <c r="F44" s="124"/>
      <c r="G44" s="125">
        <f t="shared" si="6"/>
        <v>57901274.403718263</v>
      </c>
      <c r="H44" s="124">
        <v>2957193.744739607</v>
      </c>
      <c r="I44" s="124"/>
      <c r="J44" s="124">
        <f t="shared" si="7"/>
        <v>59379871.276088066</v>
      </c>
      <c r="K44" s="126">
        <v>25</v>
      </c>
      <c r="L44" s="146">
        <f t="shared" si="3"/>
        <v>0.04</v>
      </c>
      <c r="M44" s="135">
        <f t="shared" si="1"/>
        <v>2375194.8510435228</v>
      </c>
      <c r="N44" s="135">
        <v>3206006.0370435244</v>
      </c>
      <c r="O44" s="152">
        <f t="shared" si="8"/>
        <v>-830811.18600000162</v>
      </c>
      <c r="P44" s="236" t="s">
        <v>95</v>
      </c>
    </row>
    <row r="45" spans="2:16">
      <c r="B45" s="103">
        <v>1860</v>
      </c>
      <c r="C45" s="147">
        <v>1860</v>
      </c>
      <c r="D45" s="148" t="s">
        <v>31</v>
      </c>
      <c r="E45" s="124">
        <v>12585347.748484839</v>
      </c>
      <c r="F45" s="124">
        <v>9433.82</v>
      </c>
      <c r="G45" s="125">
        <f t="shared" si="6"/>
        <v>12575913.928484838</v>
      </c>
      <c r="H45" s="124">
        <v>811718.87127563986</v>
      </c>
      <c r="I45" s="124">
        <v>-1175716.9696969697</v>
      </c>
      <c r="J45" s="124">
        <f t="shared" si="7"/>
        <v>12393914.879274175</v>
      </c>
      <c r="K45" s="126">
        <v>25</v>
      </c>
      <c r="L45" s="146">
        <f t="shared" si="3"/>
        <v>0.04</v>
      </c>
      <c r="M45" s="135">
        <f t="shared" si="1"/>
        <v>495756.59517096699</v>
      </c>
      <c r="N45" s="135">
        <v>601427.93042551284</v>
      </c>
      <c r="O45" s="129">
        <f t="shared" si="8"/>
        <v>-105671.33525454585</v>
      </c>
      <c r="P45" s="236" t="s">
        <v>95</v>
      </c>
    </row>
    <row r="46" spans="2:16">
      <c r="B46" s="103">
        <v>1861</v>
      </c>
      <c r="C46" s="147">
        <v>1861</v>
      </c>
      <c r="D46" s="131" t="s">
        <v>46</v>
      </c>
      <c r="E46" s="124">
        <v>20652599.559999991</v>
      </c>
      <c r="F46" s="124"/>
      <c r="G46" s="125">
        <f t="shared" si="6"/>
        <v>20652599.559999991</v>
      </c>
      <c r="H46" s="124">
        <v>2112385.9487243607</v>
      </c>
      <c r="I46" s="124"/>
      <c r="J46" s="124">
        <f t="shared" si="7"/>
        <v>21708792.534362171</v>
      </c>
      <c r="K46" s="126">
        <v>15</v>
      </c>
      <c r="L46" s="146">
        <f t="shared" si="3"/>
        <v>6.6666666666666666E-2</v>
      </c>
      <c r="M46" s="135">
        <f t="shared" si="1"/>
        <v>1447252.8356241446</v>
      </c>
      <c r="N46" s="135">
        <v>1563386.1059574794</v>
      </c>
      <c r="O46" s="129">
        <f t="shared" si="8"/>
        <v>-116133.2703333348</v>
      </c>
      <c r="P46" s="236" t="s">
        <v>95</v>
      </c>
    </row>
    <row r="47" spans="2:16">
      <c r="B47" s="103">
        <v>1862</v>
      </c>
      <c r="C47" s="147">
        <v>1862</v>
      </c>
      <c r="D47" s="148" t="s">
        <v>79</v>
      </c>
      <c r="E47" s="124">
        <v>51018134.857247815</v>
      </c>
      <c r="F47" s="124"/>
      <c r="G47" s="125">
        <f t="shared" si="6"/>
        <v>51018134.857247815</v>
      </c>
      <c r="H47" s="124">
        <v>2383917.33</v>
      </c>
      <c r="I47" s="124"/>
      <c r="J47" s="124">
        <f t="shared" si="7"/>
        <v>52210093.522247814</v>
      </c>
      <c r="K47" s="126">
        <v>15</v>
      </c>
      <c r="L47" s="146">
        <f t="shared" si="3"/>
        <v>6.6666666666666666E-2</v>
      </c>
      <c r="M47" s="135">
        <f t="shared" si="1"/>
        <v>3480672.9014831875</v>
      </c>
      <c r="N47" s="135">
        <v>3766862.5768165207</v>
      </c>
      <c r="O47" s="152">
        <f t="shared" si="8"/>
        <v>-286189.6753333332</v>
      </c>
      <c r="P47" s="236" t="s">
        <v>95</v>
      </c>
    </row>
    <row r="48" spans="2:16">
      <c r="B48" s="103">
        <v>1870</v>
      </c>
      <c r="C48" s="147">
        <v>1870</v>
      </c>
      <c r="D48" s="131" t="s">
        <v>47</v>
      </c>
      <c r="E48" s="124">
        <v>191136</v>
      </c>
      <c r="F48" s="124"/>
      <c r="G48" s="125">
        <f t="shared" si="6"/>
        <v>191136</v>
      </c>
      <c r="H48" s="124">
        <v>0</v>
      </c>
      <c r="I48" s="124"/>
      <c r="J48" s="124">
        <f t="shared" si="7"/>
        <v>191136</v>
      </c>
      <c r="K48" s="126">
        <v>10</v>
      </c>
      <c r="L48" s="146">
        <f t="shared" si="3"/>
        <v>0.1</v>
      </c>
      <c r="M48" s="135">
        <f t="shared" si="1"/>
        <v>19113.599999999999</v>
      </c>
      <c r="N48" s="135">
        <v>-1259</v>
      </c>
      <c r="O48" s="129">
        <f t="shared" si="8"/>
        <v>20372.599999999999</v>
      </c>
      <c r="P48" s="236" t="s">
        <v>95</v>
      </c>
    </row>
    <row r="49" spans="2:16" ht="21.75" customHeight="1">
      <c r="B49" s="103">
        <v>1908</v>
      </c>
      <c r="C49" s="147">
        <v>1908</v>
      </c>
      <c r="D49" s="148" t="s">
        <v>33</v>
      </c>
      <c r="E49" s="124">
        <v>27126413.380000003</v>
      </c>
      <c r="F49" s="125"/>
      <c r="G49" s="125">
        <f t="shared" si="6"/>
        <v>27126413.380000003</v>
      </c>
      <c r="H49" s="124">
        <v>398168.39999999997</v>
      </c>
      <c r="I49" s="124"/>
      <c r="J49" s="124">
        <f t="shared" si="7"/>
        <v>27325497.580000002</v>
      </c>
      <c r="K49" s="126">
        <v>50</v>
      </c>
      <c r="L49" s="146">
        <f t="shared" si="3"/>
        <v>0.02</v>
      </c>
      <c r="M49" s="135">
        <f>IF(K49=0,"",J49/K49)</f>
        <v>546509.95160000003</v>
      </c>
      <c r="N49" s="135">
        <v>562687.22019999998</v>
      </c>
      <c r="O49" s="129">
        <f t="shared" si="8"/>
        <v>-16177.268599999952</v>
      </c>
      <c r="P49" s="236" t="s">
        <v>95</v>
      </c>
    </row>
    <row r="50" spans="2:16">
      <c r="B50" s="103">
        <v>1912</v>
      </c>
      <c r="C50" s="147">
        <v>1908</v>
      </c>
      <c r="D50" s="148" t="s">
        <v>96</v>
      </c>
      <c r="E50" s="124">
        <v>17401865.419889718</v>
      </c>
      <c r="F50" s="124">
        <v>19085</v>
      </c>
      <c r="G50" s="125">
        <f t="shared" si="6"/>
        <v>17382780.419889718</v>
      </c>
      <c r="H50" s="124">
        <v>0</v>
      </c>
      <c r="I50" s="124"/>
      <c r="J50" s="124">
        <f t="shared" si="7"/>
        <v>17382780.419889718</v>
      </c>
      <c r="K50" s="126">
        <v>50</v>
      </c>
      <c r="L50" s="146">
        <f t="shared" si="3"/>
        <v>0.02</v>
      </c>
      <c r="M50" s="135">
        <f>IF(K50=0,"",J50/K50)</f>
        <v>347655.60839779436</v>
      </c>
      <c r="N50" s="135">
        <v>404087.8799977944</v>
      </c>
      <c r="O50" s="129">
        <f t="shared" si="8"/>
        <v>-56432.271600000036</v>
      </c>
      <c r="P50" s="236" t="s">
        <v>95</v>
      </c>
    </row>
    <row r="51" spans="2:16">
      <c r="B51" s="103">
        <v>1913</v>
      </c>
      <c r="C51" s="147">
        <v>1908</v>
      </c>
      <c r="D51" s="151" t="s">
        <v>66</v>
      </c>
      <c r="E51" s="124">
        <v>2785049.54</v>
      </c>
      <c r="F51" s="124"/>
      <c r="G51" s="125">
        <f t="shared" si="6"/>
        <v>2785049.54</v>
      </c>
      <c r="H51" s="124">
        <v>0</v>
      </c>
      <c r="I51" s="124"/>
      <c r="J51" s="124">
        <f t="shared" si="7"/>
        <v>2785049.54</v>
      </c>
      <c r="K51" s="126">
        <v>30</v>
      </c>
      <c r="L51" s="146">
        <f t="shared" si="3"/>
        <v>3.3333333333333333E-2</v>
      </c>
      <c r="M51" s="135">
        <f>IF(K51=0,"",J51/K51)</f>
        <v>92834.984666666671</v>
      </c>
      <c r="N51" s="135">
        <v>101319.04500000001</v>
      </c>
      <c r="O51" s="129">
        <f t="shared" si="8"/>
        <v>-8484.060333333342</v>
      </c>
      <c r="P51" s="236" t="s">
        <v>95</v>
      </c>
    </row>
    <row r="52" spans="2:16" ht="18">
      <c r="C52" s="137"/>
      <c r="D52" s="138"/>
      <c r="E52" s="139"/>
      <c r="F52" s="139"/>
      <c r="G52" s="140"/>
      <c r="H52" s="139"/>
      <c r="I52" s="139"/>
      <c r="J52" s="141" t="s">
        <v>88</v>
      </c>
      <c r="K52" s="142"/>
      <c r="L52" s="143"/>
      <c r="M52" s="125">
        <f>SUM(M49:M51)</f>
        <v>987000.54466446117</v>
      </c>
      <c r="N52" s="125">
        <f>SUM(N49:N51)</f>
        <v>1068094.1451977943</v>
      </c>
      <c r="O52" s="129">
        <f>+M52-N52</f>
        <v>-81093.600533333141</v>
      </c>
      <c r="P52" s="236"/>
    </row>
    <row r="53" spans="2:16" ht="25.5" customHeight="1">
      <c r="B53" s="103">
        <v>1915</v>
      </c>
      <c r="C53" s="147">
        <v>1915</v>
      </c>
      <c r="D53" s="148" t="s">
        <v>82</v>
      </c>
      <c r="E53" s="124">
        <v>5034286.5900000008</v>
      </c>
      <c r="F53" s="124">
        <v>72918</v>
      </c>
      <c r="G53" s="125">
        <f t="shared" ref="G53:G58" si="9">E53-F53</f>
        <v>4961368.5900000008</v>
      </c>
      <c r="H53" s="124">
        <v>13374.93</v>
      </c>
      <c r="I53" s="124"/>
      <c r="J53" s="124">
        <f t="shared" ref="J53:J58" si="10">G53+0.5*H53+0.5*I53</f>
        <v>4968056.0550000006</v>
      </c>
      <c r="K53" s="126">
        <v>10</v>
      </c>
      <c r="L53" s="146">
        <f t="shared" si="3"/>
        <v>0.1</v>
      </c>
      <c r="M53" s="135">
        <f>IF(K53=0,"",J53/K53)</f>
        <v>496805.60550000006</v>
      </c>
      <c r="N53" s="135">
        <v>598263.31050000014</v>
      </c>
      <c r="O53" s="129">
        <f>+M53-N53</f>
        <v>-101457.70500000007</v>
      </c>
      <c r="P53" s="236" t="s">
        <v>95</v>
      </c>
    </row>
    <row r="54" spans="2:16" ht="24" customHeight="1">
      <c r="B54" s="103">
        <v>1920</v>
      </c>
      <c r="C54" s="147">
        <v>1920</v>
      </c>
      <c r="D54" s="148" t="s">
        <v>34</v>
      </c>
      <c r="E54" s="124">
        <v>1.0000000096624717E-2</v>
      </c>
      <c r="F54" s="124"/>
      <c r="G54" s="125">
        <f t="shared" si="9"/>
        <v>1.0000000096624717E-2</v>
      </c>
      <c r="H54" s="124">
        <v>0</v>
      </c>
      <c r="I54" s="124"/>
      <c r="J54" s="124">
        <f t="shared" si="10"/>
        <v>1.0000000096624717E-2</v>
      </c>
      <c r="K54" s="126">
        <v>5</v>
      </c>
      <c r="L54" s="146">
        <f t="shared" si="3"/>
        <v>0.2</v>
      </c>
      <c r="M54" s="135">
        <f>IF(K54=0,"",J54/K54)</f>
        <v>2.0000000193249436E-3</v>
      </c>
      <c r="N54" s="135">
        <v>-8269.2890000000007</v>
      </c>
      <c r="O54" s="129">
        <f t="shared" ref="O54:O58" si="11">+M54-N54</f>
        <v>8269.2910000000193</v>
      </c>
      <c r="P54" s="236" t="s">
        <v>95</v>
      </c>
    </row>
    <row r="55" spans="2:16">
      <c r="B55" s="103">
        <v>1921</v>
      </c>
      <c r="C55" s="147">
        <v>1920</v>
      </c>
      <c r="D55" s="131" t="s">
        <v>67</v>
      </c>
      <c r="E55" s="124">
        <v>2851276.1354245413</v>
      </c>
      <c r="F55" s="124">
        <v>1437159.7</v>
      </c>
      <c r="G55" s="125">
        <f t="shared" si="9"/>
        <v>1414116.4354245414</v>
      </c>
      <c r="H55" s="124">
        <v>629408.32000000007</v>
      </c>
      <c r="I55" s="124"/>
      <c r="J55" s="124">
        <f t="shared" si="10"/>
        <v>1728820.5954245413</v>
      </c>
      <c r="K55" s="126">
        <v>4</v>
      </c>
      <c r="L55" s="146">
        <f t="shared" si="3"/>
        <v>0.25</v>
      </c>
      <c r="M55" s="135">
        <f t="shared" ref="M55:M70" si="12">IF(K55=0,"",J55/K55)</f>
        <v>432205.14885613532</v>
      </c>
      <c r="N55" s="135">
        <v>519985.62385613553</v>
      </c>
      <c r="O55" s="129">
        <f t="shared" si="11"/>
        <v>-87780.47500000021</v>
      </c>
      <c r="P55" s="236" t="s">
        <v>95</v>
      </c>
    </row>
    <row r="56" spans="2:16">
      <c r="B56" s="103">
        <v>1922</v>
      </c>
      <c r="C56" s="147">
        <v>1920</v>
      </c>
      <c r="D56" s="131" t="s">
        <v>68</v>
      </c>
      <c r="E56" s="124">
        <v>8160594.9300000006</v>
      </c>
      <c r="F56" s="124">
        <v>2537838.7199999997</v>
      </c>
      <c r="G56" s="125">
        <f t="shared" si="9"/>
        <v>5622756.2100000009</v>
      </c>
      <c r="H56" s="124">
        <v>1034338.04</v>
      </c>
      <c r="I56" s="124"/>
      <c r="J56" s="124">
        <f t="shared" si="10"/>
        <v>6139925.2300000004</v>
      </c>
      <c r="K56" s="126">
        <v>5</v>
      </c>
      <c r="L56" s="146">
        <f t="shared" si="3"/>
        <v>0.2</v>
      </c>
      <c r="M56" s="135">
        <f t="shared" si="12"/>
        <v>1227985.0460000001</v>
      </c>
      <c r="N56" s="135">
        <v>1299079.22</v>
      </c>
      <c r="O56" s="129">
        <f t="shared" si="11"/>
        <v>-71094.173999999883</v>
      </c>
      <c r="P56" s="236" t="s">
        <v>95</v>
      </c>
    </row>
    <row r="57" spans="2:16">
      <c r="B57" s="103">
        <v>1923</v>
      </c>
      <c r="C57" s="147">
        <v>1920</v>
      </c>
      <c r="D57" s="131" t="s">
        <v>69</v>
      </c>
      <c r="E57" s="124">
        <v>624931.03</v>
      </c>
      <c r="F57" s="124">
        <v>244744.91</v>
      </c>
      <c r="G57" s="125">
        <f t="shared" si="9"/>
        <v>380186.12</v>
      </c>
      <c r="H57" s="124">
        <v>200000.08</v>
      </c>
      <c r="I57" s="124"/>
      <c r="J57" s="124">
        <f t="shared" si="10"/>
        <v>480186.16</v>
      </c>
      <c r="K57" s="126">
        <v>5</v>
      </c>
      <c r="L57" s="146">
        <f t="shared" si="3"/>
        <v>0.2</v>
      </c>
      <c r="M57" s="135">
        <f t="shared" si="12"/>
        <v>96037.231999999989</v>
      </c>
      <c r="N57" s="135">
        <v>112952.18299999999</v>
      </c>
      <c r="O57" s="129">
        <f t="shared" si="11"/>
        <v>-16914.951000000001</v>
      </c>
      <c r="P57" s="236" t="s">
        <v>95</v>
      </c>
    </row>
    <row r="58" spans="2:16">
      <c r="B58" s="103">
        <v>1924</v>
      </c>
      <c r="C58" s="147">
        <v>1920</v>
      </c>
      <c r="D58" s="131" t="s">
        <v>70</v>
      </c>
      <c r="E58" s="124">
        <v>1725827.7639786489</v>
      </c>
      <c r="F58" s="124">
        <v>834804.05999999994</v>
      </c>
      <c r="G58" s="125">
        <f t="shared" si="9"/>
        <v>891023.70397864899</v>
      </c>
      <c r="H58" s="124">
        <v>330100</v>
      </c>
      <c r="I58" s="124"/>
      <c r="J58" s="124">
        <f t="shared" si="10"/>
        <v>1056073.7039786489</v>
      </c>
      <c r="K58" s="126">
        <v>6</v>
      </c>
      <c r="L58" s="146">
        <f t="shared" si="3"/>
        <v>0.16666666666666666</v>
      </c>
      <c r="M58" s="135">
        <f t="shared" si="12"/>
        <v>176012.28399644149</v>
      </c>
      <c r="N58" s="135">
        <v>237253.16482977488</v>
      </c>
      <c r="O58" s="129">
        <f t="shared" si="11"/>
        <v>-61240.880833333387</v>
      </c>
      <c r="P58" s="236" t="s">
        <v>95</v>
      </c>
    </row>
    <row r="59" spans="2:16" ht="22.5" customHeight="1">
      <c r="C59" s="137"/>
      <c r="D59" s="138"/>
      <c r="E59" s="139"/>
      <c r="F59" s="139"/>
      <c r="G59" s="140"/>
      <c r="H59" s="139"/>
      <c r="I59" s="139"/>
      <c r="J59" s="141" t="s">
        <v>92</v>
      </c>
      <c r="K59" s="142"/>
      <c r="L59" s="143"/>
      <c r="M59" s="125">
        <f>SUM(M54:M58)</f>
        <v>1932239.712852577</v>
      </c>
      <c r="N59" s="125">
        <f>SUM(N54:N58)</f>
        <v>2161000.9026859105</v>
      </c>
      <c r="O59" s="129">
        <f>+M59-N59</f>
        <v>-228761.18983333348</v>
      </c>
      <c r="P59" s="236"/>
    </row>
    <row r="60" spans="2:16" ht="24.75" customHeight="1">
      <c r="B60" s="103">
        <v>1925</v>
      </c>
      <c r="C60" s="147">
        <v>1611</v>
      </c>
      <c r="D60" s="148" t="s">
        <v>35</v>
      </c>
      <c r="E60" s="124">
        <v>21978838.660000004</v>
      </c>
      <c r="F60" s="124">
        <v>10200728.16</v>
      </c>
      <c r="G60" s="125">
        <f>E60-F60</f>
        <v>11778110.500000004</v>
      </c>
      <c r="H60" s="124">
        <v>5680880.7899999991</v>
      </c>
      <c r="I60" s="124"/>
      <c r="J60" s="124">
        <f t="shared" ref="J60:J62" si="13">G60+0.5*H60+0.5*I60</f>
        <v>14618550.895000003</v>
      </c>
      <c r="K60" s="126">
        <v>4</v>
      </c>
      <c r="L60" s="146">
        <f t="shared" si="3"/>
        <v>0.25</v>
      </c>
      <c r="M60" s="135">
        <f t="shared" si="12"/>
        <v>3654637.7237500008</v>
      </c>
      <c r="N60" s="135">
        <v>3958178.2712500002</v>
      </c>
      <c r="O60" s="152">
        <f>+M60-N60</f>
        <v>-303540.5474999994</v>
      </c>
      <c r="P60" s="236" t="s">
        <v>95</v>
      </c>
    </row>
    <row r="61" spans="2:16" ht="24.75" customHeight="1">
      <c r="B61" s="103">
        <v>1926</v>
      </c>
      <c r="C61" s="147">
        <v>1611</v>
      </c>
      <c r="D61" s="131" t="s">
        <v>116</v>
      </c>
      <c r="E61" s="124">
        <v>112039.77219851727</v>
      </c>
      <c r="F61" s="124"/>
      <c r="G61" s="125">
        <f t="shared" ref="G61:G62" si="14">E61-F61</f>
        <v>112039.77219851727</v>
      </c>
      <c r="H61" s="124">
        <v>0</v>
      </c>
      <c r="I61" s="124"/>
      <c r="J61" s="124">
        <f t="shared" si="13"/>
        <v>112039.77219851727</v>
      </c>
      <c r="K61" s="126">
        <v>3</v>
      </c>
      <c r="L61" s="146">
        <f t="shared" si="3"/>
        <v>0.33333333333333331</v>
      </c>
      <c r="M61" s="135">
        <f t="shared" si="12"/>
        <v>37346.590732839089</v>
      </c>
      <c r="N61" s="135">
        <v>37346.590732839089</v>
      </c>
      <c r="O61" s="152">
        <f>+M61-N61</f>
        <v>0</v>
      </c>
      <c r="P61" s="236" t="s">
        <v>95</v>
      </c>
    </row>
    <row r="62" spans="2:16" ht="24.75" customHeight="1">
      <c r="B62" s="103">
        <v>1927</v>
      </c>
      <c r="C62" s="147">
        <v>1611</v>
      </c>
      <c r="D62" s="131" t="s">
        <v>117</v>
      </c>
      <c r="E62" s="124">
        <v>42345525.68</v>
      </c>
      <c r="F62" s="124"/>
      <c r="G62" s="125">
        <f t="shared" si="14"/>
        <v>42345525.68</v>
      </c>
      <c r="H62" s="124">
        <v>3732000</v>
      </c>
      <c r="I62" s="124"/>
      <c r="J62" s="124">
        <f t="shared" si="13"/>
        <v>44211525.68</v>
      </c>
      <c r="K62" s="126">
        <v>10</v>
      </c>
      <c r="L62" s="146">
        <f t="shared" si="3"/>
        <v>0.1</v>
      </c>
      <c r="M62" s="135">
        <f t="shared" si="12"/>
        <v>4421152.568</v>
      </c>
      <c r="N62" s="135">
        <v>4387016.3599999994</v>
      </c>
      <c r="O62" s="152">
        <f t="shared" ref="O62:O66" si="15">+M62-N62</f>
        <v>34136.208000000566</v>
      </c>
      <c r="P62" s="236" t="s">
        <v>95</v>
      </c>
    </row>
    <row r="63" spans="2:16" ht="24.75" customHeight="1">
      <c r="C63" s="153"/>
      <c r="D63" s="154"/>
      <c r="E63" s="139"/>
      <c r="F63" s="139"/>
      <c r="G63" s="140"/>
      <c r="H63" s="139"/>
      <c r="I63" s="139"/>
      <c r="J63" s="141" t="s">
        <v>118</v>
      </c>
      <c r="K63" s="142"/>
      <c r="L63" s="155"/>
      <c r="M63" s="125">
        <f>SUM(M60:M62)</f>
        <v>8113136.8824828397</v>
      </c>
      <c r="N63" s="125">
        <f>SUM(N60:N62)</f>
        <v>8382541.2219828386</v>
      </c>
      <c r="O63" s="125">
        <f>SUM(O60:O62)</f>
        <v>-269404.33949999884</v>
      </c>
      <c r="P63" s="236"/>
    </row>
    <row r="64" spans="2:16" ht="29.25" customHeight="1">
      <c r="B64" s="103">
        <v>1930</v>
      </c>
      <c r="C64" s="147">
        <v>1930</v>
      </c>
      <c r="D64" s="151" t="s">
        <v>71</v>
      </c>
      <c r="E64" s="124">
        <v>7430255.1270172177</v>
      </c>
      <c r="F64" s="124">
        <v>1852723.5500000003</v>
      </c>
      <c r="G64" s="125">
        <f>E64-F64</f>
        <v>5577531.5770172179</v>
      </c>
      <c r="H64" s="124">
        <v>855999.76</v>
      </c>
      <c r="I64" s="124"/>
      <c r="J64" s="124">
        <f t="shared" ref="J64:J66" si="16">G64+0.5*H64+0.5*I64</f>
        <v>6005531.4570172178</v>
      </c>
      <c r="K64" s="126">
        <v>7</v>
      </c>
      <c r="L64" s="146">
        <f t="shared" si="3"/>
        <v>0.14285714285714285</v>
      </c>
      <c r="M64" s="135">
        <f t="shared" si="12"/>
        <v>857933.06528817397</v>
      </c>
      <c r="N64" s="135">
        <v>1009466.1981453156</v>
      </c>
      <c r="O64" s="152">
        <f t="shared" si="15"/>
        <v>-151533.13285714167</v>
      </c>
      <c r="P64" s="236" t="s">
        <v>95</v>
      </c>
    </row>
    <row r="65" spans="2:16">
      <c r="B65" s="103">
        <v>1931</v>
      </c>
      <c r="C65" s="147">
        <v>1930</v>
      </c>
      <c r="D65" s="151" t="s">
        <v>72</v>
      </c>
      <c r="E65" s="124">
        <v>8970839.8399999999</v>
      </c>
      <c r="F65" s="124">
        <v>673.57999999999993</v>
      </c>
      <c r="G65" s="125">
        <f>E65-F65</f>
        <v>8970166.2599999998</v>
      </c>
      <c r="H65" s="124">
        <v>2268400.4000000004</v>
      </c>
      <c r="I65" s="124"/>
      <c r="J65" s="124">
        <f t="shared" si="16"/>
        <v>10104366.460000001</v>
      </c>
      <c r="K65" s="126">
        <v>12</v>
      </c>
      <c r="L65" s="146">
        <f t="shared" si="3"/>
        <v>8.3333333333333329E-2</v>
      </c>
      <c r="M65" s="135">
        <f t="shared" si="12"/>
        <v>842030.53833333345</v>
      </c>
      <c r="N65" s="135">
        <v>935862.7995833332</v>
      </c>
      <c r="O65" s="152">
        <f t="shared" si="15"/>
        <v>-93832.261249999749</v>
      </c>
      <c r="P65" s="236" t="s">
        <v>95</v>
      </c>
    </row>
    <row r="66" spans="2:16">
      <c r="B66" s="103">
        <v>1932</v>
      </c>
      <c r="C66" s="147">
        <v>1930</v>
      </c>
      <c r="D66" s="151" t="s">
        <v>73</v>
      </c>
      <c r="E66" s="124">
        <v>165563.29</v>
      </c>
      <c r="F66" s="124"/>
      <c r="G66" s="125">
        <f>E66-F66</f>
        <v>165563.29</v>
      </c>
      <c r="H66" s="124">
        <v>0</v>
      </c>
      <c r="I66" s="124"/>
      <c r="J66" s="124">
        <f t="shared" si="16"/>
        <v>165563.29</v>
      </c>
      <c r="K66" s="126">
        <v>22</v>
      </c>
      <c r="L66" s="146">
        <f t="shared" si="3"/>
        <v>4.5454545454545456E-2</v>
      </c>
      <c r="M66" s="135">
        <f t="shared" si="12"/>
        <v>7525.6040909090916</v>
      </c>
      <c r="N66" s="135">
        <v>8082.7718181818182</v>
      </c>
      <c r="O66" s="152">
        <f t="shared" si="15"/>
        <v>-557.16772727272655</v>
      </c>
      <c r="P66" s="236" t="s">
        <v>95</v>
      </c>
    </row>
    <row r="67" spans="2:16" ht="18.75" customHeight="1">
      <c r="C67" s="137"/>
      <c r="D67" s="138"/>
      <c r="E67" s="139"/>
      <c r="F67" s="139"/>
      <c r="G67" s="140"/>
      <c r="H67" s="139"/>
      <c r="I67" s="139"/>
      <c r="J67" s="141" t="s">
        <v>89</v>
      </c>
      <c r="K67" s="142"/>
      <c r="L67" s="143"/>
      <c r="M67" s="125">
        <f>SUM(M64:M66)</f>
        <v>1707489.2077124165</v>
      </c>
      <c r="N67" s="125">
        <f>SUM(N64:N66)</f>
        <v>1953411.7695468306</v>
      </c>
      <c r="O67" s="152">
        <f>+M67-N67</f>
        <v>-245922.56183441402</v>
      </c>
      <c r="P67" s="236"/>
    </row>
    <row r="68" spans="2:16">
      <c r="B68" s="103">
        <v>1935</v>
      </c>
      <c r="C68" s="147">
        <v>1935</v>
      </c>
      <c r="D68" s="148" t="s">
        <v>36</v>
      </c>
      <c r="E68" s="124">
        <v>680930.7026550764</v>
      </c>
      <c r="F68" s="124"/>
      <c r="G68" s="125">
        <f>E68-F68</f>
        <v>680930.7026550764</v>
      </c>
      <c r="H68" s="124">
        <v>0</v>
      </c>
      <c r="I68" s="124"/>
      <c r="J68" s="124">
        <f t="shared" ref="J68:J71" si="17">G68+0.5*H68+0.5*I68</f>
        <v>680930.7026550764</v>
      </c>
      <c r="K68" s="126">
        <v>10</v>
      </c>
      <c r="L68" s="146">
        <f t="shared" si="3"/>
        <v>0.1</v>
      </c>
      <c r="M68" s="135">
        <f t="shared" si="12"/>
        <v>68093.070265507646</v>
      </c>
      <c r="N68" s="135">
        <v>65482.313765507643</v>
      </c>
      <c r="O68" s="129">
        <f>+M68-N68</f>
        <v>2610.7565000000031</v>
      </c>
      <c r="P68" s="236" t="s">
        <v>95</v>
      </c>
    </row>
    <row r="69" spans="2:16" ht="16.5" customHeight="1">
      <c r="B69" s="103">
        <v>1940</v>
      </c>
      <c r="C69" s="147">
        <v>1940</v>
      </c>
      <c r="D69" s="148" t="s">
        <v>37</v>
      </c>
      <c r="E69" s="124">
        <v>4874725.6700000009</v>
      </c>
      <c r="F69" s="124">
        <v>580506.53999999992</v>
      </c>
      <c r="G69" s="125">
        <f>E69-F69</f>
        <v>4294219.1300000008</v>
      </c>
      <c r="H69" s="124">
        <v>478193.41999999993</v>
      </c>
      <c r="I69" s="124"/>
      <c r="J69" s="124">
        <f t="shared" si="17"/>
        <v>4533315.8400000008</v>
      </c>
      <c r="K69" s="126">
        <v>10</v>
      </c>
      <c r="L69" s="146">
        <f t="shared" si="3"/>
        <v>0.1</v>
      </c>
      <c r="M69" s="135">
        <f t="shared" si="12"/>
        <v>453331.58400000009</v>
      </c>
      <c r="N69" s="135">
        <v>497772.35000000009</v>
      </c>
      <c r="O69" s="129">
        <f>+M69-N69</f>
        <v>-44440.766000000003</v>
      </c>
      <c r="P69" s="236" t="s">
        <v>95</v>
      </c>
    </row>
    <row r="70" spans="2:16" ht="24.75" customHeight="1">
      <c r="B70" s="103">
        <v>1955</v>
      </c>
      <c r="C70" s="147">
        <v>1955</v>
      </c>
      <c r="D70" s="148" t="s">
        <v>38</v>
      </c>
      <c r="E70" s="124">
        <v>2540932.3138659364</v>
      </c>
      <c r="F70" s="124">
        <v>1306934.3399999999</v>
      </c>
      <c r="G70" s="125">
        <f>E70-F70</f>
        <v>1233997.9738659365</v>
      </c>
      <c r="H70" s="124">
        <v>267500</v>
      </c>
      <c r="I70" s="124"/>
      <c r="J70" s="124">
        <f t="shared" si="17"/>
        <v>1367747.9738659365</v>
      </c>
      <c r="K70" s="126">
        <v>6</v>
      </c>
      <c r="L70" s="146">
        <f t="shared" si="3"/>
        <v>0.16666666666666666</v>
      </c>
      <c r="M70" s="135">
        <f t="shared" si="12"/>
        <v>227957.99564432274</v>
      </c>
      <c r="N70" s="135">
        <v>209085.27588659376</v>
      </c>
      <c r="O70" s="152">
        <f t="shared" ref="O70:O77" si="18">+M70-N70</f>
        <v>18872.719757728977</v>
      </c>
      <c r="P70" s="236" t="s">
        <v>95</v>
      </c>
    </row>
    <row r="71" spans="2:16">
      <c r="B71" s="103">
        <v>1956</v>
      </c>
      <c r="C71" s="147">
        <v>1955</v>
      </c>
      <c r="D71" s="131" t="s">
        <v>48</v>
      </c>
      <c r="E71" s="124">
        <v>58854.070000000007</v>
      </c>
      <c r="F71" s="125">
        <v>58854.07</v>
      </c>
      <c r="G71" s="125">
        <f>E71-F71</f>
        <v>0</v>
      </c>
      <c r="H71" s="124">
        <v>0</v>
      </c>
      <c r="I71" s="124"/>
      <c r="J71" s="124">
        <f t="shared" si="17"/>
        <v>0</v>
      </c>
      <c r="K71" s="126">
        <v>3</v>
      </c>
      <c r="L71" s="146">
        <f t="shared" si="3"/>
        <v>0.33333333333333331</v>
      </c>
      <c r="M71" s="135">
        <f>IF(K71=0,"",J71/K71)</f>
        <v>0</v>
      </c>
      <c r="N71" s="135">
        <v>-3.979039320256561E-13</v>
      </c>
      <c r="O71" s="152">
        <f t="shared" si="18"/>
        <v>3.979039320256561E-13</v>
      </c>
      <c r="P71" s="236" t="s">
        <v>95</v>
      </c>
    </row>
    <row r="72" spans="2:16" ht="18">
      <c r="C72" s="137"/>
      <c r="D72" s="138"/>
      <c r="E72" s="139"/>
      <c r="F72" s="139"/>
      <c r="G72" s="140"/>
      <c r="H72" s="139"/>
      <c r="I72" s="139"/>
      <c r="J72" s="141" t="s">
        <v>90</v>
      </c>
      <c r="K72" s="142"/>
      <c r="L72" s="143"/>
      <c r="M72" s="125">
        <f>SUM(M70:M71)</f>
        <v>227957.99564432274</v>
      </c>
      <c r="N72" s="125">
        <f>SUM(N70:N71)</f>
        <v>209085.27588659376</v>
      </c>
      <c r="O72" s="129">
        <f>+M72-N72</f>
        <v>18872.719757728977</v>
      </c>
      <c r="P72" s="236"/>
    </row>
    <row r="73" spans="2:16" ht="26.25" customHeight="1">
      <c r="B73" s="103">
        <v>1960</v>
      </c>
      <c r="C73" s="147">
        <v>1960</v>
      </c>
      <c r="D73" s="148" t="s">
        <v>39</v>
      </c>
      <c r="E73" s="124">
        <v>0</v>
      </c>
      <c r="F73" s="124"/>
      <c r="G73" s="125">
        <f>E73-F73</f>
        <v>0</v>
      </c>
      <c r="H73" s="124">
        <v>0</v>
      </c>
      <c r="I73" s="124"/>
      <c r="J73" s="124">
        <f t="shared" ref="J73:J77" si="19">G73+0.5*H73+0.5*I73</f>
        <v>0</v>
      </c>
      <c r="K73" s="126">
        <v>0</v>
      </c>
      <c r="L73" s="146" t="str">
        <f t="shared" si="3"/>
        <v/>
      </c>
      <c r="M73" s="135" t="str">
        <f>IF(K73=0,"",J73/K73)</f>
        <v/>
      </c>
      <c r="N73" s="152">
        <v>0</v>
      </c>
      <c r="O73" s="152"/>
      <c r="P73" s="236"/>
    </row>
    <row r="74" spans="2:16" ht="14.25" customHeight="1">
      <c r="B74" s="103">
        <v>1961</v>
      </c>
      <c r="C74" s="147">
        <v>1961</v>
      </c>
      <c r="D74" s="131" t="s">
        <v>49</v>
      </c>
      <c r="E74" s="124">
        <v>0</v>
      </c>
      <c r="F74" s="124"/>
      <c r="G74" s="125">
        <f>E74-F74</f>
        <v>0</v>
      </c>
      <c r="H74" s="124">
        <v>0</v>
      </c>
      <c r="I74" s="124"/>
      <c r="J74" s="124">
        <f t="shared" si="19"/>
        <v>0</v>
      </c>
      <c r="K74" s="126">
        <v>0</v>
      </c>
      <c r="L74" s="146" t="str">
        <f t="shared" si="3"/>
        <v/>
      </c>
      <c r="M74" s="135">
        <v>0</v>
      </c>
      <c r="N74" s="135">
        <v>-45.38</v>
      </c>
      <c r="O74" s="152">
        <f t="shared" si="18"/>
        <v>45.38</v>
      </c>
      <c r="P74" s="236" t="s">
        <v>95</v>
      </c>
    </row>
    <row r="75" spans="2:16" ht="23.25" customHeight="1">
      <c r="B75" s="103">
        <v>1980</v>
      </c>
      <c r="C75" s="147">
        <v>1980</v>
      </c>
      <c r="D75" s="148" t="s">
        <v>40</v>
      </c>
      <c r="E75" s="124">
        <v>3037887.9700000011</v>
      </c>
      <c r="F75" s="124">
        <v>365672.08999999997</v>
      </c>
      <c r="G75" s="125">
        <f>E75-F75</f>
        <v>2672215.8800000013</v>
      </c>
      <c r="H75" s="124">
        <v>707525.81</v>
      </c>
      <c r="I75" s="124"/>
      <c r="J75" s="124">
        <f t="shared" si="19"/>
        <v>3025978.7850000011</v>
      </c>
      <c r="K75" s="126">
        <v>15</v>
      </c>
      <c r="L75" s="146">
        <f t="shared" si="3"/>
        <v>6.6666666666666666E-2</v>
      </c>
      <c r="M75" s="135">
        <f>IF(K75=0,"",J75/K75)</f>
        <v>201731.91900000008</v>
      </c>
      <c r="N75" s="156">
        <v>251546.5282222222</v>
      </c>
      <c r="O75" s="152">
        <f t="shared" si="18"/>
        <v>-49814.60922222212</v>
      </c>
      <c r="P75" s="236" t="s">
        <v>95</v>
      </c>
    </row>
    <row r="76" spans="2:16" ht="14.25">
      <c r="B76" s="103">
        <v>1981</v>
      </c>
      <c r="C76" s="147">
        <v>1980</v>
      </c>
      <c r="D76" s="131" t="s">
        <v>74</v>
      </c>
      <c r="E76" s="124">
        <v>8470972.2090305779</v>
      </c>
      <c r="F76" s="124">
        <v>1351720.75</v>
      </c>
      <c r="G76" s="125">
        <f>E76-F76</f>
        <v>7119251.4590305779</v>
      </c>
      <c r="H76" s="124">
        <v>193195.4</v>
      </c>
      <c r="I76" s="124"/>
      <c r="J76" s="124">
        <f t="shared" si="19"/>
        <v>7215849.1590305781</v>
      </c>
      <c r="K76" s="126">
        <v>15</v>
      </c>
      <c r="L76" s="146">
        <f t="shared" si="3"/>
        <v>6.6666666666666666E-2</v>
      </c>
      <c r="M76" s="135">
        <f>IF(K76=0,"",J76/K76)</f>
        <v>481056.61060203856</v>
      </c>
      <c r="N76" s="156">
        <v>674424.45693537185</v>
      </c>
      <c r="O76" s="152">
        <f t="shared" si="18"/>
        <v>-193367.84633333329</v>
      </c>
      <c r="P76" s="236" t="s">
        <v>95</v>
      </c>
    </row>
    <row r="77" spans="2:16" ht="14.25">
      <c r="B77" s="103">
        <v>1982</v>
      </c>
      <c r="C77" s="147">
        <v>1980</v>
      </c>
      <c r="D77" s="131" t="s">
        <v>75</v>
      </c>
      <c r="E77" s="124">
        <v>1096176.9356292516</v>
      </c>
      <c r="F77" s="124">
        <v>344236.48</v>
      </c>
      <c r="G77" s="125">
        <f>E77-F77</f>
        <v>751940.45562925166</v>
      </c>
      <c r="H77" s="124">
        <v>695500</v>
      </c>
      <c r="I77" s="124"/>
      <c r="J77" s="124">
        <f t="shared" si="19"/>
        <v>1099690.4556292517</v>
      </c>
      <c r="K77" s="126">
        <v>10</v>
      </c>
      <c r="L77" s="146">
        <f t="shared" si="3"/>
        <v>0.1</v>
      </c>
      <c r="M77" s="135">
        <f>IF(K77=0,"",J77/K77)</f>
        <v>109969.04556292517</v>
      </c>
      <c r="N77" s="156">
        <f>117681.943562925+7</f>
        <v>117688.94356292499</v>
      </c>
      <c r="O77" s="152">
        <f t="shared" si="18"/>
        <v>-7719.8979999998264</v>
      </c>
      <c r="P77" s="236" t="s">
        <v>95</v>
      </c>
    </row>
    <row r="78" spans="2:16" ht="18">
      <c r="C78" s="137"/>
      <c r="D78" s="138"/>
      <c r="E78" s="139"/>
      <c r="F78" s="139"/>
      <c r="G78" s="140"/>
      <c r="H78" s="139"/>
      <c r="I78" s="139"/>
      <c r="J78" s="141" t="s">
        <v>93</v>
      </c>
      <c r="K78" s="142"/>
      <c r="L78" s="143"/>
      <c r="M78" s="125">
        <f>SUM(M75:M77)</f>
        <v>792757.57516496384</v>
      </c>
      <c r="N78" s="125">
        <f>SUM(N75:N77)</f>
        <v>1043659.9287205191</v>
      </c>
      <c r="O78" s="129">
        <f>+M78-N78</f>
        <v>-250902.35355555522</v>
      </c>
      <c r="P78" s="236"/>
    </row>
    <row r="79" spans="2:16" ht="27" customHeight="1">
      <c r="B79" s="103">
        <v>1985</v>
      </c>
      <c r="C79" s="147">
        <v>1985</v>
      </c>
      <c r="D79" s="151" t="s">
        <v>50</v>
      </c>
      <c r="E79" s="124">
        <v>0</v>
      </c>
      <c r="F79" s="124"/>
      <c r="G79" s="125">
        <f t="shared" ref="G79:G84" si="20">E79-F79</f>
        <v>0</v>
      </c>
      <c r="H79" s="124">
        <v>0</v>
      </c>
      <c r="I79" s="124"/>
      <c r="J79" s="124">
        <f t="shared" ref="J79:J83" si="21">G79+0.5*H79+0.5*I79</f>
        <v>0</v>
      </c>
      <c r="K79" s="126">
        <v>0</v>
      </c>
      <c r="L79" s="146" t="str">
        <f t="shared" si="3"/>
        <v/>
      </c>
      <c r="M79" s="135">
        <v>0</v>
      </c>
      <c r="N79" s="135">
        <v>0</v>
      </c>
      <c r="O79" s="149"/>
      <c r="P79" s="236"/>
    </row>
    <row r="80" spans="2:16">
      <c r="B80" s="103" t="s">
        <v>140</v>
      </c>
      <c r="C80" s="147">
        <v>1995</v>
      </c>
      <c r="D80" s="148" t="s">
        <v>41</v>
      </c>
      <c r="E80" s="124">
        <v>-341879832.97589505</v>
      </c>
      <c r="F80" s="124">
        <v>-111929.37</v>
      </c>
      <c r="G80" s="125">
        <f t="shared" si="20"/>
        <v>-341767903.60589504</v>
      </c>
      <c r="H80" s="124">
        <v>-22013854.750000004</v>
      </c>
      <c r="I80" s="124">
        <v>992581.00000000023</v>
      </c>
      <c r="J80" s="124">
        <f t="shared" si="21"/>
        <v>-352278540.48089504</v>
      </c>
      <c r="K80" s="126">
        <v>38</v>
      </c>
      <c r="L80" s="146">
        <f t="shared" si="3"/>
        <v>2.6315789473684209E-2</v>
      </c>
      <c r="M80" s="135">
        <f>IF(K80=0,"",J80/K80)</f>
        <v>-9270487.9073919747</v>
      </c>
      <c r="N80" s="135">
        <v>-10573396.667345775</v>
      </c>
      <c r="O80" s="152">
        <f>+M80-N80</f>
        <v>1302908.7599538006</v>
      </c>
      <c r="P80" s="236" t="s">
        <v>95</v>
      </c>
    </row>
    <row r="81" spans="2:16">
      <c r="B81" s="103">
        <v>2005</v>
      </c>
      <c r="C81" s="147">
        <v>2005</v>
      </c>
      <c r="D81" s="132" t="s">
        <v>51</v>
      </c>
      <c r="E81" s="124">
        <v>17549082.289999999</v>
      </c>
      <c r="F81" s="124"/>
      <c r="G81" s="125">
        <f t="shared" si="20"/>
        <v>17549082.289999999</v>
      </c>
      <c r="H81" s="124">
        <v>0</v>
      </c>
      <c r="I81" s="124"/>
      <c r="J81" s="124">
        <f t="shared" si="21"/>
        <v>17549082.289999999</v>
      </c>
      <c r="K81" s="126">
        <v>25</v>
      </c>
      <c r="L81" s="146">
        <f>IF(K81=0,"",1/K81)</f>
        <v>0.04</v>
      </c>
      <c r="M81" s="135">
        <f>IF(K81=0,"",J81/K81)</f>
        <v>701963.2916</v>
      </c>
      <c r="N81" s="135">
        <v>732713.23</v>
      </c>
      <c r="O81" s="129">
        <f>+M81-N81</f>
        <v>-30749.938399999985</v>
      </c>
      <c r="P81" s="236" t="s">
        <v>95</v>
      </c>
    </row>
    <row r="82" spans="2:16">
      <c r="B82" s="103">
        <v>1611</v>
      </c>
      <c r="C82" s="147">
        <v>1611</v>
      </c>
      <c r="D82" s="151" t="s">
        <v>52</v>
      </c>
      <c r="E82" s="124">
        <v>4954192.92</v>
      </c>
      <c r="F82" s="124"/>
      <c r="G82" s="125">
        <f t="shared" si="20"/>
        <v>4954192.92</v>
      </c>
      <c r="H82" s="124">
        <v>0</v>
      </c>
      <c r="I82" s="124"/>
      <c r="J82" s="124">
        <f t="shared" si="21"/>
        <v>4954192.92</v>
      </c>
      <c r="K82" s="126">
        <v>25</v>
      </c>
      <c r="L82" s="146">
        <f>IF(K82=0,"",1/K82)</f>
        <v>0.04</v>
      </c>
      <c r="M82" s="135">
        <f>IF(K82=0,"",J82/K82)</f>
        <v>198167.71679999999</v>
      </c>
      <c r="N82" s="135">
        <v>288281.38</v>
      </c>
      <c r="O82" s="129">
        <f>+M82-N82</f>
        <v>-90113.66320000001</v>
      </c>
      <c r="P82" s="236" t="s">
        <v>95</v>
      </c>
    </row>
    <row r="83" spans="2:16">
      <c r="C83" s="147"/>
      <c r="D83" s="148"/>
      <c r="E83" s="124"/>
      <c r="F83" s="124"/>
      <c r="G83" s="125">
        <f t="shared" si="20"/>
        <v>0</v>
      </c>
      <c r="H83" s="124"/>
      <c r="I83" s="124"/>
      <c r="J83" s="124">
        <f t="shared" si="21"/>
        <v>0</v>
      </c>
      <c r="K83" s="126"/>
      <c r="L83" s="146" t="str">
        <f>IF(K83=0,"",1/K83)</f>
        <v/>
      </c>
      <c r="M83" s="128" t="str">
        <f>IF(K83=0,"",J83/K83)</f>
        <v/>
      </c>
      <c r="N83" s="128"/>
      <c r="O83" s="129"/>
      <c r="P83" s="236"/>
    </row>
    <row r="84" spans="2:16" ht="13.5" thickBot="1">
      <c r="C84" s="157"/>
      <c r="D84" s="158"/>
      <c r="E84" s="159"/>
      <c r="F84" s="159"/>
      <c r="G84" s="160">
        <f t="shared" si="20"/>
        <v>0</v>
      </c>
      <c r="H84" s="159"/>
      <c r="I84" s="159"/>
      <c r="J84" s="161">
        <f>G84+0.5*H84</f>
        <v>0</v>
      </c>
      <c r="K84" s="162"/>
      <c r="L84" s="163" t="str">
        <f>IF(K84=0,"",1/K84)</f>
        <v/>
      </c>
      <c r="M84" s="164" t="str">
        <f>IF(K84=0,"",J84/K84)</f>
        <v/>
      </c>
      <c r="N84" s="164"/>
      <c r="O84" s="165"/>
      <c r="P84" s="239"/>
    </row>
    <row r="85" spans="2:16" ht="14.25" thickTop="1" thickBot="1">
      <c r="C85" s="166"/>
      <c r="D85" s="167" t="s">
        <v>42</v>
      </c>
      <c r="E85" s="168">
        <f t="shared" ref="E85:J85" si="22">SUM(E16:E84)</f>
        <v>1068470926.1094642</v>
      </c>
      <c r="F85" s="168">
        <f t="shared" si="22"/>
        <v>29049543.529999997</v>
      </c>
      <c r="G85" s="168">
        <f t="shared" si="22"/>
        <v>1029542886.0894643</v>
      </c>
      <c r="H85" s="168">
        <f t="shared" si="22"/>
        <v>117390095.69425547</v>
      </c>
      <c r="I85" s="168">
        <f>SUM(I16:I84)</f>
        <v>-2734108.1446969695</v>
      </c>
      <c r="J85" s="168">
        <f t="shared" si="22"/>
        <v>1086870879.8642433</v>
      </c>
      <c r="K85" s="169"/>
      <c r="L85" s="170"/>
      <c r="M85" s="171">
        <f>+M18+M29+M34+M36+M37+M38+M39+M41+M42+M43+M44+M45+M46+M47+M52+M53+M59+M67+M68+M69+M72+M78+M80+M81+M82+M48+M63+M74+M40</f>
        <v>41674058.922352374</v>
      </c>
      <c r="N85" s="171">
        <f>+N18+N29+N34+N36+N37+N38+N39+N41+N42+N43+N44+N45+N46+N47+N52+N53+N59+N67+N68+N69+N72+N78+N80+N81+N82+N48+N63+N74+N40</f>
        <v>48229730.864221446</v>
      </c>
      <c r="O85" s="171">
        <f>+O18+O29+O34+O36+O37+O38+O39+O41+O42+O43+O44+O45+O46+O47+O52+O53+O59+O67+O68+O69+O72+O78+O80+O81+O82+O48+O63+O74+O40</f>
        <v>-6555671.9418690773</v>
      </c>
      <c r="P85" s="172"/>
    </row>
    <row r="86" spans="2:16" ht="15.75" customHeight="1">
      <c r="O86" s="173">
        <f>+M85-N85</f>
        <v>-6555671.9418690726</v>
      </c>
      <c r="P86" s="103" t="s">
        <v>164</v>
      </c>
    </row>
    <row r="87" spans="2:16" ht="11.25" customHeight="1">
      <c r="C87" s="104" t="s">
        <v>43</v>
      </c>
      <c r="D87" s="136"/>
      <c r="E87" s="136"/>
      <c r="F87" s="174"/>
      <c r="G87" s="175"/>
      <c r="H87" s="136"/>
      <c r="I87" s="136"/>
      <c r="J87" s="136"/>
      <c r="K87" s="136"/>
      <c r="L87" s="136"/>
      <c r="M87" s="136"/>
      <c r="N87" s="136"/>
      <c r="O87" s="136"/>
    </row>
    <row r="88" spans="2:16" ht="7.5" customHeight="1">
      <c r="C88" s="136"/>
      <c r="D88" s="136"/>
      <c r="E88" s="136"/>
      <c r="F88" s="136"/>
      <c r="G88" s="136"/>
      <c r="H88" s="136"/>
      <c r="I88" s="136"/>
      <c r="J88" s="136"/>
      <c r="K88" s="136"/>
      <c r="L88" s="136"/>
      <c r="M88" s="136"/>
      <c r="N88" s="136"/>
      <c r="O88" s="136"/>
    </row>
    <row r="89" spans="2:16" ht="12.75" customHeight="1">
      <c r="C89" s="263" t="s">
        <v>151</v>
      </c>
      <c r="D89" s="263"/>
      <c r="E89" s="263"/>
      <c r="F89" s="263"/>
      <c r="G89" s="263"/>
      <c r="H89" s="263"/>
      <c r="I89" s="263"/>
      <c r="J89" s="263"/>
      <c r="K89" s="263"/>
      <c r="L89" s="263"/>
      <c r="M89" s="263"/>
    </row>
    <row r="90" spans="2:16" ht="21" customHeight="1">
      <c r="C90" s="258" t="s">
        <v>97</v>
      </c>
      <c r="D90" s="258"/>
      <c r="E90" s="258"/>
      <c r="F90" s="258"/>
      <c r="G90" s="258"/>
      <c r="H90" s="258"/>
      <c r="I90" s="258"/>
      <c r="J90" s="258"/>
      <c r="K90" s="258"/>
      <c r="L90" s="258"/>
    </row>
    <row r="91" spans="2:16" ht="14.25" customHeight="1">
      <c r="C91" s="260" t="s">
        <v>91</v>
      </c>
      <c r="D91" s="260"/>
      <c r="E91" s="260"/>
      <c r="F91" s="260"/>
      <c r="G91" s="260"/>
      <c r="H91" s="260"/>
      <c r="I91" s="260"/>
      <c r="J91" s="260"/>
      <c r="K91" s="260"/>
      <c r="L91" s="260"/>
    </row>
    <row r="92" spans="2:16" ht="19.5" customHeight="1">
      <c r="C92" s="260"/>
      <c r="D92" s="260"/>
      <c r="E92" s="260"/>
      <c r="F92" s="260"/>
      <c r="G92" s="260"/>
      <c r="H92" s="260"/>
      <c r="I92" s="260"/>
      <c r="J92" s="260"/>
      <c r="K92" s="260"/>
      <c r="L92" s="260"/>
    </row>
    <row r="93" spans="2:16" ht="12" customHeight="1">
      <c r="C93" s="258" t="s">
        <v>158</v>
      </c>
      <c r="D93" s="262"/>
      <c r="E93" s="262"/>
      <c r="F93" s="262"/>
      <c r="G93" s="262"/>
      <c r="H93" s="262"/>
      <c r="I93" s="262"/>
      <c r="J93" s="262"/>
      <c r="K93" s="262"/>
      <c r="L93" s="262"/>
      <c r="M93" s="136"/>
      <c r="N93" s="136"/>
      <c r="O93" s="136"/>
    </row>
    <row r="94" spans="2:16" ht="17.25" customHeight="1">
      <c r="C94" s="258" t="s">
        <v>150</v>
      </c>
      <c r="D94" s="259"/>
      <c r="E94" s="259"/>
      <c r="F94" s="259"/>
      <c r="G94" s="259"/>
      <c r="H94" s="259"/>
      <c r="I94" s="259"/>
      <c r="J94" s="259"/>
      <c r="K94" s="259"/>
      <c r="L94" s="259"/>
      <c r="M94" s="259"/>
      <c r="N94" s="259"/>
      <c r="O94" s="259"/>
    </row>
    <row r="95" spans="2:16">
      <c r="C95" s="136"/>
      <c r="D95" s="176"/>
      <c r="E95" s="176"/>
      <c r="F95" s="176"/>
      <c r="G95" s="176"/>
      <c r="H95" s="176"/>
      <c r="I95" s="176"/>
      <c r="J95" s="176"/>
      <c r="K95" s="176"/>
      <c r="L95" s="176"/>
      <c r="M95" s="176"/>
      <c r="N95" s="176"/>
      <c r="O95" s="176"/>
    </row>
    <row r="96" spans="2:16">
      <c r="C96" s="136"/>
      <c r="D96" s="176"/>
      <c r="E96" s="176"/>
      <c r="F96" s="176"/>
      <c r="G96" s="176"/>
      <c r="H96" s="176"/>
      <c r="I96" s="176"/>
      <c r="J96" s="176"/>
      <c r="K96" s="176"/>
      <c r="L96" s="176"/>
      <c r="M96" s="176"/>
      <c r="N96" s="176"/>
      <c r="O96" s="176"/>
    </row>
  </sheetData>
  <mergeCells count="10">
    <mergeCell ref="C94:O94"/>
    <mergeCell ref="C9:M9"/>
    <mergeCell ref="C10:M10"/>
    <mergeCell ref="C14:C15"/>
    <mergeCell ref="D14:D15"/>
    <mergeCell ref="P14:P15"/>
    <mergeCell ref="C90:L90"/>
    <mergeCell ref="C91:L92"/>
    <mergeCell ref="C93:L93"/>
    <mergeCell ref="C89:M89"/>
  </mergeCells>
  <dataValidations disablePrompts="1" count="2">
    <dataValidation allowBlank="1" showInputMessage="1" showErrorMessage="1" promptTitle="Date Format" prompt="E.g:  &quot;August 1, 2011&quot;" sqref="M7:O7"/>
    <dataValidation type="list" allowBlank="1" showInputMessage="1" showErrorMessage="1" sqref="P16:P84">
      <formula1>"Yes, No"</formula1>
    </dataValidation>
  </dataValidations>
  <printOptions horizontalCentered="1"/>
  <pageMargins left="0" right="0" top="0.13" bottom="0" header="0" footer="0"/>
  <pageSetup paperSize="17" scale="49" orientation="landscape" cellComments="asDisplayed" r:id="rId1"/>
  <headerFooter alignWithMargins="0"/>
  <rowBreaks count="1" manualBreakCount="1">
    <brk id="52"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96"/>
  <sheetViews>
    <sheetView showGridLines="0" topLeftCell="E1" zoomScaleNormal="100" workbookViewId="0">
      <selection activeCell="M5" sqref="M5"/>
    </sheetView>
  </sheetViews>
  <sheetFormatPr defaultRowHeight="12.75"/>
  <cols>
    <col min="1" max="1" width="2.7109375" style="103" customWidth="1"/>
    <col min="2" max="2" width="6.5703125" style="103" customWidth="1"/>
    <col min="3" max="3" width="9.140625" style="103"/>
    <col min="4" max="4" width="38.5703125" style="103" customWidth="1"/>
    <col min="5" max="5" width="17.140625" style="103" customWidth="1"/>
    <col min="6" max="6" width="14" style="103" customWidth="1"/>
    <col min="7" max="7" width="16.5703125" style="103" customWidth="1"/>
    <col min="8" max="8" width="13.7109375" style="103" customWidth="1"/>
    <col min="9" max="9" width="13.42578125" style="103" customWidth="1"/>
    <col min="10" max="10" width="17.85546875" style="103" customWidth="1"/>
    <col min="11" max="11" width="7.7109375" style="103" customWidth="1"/>
    <col min="12" max="12" width="12.28515625" style="103" customWidth="1"/>
    <col min="13" max="13" width="15.140625" style="103" bestFit="1" customWidth="1"/>
    <col min="14" max="15" width="15" style="103" customWidth="1"/>
    <col min="16" max="16" width="15.85546875" style="103" customWidth="1"/>
    <col min="17" max="16384" width="9.140625" style="103"/>
  </cols>
  <sheetData>
    <row r="1" spans="2:16">
      <c r="K1" s="104" t="s">
        <v>0</v>
      </c>
      <c r="M1" s="105" t="s">
        <v>128</v>
      </c>
      <c r="N1" s="105"/>
      <c r="O1" s="105"/>
    </row>
    <row r="2" spans="2:16">
      <c r="K2" s="104" t="s">
        <v>1</v>
      </c>
      <c r="M2" s="105" t="s">
        <v>145</v>
      </c>
      <c r="N2" s="105"/>
      <c r="O2" s="105"/>
    </row>
    <row r="3" spans="2:16">
      <c r="K3" s="104" t="s">
        <v>2</v>
      </c>
      <c r="M3" s="106"/>
      <c r="N3" s="105"/>
      <c r="O3" s="105"/>
    </row>
    <row r="4" spans="2:16">
      <c r="K4" s="104" t="s">
        <v>3</v>
      </c>
      <c r="M4" s="105"/>
      <c r="N4" s="105"/>
      <c r="O4" s="105"/>
    </row>
    <row r="5" spans="2:16">
      <c r="K5" s="104" t="s">
        <v>4</v>
      </c>
      <c r="M5" s="105"/>
      <c r="N5" s="105"/>
      <c r="O5" s="105"/>
    </row>
    <row r="6" spans="2:16">
      <c r="K6" s="104"/>
    </row>
    <row r="7" spans="2:16">
      <c r="K7" s="104" t="s">
        <v>5</v>
      </c>
      <c r="M7" s="107" t="s">
        <v>153</v>
      </c>
      <c r="N7" s="107"/>
      <c r="O7" s="107"/>
    </row>
    <row r="9" spans="2:16" ht="18">
      <c r="C9" s="264" t="s">
        <v>145</v>
      </c>
      <c r="D9" s="264"/>
      <c r="E9" s="264"/>
      <c r="F9" s="264"/>
      <c r="G9" s="264"/>
      <c r="H9" s="264"/>
      <c r="I9" s="264"/>
      <c r="J9" s="264"/>
      <c r="K9" s="264"/>
      <c r="L9" s="264"/>
      <c r="M9" s="264"/>
      <c r="N9" s="108"/>
      <c r="O9" s="108"/>
    </row>
    <row r="10" spans="2:16" ht="18">
      <c r="C10" s="264" t="s">
        <v>6</v>
      </c>
      <c r="D10" s="264"/>
      <c r="E10" s="264"/>
      <c r="F10" s="264"/>
      <c r="G10" s="264"/>
      <c r="H10" s="264"/>
      <c r="I10" s="264"/>
      <c r="J10" s="264"/>
      <c r="K10" s="264"/>
      <c r="L10" s="264"/>
      <c r="M10" s="264"/>
      <c r="N10" s="108"/>
      <c r="O10" s="108"/>
    </row>
    <row r="11" spans="2:16" ht="13.5" customHeight="1">
      <c r="C11" s="108"/>
      <c r="D11" s="108"/>
      <c r="E11" s="108"/>
      <c r="F11" s="108"/>
      <c r="G11" s="108"/>
      <c r="H11" s="108"/>
      <c r="I11" s="108"/>
      <c r="J11" s="108"/>
      <c r="K11" s="108"/>
      <c r="L11" s="108"/>
      <c r="M11" s="108"/>
      <c r="N11" s="108"/>
      <c r="O11" s="108"/>
    </row>
    <row r="12" spans="2:16" ht="13.5" customHeight="1">
      <c r="C12" s="108"/>
      <c r="D12" s="108"/>
      <c r="E12" s="108"/>
      <c r="F12" s="109" t="s">
        <v>7</v>
      </c>
      <c r="G12" s="110">
        <v>2015</v>
      </c>
      <c r="H12" s="111" t="s">
        <v>54</v>
      </c>
      <c r="I12" s="111"/>
      <c r="J12" s="108"/>
      <c r="K12" s="108"/>
      <c r="L12" s="108"/>
      <c r="M12" s="108"/>
      <c r="N12" s="108"/>
      <c r="O12" s="108"/>
    </row>
    <row r="13" spans="2:16" ht="13.5" thickBot="1"/>
    <row r="14" spans="2:16" ht="39" customHeight="1">
      <c r="B14" s="103" t="s">
        <v>113</v>
      </c>
      <c r="C14" s="265" t="s">
        <v>8</v>
      </c>
      <c r="D14" s="267" t="s">
        <v>9</v>
      </c>
      <c r="E14" s="112" t="s">
        <v>129</v>
      </c>
      <c r="F14" s="113" t="s">
        <v>10</v>
      </c>
      <c r="G14" s="114" t="s">
        <v>11</v>
      </c>
      <c r="H14" s="114" t="s">
        <v>12</v>
      </c>
      <c r="I14" s="114" t="s">
        <v>81</v>
      </c>
      <c r="J14" s="114" t="s">
        <v>84</v>
      </c>
      <c r="K14" s="114" t="s">
        <v>13</v>
      </c>
      <c r="L14" s="114" t="s">
        <v>14</v>
      </c>
      <c r="M14" s="114" t="s">
        <v>130</v>
      </c>
      <c r="N14" s="114" t="s">
        <v>131</v>
      </c>
      <c r="O14" s="115" t="s">
        <v>98</v>
      </c>
      <c r="P14" s="256" t="s">
        <v>162</v>
      </c>
    </row>
    <row r="15" spans="2:16" ht="32.25" customHeight="1">
      <c r="C15" s="266"/>
      <c r="D15" s="268"/>
      <c r="E15" s="116" t="s">
        <v>15</v>
      </c>
      <c r="F15" s="116" t="s">
        <v>16</v>
      </c>
      <c r="G15" s="117" t="s">
        <v>17</v>
      </c>
      <c r="H15" s="117" t="s">
        <v>18</v>
      </c>
      <c r="I15" s="118" t="s">
        <v>19</v>
      </c>
      <c r="J15" s="119" t="s">
        <v>138</v>
      </c>
      <c r="K15" s="117" t="s">
        <v>19</v>
      </c>
      <c r="L15" s="117" t="s">
        <v>20</v>
      </c>
      <c r="M15" s="117" t="s">
        <v>21</v>
      </c>
      <c r="N15" s="117" t="s">
        <v>99</v>
      </c>
      <c r="O15" s="120" t="s">
        <v>100</v>
      </c>
      <c r="P15" s="257"/>
    </row>
    <row r="16" spans="2:16">
      <c r="B16" s="103">
        <v>1805</v>
      </c>
      <c r="C16" s="122">
        <v>1805</v>
      </c>
      <c r="D16" s="123" t="s">
        <v>22</v>
      </c>
      <c r="E16" s="124">
        <v>22421326.23</v>
      </c>
      <c r="F16" s="124"/>
      <c r="G16" s="125">
        <f t="shared" ref="G16:G28" si="0">E16-F16</f>
        <v>22421326.23</v>
      </c>
      <c r="H16" s="124">
        <v>1125310.92</v>
      </c>
      <c r="I16" s="124"/>
      <c r="J16" s="124">
        <f>G16+0.5*H16+0.5*I16</f>
        <v>22983981.690000001</v>
      </c>
      <c r="K16" s="126">
        <v>0</v>
      </c>
      <c r="L16" s="127" t="str">
        <f>IF(K16=0,"",1/K16)</f>
        <v/>
      </c>
      <c r="M16" s="128" t="str">
        <f t="shared" ref="M16:M48" si="1">IF(K16=0,"",J16/K16)</f>
        <v/>
      </c>
      <c r="N16" s="128">
        <v>0</v>
      </c>
      <c r="O16" s="129"/>
      <c r="P16" s="236"/>
    </row>
    <row r="17" spans="2:16">
      <c r="B17" s="103">
        <v>1806</v>
      </c>
      <c r="C17" s="130">
        <v>1806</v>
      </c>
      <c r="D17" s="131" t="s">
        <v>32</v>
      </c>
      <c r="E17" s="124">
        <v>872292.61999999988</v>
      </c>
      <c r="F17" s="124"/>
      <c r="G17" s="125">
        <f t="shared" si="0"/>
        <v>872292.61999999988</v>
      </c>
      <c r="H17" s="124">
        <v>32987.310000000005</v>
      </c>
      <c r="I17" s="124"/>
      <c r="J17" s="124">
        <f t="shared" ref="J17:J28" si="2">G17+0.5*H17+0.5*I17</f>
        <v>888786.27499999991</v>
      </c>
      <c r="K17" s="126">
        <v>0</v>
      </c>
      <c r="L17" s="127"/>
      <c r="M17" s="128" t="str">
        <f t="shared" si="1"/>
        <v/>
      </c>
      <c r="N17" s="128">
        <v>0</v>
      </c>
      <c r="O17" s="129"/>
      <c r="P17" s="236"/>
    </row>
    <row r="18" spans="2:16">
      <c r="B18" s="103">
        <v>1808</v>
      </c>
      <c r="C18" s="130">
        <v>1808</v>
      </c>
      <c r="D18" s="132" t="s">
        <v>23</v>
      </c>
      <c r="E18" s="124">
        <v>6717889.3100000005</v>
      </c>
      <c r="F18" s="124"/>
      <c r="G18" s="125">
        <f t="shared" si="0"/>
        <v>6717889.3100000005</v>
      </c>
      <c r="H18" s="124">
        <v>210772.94</v>
      </c>
      <c r="I18" s="124"/>
      <c r="J18" s="124">
        <f t="shared" si="2"/>
        <v>6823275.7800000003</v>
      </c>
      <c r="K18" s="126">
        <v>40</v>
      </c>
      <c r="L18" s="127">
        <f t="shared" ref="L18:L80" si="3">IF(K18=0,"",1/K18)</f>
        <v>2.5000000000000001E-2</v>
      </c>
      <c r="M18" s="128">
        <f t="shared" si="1"/>
        <v>170581.89449999999</v>
      </c>
      <c r="N18" s="128">
        <v>214908.57725</v>
      </c>
      <c r="O18" s="129">
        <f>+M18-N18</f>
        <v>-44326.682750000007</v>
      </c>
      <c r="P18" s="237" t="s">
        <v>95</v>
      </c>
    </row>
    <row r="19" spans="2:16">
      <c r="B19" s="103">
        <v>1810</v>
      </c>
      <c r="C19" s="130">
        <v>1810</v>
      </c>
      <c r="D19" s="131" t="s">
        <v>53</v>
      </c>
      <c r="E19" s="124">
        <v>9878496.4900000002</v>
      </c>
      <c r="F19" s="124"/>
      <c r="G19" s="125"/>
      <c r="H19" s="124"/>
      <c r="I19" s="124"/>
      <c r="J19" s="124">
        <f t="shared" si="2"/>
        <v>0</v>
      </c>
      <c r="K19" s="126">
        <v>0</v>
      </c>
      <c r="L19" s="127" t="str">
        <f t="shared" si="3"/>
        <v/>
      </c>
      <c r="M19" s="128" t="str">
        <f t="shared" si="1"/>
        <v/>
      </c>
      <c r="N19" s="128"/>
      <c r="O19" s="129"/>
      <c r="P19" s="236"/>
    </row>
    <row r="20" spans="2:16" ht="22.5" customHeight="1">
      <c r="B20" s="103">
        <v>1815</v>
      </c>
      <c r="C20" s="130">
        <v>1815</v>
      </c>
      <c r="D20" s="132" t="s">
        <v>24</v>
      </c>
      <c r="E20" s="124">
        <v>1.0000000474974513E-2</v>
      </c>
      <c r="F20" s="124"/>
      <c r="G20" s="125">
        <f t="shared" si="0"/>
        <v>1.0000000474974513E-2</v>
      </c>
      <c r="H20" s="124">
        <v>-11027060.1749653</v>
      </c>
      <c r="I20" s="124"/>
      <c r="J20" s="124">
        <f t="shared" si="2"/>
        <v>-5513530.0774826491</v>
      </c>
      <c r="K20" s="126">
        <v>40</v>
      </c>
      <c r="L20" s="127">
        <f t="shared" si="3"/>
        <v>2.5000000000000001E-2</v>
      </c>
      <c r="M20" s="128">
        <f t="shared" si="1"/>
        <v>-137838.25193706623</v>
      </c>
      <c r="N20" s="128">
        <v>-136639.16806206625</v>
      </c>
      <c r="O20" s="129">
        <f t="shared" ref="O20:O33" si="4">+M20-N20</f>
        <v>-1199.0838749999821</v>
      </c>
      <c r="P20" s="236" t="s">
        <v>95</v>
      </c>
    </row>
    <row r="21" spans="2:16" s="136" customFormat="1">
      <c r="B21" s="136">
        <v>1816</v>
      </c>
      <c r="C21" s="130">
        <v>1815</v>
      </c>
      <c r="D21" s="131" t="s">
        <v>55</v>
      </c>
      <c r="E21" s="124">
        <v>11542202.17</v>
      </c>
      <c r="F21" s="125"/>
      <c r="G21" s="125">
        <f t="shared" si="0"/>
        <v>11542202.17</v>
      </c>
      <c r="H21" s="125">
        <v>10291185.20999999</v>
      </c>
      <c r="I21" s="125"/>
      <c r="J21" s="124">
        <f t="shared" si="2"/>
        <v>16687794.774999995</v>
      </c>
      <c r="K21" s="133">
        <v>40</v>
      </c>
      <c r="L21" s="134">
        <f t="shared" si="3"/>
        <v>2.5000000000000001E-2</v>
      </c>
      <c r="M21" s="135">
        <f t="shared" si="1"/>
        <v>417194.86937499989</v>
      </c>
      <c r="N21" s="135">
        <v>488698.72587499989</v>
      </c>
      <c r="O21" s="129">
        <f t="shared" si="4"/>
        <v>-71503.856499999994</v>
      </c>
      <c r="P21" s="238" t="s">
        <v>95</v>
      </c>
    </row>
    <row r="22" spans="2:16">
      <c r="B22" s="103">
        <v>1817</v>
      </c>
      <c r="C22" s="130">
        <v>1815</v>
      </c>
      <c r="D22" s="132" t="s">
        <v>56</v>
      </c>
      <c r="E22" s="124">
        <v>10019518.959999999</v>
      </c>
      <c r="F22" s="125">
        <v>666817.49</v>
      </c>
      <c r="G22" s="125">
        <f t="shared" si="0"/>
        <v>9352701.4699999988</v>
      </c>
      <c r="H22" s="124">
        <v>63400.37000000001</v>
      </c>
      <c r="I22" s="124"/>
      <c r="J22" s="124">
        <f t="shared" si="2"/>
        <v>9384401.6549999993</v>
      </c>
      <c r="K22" s="150">
        <v>25</v>
      </c>
      <c r="L22" s="127">
        <f t="shared" si="3"/>
        <v>0.04</v>
      </c>
      <c r="M22" s="135">
        <f t="shared" si="1"/>
        <v>375376.0662</v>
      </c>
      <c r="N22" s="135">
        <v>613600.99959999998</v>
      </c>
      <c r="O22" s="129">
        <f t="shared" si="4"/>
        <v>-238224.93339999998</v>
      </c>
      <c r="P22" s="236" t="s">
        <v>95</v>
      </c>
    </row>
    <row r="23" spans="2:16">
      <c r="B23" s="103">
        <v>1818</v>
      </c>
      <c r="C23" s="130">
        <v>1815</v>
      </c>
      <c r="D23" s="132" t="s">
        <v>57</v>
      </c>
      <c r="E23" s="124">
        <v>40773652.201867312</v>
      </c>
      <c r="F23" s="124"/>
      <c r="G23" s="125">
        <f t="shared" si="0"/>
        <v>40773652.201867312</v>
      </c>
      <c r="H23" s="124">
        <v>820.25000000000011</v>
      </c>
      <c r="I23" s="124"/>
      <c r="J23" s="124">
        <f t="shared" si="2"/>
        <v>40774062.326867312</v>
      </c>
      <c r="K23" s="126">
        <v>40</v>
      </c>
      <c r="L23" s="127">
        <f t="shared" si="3"/>
        <v>2.5000000000000001E-2</v>
      </c>
      <c r="M23" s="135">
        <f t="shared" si="1"/>
        <v>1019351.5581716828</v>
      </c>
      <c r="N23" s="135">
        <v>1342583.9025466829</v>
      </c>
      <c r="O23" s="129">
        <f t="shared" si="4"/>
        <v>-323232.3443750001</v>
      </c>
      <c r="P23" s="236" t="s">
        <v>95</v>
      </c>
    </row>
    <row r="24" spans="2:16">
      <c r="B24" s="103">
        <v>1819</v>
      </c>
      <c r="C24" s="130">
        <v>1815</v>
      </c>
      <c r="D24" s="132" t="s">
        <v>58</v>
      </c>
      <c r="E24" s="124">
        <v>6835959.8400000017</v>
      </c>
      <c r="F24" s="124"/>
      <c r="G24" s="125">
        <f t="shared" si="0"/>
        <v>6835959.8400000017</v>
      </c>
      <c r="H24" s="124">
        <v>8340.3599999999988</v>
      </c>
      <c r="I24" s="124"/>
      <c r="J24" s="124">
        <f t="shared" si="2"/>
        <v>6840130.0200000014</v>
      </c>
      <c r="K24" s="126">
        <v>40</v>
      </c>
      <c r="L24" s="127">
        <f t="shared" si="3"/>
        <v>2.5000000000000001E-2</v>
      </c>
      <c r="M24" s="135">
        <f t="shared" si="1"/>
        <v>171003.25050000002</v>
      </c>
      <c r="N24" s="135">
        <v>223263.714125</v>
      </c>
      <c r="O24" s="129">
        <f t="shared" si="4"/>
        <v>-52260.463624999975</v>
      </c>
      <c r="P24" s="236" t="s">
        <v>95</v>
      </c>
    </row>
    <row r="25" spans="2:16">
      <c r="B25" s="103">
        <v>1821</v>
      </c>
      <c r="C25" s="130">
        <v>1815</v>
      </c>
      <c r="D25" s="132" t="s">
        <v>59</v>
      </c>
      <c r="E25" s="124">
        <v>4822192.5378235551</v>
      </c>
      <c r="F25" s="124"/>
      <c r="G25" s="125">
        <f t="shared" si="0"/>
        <v>4822192.5378235551</v>
      </c>
      <c r="H25" s="124">
        <v>8300.35</v>
      </c>
      <c r="I25" s="124"/>
      <c r="J25" s="124">
        <f t="shared" si="2"/>
        <v>4826342.7128235549</v>
      </c>
      <c r="K25" s="126">
        <v>40</v>
      </c>
      <c r="L25" s="127">
        <f t="shared" si="3"/>
        <v>2.5000000000000001E-2</v>
      </c>
      <c r="M25" s="135">
        <f t="shared" si="1"/>
        <v>120658.56782058887</v>
      </c>
      <c r="N25" s="125">
        <f>1907.53907058888+161870</f>
        <v>163777.53907058889</v>
      </c>
      <c r="O25" s="129">
        <f t="shared" si="4"/>
        <v>-43118.971250000017</v>
      </c>
      <c r="P25" s="236" t="s">
        <v>95</v>
      </c>
    </row>
    <row r="26" spans="2:16">
      <c r="B26" s="103">
        <v>1822</v>
      </c>
      <c r="C26" s="130">
        <v>1815</v>
      </c>
      <c r="D26" s="132" t="s">
        <v>60</v>
      </c>
      <c r="E26" s="124">
        <v>5878976.282319285</v>
      </c>
      <c r="F26" s="124">
        <v>1030889.82</v>
      </c>
      <c r="G26" s="125">
        <f t="shared" si="0"/>
        <v>4848086.4623192847</v>
      </c>
      <c r="H26" s="124">
        <v>566489.78</v>
      </c>
      <c r="I26" s="124"/>
      <c r="J26" s="124">
        <f t="shared" si="2"/>
        <v>5131331.3523192843</v>
      </c>
      <c r="K26" s="126">
        <v>20</v>
      </c>
      <c r="L26" s="127">
        <f t="shared" si="3"/>
        <v>0.05</v>
      </c>
      <c r="M26" s="135">
        <f t="shared" si="1"/>
        <v>256566.56761596422</v>
      </c>
      <c r="N26" s="125">
        <f>205113.822115964+135655</f>
        <v>340768.82211596402</v>
      </c>
      <c r="O26" s="129">
        <f t="shared" si="4"/>
        <v>-84202.254499999806</v>
      </c>
      <c r="P26" s="236" t="s">
        <v>95</v>
      </c>
    </row>
    <row r="27" spans="2:16">
      <c r="B27" s="103">
        <v>1823</v>
      </c>
      <c r="C27" s="130">
        <v>1815</v>
      </c>
      <c r="D27" s="132" t="s">
        <v>61</v>
      </c>
      <c r="E27" s="124">
        <v>18318414.789999999</v>
      </c>
      <c r="F27" s="124"/>
      <c r="G27" s="125">
        <f t="shared" si="0"/>
        <v>18318414.789999999</v>
      </c>
      <c r="H27" s="124">
        <v>3056202.75</v>
      </c>
      <c r="I27" s="124"/>
      <c r="J27" s="124">
        <f t="shared" si="2"/>
        <v>19846516.164999999</v>
      </c>
      <c r="K27" s="126">
        <v>30</v>
      </c>
      <c r="L27" s="127">
        <f t="shared" si="3"/>
        <v>3.3333333333333333E-2</v>
      </c>
      <c r="M27" s="135">
        <f t="shared" si="1"/>
        <v>661550.5388333333</v>
      </c>
      <c r="N27" s="125">
        <f>365202.453666667+663670</f>
        <v>1028872.453666667</v>
      </c>
      <c r="O27" s="129">
        <f t="shared" si="4"/>
        <v>-367321.91483333369</v>
      </c>
      <c r="P27" s="236" t="s">
        <v>95</v>
      </c>
    </row>
    <row r="28" spans="2:16">
      <c r="B28" s="103">
        <v>1824</v>
      </c>
      <c r="C28" s="130">
        <v>1815</v>
      </c>
      <c r="D28" s="132" t="s">
        <v>62</v>
      </c>
      <c r="E28" s="124">
        <v>5093589.4000000004</v>
      </c>
      <c r="F28" s="124"/>
      <c r="G28" s="125">
        <f t="shared" si="0"/>
        <v>5093589.4000000004</v>
      </c>
      <c r="H28" s="124">
        <v>80</v>
      </c>
      <c r="I28" s="124"/>
      <c r="J28" s="124">
        <f t="shared" si="2"/>
        <v>5093629.4000000004</v>
      </c>
      <c r="K28" s="126">
        <v>30</v>
      </c>
      <c r="L28" s="127">
        <f t="shared" si="3"/>
        <v>3.3333333333333333E-2</v>
      </c>
      <c r="M28" s="135">
        <f t="shared" si="1"/>
        <v>169787.64666666667</v>
      </c>
      <c r="N28" s="125">
        <f>961415.363-755678</f>
        <v>205737.36300000001</v>
      </c>
      <c r="O28" s="129">
        <f t="shared" si="4"/>
        <v>-35949.716333333345</v>
      </c>
      <c r="P28" s="236" t="s">
        <v>95</v>
      </c>
    </row>
    <row r="29" spans="2:16" ht="24.75" customHeight="1">
      <c r="C29" s="137"/>
      <c r="D29" s="138"/>
      <c r="E29" s="139"/>
      <c r="F29" s="139"/>
      <c r="G29" s="140"/>
      <c r="H29" s="139"/>
      <c r="I29" s="139"/>
      <c r="J29" s="141" t="s">
        <v>86</v>
      </c>
      <c r="K29" s="142"/>
      <c r="L29" s="143"/>
      <c r="M29" s="125">
        <f>SUM(M20:M28)</f>
        <v>3053650.8132461691</v>
      </c>
      <c r="N29" s="125">
        <f>SUM(N20:N28)</f>
        <v>4270664.351937837</v>
      </c>
      <c r="O29" s="129">
        <f>+M29-N29</f>
        <v>-1217013.5386916678</v>
      </c>
      <c r="P29" s="236"/>
    </row>
    <row r="30" spans="2:16" ht="20.25" customHeight="1">
      <c r="B30" s="103">
        <v>1820</v>
      </c>
      <c r="C30" s="144">
        <v>1820</v>
      </c>
      <c r="D30" s="145" t="s">
        <v>25</v>
      </c>
      <c r="E30" s="124">
        <v>-45040.570000000269</v>
      </c>
      <c r="F30" s="124"/>
      <c r="G30" s="125">
        <f>E30-F30</f>
        <v>-45040.570000000269</v>
      </c>
      <c r="H30" s="124">
        <v>-86120.603116421698</v>
      </c>
      <c r="I30" s="124"/>
      <c r="J30" s="124">
        <f t="shared" ref="J30:J33" si="5">G30+0.5*H30+0.5*I30</f>
        <v>-88100.871558211118</v>
      </c>
      <c r="K30" s="126">
        <v>30</v>
      </c>
      <c r="L30" s="146">
        <f t="shared" si="3"/>
        <v>3.3333333333333333E-2</v>
      </c>
      <c r="M30" s="135">
        <f t="shared" si="1"/>
        <v>-2936.6957186070372</v>
      </c>
      <c r="N30" s="125">
        <f>200580.673114726-205517</f>
        <v>-4936.3268852740002</v>
      </c>
      <c r="O30" s="129">
        <f t="shared" si="4"/>
        <v>1999.6311666669631</v>
      </c>
      <c r="P30" s="236" t="s">
        <v>95</v>
      </c>
    </row>
    <row r="31" spans="2:16">
      <c r="B31" s="103">
        <v>1826</v>
      </c>
      <c r="C31" s="147">
        <v>1820</v>
      </c>
      <c r="D31" s="132" t="s">
        <v>63</v>
      </c>
      <c r="E31" s="124">
        <v>11376505.779999999</v>
      </c>
      <c r="F31" s="124"/>
      <c r="G31" s="125">
        <f>E31-F31</f>
        <v>11376505.779999999</v>
      </c>
      <c r="H31" s="124">
        <v>3921979.2299999995</v>
      </c>
      <c r="I31" s="124"/>
      <c r="J31" s="124">
        <f t="shared" si="5"/>
        <v>13337495.395</v>
      </c>
      <c r="K31" s="126">
        <v>40</v>
      </c>
      <c r="L31" s="146">
        <f t="shared" si="3"/>
        <v>2.5000000000000001E-2</v>
      </c>
      <c r="M31" s="135">
        <f t="shared" si="1"/>
        <v>333437.38487499999</v>
      </c>
      <c r="N31" s="135">
        <v>404714.81062500004</v>
      </c>
      <c r="O31" s="129">
        <f t="shared" si="4"/>
        <v>-71277.425750000053</v>
      </c>
      <c r="P31" s="236" t="s">
        <v>95</v>
      </c>
    </row>
    <row r="32" spans="2:16">
      <c r="B32" s="103">
        <v>1827</v>
      </c>
      <c r="C32" s="147">
        <v>1820</v>
      </c>
      <c r="D32" s="132" t="s">
        <v>64</v>
      </c>
      <c r="E32" s="124">
        <v>9997527.1799999997</v>
      </c>
      <c r="F32" s="124">
        <v>1109324.5700000003</v>
      </c>
      <c r="G32" s="125">
        <f>E32-F32</f>
        <v>8888202.6099999994</v>
      </c>
      <c r="H32" s="124">
        <v>56373.520000000004</v>
      </c>
      <c r="I32" s="124"/>
      <c r="J32" s="124">
        <f t="shared" si="5"/>
        <v>8916389.3699999992</v>
      </c>
      <c r="K32" s="126">
        <v>20</v>
      </c>
      <c r="L32" s="146">
        <f t="shared" si="3"/>
        <v>0.05</v>
      </c>
      <c r="M32" s="135">
        <f t="shared" si="1"/>
        <v>445819.46849999996</v>
      </c>
      <c r="N32" s="135">
        <v>698379.80299999984</v>
      </c>
      <c r="O32" s="129">
        <f t="shared" si="4"/>
        <v>-252560.33449999988</v>
      </c>
      <c r="P32" s="236" t="s">
        <v>95</v>
      </c>
    </row>
    <row r="33" spans="2:16">
      <c r="B33" s="103">
        <v>1828</v>
      </c>
      <c r="C33" s="147">
        <v>1820</v>
      </c>
      <c r="D33" s="132" t="s">
        <v>65</v>
      </c>
      <c r="E33" s="124">
        <v>2985817.97</v>
      </c>
      <c r="F33" s="124">
        <v>20513.830000000002</v>
      </c>
      <c r="G33" s="125">
        <f>E33-F33</f>
        <v>2965304.14</v>
      </c>
      <c r="H33" s="124">
        <v>179053.51</v>
      </c>
      <c r="I33" s="124"/>
      <c r="J33" s="124">
        <f t="shared" si="5"/>
        <v>3054830.895</v>
      </c>
      <c r="K33" s="126">
        <v>30</v>
      </c>
      <c r="L33" s="146">
        <f t="shared" si="3"/>
        <v>3.3333333333333333E-2</v>
      </c>
      <c r="M33" s="135">
        <f t="shared" si="1"/>
        <v>101827.69650000001</v>
      </c>
      <c r="N33" s="135">
        <v>140048.40416666667</v>
      </c>
      <c r="O33" s="129">
        <f t="shared" si="4"/>
        <v>-38220.707666666669</v>
      </c>
      <c r="P33" s="236" t="s">
        <v>95</v>
      </c>
    </row>
    <row r="34" spans="2:16" ht="20.25" customHeight="1">
      <c r="C34" s="137"/>
      <c r="D34" s="138"/>
      <c r="E34" s="139"/>
      <c r="F34" s="139"/>
      <c r="G34" s="140"/>
      <c r="H34" s="139"/>
      <c r="I34" s="139"/>
      <c r="J34" s="141" t="s">
        <v>87</v>
      </c>
      <c r="K34" s="142"/>
      <c r="L34" s="143"/>
      <c r="M34" s="125">
        <f>SUM(M30:M33)</f>
        <v>878147.85415639286</v>
      </c>
      <c r="N34" s="125">
        <f>SUM(N30:N33)</f>
        <v>1238206.6909063924</v>
      </c>
      <c r="O34" s="129">
        <f>+M34-N34</f>
        <v>-360058.83674999955</v>
      </c>
      <c r="P34" s="236"/>
    </row>
    <row r="35" spans="2:16" ht="24" customHeight="1">
      <c r="B35" s="103">
        <v>1825</v>
      </c>
      <c r="C35" s="147">
        <v>1825</v>
      </c>
      <c r="D35" s="148" t="s">
        <v>26</v>
      </c>
      <c r="E35" s="124">
        <v>0</v>
      </c>
      <c r="F35" s="124"/>
      <c r="G35" s="125">
        <f t="shared" ref="G35:G51" si="6">E35-F35</f>
        <v>0</v>
      </c>
      <c r="H35" s="124">
        <v>0</v>
      </c>
      <c r="I35" s="124"/>
      <c r="J35" s="124">
        <f t="shared" ref="J35:J51" si="7">G35+0.5*H35+0.5*I35</f>
        <v>0</v>
      </c>
      <c r="K35" s="126">
        <v>0</v>
      </c>
      <c r="L35" s="146" t="str">
        <f t="shared" si="3"/>
        <v/>
      </c>
      <c r="M35" s="135" t="str">
        <f t="shared" si="1"/>
        <v/>
      </c>
      <c r="N35" s="135">
        <v>0</v>
      </c>
      <c r="O35" s="149"/>
      <c r="P35" s="236"/>
    </row>
    <row r="36" spans="2:16">
      <c r="B36" s="103">
        <v>1830</v>
      </c>
      <c r="C36" s="147">
        <v>1830</v>
      </c>
      <c r="D36" s="148" t="s">
        <v>27</v>
      </c>
      <c r="E36" s="124">
        <v>144277326.0700002</v>
      </c>
      <c r="F36" s="124"/>
      <c r="G36" s="125">
        <f t="shared" si="6"/>
        <v>144277326.0700002</v>
      </c>
      <c r="H36" s="124">
        <v>16589901.894295834</v>
      </c>
      <c r="I36" s="124">
        <v>-86967</v>
      </c>
      <c r="J36" s="124">
        <f t="shared" si="7"/>
        <v>152528793.51714811</v>
      </c>
      <c r="K36" s="150">
        <v>45</v>
      </c>
      <c r="L36" s="146">
        <f t="shared" si="3"/>
        <v>2.2222222222222223E-2</v>
      </c>
      <c r="M36" s="135">
        <f t="shared" si="1"/>
        <v>3389528.7448255136</v>
      </c>
      <c r="N36" s="135">
        <v>3604844.7872699541</v>
      </c>
      <c r="O36" s="129">
        <f t="shared" ref="O36:O51" si="8">+M36-N36</f>
        <v>-215316.04244444054</v>
      </c>
      <c r="P36" s="236" t="s">
        <v>95</v>
      </c>
    </row>
    <row r="37" spans="2:16">
      <c r="B37" s="103">
        <v>1835</v>
      </c>
      <c r="C37" s="147">
        <v>1835</v>
      </c>
      <c r="D37" s="148" t="s">
        <v>28</v>
      </c>
      <c r="E37" s="124">
        <v>124249440</v>
      </c>
      <c r="F37" s="124"/>
      <c r="G37" s="125">
        <f t="shared" si="6"/>
        <v>124249440</v>
      </c>
      <c r="H37" s="124">
        <v>12857164.2898995</v>
      </c>
      <c r="I37" s="124">
        <v>-130287.935</v>
      </c>
      <c r="J37" s="124">
        <f t="shared" si="7"/>
        <v>130612878.17744975</v>
      </c>
      <c r="K37" s="150">
        <v>40</v>
      </c>
      <c r="L37" s="146">
        <f t="shared" si="3"/>
        <v>2.5000000000000001E-2</v>
      </c>
      <c r="M37" s="135">
        <f t="shared" si="1"/>
        <v>3265321.9544362435</v>
      </c>
      <c r="N37" s="135">
        <f>3798346.8435627+268</f>
        <v>3798614.8435626999</v>
      </c>
      <c r="O37" s="129">
        <f t="shared" si="8"/>
        <v>-533292.88912645634</v>
      </c>
      <c r="P37" s="236" t="s">
        <v>95</v>
      </c>
    </row>
    <row r="38" spans="2:16">
      <c r="B38" s="103">
        <v>1840</v>
      </c>
      <c r="C38" s="147">
        <v>1840</v>
      </c>
      <c r="D38" s="148" t="s">
        <v>29</v>
      </c>
      <c r="E38" s="124">
        <v>97446254.350000158</v>
      </c>
      <c r="F38" s="124">
        <v>327619.56999999995</v>
      </c>
      <c r="G38" s="125">
        <f t="shared" si="6"/>
        <v>97118634.780000165</v>
      </c>
      <c r="H38" s="124">
        <v>7573229.1062881742</v>
      </c>
      <c r="I38" s="124"/>
      <c r="J38" s="124">
        <f t="shared" si="7"/>
        <v>100905249.33314425</v>
      </c>
      <c r="K38" s="150">
        <v>60</v>
      </c>
      <c r="L38" s="146">
        <f t="shared" si="3"/>
        <v>1.6666666666666666E-2</v>
      </c>
      <c r="M38" s="135">
        <f t="shared" si="1"/>
        <v>1681754.1555524042</v>
      </c>
      <c r="N38" s="135">
        <v>1799486.2816357347</v>
      </c>
      <c r="O38" s="129">
        <f t="shared" si="8"/>
        <v>-117732.12608333048</v>
      </c>
      <c r="P38" s="236" t="s">
        <v>95</v>
      </c>
    </row>
    <row r="39" spans="2:16">
      <c r="B39" s="103">
        <v>1845</v>
      </c>
      <c r="C39" s="147">
        <v>1845</v>
      </c>
      <c r="D39" s="148" t="s">
        <v>30</v>
      </c>
      <c r="E39" s="124">
        <v>268234284.82517597</v>
      </c>
      <c r="F39" s="124">
        <v>2380643.9299999997</v>
      </c>
      <c r="G39" s="125">
        <f t="shared" si="6"/>
        <v>265853640.89517596</v>
      </c>
      <c r="H39" s="124">
        <v>33940647.029424392</v>
      </c>
      <c r="I39" s="124"/>
      <c r="J39" s="124">
        <f t="shared" si="7"/>
        <v>282823964.40988815</v>
      </c>
      <c r="K39" s="150">
        <v>45</v>
      </c>
      <c r="L39" s="146">
        <f t="shared" si="3"/>
        <v>2.2222222222222223E-2</v>
      </c>
      <c r="M39" s="135">
        <f t="shared" si="1"/>
        <v>6284976.9868864035</v>
      </c>
      <c r="N39" s="135">
        <v>7388557.3814419536</v>
      </c>
      <c r="O39" s="129">
        <f t="shared" si="8"/>
        <v>-1103580.3945555501</v>
      </c>
      <c r="P39" s="236" t="s">
        <v>95</v>
      </c>
    </row>
    <row r="40" spans="2:16">
      <c r="B40" s="103">
        <v>1846</v>
      </c>
      <c r="C40" s="147">
        <v>1845</v>
      </c>
      <c r="D40" s="131" t="s">
        <v>115</v>
      </c>
      <c r="E40" s="124">
        <v>10875915.050000001</v>
      </c>
      <c r="F40" s="124"/>
      <c r="G40" s="125">
        <f t="shared" si="6"/>
        <v>10875915.050000001</v>
      </c>
      <c r="H40" s="124">
        <v>4024218.93</v>
      </c>
      <c r="I40" s="124">
        <v>-433074.76500000001</v>
      </c>
      <c r="J40" s="124">
        <f t="shared" si="7"/>
        <v>12671487.1325</v>
      </c>
      <c r="K40" s="150">
        <v>20</v>
      </c>
      <c r="L40" s="146">
        <f t="shared" si="3"/>
        <v>0.05</v>
      </c>
      <c r="M40" s="135">
        <f t="shared" si="1"/>
        <v>633574.35662500001</v>
      </c>
      <c r="N40" s="135">
        <v>670501.0895</v>
      </c>
      <c r="O40" s="129">
        <f t="shared" si="8"/>
        <v>-36926.732874999987</v>
      </c>
      <c r="P40" s="236" t="s">
        <v>95</v>
      </c>
    </row>
    <row r="41" spans="2:16">
      <c r="B41" s="103">
        <v>1849</v>
      </c>
      <c r="C41" s="147">
        <v>1849</v>
      </c>
      <c r="D41" s="131" t="s">
        <v>44</v>
      </c>
      <c r="E41" s="124">
        <v>22558742.990000002</v>
      </c>
      <c r="F41" s="124"/>
      <c r="G41" s="125">
        <f t="shared" si="6"/>
        <v>22558742.990000002</v>
      </c>
      <c r="H41" s="124">
        <v>-3186715.0119212256</v>
      </c>
      <c r="I41" s="124">
        <v>-586943.06499999994</v>
      </c>
      <c r="J41" s="124">
        <f t="shared" si="7"/>
        <v>20671913.95153939</v>
      </c>
      <c r="K41" s="126">
        <v>40</v>
      </c>
      <c r="L41" s="146">
        <f t="shared" si="3"/>
        <v>2.5000000000000001E-2</v>
      </c>
      <c r="M41" s="135">
        <f t="shared" si="1"/>
        <v>516797.84878848476</v>
      </c>
      <c r="N41" s="135">
        <v>673108.0192259847</v>
      </c>
      <c r="O41" s="129">
        <f t="shared" si="8"/>
        <v>-156310.17043749994</v>
      </c>
      <c r="P41" s="236" t="s">
        <v>95</v>
      </c>
    </row>
    <row r="42" spans="2:16">
      <c r="B42" s="103">
        <v>1850</v>
      </c>
      <c r="C42" s="147">
        <v>1850</v>
      </c>
      <c r="D42" s="148" t="s">
        <v>77</v>
      </c>
      <c r="E42" s="124">
        <f>140685247.846158+686</f>
        <v>140685933.846158</v>
      </c>
      <c r="F42" s="124">
        <v>743614.01</v>
      </c>
      <c r="G42" s="125">
        <f t="shared" si="6"/>
        <v>139942319.83615801</v>
      </c>
      <c r="H42" s="124">
        <v>10650075.419151377</v>
      </c>
      <c r="I42" s="124">
        <v>-1313699.4100000001</v>
      </c>
      <c r="J42" s="124">
        <f t="shared" si="7"/>
        <v>144610507.84073368</v>
      </c>
      <c r="K42" s="126">
        <v>30</v>
      </c>
      <c r="L42" s="146">
        <f t="shared" si="3"/>
        <v>3.3333333333333333E-2</v>
      </c>
      <c r="M42" s="135">
        <f t="shared" si="1"/>
        <v>4820350.2613577889</v>
      </c>
      <c r="N42" s="135">
        <v>6263591.1481911195</v>
      </c>
      <c r="O42" s="129">
        <f t="shared" si="8"/>
        <v>-1443240.8868333306</v>
      </c>
      <c r="P42" s="236" t="s">
        <v>95</v>
      </c>
    </row>
    <row r="43" spans="2:16">
      <c r="B43" s="103">
        <v>1855</v>
      </c>
      <c r="C43" s="147">
        <v>1855</v>
      </c>
      <c r="D43" s="148" t="s">
        <v>94</v>
      </c>
      <c r="E43" s="124">
        <v>12983700.979999991</v>
      </c>
      <c r="F43" s="124"/>
      <c r="G43" s="125">
        <f t="shared" si="6"/>
        <v>12983700.979999991</v>
      </c>
      <c r="H43" s="124">
        <v>919305.01125966932</v>
      </c>
      <c r="I43" s="124"/>
      <c r="J43" s="124">
        <f t="shared" si="7"/>
        <v>13443353.485629825</v>
      </c>
      <c r="K43" s="126">
        <v>40</v>
      </c>
      <c r="L43" s="146">
        <f t="shared" si="3"/>
        <v>2.5000000000000001E-2</v>
      </c>
      <c r="M43" s="135">
        <f t="shared" si="1"/>
        <v>336083.8371407456</v>
      </c>
      <c r="N43" s="135">
        <v>376584.67889074591</v>
      </c>
      <c r="O43" s="129">
        <f t="shared" si="8"/>
        <v>-40500.841750000312</v>
      </c>
      <c r="P43" s="236" t="s">
        <v>95</v>
      </c>
    </row>
    <row r="44" spans="2:16">
      <c r="B44" s="103">
        <v>1856</v>
      </c>
      <c r="C44" s="147">
        <v>1856</v>
      </c>
      <c r="D44" s="131" t="s">
        <v>45</v>
      </c>
      <c r="E44" s="124">
        <v>55167441.559999958</v>
      </c>
      <c r="F44" s="124"/>
      <c r="G44" s="125">
        <f t="shared" si="6"/>
        <v>55167441.559999958</v>
      </c>
      <c r="H44" s="124">
        <v>2733832.8437183024</v>
      </c>
      <c r="I44" s="124"/>
      <c r="J44" s="124">
        <f t="shared" si="7"/>
        <v>56534357.98185911</v>
      </c>
      <c r="K44" s="126">
        <v>25</v>
      </c>
      <c r="L44" s="146">
        <f t="shared" si="3"/>
        <v>0.04</v>
      </c>
      <c r="M44" s="135">
        <f t="shared" si="1"/>
        <v>2261374.3192743645</v>
      </c>
      <c r="N44" s="135">
        <v>3090691.405274366</v>
      </c>
      <c r="O44" s="129">
        <f t="shared" si="8"/>
        <v>-829317.08600000152</v>
      </c>
      <c r="P44" s="236" t="s">
        <v>95</v>
      </c>
    </row>
    <row r="45" spans="2:16">
      <c r="B45" s="103">
        <v>1860</v>
      </c>
      <c r="C45" s="147">
        <v>1860</v>
      </c>
      <c r="D45" s="148" t="s">
        <v>31</v>
      </c>
      <c r="E45" s="124">
        <v>12348791.339999991</v>
      </c>
      <c r="F45" s="124">
        <v>9433.82</v>
      </c>
      <c r="G45" s="125">
        <f t="shared" si="6"/>
        <v>12339357.51999999</v>
      </c>
      <c r="H45" s="124">
        <v>897071.56000000029</v>
      </c>
      <c r="I45" s="124">
        <v>-660515.15151515149</v>
      </c>
      <c r="J45" s="124">
        <f t="shared" si="7"/>
        <v>12457635.724242413</v>
      </c>
      <c r="K45" s="126">
        <v>25</v>
      </c>
      <c r="L45" s="146">
        <f t="shared" si="3"/>
        <v>0.04</v>
      </c>
      <c r="M45" s="135">
        <f t="shared" si="1"/>
        <v>498305.42896969651</v>
      </c>
      <c r="N45" s="135">
        <v>564434.60580000002</v>
      </c>
      <c r="O45" s="129">
        <f t="shared" si="8"/>
        <v>-66129.176830303506</v>
      </c>
      <c r="P45" s="236" t="s">
        <v>95</v>
      </c>
    </row>
    <row r="46" spans="2:16">
      <c r="B46" s="103">
        <v>1861</v>
      </c>
      <c r="C46" s="147">
        <v>1861</v>
      </c>
      <c r="D46" s="131" t="s">
        <v>46</v>
      </c>
      <c r="E46" s="124">
        <v>17537326.639999989</v>
      </c>
      <c r="F46" s="124"/>
      <c r="G46" s="125">
        <f t="shared" si="6"/>
        <v>17537326.639999989</v>
      </c>
      <c r="H46" s="124">
        <v>3115272.9200000013</v>
      </c>
      <c r="I46" s="124"/>
      <c r="J46" s="124">
        <f t="shared" si="7"/>
        <v>19094963.09999999</v>
      </c>
      <c r="K46" s="126">
        <v>15</v>
      </c>
      <c r="L46" s="146">
        <f t="shared" si="3"/>
        <v>6.6666666666666666E-2</v>
      </c>
      <c r="M46" s="135">
        <f t="shared" si="1"/>
        <v>1272997.5399999993</v>
      </c>
      <c r="N46" s="135">
        <v>1379491.3203333335</v>
      </c>
      <c r="O46" s="129">
        <f t="shared" si="8"/>
        <v>-106493.78033333411</v>
      </c>
      <c r="P46" s="236" t="s">
        <v>95</v>
      </c>
    </row>
    <row r="47" spans="2:16">
      <c r="B47" s="103">
        <v>1862</v>
      </c>
      <c r="C47" s="147">
        <v>1862</v>
      </c>
      <c r="D47" s="148" t="s">
        <v>79</v>
      </c>
      <c r="E47" s="124">
        <v>49833213.877247818</v>
      </c>
      <c r="F47" s="124"/>
      <c r="G47" s="125">
        <f t="shared" si="6"/>
        <v>49833213.877247818</v>
      </c>
      <c r="H47" s="124">
        <v>1184920.98</v>
      </c>
      <c r="I47" s="124"/>
      <c r="J47" s="124">
        <f t="shared" si="7"/>
        <v>50425674.36724782</v>
      </c>
      <c r="K47" s="126">
        <v>15</v>
      </c>
      <c r="L47" s="146">
        <f t="shared" si="3"/>
        <v>6.6666666666666666E-2</v>
      </c>
      <c r="M47" s="135">
        <f t="shared" si="1"/>
        <v>3361711.6244831881</v>
      </c>
      <c r="N47" s="135">
        <v>3647654.9298165208</v>
      </c>
      <c r="O47" s="129">
        <f t="shared" si="8"/>
        <v>-285943.30533333262</v>
      </c>
      <c r="P47" s="236" t="s">
        <v>95</v>
      </c>
    </row>
    <row r="48" spans="2:16">
      <c r="B48" s="103">
        <v>1870</v>
      </c>
      <c r="C48" s="147">
        <v>1870</v>
      </c>
      <c r="D48" s="131" t="s">
        <v>47</v>
      </c>
      <c r="E48" s="124">
        <v>191136</v>
      </c>
      <c r="F48" s="124"/>
      <c r="G48" s="125">
        <f t="shared" si="6"/>
        <v>191136</v>
      </c>
      <c r="H48" s="124">
        <v>0</v>
      </c>
      <c r="I48" s="124"/>
      <c r="J48" s="124">
        <f t="shared" si="7"/>
        <v>191136</v>
      </c>
      <c r="K48" s="126">
        <v>10</v>
      </c>
      <c r="L48" s="146">
        <f t="shared" si="3"/>
        <v>0.1</v>
      </c>
      <c r="M48" s="135">
        <f t="shared" si="1"/>
        <v>19113.599999999999</v>
      </c>
      <c r="N48" s="135">
        <f>2025.5645+925</f>
        <v>2950.5645</v>
      </c>
      <c r="O48" s="129">
        <f t="shared" si="8"/>
        <v>16163.035499999998</v>
      </c>
      <c r="P48" s="236" t="s">
        <v>95</v>
      </c>
    </row>
    <row r="49" spans="2:16" ht="21.75" customHeight="1">
      <c r="B49" s="103">
        <v>1908</v>
      </c>
      <c r="C49" s="147">
        <v>1908</v>
      </c>
      <c r="D49" s="148" t="s">
        <v>33</v>
      </c>
      <c r="E49" s="124">
        <v>23365487.460000001</v>
      </c>
      <c r="F49" s="125"/>
      <c r="G49" s="125">
        <f t="shared" si="6"/>
        <v>23365487.460000001</v>
      </c>
      <c r="H49" s="124">
        <v>3760925.92</v>
      </c>
      <c r="I49" s="124"/>
      <c r="J49" s="124">
        <f t="shared" si="7"/>
        <v>25245950.420000002</v>
      </c>
      <c r="K49" s="126">
        <v>50</v>
      </c>
      <c r="L49" s="146">
        <f t="shared" si="3"/>
        <v>0.02</v>
      </c>
      <c r="M49" s="135">
        <f>IF(K49=0,"",J49/K49)</f>
        <v>504919.00840000005</v>
      </c>
      <c r="N49" s="135">
        <v>519863.28700000001</v>
      </c>
      <c r="O49" s="129">
        <f t="shared" si="8"/>
        <v>-14944.278599999961</v>
      </c>
      <c r="P49" s="236" t="s">
        <v>95</v>
      </c>
    </row>
    <row r="50" spans="2:16">
      <c r="B50" s="103">
        <v>1912</v>
      </c>
      <c r="C50" s="147">
        <v>1908</v>
      </c>
      <c r="D50" s="148" t="s">
        <v>96</v>
      </c>
      <c r="E50" s="124">
        <v>17401865.419889718</v>
      </c>
      <c r="F50" s="124">
        <v>19085</v>
      </c>
      <c r="G50" s="125">
        <f t="shared" si="6"/>
        <v>17382780.419889718</v>
      </c>
      <c r="H50" s="124">
        <v>0</v>
      </c>
      <c r="I50" s="124"/>
      <c r="J50" s="124">
        <f t="shared" si="7"/>
        <v>17382780.419889718</v>
      </c>
      <c r="K50" s="126">
        <v>50</v>
      </c>
      <c r="L50" s="146">
        <f t="shared" si="3"/>
        <v>0.02</v>
      </c>
      <c r="M50" s="135">
        <f>IF(K50=0,"",J50/K50)</f>
        <v>347655.60839779436</v>
      </c>
      <c r="N50" s="135">
        <v>402993.30999779439</v>
      </c>
      <c r="O50" s="129">
        <f t="shared" si="8"/>
        <v>-55337.701600000029</v>
      </c>
      <c r="P50" s="236" t="s">
        <v>95</v>
      </c>
    </row>
    <row r="51" spans="2:16">
      <c r="B51" s="103">
        <v>1913</v>
      </c>
      <c r="C51" s="147">
        <v>1908</v>
      </c>
      <c r="D51" s="151" t="s">
        <v>66</v>
      </c>
      <c r="E51" s="124">
        <v>2785049.54</v>
      </c>
      <c r="F51" s="124"/>
      <c r="G51" s="125">
        <f t="shared" si="6"/>
        <v>2785049.54</v>
      </c>
      <c r="H51" s="124">
        <v>0</v>
      </c>
      <c r="I51" s="124"/>
      <c r="J51" s="124">
        <f t="shared" si="7"/>
        <v>2785049.54</v>
      </c>
      <c r="K51" s="126">
        <v>30</v>
      </c>
      <c r="L51" s="146">
        <f t="shared" si="3"/>
        <v>3.3333333333333333E-2</v>
      </c>
      <c r="M51" s="135">
        <f>IF(K51=0,"",J51/K51)</f>
        <v>92834.984666666671</v>
      </c>
      <c r="N51" s="135">
        <v>101044.21500000001</v>
      </c>
      <c r="O51" s="129">
        <f t="shared" si="8"/>
        <v>-8209.2303333333402</v>
      </c>
      <c r="P51" s="236" t="s">
        <v>95</v>
      </c>
    </row>
    <row r="52" spans="2:16" ht="18">
      <c r="C52" s="137"/>
      <c r="D52" s="138"/>
      <c r="E52" s="139"/>
      <c r="F52" s="139"/>
      <c r="G52" s="140"/>
      <c r="H52" s="139"/>
      <c r="I52" s="139"/>
      <c r="J52" s="141" t="s">
        <v>88</v>
      </c>
      <c r="K52" s="142"/>
      <c r="L52" s="143"/>
      <c r="M52" s="125">
        <f>SUM(M49:M51)</f>
        <v>945409.60146446107</v>
      </c>
      <c r="N52" s="125">
        <f>SUM(N49:N51)</f>
        <v>1023900.8119977944</v>
      </c>
      <c r="O52" s="129">
        <f>+M52-N52</f>
        <v>-78491.21053333336</v>
      </c>
      <c r="P52" s="236"/>
    </row>
    <row r="53" spans="2:16" ht="25.5" customHeight="1">
      <c r="B53" s="103">
        <v>1915</v>
      </c>
      <c r="C53" s="147">
        <v>1915</v>
      </c>
      <c r="D53" s="148" t="s">
        <v>82</v>
      </c>
      <c r="E53" s="124">
        <v>4937451.5600000005</v>
      </c>
      <c r="F53" s="124">
        <v>72008.570000000007</v>
      </c>
      <c r="G53" s="125">
        <f t="shared" ref="G53:G58" si="9">E53-F53</f>
        <v>4865442.99</v>
      </c>
      <c r="H53" s="124">
        <v>96835.03</v>
      </c>
      <c r="I53" s="124"/>
      <c r="J53" s="124">
        <f t="shared" ref="J53:J58" si="10">G53+0.5*H53+0.5*I53</f>
        <v>4913860.5049999999</v>
      </c>
      <c r="K53" s="126">
        <v>10</v>
      </c>
      <c r="L53" s="146">
        <f t="shared" si="3"/>
        <v>0.1</v>
      </c>
      <c r="M53" s="135">
        <f>IF(K53=0,"",J53/K53)</f>
        <v>491386.05050000001</v>
      </c>
      <c r="N53" s="135">
        <v>595828.91249999998</v>
      </c>
      <c r="O53" s="129">
        <f>+M53-N53</f>
        <v>-104442.86199999996</v>
      </c>
      <c r="P53" s="236" t="s">
        <v>95</v>
      </c>
    </row>
    <row r="54" spans="2:16" ht="24" customHeight="1">
      <c r="B54" s="103">
        <v>1920</v>
      </c>
      <c r="C54" s="147">
        <v>1920</v>
      </c>
      <c r="D54" s="148" t="s">
        <v>34</v>
      </c>
      <c r="E54" s="124">
        <v>1.0000000096624717E-2</v>
      </c>
      <c r="F54" s="124"/>
      <c r="G54" s="125">
        <f t="shared" si="9"/>
        <v>1.0000000096624717E-2</v>
      </c>
      <c r="H54" s="124">
        <v>0</v>
      </c>
      <c r="I54" s="124"/>
      <c r="J54" s="124">
        <f t="shared" si="10"/>
        <v>1.0000000096624717E-2</v>
      </c>
      <c r="K54" s="126">
        <v>5</v>
      </c>
      <c r="L54" s="146">
        <f t="shared" si="3"/>
        <v>0.2</v>
      </c>
      <c r="M54" s="135">
        <f>IF(K54=0,"",J54/K54)</f>
        <v>2.0000000193249436E-3</v>
      </c>
      <c r="N54" s="135">
        <v>-8269.2890000000007</v>
      </c>
      <c r="O54" s="129">
        <f t="shared" ref="O54:O58" si="11">+M54-N54</f>
        <v>8269.2910000000193</v>
      </c>
      <c r="P54" s="236" t="s">
        <v>95</v>
      </c>
    </row>
    <row r="55" spans="2:16">
      <c r="B55" s="103">
        <v>1921</v>
      </c>
      <c r="C55" s="147">
        <v>1920</v>
      </c>
      <c r="D55" s="131" t="s">
        <v>67</v>
      </c>
      <c r="E55" s="124">
        <v>2315847.9754245412</v>
      </c>
      <c r="F55" s="124">
        <v>1279355.8999999999</v>
      </c>
      <c r="G55" s="125">
        <f t="shared" si="9"/>
        <v>1036492.0754245413</v>
      </c>
      <c r="H55" s="124">
        <v>535428.15999999992</v>
      </c>
      <c r="I55" s="124"/>
      <c r="J55" s="124">
        <f t="shared" si="10"/>
        <v>1304206.1554245413</v>
      </c>
      <c r="K55" s="126">
        <v>4</v>
      </c>
      <c r="L55" s="146">
        <f t="shared" si="3"/>
        <v>0.25</v>
      </c>
      <c r="M55" s="135">
        <f t="shared" ref="M55:M70" si="12">IF(K55=0,"",J55/K55)</f>
        <v>326051.53885613533</v>
      </c>
      <c r="N55" s="135">
        <v>454273.9738561355</v>
      </c>
      <c r="O55" s="129">
        <f t="shared" si="11"/>
        <v>-128222.43500000017</v>
      </c>
      <c r="P55" s="236" t="s">
        <v>95</v>
      </c>
    </row>
    <row r="56" spans="2:16">
      <c r="B56" s="103">
        <v>1922</v>
      </c>
      <c r="C56" s="147">
        <v>1920</v>
      </c>
      <c r="D56" s="131" t="s">
        <v>68</v>
      </c>
      <c r="E56" s="124">
        <v>6714175.1000000006</v>
      </c>
      <c r="F56" s="124">
        <v>1944843.5699999998</v>
      </c>
      <c r="G56" s="125">
        <f t="shared" si="9"/>
        <v>4769331.5300000012</v>
      </c>
      <c r="H56" s="124">
        <v>1446419.8299999998</v>
      </c>
      <c r="I56" s="124"/>
      <c r="J56" s="124">
        <f t="shared" si="10"/>
        <v>5492541.4450000012</v>
      </c>
      <c r="K56" s="126">
        <v>5</v>
      </c>
      <c r="L56" s="146">
        <f t="shared" si="3"/>
        <v>0.2</v>
      </c>
      <c r="M56" s="135">
        <f t="shared" si="12"/>
        <v>1098508.2890000003</v>
      </c>
      <c r="N56" s="135">
        <v>1152028.3929999999</v>
      </c>
      <c r="O56" s="129">
        <f t="shared" si="11"/>
        <v>-53520.103999999585</v>
      </c>
      <c r="P56" s="236" t="s">
        <v>95</v>
      </c>
    </row>
    <row r="57" spans="2:16">
      <c r="B57" s="103">
        <v>1923</v>
      </c>
      <c r="C57" s="147">
        <v>1920</v>
      </c>
      <c r="D57" s="131" t="s">
        <v>69</v>
      </c>
      <c r="E57" s="124">
        <v>582131.06000000006</v>
      </c>
      <c r="F57" s="124">
        <v>192738.52000000002</v>
      </c>
      <c r="G57" s="125">
        <f t="shared" si="9"/>
        <v>389392.54000000004</v>
      </c>
      <c r="H57" s="124">
        <v>42799.97</v>
      </c>
      <c r="I57" s="124"/>
      <c r="J57" s="124">
        <f t="shared" si="10"/>
        <v>410792.52500000002</v>
      </c>
      <c r="K57" s="126">
        <v>5</v>
      </c>
      <c r="L57" s="146">
        <f t="shared" si="3"/>
        <v>0.2</v>
      </c>
      <c r="M57" s="135">
        <f t="shared" si="12"/>
        <v>82158.505000000005</v>
      </c>
      <c r="N57" s="135">
        <v>97756.487999999983</v>
      </c>
      <c r="O57" s="129">
        <f t="shared" si="11"/>
        <v>-15597.982999999978</v>
      </c>
      <c r="P57" s="236" t="s">
        <v>95</v>
      </c>
    </row>
    <row r="58" spans="2:16">
      <c r="B58" s="103">
        <v>1924</v>
      </c>
      <c r="C58" s="147">
        <v>1920</v>
      </c>
      <c r="D58" s="131" t="s">
        <v>70</v>
      </c>
      <c r="E58" s="124">
        <v>1714327.7639786489</v>
      </c>
      <c r="F58" s="124">
        <v>626862.46</v>
      </c>
      <c r="G58" s="125">
        <f t="shared" si="9"/>
        <v>1087465.303978649</v>
      </c>
      <c r="H58" s="124">
        <v>11500</v>
      </c>
      <c r="I58" s="124"/>
      <c r="J58" s="124">
        <f t="shared" si="10"/>
        <v>1093215.303978649</v>
      </c>
      <c r="K58" s="126">
        <v>6</v>
      </c>
      <c r="L58" s="146">
        <f t="shared" si="3"/>
        <v>0.16666666666666666</v>
      </c>
      <c r="M58" s="135">
        <f t="shared" si="12"/>
        <v>182202.55066310815</v>
      </c>
      <c r="N58" s="135">
        <v>253482.40816310819</v>
      </c>
      <c r="O58" s="129">
        <f t="shared" si="11"/>
        <v>-71279.857500000042</v>
      </c>
      <c r="P58" s="236" t="s">
        <v>95</v>
      </c>
    </row>
    <row r="59" spans="2:16" ht="22.5" customHeight="1">
      <c r="C59" s="137"/>
      <c r="D59" s="138"/>
      <c r="E59" s="139"/>
      <c r="F59" s="139"/>
      <c r="G59" s="140"/>
      <c r="H59" s="139"/>
      <c r="I59" s="139"/>
      <c r="J59" s="141" t="s">
        <v>92</v>
      </c>
      <c r="K59" s="142"/>
      <c r="L59" s="143"/>
      <c r="M59" s="125">
        <f>SUM(M54:M58)</f>
        <v>1688920.885519244</v>
      </c>
      <c r="N59" s="125">
        <f>SUM(N54:N58)</f>
        <v>1949271.9740192436</v>
      </c>
      <c r="O59" s="182">
        <f>+M59-N59</f>
        <v>-260351.08849999961</v>
      </c>
      <c r="P59" s="236"/>
    </row>
    <row r="60" spans="2:16" ht="24.75" customHeight="1">
      <c r="B60" s="103">
        <v>1925</v>
      </c>
      <c r="C60" s="147">
        <v>1611</v>
      </c>
      <c r="D60" s="148" t="s">
        <v>35</v>
      </c>
      <c r="E60" s="124">
        <v>16740426.200000005</v>
      </c>
      <c r="F60" s="124">
        <v>8738564.629999999</v>
      </c>
      <c r="G60" s="125">
        <f>E60-F60</f>
        <v>8001861.5700000059</v>
      </c>
      <c r="H60" s="124">
        <v>5238412.46</v>
      </c>
      <c r="I60" s="124"/>
      <c r="J60" s="124">
        <f t="shared" ref="J60:J62" si="13">G60+0.5*H60+0.5*I60</f>
        <v>10621067.800000006</v>
      </c>
      <c r="K60" s="126">
        <v>4</v>
      </c>
      <c r="L60" s="146">
        <f t="shared" si="3"/>
        <v>0.25</v>
      </c>
      <c r="M60" s="135">
        <f t="shared" si="12"/>
        <v>2655266.9500000016</v>
      </c>
      <c r="N60" s="181">
        <v>3242383.3050000002</v>
      </c>
      <c r="O60" s="194">
        <f>+M60-N60</f>
        <v>-587116.35499999858</v>
      </c>
      <c r="P60" s="253" t="s">
        <v>95</v>
      </c>
    </row>
    <row r="61" spans="2:16" ht="24.75" customHeight="1">
      <c r="B61" s="103">
        <v>1926</v>
      </c>
      <c r="C61" s="147">
        <v>1611</v>
      </c>
      <c r="D61" s="131" t="s">
        <v>116</v>
      </c>
      <c r="E61" s="124">
        <v>58539.732198517268</v>
      </c>
      <c r="F61" s="124">
        <v>0</v>
      </c>
      <c r="G61" s="125">
        <f t="shared" ref="G61:G62" si="14">E61-F61</f>
        <v>58539.732198517268</v>
      </c>
      <c r="H61" s="124">
        <v>53500.04</v>
      </c>
      <c r="I61" s="124"/>
      <c r="J61" s="124">
        <f t="shared" si="13"/>
        <v>85289.752198517264</v>
      </c>
      <c r="K61" s="126">
        <v>3</v>
      </c>
      <c r="L61" s="146">
        <f t="shared" si="3"/>
        <v>0.33333333333333331</v>
      </c>
      <c r="M61" s="135">
        <f t="shared" si="12"/>
        <v>28429.917399505754</v>
      </c>
      <c r="N61" s="135">
        <v>28429.917399505757</v>
      </c>
      <c r="O61" s="248">
        <f>+M61-N61</f>
        <v>0</v>
      </c>
      <c r="P61" s="253" t="s">
        <v>95</v>
      </c>
    </row>
    <row r="62" spans="2:16" ht="24.75" customHeight="1">
      <c r="B62" s="103">
        <v>1927</v>
      </c>
      <c r="C62" s="147">
        <v>1611</v>
      </c>
      <c r="D62" s="131" t="s">
        <v>117</v>
      </c>
      <c r="E62" s="124">
        <v>0</v>
      </c>
      <c r="F62" s="124"/>
      <c r="G62" s="125">
        <f t="shared" si="14"/>
        <v>0</v>
      </c>
      <c r="H62" s="124">
        <v>42345525.68</v>
      </c>
      <c r="I62" s="124"/>
      <c r="J62" s="124">
        <f t="shared" si="13"/>
        <v>21172762.84</v>
      </c>
      <c r="K62" s="126">
        <v>10</v>
      </c>
      <c r="L62" s="146">
        <f t="shared" si="3"/>
        <v>0.1</v>
      </c>
      <c r="M62" s="135">
        <f t="shared" si="12"/>
        <v>2117276.284</v>
      </c>
      <c r="N62" s="135">
        <v>2083140.0759999999</v>
      </c>
      <c r="O62" s="194">
        <f t="shared" ref="O62:O66" si="15">+M62-N62</f>
        <v>34136.208000000101</v>
      </c>
      <c r="P62" s="253" t="s">
        <v>95</v>
      </c>
    </row>
    <row r="63" spans="2:16" ht="24.75" customHeight="1">
      <c r="C63" s="153"/>
      <c r="D63" s="154"/>
      <c r="E63" s="139"/>
      <c r="F63" s="139"/>
      <c r="G63" s="140"/>
      <c r="H63" s="139"/>
      <c r="I63" s="139"/>
      <c r="J63" s="141" t="s">
        <v>118</v>
      </c>
      <c r="K63" s="142"/>
      <c r="L63" s="155"/>
      <c r="M63" s="125">
        <f>SUM(M60:M62)</f>
        <v>4800973.1513995072</v>
      </c>
      <c r="N63" s="125">
        <f>SUM(N60:N62)</f>
        <v>5353953.2983995061</v>
      </c>
      <c r="O63" s="193">
        <f>SUM(O60:O62)</f>
        <v>-552980.14699999848</v>
      </c>
      <c r="P63" s="253"/>
    </row>
    <row r="64" spans="2:16" ht="29.25" customHeight="1">
      <c r="B64" s="103">
        <v>1930</v>
      </c>
      <c r="C64" s="147">
        <v>1930</v>
      </c>
      <c r="D64" s="151" t="s">
        <v>71</v>
      </c>
      <c r="E64" s="124">
        <v>7109254.7470172178</v>
      </c>
      <c r="F64" s="124">
        <v>1069498.32</v>
      </c>
      <c r="G64" s="125">
        <f>E64-F64</f>
        <v>6039756.4270172175</v>
      </c>
      <c r="H64" s="124">
        <v>321000.37999999983</v>
      </c>
      <c r="I64" s="124"/>
      <c r="J64" s="124">
        <f t="shared" ref="J64:J66" si="16">G64+0.5*H64+0.5*I64</f>
        <v>6200256.617017217</v>
      </c>
      <c r="K64" s="126">
        <v>7</v>
      </c>
      <c r="L64" s="146">
        <f t="shared" si="3"/>
        <v>0.14285714285714285</v>
      </c>
      <c r="M64" s="135">
        <f t="shared" si="12"/>
        <v>885750.94528817385</v>
      </c>
      <c r="N64" s="135">
        <v>1041935.9295738881</v>
      </c>
      <c r="O64" s="194">
        <f t="shared" si="15"/>
        <v>-156184.98428571422</v>
      </c>
      <c r="P64" s="253" t="s">
        <v>95</v>
      </c>
    </row>
    <row r="65" spans="2:16">
      <c r="B65" s="103">
        <v>1931</v>
      </c>
      <c r="C65" s="147">
        <v>1930</v>
      </c>
      <c r="D65" s="151" t="s">
        <v>72</v>
      </c>
      <c r="E65" s="124">
        <v>7028789.8399999989</v>
      </c>
      <c r="F65" s="124">
        <v>453.64</v>
      </c>
      <c r="G65" s="125">
        <f>E65-F65</f>
        <v>7028336.1999999993</v>
      </c>
      <c r="H65" s="124">
        <v>1942050</v>
      </c>
      <c r="I65" s="124"/>
      <c r="J65" s="124">
        <f t="shared" si="16"/>
        <v>7999361.1999999993</v>
      </c>
      <c r="K65" s="126">
        <v>12</v>
      </c>
      <c r="L65" s="146">
        <f t="shared" si="3"/>
        <v>8.3333333333333329E-2</v>
      </c>
      <c r="M65" s="135">
        <f t="shared" si="12"/>
        <v>666613.43333333323</v>
      </c>
      <c r="N65" s="135">
        <v>763776.77625000011</v>
      </c>
      <c r="O65" s="194">
        <f t="shared" si="15"/>
        <v>-97163.342916666879</v>
      </c>
      <c r="P65" s="253" t="s">
        <v>95</v>
      </c>
    </row>
    <row r="66" spans="2:16">
      <c r="B66" s="103">
        <v>1932</v>
      </c>
      <c r="C66" s="147">
        <v>1930</v>
      </c>
      <c r="D66" s="151" t="s">
        <v>73</v>
      </c>
      <c r="E66" s="124">
        <v>165563.25</v>
      </c>
      <c r="F66" s="124"/>
      <c r="G66" s="125">
        <f>E66-F66</f>
        <v>165563.25</v>
      </c>
      <c r="H66" s="124">
        <v>3.9999999998599378E-2</v>
      </c>
      <c r="I66" s="124"/>
      <c r="J66" s="124">
        <f t="shared" si="16"/>
        <v>165563.26999999999</v>
      </c>
      <c r="K66" s="126">
        <v>22</v>
      </c>
      <c r="L66" s="146">
        <f t="shared" si="3"/>
        <v>4.5454545454545456E-2</v>
      </c>
      <c r="M66" s="135">
        <f t="shared" si="12"/>
        <v>7525.6031818181809</v>
      </c>
      <c r="N66" s="135">
        <v>8060.6909090909094</v>
      </c>
      <c r="O66" s="194">
        <f t="shared" si="15"/>
        <v>-535.08772727272844</v>
      </c>
      <c r="P66" s="253" t="s">
        <v>95</v>
      </c>
    </row>
    <row r="67" spans="2:16" ht="18.75" customHeight="1">
      <c r="C67" s="137"/>
      <c r="D67" s="138"/>
      <c r="E67" s="139"/>
      <c r="F67" s="139"/>
      <c r="G67" s="140"/>
      <c r="H67" s="139"/>
      <c r="I67" s="139"/>
      <c r="J67" s="141" t="s">
        <v>89</v>
      </c>
      <c r="K67" s="142"/>
      <c r="L67" s="143"/>
      <c r="M67" s="125">
        <f>SUM(M64:M66)</f>
        <v>1559889.9818033252</v>
      </c>
      <c r="N67" s="125">
        <f>SUM(N64:N66)</f>
        <v>1813773.396732979</v>
      </c>
      <c r="O67" s="194">
        <f>+M67-N67</f>
        <v>-253883.41492965375</v>
      </c>
      <c r="P67" s="253"/>
    </row>
    <row r="68" spans="2:16">
      <c r="B68" s="103">
        <v>1935</v>
      </c>
      <c r="C68" s="147">
        <v>1935</v>
      </c>
      <c r="D68" s="148" t="s">
        <v>36</v>
      </c>
      <c r="E68" s="124">
        <v>145930.70265507643</v>
      </c>
      <c r="F68" s="124"/>
      <c r="G68" s="125">
        <f>E68-F68</f>
        <v>145930.70265507643</v>
      </c>
      <c r="H68" s="124">
        <v>535000</v>
      </c>
      <c r="I68" s="124"/>
      <c r="J68" s="124">
        <f t="shared" ref="J68:J71" si="17">G68+0.5*H68+0.5*I68</f>
        <v>413430.7026550764</v>
      </c>
      <c r="K68" s="126">
        <v>10</v>
      </c>
      <c r="L68" s="146">
        <f t="shared" si="3"/>
        <v>0.1</v>
      </c>
      <c r="M68" s="135">
        <f t="shared" si="12"/>
        <v>41343.070265507638</v>
      </c>
      <c r="N68" s="135">
        <v>38670.37376550764</v>
      </c>
      <c r="O68" s="195">
        <f>+M68-N68</f>
        <v>2672.6964999999982</v>
      </c>
      <c r="P68" s="253" t="s">
        <v>95</v>
      </c>
    </row>
    <row r="69" spans="2:16" ht="16.5" customHeight="1">
      <c r="B69" s="103">
        <v>1940</v>
      </c>
      <c r="C69" s="147">
        <v>1940</v>
      </c>
      <c r="D69" s="148" t="s">
        <v>37</v>
      </c>
      <c r="E69" s="124">
        <v>4316924.0300000012</v>
      </c>
      <c r="F69" s="124">
        <v>447154.31999999995</v>
      </c>
      <c r="G69" s="125">
        <f>E69-F69</f>
        <v>3869769.7100000014</v>
      </c>
      <c r="H69" s="124">
        <v>557801.64</v>
      </c>
      <c r="I69" s="124"/>
      <c r="J69" s="124">
        <f t="shared" si="17"/>
        <v>4148670.5300000012</v>
      </c>
      <c r="K69" s="126">
        <v>10</v>
      </c>
      <c r="L69" s="146">
        <f t="shared" si="3"/>
        <v>0.1</v>
      </c>
      <c r="M69" s="135">
        <f t="shared" si="12"/>
        <v>414867.05300000013</v>
      </c>
      <c r="N69" s="135">
        <v>473040.06700000004</v>
      </c>
      <c r="O69" s="195">
        <f>+M69-N69</f>
        <v>-58173.013999999908</v>
      </c>
      <c r="P69" s="253" t="s">
        <v>95</v>
      </c>
    </row>
    <row r="70" spans="2:16" ht="24.75" customHeight="1">
      <c r="B70" s="103">
        <v>1955</v>
      </c>
      <c r="C70" s="147">
        <v>1955</v>
      </c>
      <c r="D70" s="148" t="s">
        <v>38</v>
      </c>
      <c r="E70" s="124">
        <v>2177132.3138659364</v>
      </c>
      <c r="F70" s="124">
        <v>1080685.69</v>
      </c>
      <c r="G70" s="125">
        <f>E70-F70</f>
        <v>1096446.6238659364</v>
      </c>
      <c r="H70" s="124">
        <v>363800</v>
      </c>
      <c r="I70" s="124"/>
      <c r="J70" s="124">
        <f t="shared" si="17"/>
        <v>1278346.6238659364</v>
      </c>
      <c r="K70" s="126">
        <v>6</v>
      </c>
      <c r="L70" s="146">
        <f t="shared" si="3"/>
        <v>0.16666666666666666</v>
      </c>
      <c r="M70" s="135">
        <f t="shared" si="12"/>
        <v>213057.77064432274</v>
      </c>
      <c r="N70" s="135">
        <v>249303.36588659376</v>
      </c>
      <c r="O70" s="249">
        <f t="shared" ref="O70:O77" si="18">+M70-N70</f>
        <v>-36245.595242271025</v>
      </c>
      <c r="P70" s="253" t="s">
        <v>95</v>
      </c>
    </row>
    <row r="71" spans="2:16">
      <c r="B71" s="103">
        <v>1956</v>
      </c>
      <c r="C71" s="147">
        <v>1955</v>
      </c>
      <c r="D71" s="131" t="s">
        <v>48</v>
      </c>
      <c r="E71" s="124">
        <v>58854.070000000007</v>
      </c>
      <c r="F71" s="125">
        <v>58854.07</v>
      </c>
      <c r="G71" s="125">
        <f>E71-F71</f>
        <v>0</v>
      </c>
      <c r="H71" s="124">
        <v>0</v>
      </c>
      <c r="I71" s="124"/>
      <c r="J71" s="124">
        <f t="shared" si="17"/>
        <v>0</v>
      </c>
      <c r="K71" s="126">
        <v>3</v>
      </c>
      <c r="L71" s="146">
        <f t="shared" si="3"/>
        <v>0.33333333333333331</v>
      </c>
      <c r="M71" s="135">
        <f>IF(K71=0,"",J71/K71)</f>
        <v>0</v>
      </c>
      <c r="N71" s="181">
        <v>240.6899999999996</v>
      </c>
      <c r="O71" s="194">
        <f t="shared" si="18"/>
        <v>-240.6899999999996</v>
      </c>
      <c r="P71" s="253" t="s">
        <v>95</v>
      </c>
    </row>
    <row r="72" spans="2:16" ht="18">
      <c r="C72" s="137"/>
      <c r="D72" s="138"/>
      <c r="E72" s="139"/>
      <c r="F72" s="139"/>
      <c r="G72" s="140"/>
      <c r="H72" s="139"/>
      <c r="I72" s="139"/>
      <c r="J72" s="141" t="s">
        <v>90</v>
      </c>
      <c r="K72" s="142"/>
      <c r="L72" s="143"/>
      <c r="M72" s="125">
        <f>SUM(M70:M71)</f>
        <v>213057.77064432274</v>
      </c>
      <c r="N72" s="125">
        <f>SUM(N70:N71)</f>
        <v>249544.05588659376</v>
      </c>
      <c r="O72" s="250">
        <f>+M72-N72</f>
        <v>-36486.285242271028</v>
      </c>
      <c r="P72" s="253"/>
    </row>
    <row r="73" spans="2:16" ht="26.25" customHeight="1">
      <c r="B73" s="103">
        <v>1960</v>
      </c>
      <c r="C73" s="147">
        <v>1960</v>
      </c>
      <c r="D73" s="148" t="s">
        <v>39</v>
      </c>
      <c r="E73" s="124">
        <v>0</v>
      </c>
      <c r="F73" s="124"/>
      <c r="G73" s="125">
        <f>E73-F73</f>
        <v>0</v>
      </c>
      <c r="H73" s="124">
        <v>0</v>
      </c>
      <c r="I73" s="124"/>
      <c r="J73" s="124">
        <f t="shared" ref="J73:J77" si="19">G73+0.5*H73+0.5*I73</f>
        <v>0</v>
      </c>
      <c r="K73" s="126">
        <v>0</v>
      </c>
      <c r="L73" s="146" t="str">
        <f t="shared" si="3"/>
        <v/>
      </c>
      <c r="M73" s="135" t="str">
        <f>IF(K73=0,"",J73/K73)</f>
        <v/>
      </c>
      <c r="N73" s="194">
        <v>0</v>
      </c>
      <c r="O73" s="194"/>
      <c r="P73" s="253"/>
    </row>
    <row r="74" spans="2:16" ht="14.25" customHeight="1">
      <c r="B74" s="103">
        <v>1961</v>
      </c>
      <c r="C74" s="147">
        <v>1961</v>
      </c>
      <c r="D74" s="131" t="s">
        <v>49</v>
      </c>
      <c r="E74" s="124">
        <v>0</v>
      </c>
      <c r="F74" s="124"/>
      <c r="G74" s="125">
        <f>E74-F74</f>
        <v>0</v>
      </c>
      <c r="H74" s="124">
        <v>0</v>
      </c>
      <c r="I74" s="124"/>
      <c r="J74" s="124">
        <f t="shared" si="19"/>
        <v>0</v>
      </c>
      <c r="K74" s="126">
        <v>0</v>
      </c>
      <c r="L74" s="146" t="str">
        <f t="shared" si="3"/>
        <v/>
      </c>
      <c r="M74" s="135">
        <v>0</v>
      </c>
      <c r="N74" s="135">
        <v>-45.38</v>
      </c>
      <c r="O74" s="194">
        <f t="shared" si="18"/>
        <v>45.38</v>
      </c>
      <c r="P74" s="253" t="s">
        <v>95</v>
      </c>
    </row>
    <row r="75" spans="2:16" ht="23.25" customHeight="1">
      <c r="B75" s="103">
        <v>1980</v>
      </c>
      <c r="C75" s="147">
        <v>1980</v>
      </c>
      <c r="D75" s="148" t="s">
        <v>40</v>
      </c>
      <c r="E75" s="124">
        <v>2340841.560000001</v>
      </c>
      <c r="F75" s="124">
        <v>210079.72999999998</v>
      </c>
      <c r="G75" s="125">
        <f>E75-F75</f>
        <v>2130761.830000001</v>
      </c>
      <c r="H75" s="124">
        <v>697046.41000000015</v>
      </c>
      <c r="I75" s="124"/>
      <c r="J75" s="124">
        <f t="shared" si="19"/>
        <v>2479285.0350000011</v>
      </c>
      <c r="K75" s="126">
        <v>15</v>
      </c>
      <c r="L75" s="146">
        <f t="shared" si="3"/>
        <v>6.6666666666666666E-2</v>
      </c>
      <c r="M75" s="135">
        <f>IF(K75=0,"",J75/K75)</f>
        <v>165285.66900000008</v>
      </c>
      <c r="N75" s="156">
        <v>217971.75199999989</v>
      </c>
      <c r="O75" s="194">
        <f t="shared" si="18"/>
        <v>-52686.08299999981</v>
      </c>
      <c r="P75" s="253" t="s">
        <v>95</v>
      </c>
    </row>
    <row r="76" spans="2:16" ht="14.25">
      <c r="B76" s="103">
        <v>1981</v>
      </c>
      <c r="C76" s="147">
        <v>1980</v>
      </c>
      <c r="D76" s="131" t="s">
        <v>74</v>
      </c>
      <c r="E76" s="124">
        <v>8290273.2990305778</v>
      </c>
      <c r="F76" s="124">
        <v>778459.3</v>
      </c>
      <c r="G76" s="125">
        <f>E76-F76</f>
        <v>7511813.999030578</v>
      </c>
      <c r="H76" s="124">
        <v>180698.91000000003</v>
      </c>
      <c r="I76" s="124"/>
      <c r="J76" s="124">
        <f t="shared" si="19"/>
        <v>7602163.454030578</v>
      </c>
      <c r="K76" s="126">
        <v>15</v>
      </c>
      <c r="L76" s="146">
        <f t="shared" si="3"/>
        <v>6.6666666666666666E-2</v>
      </c>
      <c r="M76" s="135">
        <f>IF(K76=0,"",J76/K76)</f>
        <v>506810.89693537186</v>
      </c>
      <c r="N76" s="156">
        <v>742775.77326870512</v>
      </c>
      <c r="O76" s="194">
        <f t="shared" si="18"/>
        <v>-235964.87633333326</v>
      </c>
      <c r="P76" s="253" t="s">
        <v>95</v>
      </c>
    </row>
    <row r="77" spans="2:16" ht="14.25">
      <c r="B77" s="103">
        <v>1982</v>
      </c>
      <c r="C77" s="147">
        <v>1980</v>
      </c>
      <c r="D77" s="131" t="s">
        <v>75</v>
      </c>
      <c r="E77" s="124">
        <v>672676.93562925165</v>
      </c>
      <c r="F77" s="124">
        <v>294890.48</v>
      </c>
      <c r="G77" s="125">
        <f>E77-F77</f>
        <v>377786.45562925166</v>
      </c>
      <c r="H77" s="124">
        <v>423500</v>
      </c>
      <c r="I77" s="124"/>
      <c r="J77" s="124">
        <f t="shared" si="19"/>
        <v>589536.45562925166</v>
      </c>
      <c r="K77" s="126">
        <v>10</v>
      </c>
      <c r="L77" s="146">
        <f t="shared" si="3"/>
        <v>0.1</v>
      </c>
      <c r="M77" s="135">
        <f>IF(K77=0,"",J77/K77)</f>
        <v>58953.645562925165</v>
      </c>
      <c r="N77" s="156">
        <f>71261.7335629252+7</f>
        <v>71268.733562925205</v>
      </c>
      <c r="O77" s="194">
        <f t="shared" si="18"/>
        <v>-12315.08800000004</v>
      </c>
      <c r="P77" s="253" t="s">
        <v>95</v>
      </c>
    </row>
    <row r="78" spans="2:16" ht="18">
      <c r="C78" s="137"/>
      <c r="D78" s="138"/>
      <c r="E78" s="139"/>
      <c r="F78" s="139"/>
      <c r="G78" s="140"/>
      <c r="H78" s="139"/>
      <c r="I78" s="139"/>
      <c r="J78" s="141" t="s">
        <v>93</v>
      </c>
      <c r="K78" s="142"/>
      <c r="L78" s="143"/>
      <c r="M78" s="125">
        <f>SUM(M75:M77)</f>
        <v>731050.21149829705</v>
      </c>
      <c r="N78" s="125">
        <f>SUM(N75:N77)</f>
        <v>1032016.2588316302</v>
      </c>
      <c r="O78" s="195">
        <f>+M78-N78</f>
        <v>-300966.04733333318</v>
      </c>
      <c r="P78" s="253"/>
    </row>
    <row r="79" spans="2:16" ht="27" customHeight="1">
      <c r="B79" s="103">
        <v>1985</v>
      </c>
      <c r="C79" s="147">
        <v>1985</v>
      </c>
      <c r="D79" s="151" t="s">
        <v>50</v>
      </c>
      <c r="E79" s="124">
        <v>0</v>
      </c>
      <c r="F79" s="124"/>
      <c r="G79" s="125">
        <f t="shared" ref="G79:G83" si="20">E79-F79</f>
        <v>0</v>
      </c>
      <c r="H79" s="124">
        <v>0</v>
      </c>
      <c r="I79" s="124"/>
      <c r="J79" s="124">
        <f t="shared" ref="J79:J83" si="21">G79+0.5*H79+0.5*I79</f>
        <v>0</v>
      </c>
      <c r="K79" s="126">
        <v>0</v>
      </c>
      <c r="L79" s="146" t="str">
        <f t="shared" si="3"/>
        <v/>
      </c>
      <c r="M79" s="135">
        <v>0</v>
      </c>
      <c r="N79" s="156">
        <v>0</v>
      </c>
      <c r="O79" s="181"/>
      <c r="P79" s="253"/>
    </row>
    <row r="80" spans="2:16">
      <c r="B80" s="103" t="s">
        <v>140</v>
      </c>
      <c r="C80" s="147">
        <v>1995</v>
      </c>
      <c r="D80" s="148" t="s">
        <v>41</v>
      </c>
      <c r="E80" s="124">
        <v>-324549674.32570142</v>
      </c>
      <c r="F80" s="124">
        <v>-69761.490000000005</v>
      </c>
      <c r="G80" s="125">
        <f t="shared" si="20"/>
        <v>-324479912.83570141</v>
      </c>
      <c r="H80" s="124">
        <v>-18322739.650193661</v>
      </c>
      <c r="I80" s="124">
        <v>992581.00000000023</v>
      </c>
      <c r="J80" s="124">
        <f t="shared" si="21"/>
        <v>-333144992.16079825</v>
      </c>
      <c r="K80" s="126">
        <v>38</v>
      </c>
      <c r="L80" s="146">
        <f t="shared" si="3"/>
        <v>2.6315789473684209E-2</v>
      </c>
      <c r="M80" s="135">
        <f>IF(K80=0,"",J80/K80)</f>
        <v>-8766973.4779157434</v>
      </c>
      <c r="N80" s="181">
        <v>-9911181.6102993488</v>
      </c>
      <c r="O80" s="194">
        <f>+M80-N80</f>
        <v>1144208.1323836055</v>
      </c>
      <c r="P80" s="253" t="s">
        <v>95</v>
      </c>
    </row>
    <row r="81" spans="2:16">
      <c r="B81" s="103">
        <v>2005</v>
      </c>
      <c r="C81" s="147">
        <v>2005</v>
      </c>
      <c r="D81" s="132" t="s">
        <v>51</v>
      </c>
      <c r="E81" s="124">
        <v>17549082.289999999</v>
      </c>
      <c r="F81" s="124"/>
      <c r="G81" s="125">
        <f t="shared" si="20"/>
        <v>17549082.289999999</v>
      </c>
      <c r="H81" s="124">
        <v>0</v>
      </c>
      <c r="I81" s="124"/>
      <c r="J81" s="124">
        <f t="shared" si="21"/>
        <v>17549082.289999999</v>
      </c>
      <c r="K81" s="126">
        <v>25</v>
      </c>
      <c r="L81" s="146">
        <f>IF(K81=0,"",1/K81)</f>
        <v>0.04</v>
      </c>
      <c r="M81" s="135">
        <f>IF(K81=0,"",J81/K81)</f>
        <v>701963.2916</v>
      </c>
      <c r="N81" s="135">
        <v>730711.28</v>
      </c>
      <c r="O81" s="250">
        <f>+M81-N81</f>
        <v>-28747.988400000031</v>
      </c>
      <c r="P81" s="253" t="s">
        <v>95</v>
      </c>
    </row>
    <row r="82" spans="2:16">
      <c r="B82" s="103">
        <v>1611</v>
      </c>
      <c r="C82" s="147">
        <v>1611</v>
      </c>
      <c r="D82" s="151" t="s">
        <v>52</v>
      </c>
      <c r="E82" s="124">
        <v>4953506.92</v>
      </c>
      <c r="F82" s="124"/>
      <c r="G82" s="125">
        <f t="shared" si="20"/>
        <v>4953506.92</v>
      </c>
      <c r="H82" s="124">
        <v>0</v>
      </c>
      <c r="I82" s="124"/>
      <c r="J82" s="124">
        <f t="shared" si="21"/>
        <v>4953506.92</v>
      </c>
      <c r="K82" s="126">
        <v>25</v>
      </c>
      <c r="L82" s="146">
        <f>IF(K82=0,"",1/K82)</f>
        <v>0.04</v>
      </c>
      <c r="M82" s="135">
        <f>IF(K82=0,"",J82/K82)</f>
        <v>198140.27679999999</v>
      </c>
      <c r="N82" s="135">
        <v>288281.38</v>
      </c>
      <c r="O82" s="195">
        <f>+M82-N82</f>
        <v>-90141.103200000012</v>
      </c>
      <c r="P82" s="253" t="s">
        <v>95</v>
      </c>
    </row>
    <row r="83" spans="2:16">
      <c r="C83" s="147"/>
      <c r="D83" s="148"/>
      <c r="E83" s="124"/>
      <c r="F83" s="124"/>
      <c r="G83" s="125">
        <f t="shared" si="20"/>
        <v>0</v>
      </c>
      <c r="H83" s="124"/>
      <c r="I83" s="124"/>
      <c r="J83" s="124">
        <f t="shared" si="21"/>
        <v>0</v>
      </c>
      <c r="K83" s="126"/>
      <c r="L83" s="146" t="str">
        <f>IF(K83=0,"",1/K83)</f>
        <v/>
      </c>
      <c r="M83" s="128" t="str">
        <f>IF(K83=0,"",J83/K83)</f>
        <v/>
      </c>
      <c r="N83" s="128"/>
      <c r="O83" s="195"/>
      <c r="P83" s="253"/>
    </row>
    <row r="84" spans="2:16" ht="13.5" thickBot="1">
      <c r="C84" s="157"/>
      <c r="D84" s="158"/>
      <c r="E84" s="159"/>
      <c r="F84" s="159"/>
      <c r="G84" s="160"/>
      <c r="H84" s="159"/>
      <c r="I84" s="159"/>
      <c r="J84" s="161"/>
      <c r="K84" s="162"/>
      <c r="L84" s="163"/>
      <c r="M84" s="164"/>
      <c r="N84" s="164"/>
      <c r="O84" s="251"/>
      <c r="P84" s="254"/>
    </row>
    <row r="85" spans="2:16" ht="14.25" thickTop="1" thickBot="1">
      <c r="C85" s="166"/>
      <c r="D85" s="167" t="s">
        <v>42</v>
      </c>
      <c r="E85" s="168">
        <f t="shared" ref="E85:J85" si="22">SUM(E16:E84)</f>
        <v>930753286.18457973</v>
      </c>
      <c r="F85" s="168">
        <f t="shared" si="22"/>
        <v>23032629.750000004</v>
      </c>
      <c r="G85" s="168">
        <f t="shared" si="22"/>
        <v>897842159.94457996</v>
      </c>
      <c r="H85" s="168">
        <f t="shared" si="22"/>
        <v>139936545.51384062</v>
      </c>
      <c r="I85" s="168">
        <f>SUM(I16:I84)</f>
        <v>-2218906.3265151512</v>
      </c>
      <c r="J85" s="168">
        <f t="shared" si="22"/>
        <v>966700979.53824294</v>
      </c>
      <c r="K85" s="169"/>
      <c r="L85" s="170"/>
      <c r="M85" s="171">
        <f>+M18+M29+M34+M36+M37+M38+M39+M41+M42+M43+M44+M45+M46+M47+M52+M53+M59+M67+M68+M69+M72+M78+M80+M81+M82+M48+M63+M74+M40</f>
        <v>35464299.086821325</v>
      </c>
      <c r="N85" s="171">
        <f>+N18+N29+N34+N36+N37+N38+N39+N41+N42+N43+N44+N45+N46+N47+N52+N53+N59+N67+N68+N69+N72+N78+N80+N81+N82+N48+N63+N74+N40</f>
        <v>42622055.49437055</v>
      </c>
      <c r="O85" s="252">
        <f>+O18+O29+O34+O36+O37+O38+O39+O41+O42+O43+O44+O45+O46+O47+O52+O53+O59+O67+O68+O69+O72+O78+O80+O81+O82+O48+O63+O74+O40</f>
        <v>-7157756.4075492304</v>
      </c>
      <c r="P85" s="255"/>
    </row>
    <row r="86" spans="2:16" ht="15.75" customHeight="1">
      <c r="O86" s="173">
        <f>+M85-N85</f>
        <v>-7157756.4075492248</v>
      </c>
      <c r="P86" s="103" t="s">
        <v>164</v>
      </c>
    </row>
    <row r="87" spans="2:16" ht="11.25" customHeight="1">
      <c r="C87" s="104" t="s">
        <v>43</v>
      </c>
      <c r="D87" s="136"/>
      <c r="E87" s="136"/>
      <c r="F87" s="174"/>
      <c r="G87" s="175"/>
      <c r="H87" s="136"/>
      <c r="I87" s="136"/>
      <c r="J87" s="136"/>
      <c r="K87" s="136"/>
      <c r="L87" s="136"/>
      <c r="M87" s="136"/>
      <c r="N87" s="136"/>
      <c r="O87" s="136"/>
    </row>
    <row r="88" spans="2:16" ht="7.5" customHeight="1">
      <c r="C88" s="136"/>
      <c r="D88" s="136"/>
      <c r="E88" s="136"/>
      <c r="F88" s="136"/>
      <c r="G88" s="136"/>
      <c r="H88" s="136"/>
      <c r="I88" s="136"/>
      <c r="J88" s="136"/>
      <c r="K88" s="136"/>
      <c r="L88" s="136"/>
      <c r="M88" s="136"/>
      <c r="N88" s="136"/>
      <c r="O88" s="136"/>
    </row>
    <row r="89" spans="2:16" ht="12.75" customHeight="1">
      <c r="C89" s="263" t="s">
        <v>151</v>
      </c>
      <c r="D89" s="263"/>
      <c r="E89" s="263"/>
      <c r="F89" s="263"/>
      <c r="G89" s="263"/>
      <c r="H89" s="263"/>
      <c r="I89" s="263"/>
      <c r="J89" s="263"/>
      <c r="K89" s="263"/>
      <c r="L89" s="263"/>
      <c r="M89" s="263"/>
    </row>
    <row r="90" spans="2:16" ht="21" customHeight="1">
      <c r="C90" s="258" t="s">
        <v>97</v>
      </c>
      <c r="D90" s="259"/>
      <c r="E90" s="259"/>
      <c r="F90" s="259"/>
      <c r="G90" s="259"/>
      <c r="H90" s="259"/>
      <c r="I90" s="259"/>
      <c r="J90" s="259"/>
      <c r="K90" s="259"/>
      <c r="L90" s="259"/>
    </row>
    <row r="91" spans="2:16" ht="14.25" customHeight="1">
      <c r="C91" s="260" t="s">
        <v>91</v>
      </c>
      <c r="D91" s="261"/>
      <c r="E91" s="261"/>
      <c r="F91" s="261"/>
      <c r="G91" s="261"/>
      <c r="H91" s="261"/>
      <c r="I91" s="261"/>
      <c r="J91" s="261"/>
      <c r="K91" s="261"/>
      <c r="L91" s="261"/>
    </row>
    <row r="92" spans="2:16" ht="19.5" customHeight="1">
      <c r="C92" s="261"/>
      <c r="D92" s="261"/>
      <c r="E92" s="261"/>
      <c r="F92" s="261"/>
      <c r="G92" s="261"/>
      <c r="H92" s="261"/>
      <c r="I92" s="261"/>
      <c r="J92" s="261"/>
      <c r="K92" s="261"/>
      <c r="L92" s="261"/>
    </row>
    <row r="93" spans="2:16" ht="12.75" customHeight="1">
      <c r="C93" s="258" t="s">
        <v>157</v>
      </c>
      <c r="D93" s="262"/>
      <c r="E93" s="262"/>
      <c r="F93" s="262"/>
      <c r="G93" s="262"/>
      <c r="H93" s="262"/>
      <c r="I93" s="262"/>
      <c r="J93" s="262"/>
      <c r="K93" s="262"/>
      <c r="L93" s="262"/>
      <c r="M93" s="136"/>
      <c r="N93" s="136"/>
      <c r="O93" s="136"/>
    </row>
    <row r="94" spans="2:16" ht="15" customHeight="1">
      <c r="C94" s="258" t="s">
        <v>150</v>
      </c>
      <c r="D94" s="259"/>
      <c r="E94" s="259"/>
      <c r="F94" s="259"/>
      <c r="G94" s="259"/>
      <c r="H94" s="259"/>
      <c r="I94" s="259"/>
      <c r="J94" s="259"/>
      <c r="K94" s="259"/>
      <c r="L94" s="259"/>
      <c r="M94" s="259"/>
      <c r="N94" s="259"/>
      <c r="O94" s="190"/>
    </row>
    <row r="95" spans="2:16">
      <c r="C95" s="136"/>
      <c r="D95" s="176"/>
      <c r="E95" s="176"/>
      <c r="F95" s="176"/>
      <c r="G95" s="176"/>
      <c r="H95" s="176"/>
      <c r="I95" s="176"/>
      <c r="J95" s="176"/>
      <c r="K95" s="176"/>
      <c r="L95" s="176"/>
      <c r="M95" s="176"/>
      <c r="N95" s="176"/>
      <c r="O95" s="176"/>
    </row>
    <row r="96" spans="2:16">
      <c r="C96" s="136"/>
      <c r="D96" s="176"/>
      <c r="E96" s="176"/>
      <c r="F96" s="176"/>
      <c r="G96" s="176"/>
      <c r="H96" s="176"/>
      <c r="I96" s="176"/>
      <c r="J96" s="176"/>
      <c r="K96" s="176"/>
      <c r="L96" s="176"/>
      <c r="M96" s="176"/>
      <c r="N96" s="176"/>
      <c r="O96" s="176"/>
    </row>
  </sheetData>
  <mergeCells count="10">
    <mergeCell ref="C9:M9"/>
    <mergeCell ref="C10:M10"/>
    <mergeCell ref="C14:C15"/>
    <mergeCell ref="D14:D15"/>
    <mergeCell ref="C93:L93"/>
    <mergeCell ref="C94:N94"/>
    <mergeCell ref="P14:P15"/>
    <mergeCell ref="C90:L90"/>
    <mergeCell ref="C91:L92"/>
    <mergeCell ref="C89:M89"/>
  </mergeCells>
  <dataValidations count="2">
    <dataValidation type="list" allowBlank="1" showInputMessage="1" showErrorMessage="1" sqref="P16:P84">
      <formula1>"Yes, No"</formula1>
    </dataValidation>
    <dataValidation allowBlank="1" showInputMessage="1" showErrorMessage="1" promptTitle="Date Format" prompt="E.g:  &quot;August 1, 2011&quot;" sqref="M7:O7"/>
  </dataValidations>
  <printOptions horizontalCentered="1"/>
  <pageMargins left="0" right="0" top="0.13" bottom="0" header="0" footer="0"/>
  <pageSetup paperSize="17" scale="48" orientation="landscape" cellComments="asDisplayed" r:id="rId1"/>
  <headerFooter alignWithMargins="0"/>
  <rowBreaks count="1" manualBreakCount="1">
    <brk id="52"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96"/>
  <sheetViews>
    <sheetView showGridLines="0" topLeftCell="E1" zoomScaleNormal="100" workbookViewId="0">
      <selection activeCell="M5" sqref="M5"/>
    </sheetView>
  </sheetViews>
  <sheetFormatPr defaultRowHeight="12.75"/>
  <cols>
    <col min="1" max="1" width="2.7109375" style="103" customWidth="1"/>
    <col min="2" max="2" width="9.7109375" style="103" customWidth="1"/>
    <col min="3" max="3" width="9.140625" style="103"/>
    <col min="4" max="4" width="38.5703125" style="103" customWidth="1"/>
    <col min="5" max="5" width="17.140625" style="103" customWidth="1"/>
    <col min="6" max="6" width="14" style="103" customWidth="1"/>
    <col min="7" max="7" width="16.5703125" style="103" customWidth="1"/>
    <col min="8" max="8" width="13.7109375" style="103" customWidth="1"/>
    <col min="9" max="9" width="13.42578125" style="103" customWidth="1"/>
    <col min="10" max="10" width="17.85546875" style="103" customWidth="1"/>
    <col min="11" max="11" width="7.7109375" style="103" customWidth="1"/>
    <col min="12" max="12" width="12.28515625" style="103" customWidth="1"/>
    <col min="13" max="13" width="15.140625" style="103" bestFit="1" customWidth="1"/>
    <col min="14" max="15" width="15" style="103" customWidth="1"/>
    <col min="16" max="16" width="15.85546875" style="103" customWidth="1"/>
    <col min="17" max="16384" width="9.140625" style="103"/>
  </cols>
  <sheetData>
    <row r="1" spans="2:16">
      <c r="K1" s="104" t="s">
        <v>0</v>
      </c>
      <c r="M1" s="105" t="s">
        <v>128</v>
      </c>
      <c r="N1" s="105"/>
      <c r="O1" s="105"/>
    </row>
    <row r="2" spans="2:16">
      <c r="K2" s="104" t="s">
        <v>1</v>
      </c>
      <c r="M2" s="105" t="s">
        <v>144</v>
      </c>
      <c r="N2" s="105"/>
      <c r="O2" s="105"/>
    </row>
    <row r="3" spans="2:16">
      <c r="K3" s="104" t="s">
        <v>2</v>
      </c>
      <c r="M3" s="106"/>
      <c r="N3" s="105"/>
      <c r="O3" s="105"/>
    </row>
    <row r="4" spans="2:16">
      <c r="K4" s="104" t="s">
        <v>3</v>
      </c>
      <c r="M4" s="105"/>
      <c r="N4" s="105"/>
      <c r="O4" s="105"/>
    </row>
    <row r="5" spans="2:16">
      <c r="K5" s="104" t="s">
        <v>4</v>
      </c>
      <c r="M5" s="105"/>
      <c r="N5" s="105"/>
      <c r="O5" s="105"/>
    </row>
    <row r="6" spans="2:16">
      <c r="K6" s="104"/>
    </row>
    <row r="7" spans="2:16">
      <c r="K7" s="104" t="s">
        <v>5</v>
      </c>
      <c r="M7" s="107" t="s">
        <v>153</v>
      </c>
      <c r="N7" s="107"/>
      <c r="O7" s="107"/>
    </row>
    <row r="9" spans="2:16" ht="18">
      <c r="C9" s="264" t="s">
        <v>144</v>
      </c>
      <c r="D9" s="264"/>
      <c r="E9" s="264"/>
      <c r="F9" s="264"/>
      <c r="G9" s="264"/>
      <c r="H9" s="264"/>
      <c r="I9" s="264"/>
      <c r="J9" s="264"/>
      <c r="K9" s="264"/>
      <c r="L9" s="264"/>
      <c r="M9" s="264"/>
      <c r="N9" s="108"/>
      <c r="O9" s="108"/>
    </row>
    <row r="10" spans="2:16" ht="18">
      <c r="C10" s="264" t="s">
        <v>6</v>
      </c>
      <c r="D10" s="264"/>
      <c r="E10" s="264"/>
      <c r="F10" s="264"/>
      <c r="G10" s="264"/>
      <c r="H10" s="264"/>
      <c r="I10" s="264"/>
      <c r="J10" s="264"/>
      <c r="K10" s="264"/>
      <c r="L10" s="264"/>
      <c r="M10" s="264"/>
      <c r="N10" s="108"/>
      <c r="O10" s="108"/>
    </row>
    <row r="11" spans="2:16" ht="13.5" customHeight="1">
      <c r="C11" s="108"/>
      <c r="D11" s="108"/>
      <c r="E11" s="108"/>
      <c r="F11" s="108"/>
      <c r="G11" s="108"/>
      <c r="H11" s="108"/>
      <c r="I11" s="108"/>
      <c r="J11" s="108"/>
      <c r="K11" s="108"/>
      <c r="L11" s="108"/>
      <c r="M11" s="108"/>
      <c r="N11" s="108"/>
      <c r="O11" s="108"/>
    </row>
    <row r="12" spans="2:16" ht="13.5" customHeight="1">
      <c r="C12" s="108"/>
      <c r="D12" s="108"/>
      <c r="E12" s="108"/>
      <c r="F12" s="109" t="s">
        <v>7</v>
      </c>
      <c r="G12" s="110">
        <v>2014</v>
      </c>
      <c r="H12" s="111" t="s">
        <v>54</v>
      </c>
      <c r="I12" s="111"/>
      <c r="J12" s="108"/>
      <c r="K12" s="108"/>
      <c r="L12" s="108"/>
      <c r="M12" s="108"/>
      <c r="N12" s="108"/>
      <c r="O12" s="108"/>
    </row>
    <row r="13" spans="2:16" ht="13.5" thickBot="1"/>
    <row r="14" spans="2:16" ht="39" customHeight="1">
      <c r="B14" s="103" t="s">
        <v>113</v>
      </c>
      <c r="C14" s="265" t="s">
        <v>8</v>
      </c>
      <c r="D14" s="267" t="s">
        <v>9</v>
      </c>
      <c r="E14" s="112" t="s">
        <v>83</v>
      </c>
      <c r="F14" s="113" t="s">
        <v>10</v>
      </c>
      <c r="G14" s="114" t="s">
        <v>11</v>
      </c>
      <c r="H14" s="114" t="s">
        <v>12</v>
      </c>
      <c r="I14" s="114" t="s">
        <v>81</v>
      </c>
      <c r="J14" s="114" t="s">
        <v>84</v>
      </c>
      <c r="K14" s="114" t="s">
        <v>13</v>
      </c>
      <c r="L14" s="114" t="s">
        <v>14</v>
      </c>
      <c r="M14" s="114" t="s">
        <v>76</v>
      </c>
      <c r="N14" s="114" t="s">
        <v>80</v>
      </c>
      <c r="O14" s="115" t="s">
        <v>98</v>
      </c>
      <c r="P14" s="256" t="s">
        <v>162</v>
      </c>
    </row>
    <row r="15" spans="2:16" ht="32.25" customHeight="1">
      <c r="C15" s="266"/>
      <c r="D15" s="268"/>
      <c r="E15" s="116" t="s">
        <v>15</v>
      </c>
      <c r="F15" s="116" t="s">
        <v>16</v>
      </c>
      <c r="G15" s="117" t="s">
        <v>17</v>
      </c>
      <c r="H15" s="117" t="s">
        <v>18</v>
      </c>
      <c r="I15" s="118" t="s">
        <v>19</v>
      </c>
      <c r="J15" s="119" t="s">
        <v>138</v>
      </c>
      <c r="K15" s="117" t="s">
        <v>19</v>
      </c>
      <c r="L15" s="117" t="s">
        <v>20</v>
      </c>
      <c r="M15" s="117" t="s">
        <v>21</v>
      </c>
      <c r="N15" s="117" t="s">
        <v>99</v>
      </c>
      <c r="O15" s="120" t="s">
        <v>100</v>
      </c>
      <c r="P15" s="257"/>
    </row>
    <row r="16" spans="2:16">
      <c r="B16" s="103">
        <v>1805</v>
      </c>
      <c r="C16" s="122">
        <v>1805</v>
      </c>
      <c r="D16" s="123" t="s">
        <v>22</v>
      </c>
      <c r="E16" s="124">
        <v>18230788.010000002</v>
      </c>
      <c r="F16" s="124"/>
      <c r="G16" s="125">
        <f t="shared" ref="G16:G28" si="0">E16-F16</f>
        <v>18230788.010000002</v>
      </c>
      <c r="H16" s="124">
        <v>4190538.22</v>
      </c>
      <c r="I16" s="124"/>
      <c r="J16" s="124">
        <f>G16+0.5*H16+0.5*I16</f>
        <v>20326057.120000001</v>
      </c>
      <c r="K16" s="126">
        <v>0</v>
      </c>
      <c r="L16" s="127" t="str">
        <f>IF(K16=0,"",1/K16)</f>
        <v/>
      </c>
      <c r="M16" s="128" t="str">
        <f t="shared" ref="M16:M48" si="1">IF(K16=0,"",J16/K16)</f>
        <v/>
      </c>
      <c r="N16" s="128"/>
      <c r="O16" s="129"/>
      <c r="P16" s="236"/>
    </row>
    <row r="17" spans="2:16">
      <c r="B17" s="103">
        <v>1806</v>
      </c>
      <c r="C17" s="130">
        <v>1806</v>
      </c>
      <c r="D17" s="131" t="s">
        <v>32</v>
      </c>
      <c r="E17" s="124">
        <v>826097.28</v>
      </c>
      <c r="F17" s="124"/>
      <c r="G17" s="125">
        <f t="shared" si="0"/>
        <v>826097.28</v>
      </c>
      <c r="H17" s="124">
        <v>46195.34</v>
      </c>
      <c r="I17" s="124"/>
      <c r="J17" s="124">
        <f t="shared" ref="J17:J28" si="2">G17+0.5*H17+0.5*I17</f>
        <v>849194.95000000007</v>
      </c>
      <c r="K17" s="126">
        <v>0</v>
      </c>
      <c r="L17" s="127"/>
      <c r="M17" s="128" t="str">
        <f t="shared" si="1"/>
        <v/>
      </c>
      <c r="N17" s="128"/>
      <c r="O17" s="129"/>
      <c r="P17" s="236"/>
    </row>
    <row r="18" spans="2:16">
      <c r="B18" s="103">
        <v>1808</v>
      </c>
      <c r="C18" s="130">
        <v>1808</v>
      </c>
      <c r="D18" s="132" t="s">
        <v>23</v>
      </c>
      <c r="E18" s="124">
        <v>6648007.2699999996</v>
      </c>
      <c r="F18" s="124"/>
      <c r="G18" s="125">
        <f t="shared" si="0"/>
        <v>6648007.2699999996</v>
      </c>
      <c r="H18" s="124">
        <v>69882.039999999994</v>
      </c>
      <c r="I18" s="124"/>
      <c r="J18" s="124">
        <f t="shared" si="2"/>
        <v>6682948.2899999991</v>
      </c>
      <c r="K18" s="126">
        <v>40</v>
      </c>
      <c r="L18" s="127">
        <f t="shared" ref="L18:L80" si="3">IF(K18=0,"",1/K18)</f>
        <v>2.5000000000000001E-2</v>
      </c>
      <c r="M18" s="128">
        <f t="shared" si="1"/>
        <v>167073.70724999998</v>
      </c>
      <c r="N18" s="128">
        <v>211400.39</v>
      </c>
      <c r="O18" s="129">
        <f>+M18-N18</f>
        <v>-44326.682750000036</v>
      </c>
      <c r="P18" s="237" t="s">
        <v>95</v>
      </c>
    </row>
    <row r="19" spans="2:16">
      <c r="B19" s="103">
        <v>1810</v>
      </c>
      <c r="C19" s="130">
        <v>1810</v>
      </c>
      <c r="D19" s="131" t="s">
        <v>53</v>
      </c>
      <c r="E19" s="124">
        <v>8757547.2699999996</v>
      </c>
      <c r="F19" s="124"/>
      <c r="G19" s="125">
        <v>8757547.2699999996</v>
      </c>
      <c r="H19" s="124">
        <v>1120949.22</v>
      </c>
      <c r="I19" s="124"/>
      <c r="J19" s="124">
        <f t="shared" si="2"/>
        <v>9318021.879999999</v>
      </c>
      <c r="K19" s="126">
        <v>0</v>
      </c>
      <c r="L19" s="127" t="str">
        <f t="shared" si="3"/>
        <v/>
      </c>
      <c r="M19" s="128" t="str">
        <f t="shared" si="1"/>
        <v/>
      </c>
      <c r="N19" s="128"/>
      <c r="O19" s="129"/>
      <c r="P19" s="236"/>
    </row>
    <row r="20" spans="2:16" ht="22.5" customHeight="1">
      <c r="B20" s="103">
        <v>1815</v>
      </c>
      <c r="C20" s="130">
        <v>1815</v>
      </c>
      <c r="D20" s="132" t="s">
        <v>24</v>
      </c>
      <c r="E20" s="124">
        <v>-95926.720000000001</v>
      </c>
      <c r="F20" s="124"/>
      <c r="G20" s="125">
        <f t="shared" si="0"/>
        <v>-95926.720000000001</v>
      </c>
      <c r="H20" s="124">
        <v>95926.73</v>
      </c>
      <c r="I20" s="124"/>
      <c r="J20" s="124">
        <f t="shared" si="2"/>
        <v>-47963.355000000003</v>
      </c>
      <c r="K20" s="126">
        <v>40</v>
      </c>
      <c r="L20" s="127">
        <f t="shared" si="3"/>
        <v>2.5000000000000001E-2</v>
      </c>
      <c r="M20" s="128">
        <f t="shared" si="1"/>
        <v>-1199.083875</v>
      </c>
      <c r="N20" s="128">
        <v>-0.01</v>
      </c>
      <c r="O20" s="129">
        <f t="shared" ref="O20:O33" si="4">+M20-N20</f>
        <v>-1199.073875</v>
      </c>
      <c r="P20" s="236" t="s">
        <v>95</v>
      </c>
    </row>
    <row r="21" spans="2:16" s="136" customFormat="1">
      <c r="B21" s="136">
        <v>1816</v>
      </c>
      <c r="C21" s="130">
        <v>1815</v>
      </c>
      <c r="D21" s="131" t="s">
        <v>55</v>
      </c>
      <c r="E21" s="124">
        <v>10830982.91</v>
      </c>
      <c r="F21" s="125"/>
      <c r="G21" s="125">
        <v>10830982.91</v>
      </c>
      <c r="H21" s="125">
        <v>711219.26</v>
      </c>
      <c r="I21" s="125"/>
      <c r="J21" s="124">
        <f t="shared" si="2"/>
        <v>11186592.540000001</v>
      </c>
      <c r="K21" s="133">
        <v>40</v>
      </c>
      <c r="L21" s="134">
        <f t="shared" si="3"/>
        <v>2.5000000000000001E-2</v>
      </c>
      <c r="M21" s="135">
        <f t="shared" si="1"/>
        <v>279664.81350000005</v>
      </c>
      <c r="N21" s="135">
        <v>351168.67</v>
      </c>
      <c r="O21" s="129">
        <f t="shared" si="4"/>
        <v>-71503.856499999936</v>
      </c>
      <c r="P21" s="238" t="s">
        <v>95</v>
      </c>
    </row>
    <row r="22" spans="2:16">
      <c r="B22" s="103">
        <v>1817</v>
      </c>
      <c r="C22" s="130">
        <v>1815</v>
      </c>
      <c r="D22" s="132" t="s">
        <v>56</v>
      </c>
      <c r="E22" s="124">
        <v>9904442.8499999996</v>
      </c>
      <c r="F22" s="124">
        <v>668408.61</v>
      </c>
      <c r="G22" s="125">
        <f t="shared" si="0"/>
        <v>9236034.2400000002</v>
      </c>
      <c r="H22" s="124">
        <v>115076.11</v>
      </c>
      <c r="I22" s="124"/>
      <c r="J22" s="124">
        <f t="shared" si="2"/>
        <v>9293572.2949999999</v>
      </c>
      <c r="K22" s="150">
        <v>25</v>
      </c>
      <c r="L22" s="127">
        <f t="shared" si="3"/>
        <v>0.04</v>
      </c>
      <c r="M22" s="135">
        <f t="shared" si="1"/>
        <v>371742.89179999998</v>
      </c>
      <c r="N22" s="135">
        <v>661062.40000000002</v>
      </c>
      <c r="O22" s="129">
        <f t="shared" si="4"/>
        <v>-289319.50820000004</v>
      </c>
      <c r="P22" s="236" t="s">
        <v>95</v>
      </c>
    </row>
    <row r="23" spans="2:16">
      <c r="B23" s="103">
        <v>1818</v>
      </c>
      <c r="C23" s="130">
        <v>1815</v>
      </c>
      <c r="D23" s="132" t="s">
        <v>57</v>
      </c>
      <c r="E23" s="124">
        <v>40015806.550000004</v>
      </c>
      <c r="F23" s="124"/>
      <c r="G23" s="125">
        <f t="shared" si="0"/>
        <v>40015806.550000004</v>
      </c>
      <c r="H23" s="124">
        <v>757845.6518673083</v>
      </c>
      <c r="I23" s="124"/>
      <c r="J23" s="124">
        <f t="shared" si="2"/>
        <v>40394729.375933662</v>
      </c>
      <c r="K23" s="150">
        <v>40</v>
      </c>
      <c r="L23" s="127">
        <f t="shared" si="3"/>
        <v>2.5000000000000001E-2</v>
      </c>
      <c r="M23" s="135">
        <f t="shared" si="1"/>
        <v>1009868.2343983415</v>
      </c>
      <c r="N23" s="135">
        <v>1333100.5787733414</v>
      </c>
      <c r="O23" s="129">
        <f t="shared" si="4"/>
        <v>-323232.34437499987</v>
      </c>
      <c r="P23" s="236" t="s">
        <v>95</v>
      </c>
    </row>
    <row r="24" spans="2:16">
      <c r="B24" s="103">
        <v>1819</v>
      </c>
      <c r="C24" s="130">
        <v>1815</v>
      </c>
      <c r="D24" s="132" t="s">
        <v>58</v>
      </c>
      <c r="E24" s="124">
        <v>6815280.6700000018</v>
      </c>
      <c r="F24" s="124"/>
      <c r="G24" s="125">
        <f t="shared" si="0"/>
        <v>6815280.6700000018</v>
      </c>
      <c r="H24" s="124">
        <v>20679.170000000002</v>
      </c>
      <c r="I24" s="124"/>
      <c r="J24" s="124">
        <f t="shared" si="2"/>
        <v>6825620.2550000018</v>
      </c>
      <c r="K24" s="150">
        <v>40</v>
      </c>
      <c r="L24" s="127">
        <f t="shared" si="3"/>
        <v>2.5000000000000001E-2</v>
      </c>
      <c r="M24" s="135">
        <f t="shared" si="1"/>
        <v>170640.50637500006</v>
      </c>
      <c r="N24" s="135">
        <v>222900.97</v>
      </c>
      <c r="O24" s="129">
        <f t="shared" si="4"/>
        <v>-52260.463624999946</v>
      </c>
      <c r="P24" s="236" t="s">
        <v>95</v>
      </c>
    </row>
    <row r="25" spans="2:16">
      <c r="B25" s="103">
        <v>1821</v>
      </c>
      <c r="C25" s="130">
        <v>1815</v>
      </c>
      <c r="D25" s="132" t="s">
        <v>59</v>
      </c>
      <c r="E25" s="124">
        <v>4721045.0699999994</v>
      </c>
      <c r="F25" s="124"/>
      <c r="G25" s="125">
        <f t="shared" si="0"/>
        <v>4721045.0699999994</v>
      </c>
      <c r="H25" s="124">
        <v>101147.4678235553</v>
      </c>
      <c r="I25" s="124"/>
      <c r="J25" s="124">
        <f t="shared" si="2"/>
        <v>4771618.8039117772</v>
      </c>
      <c r="K25" s="150">
        <v>40</v>
      </c>
      <c r="L25" s="127">
        <f t="shared" si="3"/>
        <v>2.5000000000000001E-2</v>
      </c>
      <c r="M25" s="135">
        <f t="shared" si="1"/>
        <v>119290.47009779443</v>
      </c>
      <c r="N25" s="125">
        <v>162409</v>
      </c>
      <c r="O25" s="129">
        <f t="shared" si="4"/>
        <v>-43118.52990220557</v>
      </c>
      <c r="P25" s="236" t="s">
        <v>95</v>
      </c>
    </row>
    <row r="26" spans="2:16">
      <c r="B26" s="103">
        <v>1822</v>
      </c>
      <c r="C26" s="130">
        <v>1815</v>
      </c>
      <c r="D26" s="132" t="s">
        <v>60</v>
      </c>
      <c r="E26" s="124">
        <v>4990942.04</v>
      </c>
      <c r="F26" s="124">
        <v>1030234.5099999999</v>
      </c>
      <c r="G26" s="125">
        <f t="shared" si="0"/>
        <v>3960707.5300000003</v>
      </c>
      <c r="H26" s="124">
        <v>888034.24231928517</v>
      </c>
      <c r="I26" s="124"/>
      <c r="J26" s="124">
        <f t="shared" si="2"/>
        <v>4404724.6511596432</v>
      </c>
      <c r="K26" s="150">
        <v>20</v>
      </c>
      <c r="L26" s="127">
        <f t="shared" si="3"/>
        <v>0.05</v>
      </c>
      <c r="M26" s="135">
        <f t="shared" si="1"/>
        <v>220236.23255798215</v>
      </c>
      <c r="N26" s="125">
        <v>304687</v>
      </c>
      <c r="O26" s="129">
        <f t="shared" si="4"/>
        <v>-84450.767442017852</v>
      </c>
      <c r="P26" s="236" t="s">
        <v>95</v>
      </c>
    </row>
    <row r="27" spans="2:16">
      <c r="B27" s="103">
        <v>1823</v>
      </c>
      <c r="C27" s="130">
        <v>1815</v>
      </c>
      <c r="D27" s="132" t="s">
        <v>61</v>
      </c>
      <c r="E27" s="124">
        <v>17743714.32</v>
      </c>
      <c r="F27" s="124"/>
      <c r="G27" s="125">
        <f t="shared" si="0"/>
        <v>17743714.32</v>
      </c>
      <c r="H27" s="124">
        <v>574700.47</v>
      </c>
      <c r="I27" s="124"/>
      <c r="J27" s="124">
        <f t="shared" si="2"/>
        <v>18031064.555</v>
      </c>
      <c r="K27" s="150">
        <v>30</v>
      </c>
      <c r="L27" s="127">
        <f t="shared" si="3"/>
        <v>3.3333333333333333E-2</v>
      </c>
      <c r="M27" s="135">
        <f t="shared" si="1"/>
        <v>601035.48516666668</v>
      </c>
      <c r="N27" s="125">
        <v>968357</v>
      </c>
      <c r="O27" s="129">
        <f t="shared" si="4"/>
        <v>-367321.51483333332</v>
      </c>
      <c r="P27" s="236" t="s">
        <v>95</v>
      </c>
    </row>
    <row r="28" spans="2:16">
      <c r="B28" s="103">
        <v>1824</v>
      </c>
      <c r="C28" s="130">
        <v>1815</v>
      </c>
      <c r="D28" s="132" t="s">
        <v>62</v>
      </c>
      <c r="E28" s="124">
        <v>5078635.0200000005</v>
      </c>
      <c r="F28" s="124"/>
      <c r="G28" s="125">
        <f t="shared" si="0"/>
        <v>5078635.0200000005</v>
      </c>
      <c r="H28" s="124">
        <v>14954.38</v>
      </c>
      <c r="I28" s="124"/>
      <c r="J28" s="124">
        <f t="shared" si="2"/>
        <v>5086112.2100000009</v>
      </c>
      <c r="K28" s="150">
        <v>30</v>
      </c>
      <c r="L28" s="127">
        <f t="shared" si="3"/>
        <v>3.3333333333333333E-2</v>
      </c>
      <c r="M28" s="135">
        <f t="shared" si="1"/>
        <v>169537.07366666669</v>
      </c>
      <c r="N28" s="125">
        <v>205487</v>
      </c>
      <c r="O28" s="129">
        <f t="shared" si="4"/>
        <v>-35949.926333333307</v>
      </c>
      <c r="P28" s="236" t="s">
        <v>95</v>
      </c>
    </row>
    <row r="29" spans="2:16" ht="24.75" customHeight="1">
      <c r="C29" s="137"/>
      <c r="D29" s="138"/>
      <c r="E29" s="139"/>
      <c r="F29" s="139"/>
      <c r="G29" s="140"/>
      <c r="H29" s="139"/>
      <c r="I29" s="139"/>
      <c r="J29" s="141" t="s">
        <v>86</v>
      </c>
      <c r="K29" s="219"/>
      <c r="L29" s="143"/>
      <c r="M29" s="125">
        <f>SUM(M20:M28)</f>
        <v>2940816.6236874512</v>
      </c>
      <c r="N29" s="135">
        <f>SUM(N20:N28)</f>
        <v>4209172.6087733414</v>
      </c>
      <c r="O29" s="129">
        <f>+M29-N29</f>
        <v>-1268355.9850858902</v>
      </c>
      <c r="P29" s="236"/>
    </row>
    <row r="30" spans="2:16" ht="20.25" customHeight="1">
      <c r="B30" s="103">
        <v>1820</v>
      </c>
      <c r="C30" s="144">
        <v>1820</v>
      </c>
      <c r="D30" s="145" t="s">
        <v>25</v>
      </c>
      <c r="E30" s="124">
        <v>-72597.760000000271</v>
      </c>
      <c r="F30" s="124"/>
      <c r="G30" s="125">
        <f>E30-F30</f>
        <v>-72597.760000000271</v>
      </c>
      <c r="H30" s="124">
        <v>27557.19</v>
      </c>
      <c r="I30" s="124"/>
      <c r="J30" s="124">
        <f t="shared" ref="J30:J33" si="5">G30+0.5*H30+0.5*I30</f>
        <v>-58819.16500000027</v>
      </c>
      <c r="K30" s="150">
        <v>30</v>
      </c>
      <c r="L30" s="146">
        <f t="shared" si="3"/>
        <v>3.3333333333333333E-2</v>
      </c>
      <c r="M30" s="135">
        <f t="shared" si="1"/>
        <v>-1960.6388333333423</v>
      </c>
      <c r="N30" s="125">
        <v>-3960</v>
      </c>
      <c r="O30" s="129">
        <f t="shared" si="4"/>
        <v>1999.3611666666577</v>
      </c>
      <c r="P30" s="236" t="s">
        <v>95</v>
      </c>
    </row>
    <row r="31" spans="2:16">
      <c r="B31" s="103">
        <v>1826</v>
      </c>
      <c r="C31" s="147">
        <v>1820</v>
      </c>
      <c r="D31" s="132" t="s">
        <v>63</v>
      </c>
      <c r="E31" s="124">
        <v>10345316.959999999</v>
      </c>
      <c r="F31" s="124"/>
      <c r="G31" s="125">
        <f>E31-F31</f>
        <v>10345316.959999999</v>
      </c>
      <c r="H31" s="124">
        <v>1031188.8200000001</v>
      </c>
      <c r="I31" s="124"/>
      <c r="J31" s="124">
        <f t="shared" si="5"/>
        <v>10860911.369999999</v>
      </c>
      <c r="K31" s="150">
        <v>40</v>
      </c>
      <c r="L31" s="146">
        <f t="shared" si="3"/>
        <v>2.5000000000000001E-2</v>
      </c>
      <c r="M31" s="135">
        <f t="shared" si="1"/>
        <v>271522.78424999997</v>
      </c>
      <c r="N31" s="135">
        <v>342800.21</v>
      </c>
      <c r="O31" s="129">
        <f t="shared" si="4"/>
        <v>-71277.425750000053</v>
      </c>
      <c r="P31" s="236" t="s">
        <v>95</v>
      </c>
    </row>
    <row r="32" spans="2:16">
      <c r="B32" s="103">
        <v>1827</v>
      </c>
      <c r="C32" s="147">
        <v>1820</v>
      </c>
      <c r="D32" s="132" t="s">
        <v>64</v>
      </c>
      <c r="E32" s="124">
        <v>9927946.9800000004</v>
      </c>
      <c r="F32" s="124">
        <v>1098466.7200000002</v>
      </c>
      <c r="G32" s="125">
        <f>E32-F32</f>
        <v>8829480.2599999998</v>
      </c>
      <c r="H32" s="124">
        <v>69580.2</v>
      </c>
      <c r="I32" s="124"/>
      <c r="J32" s="124">
        <f t="shared" si="5"/>
        <v>8864270.3599999994</v>
      </c>
      <c r="K32" s="150">
        <v>20</v>
      </c>
      <c r="L32" s="146">
        <f t="shared" si="3"/>
        <v>0.05</v>
      </c>
      <c r="M32" s="135">
        <f t="shared" si="1"/>
        <v>443213.51799999998</v>
      </c>
      <c r="N32" s="135">
        <v>708831.36</v>
      </c>
      <c r="O32" s="129">
        <f t="shared" si="4"/>
        <v>-265617.842</v>
      </c>
      <c r="P32" s="236" t="s">
        <v>95</v>
      </c>
    </row>
    <row r="33" spans="2:16">
      <c r="B33" s="103">
        <v>1828</v>
      </c>
      <c r="C33" s="147">
        <v>1820</v>
      </c>
      <c r="D33" s="132" t="s">
        <v>65</v>
      </c>
      <c r="E33" s="124">
        <v>2909556.83</v>
      </c>
      <c r="F33" s="124">
        <v>5730.8600000000006</v>
      </c>
      <c r="G33" s="125">
        <f>E33-F33</f>
        <v>2903825.97</v>
      </c>
      <c r="H33" s="124">
        <v>76261.14</v>
      </c>
      <c r="I33" s="124"/>
      <c r="J33" s="124">
        <f t="shared" si="5"/>
        <v>2941956.54</v>
      </c>
      <c r="K33" s="150">
        <v>30</v>
      </c>
      <c r="L33" s="146">
        <f t="shared" si="3"/>
        <v>3.3333333333333333E-2</v>
      </c>
      <c r="M33" s="135">
        <f t="shared" si="1"/>
        <v>98065.218000000008</v>
      </c>
      <c r="N33" s="135">
        <v>137955.14000000001</v>
      </c>
      <c r="O33" s="129">
        <f t="shared" si="4"/>
        <v>-39889.922000000006</v>
      </c>
      <c r="P33" s="236" t="s">
        <v>95</v>
      </c>
    </row>
    <row r="34" spans="2:16" ht="20.25" customHeight="1">
      <c r="C34" s="137"/>
      <c r="D34" s="138"/>
      <c r="E34" s="139"/>
      <c r="F34" s="139"/>
      <c r="G34" s="140"/>
      <c r="H34" s="139"/>
      <c r="I34" s="139"/>
      <c r="J34" s="141" t="s">
        <v>87</v>
      </c>
      <c r="K34" s="219"/>
      <c r="L34" s="143"/>
      <c r="M34" s="125">
        <f>SUM(M30:M33)</f>
        <v>810840.88141666667</v>
      </c>
      <c r="N34" s="125">
        <f>SUM(N30:N33)</f>
        <v>1185626.71</v>
      </c>
      <c r="O34" s="129">
        <f>+M34-N34</f>
        <v>-374785.82858333329</v>
      </c>
      <c r="P34" s="236"/>
    </row>
    <row r="35" spans="2:16" ht="24" customHeight="1">
      <c r="B35" s="103">
        <v>1825</v>
      </c>
      <c r="C35" s="147">
        <v>1825</v>
      </c>
      <c r="D35" s="148" t="s">
        <v>26</v>
      </c>
      <c r="E35" s="124">
        <v>0</v>
      </c>
      <c r="F35" s="124"/>
      <c r="G35" s="125">
        <f t="shared" ref="G35:G51" si="6">E35-F35</f>
        <v>0</v>
      </c>
      <c r="H35" s="124">
        <v>0</v>
      </c>
      <c r="I35" s="124"/>
      <c r="J35" s="124">
        <f t="shared" ref="J35:J51" si="7">G35+0.5*H35+0.5*I35</f>
        <v>0</v>
      </c>
      <c r="K35" s="150">
        <v>0</v>
      </c>
      <c r="L35" s="146" t="str">
        <f t="shared" si="3"/>
        <v/>
      </c>
      <c r="M35" s="135" t="str">
        <f t="shared" si="1"/>
        <v/>
      </c>
      <c r="N35" s="135">
        <v>0</v>
      </c>
      <c r="O35" s="149"/>
      <c r="P35" s="236"/>
    </row>
    <row r="36" spans="2:16">
      <c r="B36" s="103">
        <v>1830</v>
      </c>
      <c r="C36" s="147">
        <v>1830</v>
      </c>
      <c r="D36" s="148" t="s">
        <v>27</v>
      </c>
      <c r="E36" s="124">
        <v>129519553.41000021</v>
      </c>
      <c r="F36" s="124"/>
      <c r="G36" s="125">
        <f t="shared" si="6"/>
        <v>129519553.41000021</v>
      </c>
      <c r="H36" s="124">
        <v>14911458.66</v>
      </c>
      <c r="I36" s="124">
        <v>-153686</v>
      </c>
      <c r="J36" s="124">
        <f t="shared" si="7"/>
        <v>136898439.74000022</v>
      </c>
      <c r="K36" s="150">
        <v>45</v>
      </c>
      <c r="L36" s="146">
        <f t="shared" si="3"/>
        <v>2.2222222222222223E-2</v>
      </c>
      <c r="M36" s="135">
        <f t="shared" si="1"/>
        <v>3042187.5497777825</v>
      </c>
      <c r="N36" s="135">
        <v>3254829.6700000004</v>
      </c>
      <c r="O36" s="129">
        <f t="shared" ref="O36:O51" si="8">+M36-N36</f>
        <v>-212642.12022221787</v>
      </c>
      <c r="P36" s="236" t="s">
        <v>95</v>
      </c>
    </row>
    <row r="37" spans="2:16">
      <c r="B37" s="103">
        <v>1835</v>
      </c>
      <c r="C37" s="147">
        <v>1835</v>
      </c>
      <c r="D37" s="148" t="s">
        <v>28</v>
      </c>
      <c r="E37" s="124">
        <v>113752294</v>
      </c>
      <c r="F37" s="124"/>
      <c r="G37" s="125">
        <f t="shared" si="6"/>
        <v>113752294</v>
      </c>
      <c r="H37" s="124">
        <v>10628492.587558242</v>
      </c>
      <c r="I37" s="124">
        <v>-131346</v>
      </c>
      <c r="J37" s="124">
        <f t="shared" si="7"/>
        <v>119000867.29377912</v>
      </c>
      <c r="K37" s="150">
        <v>40</v>
      </c>
      <c r="L37" s="146">
        <f t="shared" si="3"/>
        <v>2.5000000000000001E-2</v>
      </c>
      <c r="M37" s="135">
        <f t="shared" si="1"/>
        <v>2975021.6823444781</v>
      </c>
      <c r="N37" s="135">
        <v>3505044</v>
      </c>
      <c r="O37" s="129">
        <f t="shared" si="8"/>
        <v>-530022.31765552191</v>
      </c>
      <c r="P37" s="236" t="s">
        <v>95</v>
      </c>
    </row>
    <row r="38" spans="2:16">
      <c r="B38" s="103">
        <v>1840</v>
      </c>
      <c r="C38" s="147">
        <v>1840</v>
      </c>
      <c r="D38" s="148" t="s">
        <v>29</v>
      </c>
      <c r="E38" s="124">
        <v>79016667.66000016</v>
      </c>
      <c r="F38" s="124">
        <v>163935.29999999999</v>
      </c>
      <c r="G38" s="125">
        <f t="shared" si="6"/>
        <v>78852732.360000163</v>
      </c>
      <c r="H38" s="124">
        <v>18429586.690000001</v>
      </c>
      <c r="I38" s="124"/>
      <c r="J38" s="124">
        <f t="shared" si="7"/>
        <v>88067525.705000162</v>
      </c>
      <c r="K38" s="150">
        <v>60</v>
      </c>
      <c r="L38" s="146">
        <f t="shared" si="3"/>
        <v>1.6666666666666666E-2</v>
      </c>
      <c r="M38" s="135">
        <f t="shared" si="1"/>
        <v>1467792.0950833361</v>
      </c>
      <c r="N38" s="135">
        <v>1582796.15</v>
      </c>
      <c r="O38" s="129">
        <f t="shared" si="8"/>
        <v>-115004.05491666379</v>
      </c>
      <c r="P38" s="236" t="s">
        <v>95</v>
      </c>
    </row>
    <row r="39" spans="2:16">
      <c r="B39" s="103">
        <v>1845</v>
      </c>
      <c r="C39" s="147">
        <v>1845</v>
      </c>
      <c r="D39" s="148" t="s">
        <v>30</v>
      </c>
      <c r="E39" s="124">
        <v>245766785.43000031</v>
      </c>
      <c r="F39" s="124">
        <v>1896936.3299999998</v>
      </c>
      <c r="G39" s="125">
        <f t="shared" si="6"/>
        <v>243869849.10000029</v>
      </c>
      <c r="H39" s="124">
        <v>23759880.395175654</v>
      </c>
      <c r="I39" s="124">
        <v>-1292381</v>
      </c>
      <c r="J39" s="124">
        <f t="shared" si="7"/>
        <v>255103598.79758811</v>
      </c>
      <c r="K39" s="150">
        <v>45</v>
      </c>
      <c r="L39" s="146">
        <f t="shared" si="3"/>
        <v>2.2222222222222223E-2</v>
      </c>
      <c r="M39" s="135">
        <f t="shared" si="1"/>
        <v>5668968.862168625</v>
      </c>
      <c r="N39" s="135">
        <v>6783511.0800575074</v>
      </c>
      <c r="O39" s="129">
        <f t="shared" si="8"/>
        <v>-1114542.2178888824</v>
      </c>
      <c r="P39" s="236" t="s">
        <v>95</v>
      </c>
    </row>
    <row r="40" spans="2:16">
      <c r="B40" s="103">
        <v>1846</v>
      </c>
      <c r="C40" s="147">
        <v>1845</v>
      </c>
      <c r="D40" s="131" t="s">
        <v>115</v>
      </c>
      <c r="E40" s="124">
        <v>0</v>
      </c>
      <c r="F40" s="124"/>
      <c r="G40" s="125">
        <f t="shared" si="6"/>
        <v>0</v>
      </c>
      <c r="H40" s="124">
        <v>10875915.050000001</v>
      </c>
      <c r="I40" s="124"/>
      <c r="J40" s="124">
        <f t="shared" si="7"/>
        <v>5437957.5250000004</v>
      </c>
      <c r="K40" s="150">
        <v>20</v>
      </c>
      <c r="L40" s="146">
        <f t="shared" si="3"/>
        <v>0.05</v>
      </c>
      <c r="M40" s="135">
        <f t="shared" si="1"/>
        <v>271897.87625000003</v>
      </c>
      <c r="N40" s="135">
        <v>297997.74</v>
      </c>
      <c r="O40" s="129">
        <f t="shared" si="8"/>
        <v>-26099.86374999996</v>
      </c>
      <c r="P40" s="236" t="s">
        <v>95</v>
      </c>
    </row>
    <row r="41" spans="2:16">
      <c r="B41" s="103">
        <v>1849</v>
      </c>
      <c r="C41" s="147">
        <v>1849</v>
      </c>
      <c r="D41" s="131" t="s">
        <v>44</v>
      </c>
      <c r="E41" s="124">
        <v>21317034.440000001</v>
      </c>
      <c r="F41" s="124"/>
      <c r="G41" s="125">
        <f t="shared" si="6"/>
        <v>21317034.440000001</v>
      </c>
      <c r="H41" s="124">
        <v>1600388.55</v>
      </c>
      <c r="I41" s="124">
        <v>-358680</v>
      </c>
      <c r="J41" s="124">
        <f t="shared" si="7"/>
        <v>21937888.715</v>
      </c>
      <c r="K41" s="150">
        <v>40</v>
      </c>
      <c r="L41" s="146">
        <f t="shared" si="3"/>
        <v>2.5000000000000001E-2</v>
      </c>
      <c r="M41" s="135">
        <f t="shared" si="1"/>
        <v>548447.21787499997</v>
      </c>
      <c r="N41" s="135">
        <v>692937.1</v>
      </c>
      <c r="O41" s="129">
        <f t="shared" si="8"/>
        <v>-144489.882125</v>
      </c>
      <c r="P41" s="236" t="s">
        <v>95</v>
      </c>
    </row>
    <row r="42" spans="2:16">
      <c r="B42" s="103">
        <v>1850</v>
      </c>
      <c r="C42" s="147">
        <v>1850</v>
      </c>
      <c r="D42" s="148" t="s">
        <v>77</v>
      </c>
      <c r="E42" s="124">
        <v>131189205.37999998</v>
      </c>
      <c r="F42" s="124">
        <v>334302.53000000003</v>
      </c>
      <c r="G42" s="125">
        <f t="shared" si="6"/>
        <v>130854902.84999998</v>
      </c>
      <c r="H42" s="124">
        <v>10617852.466157846</v>
      </c>
      <c r="I42" s="124">
        <v>-1121810</v>
      </c>
      <c r="J42" s="124">
        <f t="shared" si="7"/>
        <v>135602924.08307889</v>
      </c>
      <c r="K42" s="150">
        <v>30</v>
      </c>
      <c r="L42" s="146">
        <f t="shared" si="3"/>
        <v>3.3333333333333333E-2</v>
      </c>
      <c r="M42" s="135">
        <f t="shared" si="1"/>
        <v>4520097.4694359628</v>
      </c>
      <c r="N42" s="135">
        <v>5980042.2934359647</v>
      </c>
      <c r="O42" s="129">
        <f t="shared" si="8"/>
        <v>-1459944.8240000019</v>
      </c>
      <c r="P42" s="236" t="s">
        <v>95</v>
      </c>
    </row>
    <row r="43" spans="2:16">
      <c r="B43" s="103">
        <v>1855</v>
      </c>
      <c r="C43" s="147">
        <v>1855</v>
      </c>
      <c r="D43" s="148" t="s">
        <v>94</v>
      </c>
      <c r="E43" s="124">
        <v>11355918.079999991</v>
      </c>
      <c r="F43" s="124"/>
      <c r="G43" s="125">
        <f t="shared" si="6"/>
        <v>11355918.079999991</v>
      </c>
      <c r="H43" s="124">
        <v>1627782.9000000001</v>
      </c>
      <c r="I43" s="124"/>
      <c r="J43" s="124">
        <f t="shared" si="7"/>
        <v>12169809.52999999</v>
      </c>
      <c r="K43" s="150">
        <v>40</v>
      </c>
      <c r="L43" s="146">
        <f t="shared" si="3"/>
        <v>2.5000000000000001E-2</v>
      </c>
      <c r="M43" s="135">
        <f t="shared" si="1"/>
        <v>304245.23824999976</v>
      </c>
      <c r="N43" s="135">
        <v>344746.08</v>
      </c>
      <c r="O43" s="129">
        <f t="shared" si="8"/>
        <v>-40500.841750000254</v>
      </c>
      <c r="P43" s="236" t="s">
        <v>95</v>
      </c>
    </row>
    <row r="44" spans="2:16">
      <c r="B44" s="103">
        <v>1856</v>
      </c>
      <c r="C44" s="147">
        <v>1856</v>
      </c>
      <c r="D44" s="131" t="s">
        <v>45</v>
      </c>
      <c r="E44" s="124">
        <v>51351274.139999956</v>
      </c>
      <c r="F44" s="124"/>
      <c r="G44" s="125">
        <f t="shared" si="6"/>
        <v>51351274.139999956</v>
      </c>
      <c r="H44" s="124">
        <f>3816167.42+343</f>
        <v>3816510.42</v>
      </c>
      <c r="I44" s="124"/>
      <c r="J44" s="124">
        <f t="shared" si="7"/>
        <v>53259529.349999957</v>
      </c>
      <c r="K44" s="150">
        <v>25</v>
      </c>
      <c r="L44" s="146">
        <f t="shared" si="3"/>
        <v>0.04</v>
      </c>
      <c r="M44" s="135">
        <f t="shared" si="1"/>
        <v>2130381.1739999983</v>
      </c>
      <c r="N44" s="135">
        <v>3049577.8000000003</v>
      </c>
      <c r="O44" s="129">
        <f t="shared" si="8"/>
        <v>-919196.62600000203</v>
      </c>
      <c r="P44" s="236" t="s">
        <v>95</v>
      </c>
    </row>
    <row r="45" spans="2:16">
      <c r="B45" s="103">
        <v>1860</v>
      </c>
      <c r="C45" s="147">
        <v>1860</v>
      </c>
      <c r="D45" s="148" t="s">
        <v>31</v>
      </c>
      <c r="E45" s="124">
        <v>12322570.10999999</v>
      </c>
      <c r="F45" s="124">
        <v>9433.82</v>
      </c>
      <c r="G45" s="125">
        <f t="shared" si="6"/>
        <v>12313136.28999999</v>
      </c>
      <c r="H45" s="124">
        <v>26221.23</v>
      </c>
      <c r="I45" s="124">
        <v>-1605176</v>
      </c>
      <c r="J45" s="124">
        <f t="shared" si="7"/>
        <v>11523658.90499999</v>
      </c>
      <c r="K45" s="150">
        <v>25</v>
      </c>
      <c r="L45" s="146">
        <f t="shared" si="3"/>
        <v>0.04</v>
      </c>
      <c r="M45" s="135">
        <f t="shared" si="1"/>
        <v>460946.35619999957</v>
      </c>
      <c r="N45" s="135">
        <v>545968.75</v>
      </c>
      <c r="O45" s="129">
        <f t="shared" si="8"/>
        <v>-85022.393800000427</v>
      </c>
      <c r="P45" s="236" t="s">
        <v>95</v>
      </c>
    </row>
    <row r="46" spans="2:16">
      <c r="B46" s="103">
        <v>1861</v>
      </c>
      <c r="C46" s="147">
        <v>1861</v>
      </c>
      <c r="D46" s="131" t="s">
        <v>46</v>
      </c>
      <c r="E46" s="124">
        <v>16536152.449999988</v>
      </c>
      <c r="F46" s="124"/>
      <c r="G46" s="125">
        <f t="shared" si="6"/>
        <v>16536152.449999988</v>
      </c>
      <c r="H46" s="124">
        <v>2606350.19</v>
      </c>
      <c r="I46" s="124"/>
      <c r="J46" s="124">
        <f t="shared" si="7"/>
        <v>17839327.544999987</v>
      </c>
      <c r="K46" s="150">
        <v>15</v>
      </c>
      <c r="L46" s="146">
        <f t="shared" si="3"/>
        <v>6.6666666666666666E-2</v>
      </c>
      <c r="M46" s="135">
        <f t="shared" si="1"/>
        <v>1189288.5029999991</v>
      </c>
      <c r="N46" s="135">
        <v>1188770.55</v>
      </c>
      <c r="O46" s="129">
        <f t="shared" si="8"/>
        <v>517.95299999904819</v>
      </c>
      <c r="P46" s="236" t="s">
        <v>95</v>
      </c>
    </row>
    <row r="47" spans="2:16">
      <c r="B47" s="103">
        <v>1862</v>
      </c>
      <c r="C47" s="147">
        <v>1862</v>
      </c>
      <c r="D47" s="148" t="s">
        <v>79</v>
      </c>
      <c r="E47" s="124">
        <v>48370116.350000001</v>
      </c>
      <c r="F47" s="124"/>
      <c r="G47" s="125">
        <f t="shared" si="6"/>
        <v>48370116.350000001</v>
      </c>
      <c r="H47" s="124">
        <v>1463097.5272478175</v>
      </c>
      <c r="I47" s="124"/>
      <c r="J47" s="124">
        <f t="shared" si="7"/>
        <v>49101665.11362391</v>
      </c>
      <c r="K47" s="150">
        <v>15</v>
      </c>
      <c r="L47" s="146">
        <f t="shared" si="3"/>
        <v>6.6666666666666666E-2</v>
      </c>
      <c r="M47" s="135">
        <f t="shared" si="1"/>
        <v>3273444.3409082606</v>
      </c>
      <c r="N47" s="135">
        <v>3559387.6462415936</v>
      </c>
      <c r="O47" s="129">
        <f t="shared" si="8"/>
        <v>-285943.30533333309</v>
      </c>
      <c r="P47" s="236" t="s">
        <v>95</v>
      </c>
    </row>
    <row r="48" spans="2:16">
      <c r="B48" s="103">
        <v>1870</v>
      </c>
      <c r="C48" s="147">
        <v>1870</v>
      </c>
      <c r="D48" s="131" t="s">
        <v>47</v>
      </c>
      <c r="E48" s="124">
        <v>215880</v>
      </c>
      <c r="F48" s="124"/>
      <c r="G48" s="125">
        <f t="shared" si="6"/>
        <v>215880</v>
      </c>
      <c r="H48" s="124">
        <v>-24745</v>
      </c>
      <c r="I48" s="124"/>
      <c r="J48" s="124">
        <f t="shared" si="7"/>
        <v>203507.5</v>
      </c>
      <c r="K48" s="150">
        <v>10</v>
      </c>
      <c r="L48" s="146">
        <f t="shared" si="3"/>
        <v>0.1</v>
      </c>
      <c r="M48" s="135">
        <f t="shared" si="1"/>
        <v>20350.75</v>
      </c>
      <c r="N48" s="135">
        <v>17363</v>
      </c>
      <c r="O48" s="129">
        <f t="shared" si="8"/>
        <v>2987.75</v>
      </c>
      <c r="P48" s="236" t="s">
        <v>95</v>
      </c>
    </row>
    <row r="49" spans="2:16" ht="21.75" customHeight="1">
      <c r="B49" s="103">
        <v>1908</v>
      </c>
      <c r="C49" s="147">
        <v>1908</v>
      </c>
      <c r="D49" s="148" t="s">
        <v>33</v>
      </c>
      <c r="E49" s="124">
        <v>21075888.68</v>
      </c>
      <c r="F49" s="125"/>
      <c r="G49" s="125">
        <f t="shared" si="6"/>
        <v>21075888.68</v>
      </c>
      <c r="H49" s="124">
        <v>2289598.7800000003</v>
      </c>
      <c r="I49" s="124"/>
      <c r="J49" s="124">
        <f t="shared" si="7"/>
        <v>22220688.07</v>
      </c>
      <c r="K49" s="150">
        <v>50</v>
      </c>
      <c r="L49" s="146">
        <f t="shared" si="3"/>
        <v>0.02</v>
      </c>
      <c r="M49" s="135">
        <f>IF(K49=0,"",J49/K49)</f>
        <v>444413.76140000002</v>
      </c>
      <c r="N49" s="135">
        <v>459358.04000000004</v>
      </c>
      <c r="O49" s="129">
        <f t="shared" si="8"/>
        <v>-14944.27860000002</v>
      </c>
      <c r="P49" s="236" t="s">
        <v>95</v>
      </c>
    </row>
    <row r="50" spans="2:16">
      <c r="B50" s="103">
        <v>1912</v>
      </c>
      <c r="C50" s="147">
        <v>1908</v>
      </c>
      <c r="D50" s="148" t="s">
        <v>96</v>
      </c>
      <c r="E50" s="124">
        <v>17283244.709999997</v>
      </c>
      <c r="F50" s="124"/>
      <c r="G50" s="125">
        <f t="shared" si="6"/>
        <v>17283244.709999997</v>
      </c>
      <c r="H50" s="124">
        <v>118620.7098897219</v>
      </c>
      <c r="I50" s="124"/>
      <c r="J50" s="124">
        <f t="shared" si="7"/>
        <v>17342555.06494486</v>
      </c>
      <c r="K50" s="150">
        <v>50</v>
      </c>
      <c r="L50" s="146">
        <f t="shared" si="3"/>
        <v>0.02</v>
      </c>
      <c r="M50" s="135">
        <f>IF(K50=0,"",J50/K50)</f>
        <v>346851.10129889718</v>
      </c>
      <c r="N50" s="135">
        <v>401807.1028988972</v>
      </c>
      <c r="O50" s="129">
        <f t="shared" si="8"/>
        <v>-54956.001600000018</v>
      </c>
      <c r="P50" s="236" t="s">
        <v>95</v>
      </c>
    </row>
    <row r="51" spans="2:16">
      <c r="B51" s="103">
        <v>1913</v>
      </c>
      <c r="C51" s="147">
        <v>1908</v>
      </c>
      <c r="D51" s="151" t="s">
        <v>66</v>
      </c>
      <c r="E51" s="124">
        <v>2768744.24</v>
      </c>
      <c r="F51" s="124"/>
      <c r="G51" s="125">
        <f t="shared" si="6"/>
        <v>2768744.24</v>
      </c>
      <c r="H51" s="124">
        <v>16305.3</v>
      </c>
      <c r="I51" s="124"/>
      <c r="J51" s="124">
        <f t="shared" si="7"/>
        <v>2776896.89</v>
      </c>
      <c r="K51" s="150">
        <v>30</v>
      </c>
      <c r="L51" s="146">
        <f t="shared" si="3"/>
        <v>3.3333333333333333E-2</v>
      </c>
      <c r="M51" s="135">
        <f>IF(K51=0,"",J51/K51)</f>
        <v>92563.229666666666</v>
      </c>
      <c r="N51" s="135">
        <v>100772.46</v>
      </c>
      <c r="O51" s="129">
        <f t="shared" si="8"/>
        <v>-8209.2303333333402</v>
      </c>
      <c r="P51" s="236" t="s">
        <v>95</v>
      </c>
    </row>
    <row r="52" spans="2:16" ht="18">
      <c r="C52" s="137"/>
      <c r="D52" s="138"/>
      <c r="E52" s="139"/>
      <c r="F52" s="139"/>
      <c r="G52" s="140"/>
      <c r="H52" s="139"/>
      <c r="I52" s="139"/>
      <c r="J52" s="141" t="s">
        <v>88</v>
      </c>
      <c r="K52" s="219"/>
      <c r="L52" s="143"/>
      <c r="M52" s="125">
        <f>SUM(M49:M51)</f>
        <v>883828.09236556396</v>
      </c>
      <c r="N52" s="125">
        <f>SUM(N49:N51)</f>
        <v>961937.60289889714</v>
      </c>
      <c r="O52" s="129">
        <f>+M52-N52</f>
        <v>-78109.510533333174</v>
      </c>
      <c r="P52" s="236"/>
    </row>
    <row r="53" spans="2:16" ht="25.5" customHeight="1">
      <c r="B53" s="103">
        <v>1915</v>
      </c>
      <c r="C53" s="147">
        <v>1915</v>
      </c>
      <c r="D53" s="148" t="s">
        <v>82</v>
      </c>
      <c r="E53" s="124">
        <v>4893833.3400000008</v>
      </c>
      <c r="F53" s="124">
        <v>26471.08</v>
      </c>
      <c r="G53" s="125">
        <f t="shared" ref="G53:G58" si="9">E53-F53</f>
        <v>4867362.2600000007</v>
      </c>
      <c r="H53" s="124">
        <v>43618.22</v>
      </c>
      <c r="I53" s="124"/>
      <c r="J53" s="124">
        <f t="shared" ref="J53:J58" si="10">G53+0.5*H53+0.5*I53</f>
        <v>4889171.370000001</v>
      </c>
      <c r="K53" s="126">
        <v>10</v>
      </c>
      <c r="L53" s="146">
        <f t="shared" si="3"/>
        <v>0.1</v>
      </c>
      <c r="M53" s="135">
        <f>IF(K53=0,"",J53/K53)</f>
        <v>488917.1370000001</v>
      </c>
      <c r="N53" s="135">
        <v>594117.22</v>
      </c>
      <c r="O53" s="129">
        <f>+M53-N53</f>
        <v>-105200.08299999987</v>
      </c>
      <c r="P53" s="236" t="s">
        <v>95</v>
      </c>
    </row>
    <row r="54" spans="2:16" ht="24" customHeight="1">
      <c r="B54" s="103">
        <v>1920</v>
      </c>
      <c r="C54" s="147">
        <v>1920</v>
      </c>
      <c r="D54" s="148" t="s">
        <v>34</v>
      </c>
      <c r="E54" s="124">
        <v>82692.900000000096</v>
      </c>
      <c r="F54" s="124"/>
      <c r="G54" s="125">
        <f t="shared" si="9"/>
        <v>82692.900000000096</v>
      </c>
      <c r="H54" s="124">
        <v>-82692.89</v>
      </c>
      <c r="I54" s="124"/>
      <c r="J54" s="124">
        <f t="shared" si="10"/>
        <v>41346.455000000096</v>
      </c>
      <c r="K54" s="126">
        <v>5</v>
      </c>
      <c r="L54" s="146">
        <f t="shared" si="3"/>
        <v>0.2</v>
      </c>
      <c r="M54" s="135">
        <f>IF(K54=0,"",J54/K54)</f>
        <v>8269.2910000000193</v>
      </c>
      <c r="N54" s="135">
        <v>0</v>
      </c>
      <c r="O54" s="129">
        <f t="shared" ref="O54:O58" si="11">+M54-N54</f>
        <v>8269.2910000000193</v>
      </c>
      <c r="P54" s="236" t="s">
        <v>95</v>
      </c>
    </row>
    <row r="55" spans="2:16">
      <c r="B55" s="103">
        <v>1921</v>
      </c>
      <c r="C55" s="147">
        <v>1920</v>
      </c>
      <c r="D55" s="131" t="s">
        <v>67</v>
      </c>
      <c r="E55" s="124">
        <v>1829801.5799999996</v>
      </c>
      <c r="F55" s="124">
        <v>904705.11</v>
      </c>
      <c r="G55" s="125">
        <f t="shared" si="9"/>
        <v>925096.46999999962</v>
      </c>
      <c r="H55" s="124">
        <v>486046.39542454178</v>
      </c>
      <c r="I55" s="124"/>
      <c r="J55" s="124">
        <f t="shared" si="10"/>
        <v>1168119.6677122705</v>
      </c>
      <c r="K55" s="126">
        <v>4</v>
      </c>
      <c r="L55" s="146">
        <f t="shared" si="3"/>
        <v>0.25</v>
      </c>
      <c r="M55" s="135">
        <f t="shared" ref="M55:M70" si="12">IF(K55=0,"",J55/K55)</f>
        <v>292029.91692806763</v>
      </c>
      <c r="N55" s="135">
        <v>399613.14442806772</v>
      </c>
      <c r="O55" s="129">
        <f t="shared" si="11"/>
        <v>-107583.2275000001</v>
      </c>
      <c r="P55" s="236" t="s">
        <v>95</v>
      </c>
    </row>
    <row r="56" spans="2:16">
      <c r="B56" s="103">
        <v>1922</v>
      </c>
      <c r="C56" s="147">
        <v>1920</v>
      </c>
      <c r="D56" s="131" t="s">
        <v>68</v>
      </c>
      <c r="E56" s="124">
        <v>4905951.4000000004</v>
      </c>
      <c r="F56" s="124">
        <v>1455298.5499999998</v>
      </c>
      <c r="G56" s="125">
        <f t="shared" si="9"/>
        <v>3450652.8500000006</v>
      </c>
      <c r="H56" s="124">
        <v>1808223.7</v>
      </c>
      <c r="I56" s="124"/>
      <c r="J56" s="124">
        <f t="shared" si="10"/>
        <v>4354764.7</v>
      </c>
      <c r="K56" s="126">
        <v>5</v>
      </c>
      <c r="L56" s="146">
        <f t="shared" si="3"/>
        <v>0.2</v>
      </c>
      <c r="M56" s="135">
        <f t="shared" si="12"/>
        <v>870952.94000000006</v>
      </c>
      <c r="N56" s="135">
        <v>959223.89999999991</v>
      </c>
      <c r="O56" s="129">
        <f t="shared" si="11"/>
        <v>-88270.959999999846</v>
      </c>
      <c r="P56" s="236" t="s">
        <v>95</v>
      </c>
    </row>
    <row r="57" spans="2:16">
      <c r="B57" s="103">
        <v>1923</v>
      </c>
      <c r="C57" s="147">
        <v>1920</v>
      </c>
      <c r="D57" s="131" t="s">
        <v>69</v>
      </c>
      <c r="E57" s="124">
        <v>556004.45000000007</v>
      </c>
      <c r="F57" s="124">
        <v>147434.64000000001</v>
      </c>
      <c r="G57" s="125">
        <f t="shared" si="9"/>
        <v>408569.81000000006</v>
      </c>
      <c r="H57" s="124">
        <v>26126.61</v>
      </c>
      <c r="I57" s="124"/>
      <c r="J57" s="124">
        <f t="shared" si="10"/>
        <v>421633.11500000005</v>
      </c>
      <c r="K57" s="126">
        <v>5</v>
      </c>
      <c r="L57" s="146">
        <f t="shared" si="3"/>
        <v>0.2</v>
      </c>
      <c r="M57" s="135">
        <f t="shared" si="12"/>
        <v>84326.623000000007</v>
      </c>
      <c r="N57" s="135">
        <v>103801.26</v>
      </c>
      <c r="O57" s="129">
        <f t="shared" si="11"/>
        <v>-19474.636999999988</v>
      </c>
      <c r="P57" s="236" t="s">
        <v>95</v>
      </c>
    </row>
    <row r="58" spans="2:16">
      <c r="B58" s="103">
        <v>1924</v>
      </c>
      <c r="C58" s="147">
        <v>1920</v>
      </c>
      <c r="D58" s="131" t="s">
        <v>70</v>
      </c>
      <c r="E58" s="124">
        <v>1615358.0799999996</v>
      </c>
      <c r="F58" s="124">
        <v>339979.64</v>
      </c>
      <c r="G58" s="125">
        <f t="shared" si="9"/>
        <v>1275378.4399999995</v>
      </c>
      <c r="H58" s="124">
        <v>98969.683978649206</v>
      </c>
      <c r="I58" s="124"/>
      <c r="J58" s="124">
        <f t="shared" si="10"/>
        <v>1324863.2819893241</v>
      </c>
      <c r="K58" s="126">
        <v>6</v>
      </c>
      <c r="L58" s="146">
        <f t="shared" si="3"/>
        <v>0.16666666666666666</v>
      </c>
      <c r="M58" s="135">
        <f t="shared" si="12"/>
        <v>220810.5469982207</v>
      </c>
      <c r="N58" s="135">
        <v>302112.87116488745</v>
      </c>
      <c r="O58" s="129">
        <f t="shared" si="11"/>
        <v>-81302.324166666745</v>
      </c>
      <c r="P58" s="236" t="s">
        <v>95</v>
      </c>
    </row>
    <row r="59" spans="2:16" ht="22.5" customHeight="1">
      <c r="C59" s="137"/>
      <c r="D59" s="138"/>
      <c r="E59" s="139"/>
      <c r="F59" s="139"/>
      <c r="G59" s="140"/>
      <c r="H59" s="139"/>
      <c r="I59" s="139"/>
      <c r="J59" s="141" t="s">
        <v>92</v>
      </c>
      <c r="K59" s="142"/>
      <c r="L59" s="143"/>
      <c r="M59" s="125">
        <f>SUM(M54:M58)</f>
        <v>1476389.3179262883</v>
      </c>
      <c r="N59" s="125">
        <f>SUM(N54:N58)</f>
        <v>1764751.1755929552</v>
      </c>
      <c r="O59" s="182">
        <f>+M59-N59</f>
        <v>-288361.85766666685</v>
      </c>
      <c r="P59" s="236"/>
    </row>
    <row r="60" spans="2:16" ht="24.75" customHeight="1">
      <c r="B60" s="103">
        <v>1925</v>
      </c>
      <c r="C60" s="147">
        <v>1611</v>
      </c>
      <c r="D60" s="148" t="s">
        <v>35</v>
      </c>
      <c r="E60" s="124">
        <v>14608343.380000005</v>
      </c>
      <c r="F60" s="124">
        <v>4944009.17</v>
      </c>
      <c r="G60" s="125">
        <f>E60-F60</f>
        <v>9664334.2100000046</v>
      </c>
      <c r="H60" s="124">
        <v>2132082.8200000003</v>
      </c>
      <c r="I60" s="124"/>
      <c r="J60" s="124">
        <f t="shared" ref="J60:J61" si="13">G60+0.5*H60+0.5*I60</f>
        <v>10730375.620000005</v>
      </c>
      <c r="K60" s="126">
        <v>4</v>
      </c>
      <c r="L60" s="146">
        <f t="shared" si="3"/>
        <v>0.25</v>
      </c>
      <c r="M60" s="135">
        <f t="shared" si="12"/>
        <v>2682593.9050000012</v>
      </c>
      <c r="N60" s="181">
        <v>3035366.145</v>
      </c>
      <c r="O60" s="198">
        <f>+M60-N60</f>
        <v>-352772.23999999883</v>
      </c>
      <c r="P60" s="241" t="s">
        <v>95</v>
      </c>
    </row>
    <row r="61" spans="2:16" ht="24.75" customHeight="1">
      <c r="B61" s="103">
        <v>1926</v>
      </c>
      <c r="C61" s="147">
        <v>1611</v>
      </c>
      <c r="D61" s="131" t="s">
        <v>116</v>
      </c>
      <c r="E61" s="124">
        <v>0</v>
      </c>
      <c r="F61" s="124"/>
      <c r="G61" s="125">
        <f t="shared" ref="G61:G62" si="14">E61-F61</f>
        <v>0</v>
      </c>
      <c r="H61" s="124">
        <v>58539.732198517268</v>
      </c>
      <c r="I61" s="124"/>
      <c r="J61" s="124">
        <f t="shared" si="13"/>
        <v>29269.866099258634</v>
      </c>
      <c r="K61" s="126">
        <v>3</v>
      </c>
      <c r="L61" s="146">
        <f t="shared" si="3"/>
        <v>0.33333333333333331</v>
      </c>
      <c r="M61" s="135">
        <f t="shared" si="12"/>
        <v>9756.6220330862106</v>
      </c>
      <c r="N61" s="181">
        <v>9756.6220330862106</v>
      </c>
      <c r="O61" s="196">
        <f>+M61-N61</f>
        <v>0</v>
      </c>
      <c r="P61" s="241" t="s">
        <v>95</v>
      </c>
    </row>
    <row r="62" spans="2:16" ht="24.75" customHeight="1">
      <c r="B62" s="103">
        <v>1927</v>
      </c>
      <c r="C62" s="147">
        <v>1611</v>
      </c>
      <c r="D62" s="131" t="s">
        <v>117</v>
      </c>
      <c r="E62" s="124">
        <v>682724.16000000038</v>
      </c>
      <c r="F62" s="124"/>
      <c r="G62" s="125">
        <f t="shared" si="14"/>
        <v>682724.16000000038</v>
      </c>
      <c r="H62" s="124">
        <v>-682724.16</v>
      </c>
      <c r="I62" s="124"/>
      <c r="J62" s="124">
        <f>G62+0.5*H62+0.5*I62</f>
        <v>341362.08000000037</v>
      </c>
      <c r="K62" s="126">
        <v>10</v>
      </c>
      <c r="L62" s="146">
        <f t="shared" si="3"/>
        <v>0.1</v>
      </c>
      <c r="M62" s="135">
        <f t="shared" si="12"/>
        <v>34136.208000000035</v>
      </c>
      <c r="N62" s="181">
        <v>0</v>
      </c>
      <c r="O62" s="124">
        <f t="shared" ref="O62:O66" si="15">+M62-N62</f>
        <v>34136.208000000035</v>
      </c>
      <c r="P62" s="241" t="s">
        <v>95</v>
      </c>
    </row>
    <row r="63" spans="2:16" ht="24.75" customHeight="1">
      <c r="C63" s="153"/>
      <c r="D63" s="154"/>
      <c r="E63" s="139"/>
      <c r="F63" s="139"/>
      <c r="G63" s="140"/>
      <c r="H63" s="139"/>
      <c r="I63" s="139"/>
      <c r="J63" s="141" t="s">
        <v>118</v>
      </c>
      <c r="K63" s="142"/>
      <c r="L63" s="155"/>
      <c r="M63" s="125">
        <f>SUM(M60:M62)</f>
        <v>2726486.7350330874</v>
      </c>
      <c r="N63" s="193">
        <f>SUM(N60:N62)</f>
        <v>3045122.7670330862</v>
      </c>
      <c r="O63" s="125">
        <f>SUM(O60:O62)</f>
        <v>-318636.03199999878</v>
      </c>
      <c r="P63" s="241"/>
    </row>
    <row r="64" spans="2:16" ht="29.25" customHeight="1">
      <c r="B64" s="103">
        <v>1930</v>
      </c>
      <c r="C64" s="147">
        <v>1930</v>
      </c>
      <c r="D64" s="151" t="s">
        <v>71</v>
      </c>
      <c r="E64" s="124">
        <v>6473467.8600000003</v>
      </c>
      <c r="F64" s="124">
        <v>498101.93</v>
      </c>
      <c r="G64" s="125">
        <f>E64-F64</f>
        <v>5975365.9300000006</v>
      </c>
      <c r="H64" s="124">
        <v>755378.88701721746</v>
      </c>
      <c r="I64" s="124">
        <v>-119592</v>
      </c>
      <c r="J64" s="124">
        <f t="shared" ref="J64:J66" si="16">G64+0.5*H64+0.5*I64</f>
        <v>6293259.3735086098</v>
      </c>
      <c r="K64" s="126">
        <v>7</v>
      </c>
      <c r="L64" s="146">
        <f t="shared" si="3"/>
        <v>0.14285714285714285</v>
      </c>
      <c r="M64" s="135">
        <f t="shared" si="12"/>
        <v>899037.05335837288</v>
      </c>
      <c r="N64" s="181">
        <v>1077005.8362155154</v>
      </c>
      <c r="O64" s="124">
        <f t="shared" si="15"/>
        <v>-177968.78285714251</v>
      </c>
      <c r="P64" s="241" t="s">
        <v>95</v>
      </c>
    </row>
    <row r="65" spans="2:16">
      <c r="B65" s="103">
        <v>1931</v>
      </c>
      <c r="C65" s="147">
        <v>1930</v>
      </c>
      <c r="D65" s="151" t="s">
        <v>72</v>
      </c>
      <c r="E65" s="124">
        <v>6776439.0499999989</v>
      </c>
      <c r="F65" s="124"/>
      <c r="G65" s="125">
        <f>E65-F65</f>
        <v>6776439.0499999989</v>
      </c>
      <c r="H65" s="124">
        <v>252872.79</v>
      </c>
      <c r="I65" s="124">
        <v>-522</v>
      </c>
      <c r="J65" s="124">
        <f t="shared" si="16"/>
        <v>6902614.4449999984</v>
      </c>
      <c r="K65" s="126">
        <v>12</v>
      </c>
      <c r="L65" s="146">
        <f t="shared" si="3"/>
        <v>8.3333333333333329E-2</v>
      </c>
      <c r="M65" s="135">
        <f t="shared" si="12"/>
        <v>575217.8704166665</v>
      </c>
      <c r="N65" s="181">
        <v>672372.5</v>
      </c>
      <c r="O65" s="124">
        <f t="shared" si="15"/>
        <v>-97154.629583333503</v>
      </c>
      <c r="P65" s="241" t="s">
        <v>95</v>
      </c>
    </row>
    <row r="66" spans="2:16">
      <c r="B66" s="103">
        <v>1932</v>
      </c>
      <c r="C66" s="147">
        <v>1930</v>
      </c>
      <c r="D66" s="151" t="s">
        <v>73</v>
      </c>
      <c r="E66" s="124">
        <v>165563.25</v>
      </c>
      <c r="F66" s="124"/>
      <c r="G66" s="125">
        <f>E66-F66</f>
        <v>165563.25</v>
      </c>
      <c r="H66" s="124">
        <v>0</v>
      </c>
      <c r="I66" s="124"/>
      <c r="J66" s="124">
        <f t="shared" si="16"/>
        <v>165563.25</v>
      </c>
      <c r="K66" s="126">
        <v>22</v>
      </c>
      <c r="L66" s="146">
        <f t="shared" si="3"/>
        <v>4.5454545454545456E-2</v>
      </c>
      <c r="M66" s="135">
        <f t="shared" si="12"/>
        <v>7525.602272727273</v>
      </c>
      <c r="N66" s="181">
        <v>8060.6900000000005</v>
      </c>
      <c r="O66" s="124">
        <f t="shared" si="15"/>
        <v>-535.08772727272753</v>
      </c>
      <c r="P66" s="241" t="s">
        <v>95</v>
      </c>
    </row>
    <row r="67" spans="2:16" ht="18.75" customHeight="1">
      <c r="C67" s="137"/>
      <c r="D67" s="138"/>
      <c r="E67" s="139"/>
      <c r="F67" s="139"/>
      <c r="G67" s="140"/>
      <c r="H67" s="139"/>
      <c r="I67" s="139"/>
      <c r="J67" s="141" t="s">
        <v>89</v>
      </c>
      <c r="K67" s="142"/>
      <c r="L67" s="143"/>
      <c r="M67" s="125">
        <f>SUM(M64:M66)</f>
        <v>1481780.5260477667</v>
      </c>
      <c r="N67" s="193">
        <f>SUM(N64:N66)</f>
        <v>1757439.0262155153</v>
      </c>
      <c r="O67" s="124">
        <f>+M67-N67</f>
        <v>-275658.50016774866</v>
      </c>
      <c r="P67" s="241"/>
    </row>
    <row r="68" spans="2:16">
      <c r="B68" s="103">
        <v>1935</v>
      </c>
      <c r="C68" s="147">
        <v>1935</v>
      </c>
      <c r="D68" s="148" t="s">
        <v>36</v>
      </c>
      <c r="E68" s="124">
        <v>3504.2799999999961</v>
      </c>
      <c r="F68" s="124"/>
      <c r="G68" s="125">
        <f>E68-F68</f>
        <v>3504.2799999999961</v>
      </c>
      <c r="H68" s="124">
        <v>142426.42265507643</v>
      </c>
      <c r="I68" s="124"/>
      <c r="J68" s="124">
        <f t="shared" ref="J68:J71" si="17">G68+0.5*H68+0.5*I68</f>
        <v>74717.491327538213</v>
      </c>
      <c r="K68" s="126">
        <v>10</v>
      </c>
      <c r="L68" s="146">
        <f t="shared" si="3"/>
        <v>0.1</v>
      </c>
      <c r="M68" s="135">
        <f t="shared" si="12"/>
        <v>7471.749132753821</v>
      </c>
      <c r="N68" s="181">
        <v>4799.0726327538214</v>
      </c>
      <c r="O68" s="124">
        <f>+M68-N68</f>
        <v>2672.6764999999996</v>
      </c>
      <c r="P68" s="241" t="s">
        <v>95</v>
      </c>
    </row>
    <row r="69" spans="2:16" ht="16.5" customHeight="1">
      <c r="B69" s="103">
        <v>1940</v>
      </c>
      <c r="C69" s="147">
        <v>1940</v>
      </c>
      <c r="D69" s="148" t="s">
        <v>37</v>
      </c>
      <c r="E69" s="124">
        <v>3752851.7300000009</v>
      </c>
      <c r="F69" s="124">
        <v>305652.96999999997</v>
      </c>
      <c r="G69" s="125">
        <f>E69-F69</f>
        <v>3447198.7600000007</v>
      </c>
      <c r="H69" s="124">
        <v>564072.30000000005</v>
      </c>
      <c r="I69" s="124"/>
      <c r="J69" s="124">
        <f t="shared" si="17"/>
        <v>3729234.9100000006</v>
      </c>
      <c r="K69" s="126">
        <v>10</v>
      </c>
      <c r="L69" s="146">
        <f t="shared" si="3"/>
        <v>0.1</v>
      </c>
      <c r="M69" s="135">
        <f t="shared" si="12"/>
        <v>372923.49100000004</v>
      </c>
      <c r="N69" s="181">
        <v>450162.71</v>
      </c>
      <c r="O69" s="124">
        <f>+M69-N69</f>
        <v>-77239.218999999983</v>
      </c>
      <c r="P69" s="241" t="s">
        <v>95</v>
      </c>
    </row>
    <row r="70" spans="2:16" ht="24.75" customHeight="1">
      <c r="B70" s="103">
        <v>1955</v>
      </c>
      <c r="C70" s="147">
        <v>1955</v>
      </c>
      <c r="D70" s="148" t="s">
        <v>38</v>
      </c>
      <c r="E70" s="124">
        <v>2058204.0799999996</v>
      </c>
      <c r="F70" s="124">
        <v>606626.47000000009</v>
      </c>
      <c r="G70" s="125">
        <f>E70-F70</f>
        <v>1451577.6099999994</v>
      </c>
      <c r="H70" s="124">
        <v>118928.23386593697</v>
      </c>
      <c r="I70" s="124"/>
      <c r="J70" s="124">
        <f t="shared" si="17"/>
        <v>1511041.7269329678</v>
      </c>
      <c r="K70" s="126">
        <v>6</v>
      </c>
      <c r="L70" s="146">
        <f t="shared" si="3"/>
        <v>0.16666666666666666</v>
      </c>
      <c r="M70" s="135">
        <f t="shared" si="12"/>
        <v>251840.28782216131</v>
      </c>
      <c r="N70" s="181">
        <v>356493.8241932969</v>
      </c>
      <c r="O70" s="124">
        <f t="shared" ref="O70:O77" si="18">+M70-N70</f>
        <v>-104653.53637113559</v>
      </c>
      <c r="P70" s="241" t="s">
        <v>95</v>
      </c>
    </row>
    <row r="71" spans="2:16">
      <c r="B71" s="103">
        <v>1956</v>
      </c>
      <c r="C71" s="147">
        <v>1955</v>
      </c>
      <c r="D71" s="131" t="s">
        <v>48</v>
      </c>
      <c r="E71" s="124">
        <v>58854.070000000007</v>
      </c>
      <c r="F71" s="125">
        <v>55430.76</v>
      </c>
      <c r="G71" s="125">
        <f>E71-F71</f>
        <v>3423.3100000000049</v>
      </c>
      <c r="H71" s="124">
        <v>0</v>
      </c>
      <c r="I71" s="124"/>
      <c r="J71" s="124">
        <f t="shared" si="17"/>
        <v>3423.3100000000049</v>
      </c>
      <c r="K71" s="126">
        <v>3</v>
      </c>
      <c r="L71" s="146">
        <f t="shared" si="3"/>
        <v>0.33333333333333331</v>
      </c>
      <c r="M71" s="135">
        <f>IF(K71=0,"",J71/K71)</f>
        <v>1141.1033333333351</v>
      </c>
      <c r="N71" s="181">
        <v>4602.3599999999997</v>
      </c>
      <c r="O71" s="124">
        <f t="shared" si="18"/>
        <v>-3461.2566666666644</v>
      </c>
      <c r="P71" s="241" t="s">
        <v>95</v>
      </c>
    </row>
    <row r="72" spans="2:16" ht="18">
      <c r="C72" s="137"/>
      <c r="D72" s="138"/>
      <c r="E72" s="139"/>
      <c r="F72" s="139"/>
      <c r="G72" s="140"/>
      <c r="H72" s="139"/>
      <c r="I72" s="139"/>
      <c r="J72" s="141" t="s">
        <v>90</v>
      </c>
      <c r="K72" s="142"/>
      <c r="L72" s="143"/>
      <c r="M72" s="125">
        <f>SUM(M70:M71)</f>
        <v>252981.39115549464</v>
      </c>
      <c r="N72" s="193">
        <f>SUM(N70:N71)</f>
        <v>361096.18419329688</v>
      </c>
      <c r="O72" s="124">
        <f>+M72-N72</f>
        <v>-108114.79303780224</v>
      </c>
      <c r="P72" s="241"/>
    </row>
    <row r="73" spans="2:16" ht="26.25" customHeight="1">
      <c r="B73" s="103">
        <v>1960</v>
      </c>
      <c r="C73" s="147">
        <v>1960</v>
      </c>
      <c r="D73" s="148" t="s">
        <v>39</v>
      </c>
      <c r="E73" s="124">
        <v>0</v>
      </c>
      <c r="F73" s="124"/>
      <c r="G73" s="125">
        <f>E73-F73</f>
        <v>0</v>
      </c>
      <c r="H73" s="124">
        <v>0</v>
      </c>
      <c r="I73" s="124"/>
      <c r="J73" s="124">
        <f t="shared" ref="J73:J77" si="19">G73+0.5*H73+0.5*I73</f>
        <v>0</v>
      </c>
      <c r="K73" s="126">
        <v>0</v>
      </c>
      <c r="L73" s="146" t="str">
        <f t="shared" si="3"/>
        <v/>
      </c>
      <c r="M73" s="135" t="str">
        <f>IF(K73=0,"",J73/K73)</f>
        <v/>
      </c>
      <c r="N73" s="194">
        <v>0</v>
      </c>
      <c r="O73" s="124"/>
      <c r="P73" s="241"/>
    </row>
    <row r="74" spans="2:16" ht="14.25" customHeight="1">
      <c r="B74" s="103">
        <v>1961</v>
      </c>
      <c r="C74" s="147">
        <v>1961</v>
      </c>
      <c r="D74" s="131" t="s">
        <v>49</v>
      </c>
      <c r="E74" s="124">
        <v>0</v>
      </c>
      <c r="F74" s="124"/>
      <c r="G74" s="125">
        <f>E74-F74</f>
        <v>0</v>
      </c>
      <c r="H74" s="124">
        <v>0</v>
      </c>
      <c r="I74" s="124"/>
      <c r="J74" s="124">
        <f t="shared" si="19"/>
        <v>0</v>
      </c>
      <c r="K74" s="126">
        <v>0</v>
      </c>
      <c r="L74" s="146" t="str">
        <f t="shared" si="3"/>
        <v/>
      </c>
      <c r="M74" s="135">
        <v>0</v>
      </c>
      <c r="N74" s="181">
        <v>-45.38</v>
      </c>
      <c r="O74" s="124">
        <f t="shared" si="18"/>
        <v>45.38</v>
      </c>
      <c r="P74" s="241" t="s">
        <v>95</v>
      </c>
    </row>
    <row r="75" spans="2:16" ht="23.25" customHeight="1">
      <c r="B75" s="103">
        <v>1980</v>
      </c>
      <c r="C75" s="147">
        <v>1980</v>
      </c>
      <c r="D75" s="148" t="s">
        <v>40</v>
      </c>
      <c r="E75" s="124">
        <v>2187690.6100000008</v>
      </c>
      <c r="F75" s="124">
        <v>136766.91999999998</v>
      </c>
      <c r="G75" s="125">
        <f>E75-F75</f>
        <v>2050923.6900000009</v>
      </c>
      <c r="H75" s="124">
        <v>153150.95000000001</v>
      </c>
      <c r="I75" s="124"/>
      <c r="J75" s="124">
        <f t="shared" si="19"/>
        <v>2127499.165000001</v>
      </c>
      <c r="K75" s="126">
        <v>15</v>
      </c>
      <c r="L75" s="146">
        <f t="shared" si="3"/>
        <v>6.6666666666666666E-2</v>
      </c>
      <c r="M75" s="135">
        <f>IF(K75=0,"",J75/K75)</f>
        <v>141833.27766666672</v>
      </c>
      <c r="N75" s="156">
        <v>203003.71</v>
      </c>
      <c r="O75" s="124">
        <f t="shared" si="18"/>
        <v>-61170.432333333272</v>
      </c>
      <c r="P75" s="241" t="s">
        <v>95</v>
      </c>
    </row>
    <row r="76" spans="2:16" ht="14.25">
      <c r="B76" s="103">
        <v>1981</v>
      </c>
      <c r="C76" s="147">
        <v>1980</v>
      </c>
      <c r="D76" s="131" t="s">
        <v>74</v>
      </c>
      <c r="E76" s="124">
        <v>7385286.8599999994</v>
      </c>
      <c r="F76" s="124">
        <v>506243.36</v>
      </c>
      <c r="G76" s="125">
        <f>E76-F76</f>
        <v>6879043.4999999991</v>
      </c>
      <c r="H76" s="124">
        <v>904986.43903057789</v>
      </c>
      <c r="I76" s="124"/>
      <c r="J76" s="124">
        <f t="shared" si="19"/>
        <v>7331536.7195152882</v>
      </c>
      <c r="K76" s="126">
        <v>15</v>
      </c>
      <c r="L76" s="146">
        <f t="shared" si="3"/>
        <v>6.6666666666666666E-2</v>
      </c>
      <c r="M76" s="135">
        <f>IF(K76=0,"",J76/K76)</f>
        <v>488769.11463435256</v>
      </c>
      <c r="N76" s="156">
        <v>755835.54163435264</v>
      </c>
      <c r="O76" s="124">
        <f t="shared" si="18"/>
        <v>-267066.42700000008</v>
      </c>
      <c r="P76" s="241" t="s">
        <v>95</v>
      </c>
    </row>
    <row r="77" spans="2:16" ht="14.25">
      <c r="B77" s="103">
        <v>1982</v>
      </c>
      <c r="C77" s="147">
        <v>1980</v>
      </c>
      <c r="D77" s="131" t="s">
        <v>75</v>
      </c>
      <c r="E77" s="124">
        <v>606054.47999999986</v>
      </c>
      <c r="F77" s="124">
        <v>248502.76</v>
      </c>
      <c r="G77" s="125">
        <f>E77-F77</f>
        <v>357551.71999999986</v>
      </c>
      <c r="H77" s="124">
        <v>66622.455629251839</v>
      </c>
      <c r="I77" s="124"/>
      <c r="J77" s="124">
        <f t="shared" si="19"/>
        <v>390862.9478146258</v>
      </c>
      <c r="K77" s="126">
        <v>10</v>
      </c>
      <c r="L77" s="146">
        <f t="shared" si="3"/>
        <v>0.1</v>
      </c>
      <c r="M77" s="135">
        <f>IF(K77=0,"",J77/K77)</f>
        <v>39086.29478146258</v>
      </c>
      <c r="N77" s="156">
        <v>57098.120781462589</v>
      </c>
      <c r="O77" s="124">
        <f t="shared" si="18"/>
        <v>-18011.826000000008</v>
      </c>
      <c r="P77" s="241" t="s">
        <v>95</v>
      </c>
    </row>
    <row r="78" spans="2:16" ht="18">
      <c r="C78" s="137"/>
      <c r="D78" s="138"/>
      <c r="E78" s="139"/>
      <c r="F78" s="139"/>
      <c r="G78" s="140"/>
      <c r="H78" s="139"/>
      <c r="I78" s="139"/>
      <c r="J78" s="141" t="s">
        <v>93</v>
      </c>
      <c r="K78" s="142"/>
      <c r="L78" s="143"/>
      <c r="M78" s="125">
        <f>SUM(M75:M77)</f>
        <v>669688.6870824818</v>
      </c>
      <c r="N78" s="193">
        <f>SUM(N75:N77)</f>
        <v>1015937.3724158152</v>
      </c>
      <c r="O78" s="124">
        <f>+M78-N78</f>
        <v>-346248.68533333344</v>
      </c>
      <c r="P78" s="241"/>
    </row>
    <row r="79" spans="2:16" ht="27" customHeight="1">
      <c r="B79" s="103">
        <v>1985</v>
      </c>
      <c r="C79" s="147">
        <v>1985</v>
      </c>
      <c r="D79" s="151" t="s">
        <v>50</v>
      </c>
      <c r="E79" s="124">
        <v>0</v>
      </c>
      <c r="F79" s="124"/>
      <c r="G79" s="125">
        <f t="shared" ref="G79:G83" si="20">E79-F79</f>
        <v>0</v>
      </c>
      <c r="H79" s="124">
        <v>0</v>
      </c>
      <c r="I79" s="124"/>
      <c r="J79" s="124">
        <f t="shared" ref="J79:J83" si="21">G79+0.5*H79+0.5*I79</f>
        <v>0</v>
      </c>
      <c r="K79" s="126">
        <v>0</v>
      </c>
      <c r="L79" s="146" t="str">
        <f t="shared" si="3"/>
        <v/>
      </c>
      <c r="M79" s="135">
        <v>0</v>
      </c>
      <c r="N79" s="181">
        <v>0</v>
      </c>
      <c r="O79" s="197"/>
      <c r="P79" s="241"/>
    </row>
    <row r="80" spans="2:16">
      <c r="B80" s="103" t="s">
        <v>140</v>
      </c>
      <c r="C80" s="147">
        <v>1995</v>
      </c>
      <c r="D80" s="148" t="s">
        <v>41</v>
      </c>
      <c r="E80" s="124">
        <v>-302821807.48570138</v>
      </c>
      <c r="F80" s="124"/>
      <c r="G80" s="125">
        <f t="shared" si="20"/>
        <v>-302821807.48570138</v>
      </c>
      <c r="H80" s="124">
        <v>-22525714.019999996</v>
      </c>
      <c r="I80" s="124">
        <v>797847.17999999993</v>
      </c>
      <c r="J80" s="124">
        <f t="shared" si="21"/>
        <v>-313685740.9057014</v>
      </c>
      <c r="K80" s="126">
        <v>38</v>
      </c>
      <c r="L80" s="146">
        <f t="shared" si="3"/>
        <v>2.6315789473684209E-2</v>
      </c>
      <c r="M80" s="135">
        <f>IF(K80=0,"",J80/K80)</f>
        <v>-8254887.9185710894</v>
      </c>
      <c r="N80" s="181">
        <v>-9368075.3141686507</v>
      </c>
      <c r="O80" s="124">
        <f>+M80-N80</f>
        <v>1113187.3955975613</v>
      </c>
      <c r="P80" s="241" t="s">
        <v>95</v>
      </c>
    </row>
    <row r="81" spans="2:16">
      <c r="B81" s="103">
        <v>2005</v>
      </c>
      <c r="C81" s="147">
        <v>2005</v>
      </c>
      <c r="D81" s="132" t="s">
        <v>51</v>
      </c>
      <c r="E81" s="124">
        <v>17549082.289999999</v>
      </c>
      <c r="F81" s="124"/>
      <c r="G81" s="125">
        <f t="shared" si="20"/>
        <v>17549082.289999999</v>
      </c>
      <c r="H81" s="124">
        <v>0</v>
      </c>
      <c r="I81" s="124"/>
      <c r="J81" s="124">
        <f t="shared" si="21"/>
        <v>17549082.289999999</v>
      </c>
      <c r="K81" s="126">
        <v>25</v>
      </c>
      <c r="L81" s="146">
        <f>IF(K81=0,"",1/K81)</f>
        <v>0.04</v>
      </c>
      <c r="M81" s="135">
        <f>IF(K81=0,"",J81/K81)</f>
        <v>701963.2916</v>
      </c>
      <c r="N81" s="181">
        <v>730711.28</v>
      </c>
      <c r="O81" s="196">
        <f>+M81-N81</f>
        <v>-28747.988400000031</v>
      </c>
      <c r="P81" s="241" t="s">
        <v>95</v>
      </c>
    </row>
    <row r="82" spans="2:16">
      <c r="B82" s="103">
        <v>1611</v>
      </c>
      <c r="C82" s="147">
        <v>1611</v>
      </c>
      <c r="D82" s="151" t="s">
        <v>52</v>
      </c>
      <c r="E82" s="124">
        <v>4972016.92</v>
      </c>
      <c r="F82" s="124"/>
      <c r="G82" s="125">
        <f t="shared" si="20"/>
        <v>4972016.92</v>
      </c>
      <c r="H82" s="124">
        <v>0</v>
      </c>
      <c r="I82" s="124">
        <v>-18510</v>
      </c>
      <c r="J82" s="124">
        <f t="shared" si="21"/>
        <v>4962761.92</v>
      </c>
      <c r="K82" s="126">
        <v>25</v>
      </c>
      <c r="L82" s="146">
        <f>IF(K82=0,"",1/K82)</f>
        <v>0.04</v>
      </c>
      <c r="M82" s="135">
        <f>IF(K82=0,"",J82/K82)</f>
        <v>198510.4768</v>
      </c>
      <c r="N82" s="181">
        <v>288281.38</v>
      </c>
      <c r="O82" s="124">
        <f>+M82-N82</f>
        <v>-89770.903200000001</v>
      </c>
      <c r="P82" s="241" t="s">
        <v>95</v>
      </c>
    </row>
    <row r="83" spans="2:16">
      <c r="C83" s="147"/>
      <c r="D83" s="148"/>
      <c r="E83" s="124"/>
      <c r="F83" s="124"/>
      <c r="G83" s="125">
        <f t="shared" si="20"/>
        <v>0</v>
      </c>
      <c r="H83" s="124"/>
      <c r="I83" s="124"/>
      <c r="J83" s="124">
        <f t="shared" si="21"/>
        <v>0</v>
      </c>
      <c r="K83" s="126"/>
      <c r="L83" s="146" t="str">
        <f>IF(K83=0,"",1/K83)</f>
        <v/>
      </c>
      <c r="M83" s="128" t="str">
        <f>IF(K83=0,"",J83/K83)</f>
        <v/>
      </c>
      <c r="N83" s="195"/>
      <c r="O83" s="124"/>
      <c r="P83" s="241"/>
    </row>
    <row r="84" spans="2:16" ht="13.5" thickBot="1">
      <c r="C84" s="157"/>
      <c r="D84" s="158"/>
      <c r="E84" s="159"/>
      <c r="F84" s="159"/>
      <c r="G84" s="160"/>
      <c r="H84" s="159"/>
      <c r="I84" s="159"/>
      <c r="J84" s="124"/>
      <c r="K84" s="162"/>
      <c r="L84" s="163"/>
      <c r="M84" s="164"/>
      <c r="N84" s="164"/>
      <c r="O84" s="165"/>
      <c r="P84" s="239"/>
    </row>
    <row r="85" spans="2:16" ht="14.25" thickTop="1" thickBot="1">
      <c r="C85" s="166"/>
      <c r="D85" s="167" t="s">
        <v>42</v>
      </c>
      <c r="E85" s="168">
        <f t="shared" ref="E85:J85" si="22">SUM(E16:E84)</f>
        <v>837760831.91429913</v>
      </c>
      <c r="F85" s="168">
        <f t="shared" si="22"/>
        <v>15382672.039999999</v>
      </c>
      <c r="G85" s="168">
        <f t="shared" si="22"/>
        <v>822378159.87429941</v>
      </c>
      <c r="H85" s="168">
        <f t="shared" si="22"/>
        <v>96995966.67783922</v>
      </c>
      <c r="I85" s="168">
        <f>SUM(I16:I84)</f>
        <v>-4003855.8200000003</v>
      </c>
      <c r="J85" s="168">
        <f t="shared" si="22"/>
        <v>868874215.30321872</v>
      </c>
      <c r="K85" s="169"/>
      <c r="L85" s="170"/>
      <c r="M85" s="171">
        <f>+M18+M29+M34+M36+M37+M38+M39+M41+M42+M43+M44+M45+M46+M47+M52+M53+M59+M67+M68+M69+M72+M78+M80+M81+M82+M48+M63+M74+M40</f>
        <v>30797853.304219898</v>
      </c>
      <c r="N85" s="171">
        <f>+N18+N29+N34+N36+N37+N38+N39+N41+N42+N43+N44+N45+N46+N47+N52+N53+N59+N67+N68+N69+N72+N78+N80+N81+N82+N48+N63+N74+N40</f>
        <v>38015406.665322088</v>
      </c>
      <c r="O85" s="171">
        <f>+O18+O29+O34+O36+O37+O38+O39+O41+O42+O43+O44+O45+O46+O47+O52+O53+O59+O67+O68+O69+O72+O78+O80+O81+O82+O48+O63+O74+O40</f>
        <v>-7217553.3611021684</v>
      </c>
      <c r="P85" s="172"/>
    </row>
    <row r="86" spans="2:16" ht="15.75" customHeight="1">
      <c r="O86" s="173">
        <f>+M85-N85</f>
        <v>-7217553.3611021899</v>
      </c>
      <c r="P86" s="103" t="s">
        <v>164</v>
      </c>
    </row>
    <row r="87" spans="2:16" ht="11.25" customHeight="1">
      <c r="C87" s="104" t="s">
        <v>43</v>
      </c>
      <c r="D87" s="136"/>
      <c r="E87" s="136"/>
      <c r="F87" s="174"/>
      <c r="G87" s="175"/>
      <c r="H87" s="136"/>
      <c r="I87" s="136"/>
      <c r="J87" s="136"/>
      <c r="K87" s="136"/>
      <c r="L87" s="136"/>
      <c r="M87" s="136"/>
      <c r="N87" s="136"/>
      <c r="O87" s="136"/>
    </row>
    <row r="88" spans="2:16" ht="7.5" customHeight="1">
      <c r="C88" s="136"/>
      <c r="D88" s="136"/>
      <c r="E88" s="136"/>
      <c r="F88" s="136"/>
      <c r="G88" s="136"/>
      <c r="H88" s="136"/>
      <c r="I88" s="136"/>
      <c r="J88" s="136"/>
      <c r="K88" s="136"/>
      <c r="L88" s="136"/>
      <c r="M88" s="136"/>
      <c r="N88" s="136"/>
      <c r="O88" s="136"/>
    </row>
    <row r="89" spans="2:16" ht="12.75" customHeight="1">
      <c r="C89" s="263" t="s">
        <v>151</v>
      </c>
      <c r="D89" s="263"/>
      <c r="E89" s="263"/>
      <c r="F89" s="263"/>
      <c r="G89" s="263"/>
      <c r="H89" s="263"/>
      <c r="I89" s="263"/>
      <c r="J89" s="263"/>
      <c r="K89" s="263"/>
      <c r="L89" s="263"/>
      <c r="M89" s="263"/>
      <c r="O89" s="199"/>
    </row>
    <row r="90" spans="2:16" ht="21" customHeight="1">
      <c r="C90" s="258" t="s">
        <v>97</v>
      </c>
      <c r="D90" s="259"/>
      <c r="E90" s="259"/>
      <c r="F90" s="259"/>
      <c r="G90" s="259"/>
      <c r="H90" s="259"/>
      <c r="I90" s="259"/>
      <c r="J90" s="259"/>
      <c r="K90" s="259"/>
      <c r="L90" s="259"/>
      <c r="O90" s="199"/>
    </row>
    <row r="91" spans="2:16" ht="14.25" customHeight="1">
      <c r="C91" s="260" t="s">
        <v>91</v>
      </c>
      <c r="D91" s="261"/>
      <c r="E91" s="261"/>
      <c r="F91" s="261"/>
      <c r="G91" s="261"/>
      <c r="H91" s="261"/>
      <c r="I91" s="261"/>
      <c r="J91" s="261"/>
      <c r="K91" s="261"/>
      <c r="L91" s="261"/>
      <c r="O91" s="199"/>
    </row>
    <row r="92" spans="2:16" ht="15" customHeight="1">
      <c r="C92" s="261"/>
      <c r="D92" s="261"/>
      <c r="E92" s="261"/>
      <c r="F92" s="261"/>
      <c r="G92" s="261"/>
      <c r="H92" s="261"/>
      <c r="I92" s="261"/>
      <c r="J92" s="261"/>
      <c r="K92" s="261"/>
      <c r="L92" s="261"/>
      <c r="O92" s="199"/>
    </row>
    <row r="93" spans="2:16" ht="14.25" customHeight="1">
      <c r="C93" s="258" t="s">
        <v>156</v>
      </c>
      <c r="D93" s="262"/>
      <c r="E93" s="262"/>
      <c r="F93" s="262"/>
      <c r="G93" s="262"/>
      <c r="H93" s="262"/>
      <c r="I93" s="262"/>
      <c r="J93" s="262"/>
      <c r="K93" s="262"/>
      <c r="L93" s="262"/>
      <c r="M93" s="136"/>
      <c r="N93" s="136"/>
      <c r="O93" s="200"/>
    </row>
    <row r="94" spans="2:16" ht="15.75" customHeight="1">
      <c r="C94" s="258" t="s">
        <v>150</v>
      </c>
      <c r="D94" s="259"/>
      <c r="E94" s="259"/>
      <c r="F94" s="259"/>
      <c r="G94" s="259"/>
      <c r="H94" s="259"/>
      <c r="I94" s="259"/>
      <c r="J94" s="259"/>
      <c r="K94" s="259"/>
      <c r="L94" s="259"/>
      <c r="M94" s="259"/>
      <c r="N94" s="259"/>
      <c r="O94" s="190"/>
    </row>
    <row r="95" spans="2:16">
      <c r="C95" s="136"/>
      <c r="D95" s="176"/>
      <c r="E95" s="176"/>
      <c r="F95" s="176"/>
      <c r="G95" s="176"/>
      <c r="H95" s="176"/>
      <c r="I95" s="176"/>
      <c r="J95" s="176"/>
      <c r="K95" s="176"/>
      <c r="L95" s="176"/>
      <c r="M95" s="176"/>
      <c r="N95" s="176"/>
      <c r="O95" s="176"/>
    </row>
    <row r="96" spans="2:16">
      <c r="C96" s="136"/>
      <c r="D96" s="176"/>
      <c r="E96" s="176"/>
      <c r="F96" s="176"/>
      <c r="G96" s="176"/>
      <c r="H96" s="176"/>
      <c r="I96" s="176"/>
      <c r="J96" s="176"/>
      <c r="K96" s="176"/>
      <c r="L96" s="176"/>
      <c r="M96" s="176"/>
      <c r="N96" s="176"/>
      <c r="O96" s="176"/>
    </row>
  </sheetData>
  <mergeCells count="10">
    <mergeCell ref="C9:M9"/>
    <mergeCell ref="C10:M10"/>
    <mergeCell ref="C14:C15"/>
    <mergeCell ref="D14:D15"/>
    <mergeCell ref="C93:L93"/>
    <mergeCell ref="C94:N94"/>
    <mergeCell ref="P14:P15"/>
    <mergeCell ref="C90:L90"/>
    <mergeCell ref="C91:L92"/>
    <mergeCell ref="C89:M89"/>
  </mergeCells>
  <dataValidations count="2">
    <dataValidation allowBlank="1" showInputMessage="1" showErrorMessage="1" promptTitle="Date Format" prompt="E.g:  &quot;August 1, 2011&quot;" sqref="M7:O7"/>
    <dataValidation type="list" allowBlank="1" showInputMessage="1" showErrorMessage="1" sqref="P16:P84">
      <formula1>"Yes, No"</formula1>
    </dataValidation>
  </dataValidations>
  <printOptions horizontalCentered="1"/>
  <pageMargins left="0" right="0" top="0.13" bottom="0" header="0" footer="0"/>
  <pageSetup paperSize="17" scale="48" orientation="landscape" cellComments="asDisplayed" r:id="rId1"/>
  <headerFooter alignWithMargins="0"/>
  <rowBreaks count="1" manualBreakCount="1">
    <brk id="63"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49"/>
  <sheetViews>
    <sheetView showGridLines="0" topLeftCell="E1" zoomScaleNormal="100" workbookViewId="0">
      <selection activeCell="M5" sqref="M5"/>
    </sheetView>
  </sheetViews>
  <sheetFormatPr defaultRowHeight="12.75"/>
  <cols>
    <col min="1" max="1" width="2.7109375" style="1" customWidth="1"/>
    <col min="2" max="2" width="9.7109375" style="1" customWidth="1"/>
    <col min="3" max="3" width="9.140625" style="1"/>
    <col min="4" max="4" width="38.5703125" style="1" customWidth="1"/>
    <col min="5" max="5" width="17.140625" style="1" customWidth="1"/>
    <col min="6" max="6" width="14" style="1" customWidth="1"/>
    <col min="7" max="7" width="16.5703125" style="1" customWidth="1"/>
    <col min="8" max="8" width="13.7109375" style="1" customWidth="1"/>
    <col min="9" max="9" width="13.42578125" style="1" customWidth="1"/>
    <col min="10" max="10" width="17.85546875" style="1" customWidth="1"/>
    <col min="11" max="11" width="7.7109375" style="1" customWidth="1"/>
    <col min="12" max="12" width="12.28515625" style="1" customWidth="1"/>
    <col min="13" max="13" width="15.140625" style="1" bestFit="1" customWidth="1"/>
    <col min="14" max="14" width="15" style="13" customWidth="1"/>
    <col min="15" max="15" width="15" style="1" customWidth="1"/>
    <col min="16" max="16" width="15.85546875" style="1" customWidth="1"/>
    <col min="17" max="16384" width="9.140625" style="1"/>
  </cols>
  <sheetData>
    <row r="1" spans="2:16">
      <c r="K1" s="4" t="s">
        <v>0</v>
      </c>
      <c r="M1" s="12" t="s">
        <v>128</v>
      </c>
      <c r="N1" s="3"/>
      <c r="O1" s="3"/>
    </row>
    <row r="2" spans="2:16">
      <c r="K2" s="4" t="s">
        <v>1</v>
      </c>
      <c r="M2" s="187" t="s">
        <v>143</v>
      </c>
      <c r="N2" s="3"/>
      <c r="O2" s="3"/>
    </row>
    <row r="3" spans="2:16">
      <c r="K3" s="4" t="s">
        <v>2</v>
      </c>
      <c r="M3" s="15"/>
      <c r="N3" s="3"/>
      <c r="O3" s="3"/>
    </row>
    <row r="4" spans="2:16">
      <c r="K4" s="4" t="s">
        <v>3</v>
      </c>
      <c r="M4" s="12"/>
      <c r="N4" s="3"/>
      <c r="O4" s="3"/>
    </row>
    <row r="5" spans="2:16">
      <c r="K5" s="4" t="s">
        <v>4</v>
      </c>
      <c r="M5" s="12"/>
      <c r="N5" s="3"/>
      <c r="O5" s="3"/>
    </row>
    <row r="6" spans="2:16">
      <c r="K6" s="4"/>
      <c r="N6" s="3"/>
      <c r="O6" s="3"/>
    </row>
    <row r="7" spans="2:16">
      <c r="K7" s="4" t="s">
        <v>5</v>
      </c>
      <c r="M7" s="221" t="s">
        <v>153</v>
      </c>
      <c r="N7" s="5"/>
      <c r="O7" s="5"/>
    </row>
    <row r="8" spans="2:16">
      <c r="N8" s="3"/>
      <c r="O8" s="3"/>
    </row>
    <row r="9" spans="2:16" ht="18">
      <c r="C9" s="271" t="s">
        <v>143</v>
      </c>
      <c r="D9" s="271"/>
      <c r="E9" s="271"/>
      <c r="F9" s="271"/>
      <c r="G9" s="271"/>
      <c r="H9" s="271"/>
      <c r="I9" s="271"/>
      <c r="J9" s="271"/>
      <c r="K9" s="271"/>
      <c r="L9" s="271"/>
      <c r="M9" s="271"/>
      <c r="N9" s="178"/>
      <c r="O9" s="178"/>
    </row>
    <row r="10" spans="2:16" ht="18">
      <c r="C10" s="271" t="s">
        <v>6</v>
      </c>
      <c r="D10" s="271"/>
      <c r="E10" s="271"/>
      <c r="F10" s="271"/>
      <c r="G10" s="271"/>
      <c r="H10" s="271"/>
      <c r="I10" s="271"/>
      <c r="J10" s="271"/>
      <c r="K10" s="271"/>
      <c r="L10" s="271"/>
      <c r="M10" s="271"/>
      <c r="N10" s="178"/>
      <c r="O10" s="178"/>
    </row>
    <row r="11" spans="2:16" ht="13.5" customHeight="1">
      <c r="B11" s="6"/>
      <c r="C11" s="6"/>
      <c r="D11" s="6"/>
      <c r="E11" s="6"/>
      <c r="F11" s="6"/>
      <c r="G11" s="6"/>
      <c r="H11" s="6"/>
      <c r="I11" s="6"/>
      <c r="J11" s="6"/>
      <c r="K11" s="6"/>
      <c r="L11" s="6"/>
      <c r="M11" s="6"/>
      <c r="N11" s="178"/>
      <c r="O11" s="178"/>
    </row>
    <row r="12" spans="2:16" ht="13.5" customHeight="1">
      <c r="B12" s="6"/>
      <c r="C12" s="6"/>
      <c r="D12" s="6"/>
      <c r="E12" s="6"/>
      <c r="F12" s="16" t="s">
        <v>7</v>
      </c>
      <c r="G12" s="17">
        <v>2013</v>
      </c>
      <c r="H12" s="18" t="s">
        <v>54</v>
      </c>
      <c r="I12" s="18"/>
      <c r="J12" s="6"/>
      <c r="K12" s="6"/>
      <c r="L12" s="6"/>
      <c r="M12" s="6"/>
      <c r="N12" s="178"/>
      <c r="O12" s="178"/>
    </row>
    <row r="13" spans="2:16" ht="13.5" thickBot="1">
      <c r="N13" s="3"/>
      <c r="O13" s="3"/>
    </row>
    <row r="14" spans="2:16" ht="39" customHeight="1">
      <c r="B14" s="272" t="s">
        <v>113</v>
      </c>
      <c r="C14" s="272" t="s">
        <v>112</v>
      </c>
      <c r="D14" s="274" t="s">
        <v>9</v>
      </c>
      <c r="E14" s="19" t="s">
        <v>83</v>
      </c>
      <c r="F14" s="20" t="s">
        <v>10</v>
      </c>
      <c r="G14" s="7" t="s">
        <v>11</v>
      </c>
      <c r="H14" s="7" t="s">
        <v>12</v>
      </c>
      <c r="I14" s="7" t="s">
        <v>81</v>
      </c>
      <c r="J14" s="7" t="s">
        <v>84</v>
      </c>
      <c r="K14" s="7" t="s">
        <v>13</v>
      </c>
      <c r="L14" s="7" t="s">
        <v>14</v>
      </c>
      <c r="M14" s="7" t="s">
        <v>76</v>
      </c>
      <c r="N14" s="20" t="s">
        <v>80</v>
      </c>
      <c r="O14" s="8" t="s">
        <v>98</v>
      </c>
      <c r="P14" s="269" t="s">
        <v>162</v>
      </c>
    </row>
    <row r="15" spans="2:16" ht="32.25" customHeight="1">
      <c r="B15" s="273"/>
      <c r="C15" s="273"/>
      <c r="D15" s="275"/>
      <c r="E15" s="21" t="s">
        <v>15</v>
      </c>
      <c r="F15" s="21" t="s">
        <v>16</v>
      </c>
      <c r="G15" s="22" t="s">
        <v>17</v>
      </c>
      <c r="H15" s="22" t="s">
        <v>18</v>
      </c>
      <c r="I15" s="23" t="s">
        <v>19</v>
      </c>
      <c r="J15" s="24" t="s">
        <v>138</v>
      </c>
      <c r="K15" s="22" t="s">
        <v>19</v>
      </c>
      <c r="L15" s="22" t="s">
        <v>20</v>
      </c>
      <c r="M15" s="22" t="s">
        <v>21</v>
      </c>
      <c r="N15" s="21" t="s">
        <v>99</v>
      </c>
      <c r="O15" s="25" t="s">
        <v>100</v>
      </c>
      <c r="P15" s="270"/>
    </row>
    <row r="16" spans="2:16">
      <c r="B16" s="27">
        <v>1805</v>
      </c>
      <c r="C16" s="27">
        <v>1805</v>
      </c>
      <c r="D16" s="28" t="s">
        <v>22</v>
      </c>
      <c r="E16" s="29">
        <v>18084730</v>
      </c>
      <c r="F16" s="29"/>
      <c r="G16" s="30">
        <f t="shared" ref="G16:G28" si="0">E16-F16</f>
        <v>18084730</v>
      </c>
      <c r="H16" s="29">
        <v>146057.53</v>
      </c>
      <c r="I16" s="29"/>
      <c r="J16" s="29">
        <f>G16+0.5*H16+0.5*I16</f>
        <v>18157758.765000001</v>
      </c>
      <c r="K16" s="31">
        <v>0</v>
      </c>
      <c r="L16" s="32" t="str">
        <f>IF(K16=0,"",1/K16)</f>
        <v/>
      </c>
      <c r="M16" s="33" t="str">
        <f t="shared" ref="M16:M48" si="1">IF(K16=0,"",J16/K16)</f>
        <v/>
      </c>
      <c r="N16" s="217"/>
      <c r="O16" s="29"/>
      <c r="P16" s="242"/>
    </row>
    <row r="17" spans="2:16">
      <c r="B17" s="36">
        <v>1806</v>
      </c>
      <c r="C17" s="36">
        <v>1806</v>
      </c>
      <c r="D17" s="37" t="s">
        <v>32</v>
      </c>
      <c r="E17" s="29">
        <v>796320.32</v>
      </c>
      <c r="F17" s="29"/>
      <c r="G17" s="30">
        <f t="shared" si="0"/>
        <v>796320.32</v>
      </c>
      <c r="H17" s="29">
        <v>29776.959999999999</v>
      </c>
      <c r="I17" s="29"/>
      <c r="J17" s="29">
        <f t="shared" ref="J17:J28" si="2">G17+0.5*H17+0.5*I17</f>
        <v>811208.79999999993</v>
      </c>
      <c r="K17" s="31">
        <v>0</v>
      </c>
      <c r="L17" s="32"/>
      <c r="M17" s="33" t="str">
        <f t="shared" si="1"/>
        <v/>
      </c>
      <c r="N17" s="217"/>
      <c r="O17" s="29"/>
      <c r="P17" s="242"/>
    </row>
    <row r="18" spans="2:16">
      <c r="B18" s="36">
        <v>1808</v>
      </c>
      <c r="C18" s="36">
        <v>1808</v>
      </c>
      <c r="D18" s="38" t="s">
        <v>23</v>
      </c>
      <c r="E18" s="29">
        <v>6307736.2800000003</v>
      </c>
      <c r="F18" s="29"/>
      <c r="G18" s="30">
        <f t="shared" si="0"/>
        <v>6307736.2800000003</v>
      </c>
      <c r="H18" s="29">
        <v>340270.99</v>
      </c>
      <c r="I18" s="29"/>
      <c r="J18" s="29">
        <f t="shared" si="2"/>
        <v>6477871.7750000004</v>
      </c>
      <c r="K18" s="31">
        <v>40</v>
      </c>
      <c r="L18" s="32">
        <f t="shared" ref="L18:L81" si="3">IF(K18=0,"",1/K18)</f>
        <v>2.5000000000000001E-2</v>
      </c>
      <c r="M18" s="33">
        <f t="shared" si="1"/>
        <v>161946.794375</v>
      </c>
      <c r="N18" s="217">
        <v>202243.85</v>
      </c>
      <c r="O18" s="29">
        <f>+M18-N18</f>
        <v>-40297.055625000008</v>
      </c>
      <c r="P18" s="243" t="s">
        <v>95</v>
      </c>
    </row>
    <row r="19" spans="2:16">
      <c r="B19" s="36">
        <v>1810</v>
      </c>
      <c r="C19" s="36">
        <v>1810</v>
      </c>
      <c r="D19" s="37" t="s">
        <v>53</v>
      </c>
      <c r="E19" s="29">
        <v>8108314.29</v>
      </c>
      <c r="F19" s="29"/>
      <c r="G19" s="30">
        <f t="shared" si="0"/>
        <v>8108314.29</v>
      </c>
      <c r="H19" s="29">
        <v>649232.98</v>
      </c>
      <c r="I19" s="29"/>
      <c r="J19" s="29">
        <f t="shared" si="2"/>
        <v>8432930.7799999993</v>
      </c>
      <c r="K19" s="31">
        <v>0</v>
      </c>
      <c r="L19" s="32" t="str">
        <f t="shared" si="3"/>
        <v/>
      </c>
      <c r="M19" s="33" t="str">
        <f t="shared" si="1"/>
        <v/>
      </c>
      <c r="N19" s="217"/>
      <c r="O19" s="29"/>
      <c r="P19" s="242"/>
    </row>
    <row r="20" spans="2:16" ht="22.5" customHeight="1">
      <c r="B20" s="36">
        <v>1815</v>
      </c>
      <c r="C20" s="36">
        <v>1815</v>
      </c>
      <c r="D20" s="38" t="s">
        <v>24</v>
      </c>
      <c r="E20" s="29">
        <v>-18373.05</v>
      </c>
      <c r="F20" s="29"/>
      <c r="G20" s="30">
        <f t="shared" si="0"/>
        <v>-18373.05</v>
      </c>
      <c r="H20" s="29">
        <v>-77553.67</v>
      </c>
      <c r="I20" s="29"/>
      <c r="J20" s="29">
        <f t="shared" si="2"/>
        <v>-57149.884999999995</v>
      </c>
      <c r="K20" s="31">
        <v>40</v>
      </c>
      <c r="L20" s="32">
        <f t="shared" si="3"/>
        <v>2.5000000000000001E-2</v>
      </c>
      <c r="M20" s="33">
        <f t="shared" si="1"/>
        <v>-1428.7471249999999</v>
      </c>
      <c r="N20" s="217">
        <v>0.01</v>
      </c>
      <c r="O20" s="29">
        <f t="shared" ref="O20:O28" si="4">+M20-N20</f>
        <v>-1428.7571249999999</v>
      </c>
      <c r="P20" s="242" t="s">
        <v>95</v>
      </c>
    </row>
    <row r="21" spans="2:16" s="9" customFormat="1">
      <c r="B21" s="36">
        <v>1816</v>
      </c>
      <c r="C21" s="36">
        <v>1815</v>
      </c>
      <c r="D21" s="37" t="s">
        <v>55</v>
      </c>
      <c r="E21" s="29">
        <v>9837573.6799999997</v>
      </c>
      <c r="F21" s="30"/>
      <c r="G21" s="30">
        <f t="shared" si="0"/>
        <v>9837573.6799999997</v>
      </c>
      <c r="H21" s="30">
        <v>993409.23</v>
      </c>
      <c r="I21" s="30"/>
      <c r="J21" s="29">
        <f t="shared" si="2"/>
        <v>10334278.295</v>
      </c>
      <c r="K21" s="40">
        <v>40</v>
      </c>
      <c r="L21" s="41">
        <f t="shared" si="3"/>
        <v>2.5000000000000001E-2</v>
      </c>
      <c r="M21" s="42">
        <f t="shared" si="1"/>
        <v>258356.957375</v>
      </c>
      <c r="N21" s="214">
        <v>319544.73</v>
      </c>
      <c r="O21" s="29">
        <f t="shared" si="4"/>
        <v>-61187.772624999983</v>
      </c>
      <c r="P21" s="243" t="s">
        <v>95</v>
      </c>
    </row>
    <row r="22" spans="2:16">
      <c r="B22" s="36">
        <v>1817</v>
      </c>
      <c r="C22" s="36">
        <v>1815</v>
      </c>
      <c r="D22" s="38" t="s">
        <v>56</v>
      </c>
      <c r="E22" s="29">
        <v>9593900.9100000001</v>
      </c>
      <c r="F22" s="29">
        <v>307492.33999999997</v>
      </c>
      <c r="G22" s="30">
        <f t="shared" si="0"/>
        <v>9286408.5700000003</v>
      </c>
      <c r="H22" s="29">
        <v>310541.94</v>
      </c>
      <c r="I22" s="29"/>
      <c r="J22" s="29">
        <f t="shared" si="2"/>
        <v>9441679.540000001</v>
      </c>
      <c r="K22" s="206">
        <v>25</v>
      </c>
      <c r="L22" s="32">
        <f t="shared" si="3"/>
        <v>0.04</v>
      </c>
      <c r="M22" s="42">
        <f t="shared" si="1"/>
        <v>377667.18160000001</v>
      </c>
      <c r="N22" s="214">
        <v>739599.25</v>
      </c>
      <c r="O22" s="29">
        <f t="shared" si="4"/>
        <v>-361932.06839999999</v>
      </c>
      <c r="P22" s="242" t="s">
        <v>95</v>
      </c>
    </row>
    <row r="23" spans="2:16">
      <c r="B23" s="36">
        <v>1818</v>
      </c>
      <c r="C23" s="36">
        <v>1815</v>
      </c>
      <c r="D23" s="38" t="s">
        <v>57</v>
      </c>
      <c r="E23" s="29">
        <v>39112412.310000002</v>
      </c>
      <c r="F23" s="29"/>
      <c r="G23" s="30">
        <f t="shared" si="0"/>
        <v>39112412.310000002</v>
      </c>
      <c r="H23" s="29">
        <v>903394.24</v>
      </c>
      <c r="I23" s="29"/>
      <c r="J23" s="29">
        <f t="shared" si="2"/>
        <v>39564109.43</v>
      </c>
      <c r="K23" s="31">
        <v>40</v>
      </c>
      <c r="L23" s="32">
        <f t="shared" si="3"/>
        <v>2.5000000000000001E-2</v>
      </c>
      <c r="M23" s="42">
        <f t="shared" si="1"/>
        <v>989102.73574999999</v>
      </c>
      <c r="N23" s="214">
        <v>1311701.47</v>
      </c>
      <c r="O23" s="29">
        <f t="shared" si="4"/>
        <v>-322598.73424999998</v>
      </c>
      <c r="P23" s="242" t="s">
        <v>95</v>
      </c>
    </row>
    <row r="24" spans="2:16">
      <c r="B24" s="36">
        <v>1819</v>
      </c>
      <c r="C24" s="36">
        <v>1815</v>
      </c>
      <c r="D24" s="38" t="s">
        <v>58</v>
      </c>
      <c r="E24" s="29">
        <v>6676706.2300000004</v>
      </c>
      <c r="F24" s="29"/>
      <c r="G24" s="30">
        <f t="shared" si="0"/>
        <v>6676706.2300000004</v>
      </c>
      <c r="H24" s="29">
        <v>138574.44</v>
      </c>
      <c r="I24" s="29"/>
      <c r="J24" s="29">
        <f t="shared" si="2"/>
        <v>6745993.4500000002</v>
      </c>
      <c r="K24" s="31">
        <v>40</v>
      </c>
      <c r="L24" s="32">
        <f t="shared" si="3"/>
        <v>2.5000000000000001E-2</v>
      </c>
      <c r="M24" s="42">
        <f t="shared" si="1"/>
        <v>168649.83624999999</v>
      </c>
      <c r="N24" s="214">
        <v>222055.92</v>
      </c>
      <c r="O24" s="29">
        <f t="shared" si="4"/>
        <v>-53406.08375000002</v>
      </c>
      <c r="P24" s="242" t="s">
        <v>95</v>
      </c>
    </row>
    <row r="25" spans="2:16">
      <c r="B25" s="36">
        <v>1821</v>
      </c>
      <c r="C25" s="36">
        <v>1815</v>
      </c>
      <c r="D25" s="38" t="s">
        <v>59</v>
      </c>
      <c r="E25" s="29">
        <v>4744697.05</v>
      </c>
      <c r="F25" s="29"/>
      <c r="G25" s="30">
        <f t="shared" si="0"/>
        <v>4744697.05</v>
      </c>
      <c r="H25" s="29">
        <v>98560.92</v>
      </c>
      <c r="I25" s="29"/>
      <c r="J25" s="29">
        <f t="shared" si="2"/>
        <v>4793977.51</v>
      </c>
      <c r="K25" s="31">
        <v>40</v>
      </c>
      <c r="L25" s="32">
        <f t="shared" si="3"/>
        <v>2.5000000000000001E-2</v>
      </c>
      <c r="M25" s="42">
        <f t="shared" si="1"/>
        <v>119849.43775</v>
      </c>
      <c r="N25" s="214">
        <v>158143.32</v>
      </c>
      <c r="O25" s="29">
        <f t="shared" si="4"/>
        <v>-38293.88225000001</v>
      </c>
      <c r="P25" s="242" t="s">
        <v>95</v>
      </c>
    </row>
    <row r="26" spans="2:16">
      <c r="B26" s="36">
        <v>1822</v>
      </c>
      <c r="C26" s="36">
        <v>1815</v>
      </c>
      <c r="D26" s="38" t="s">
        <v>60</v>
      </c>
      <c r="E26" s="29">
        <v>4892381.12</v>
      </c>
      <c r="F26" s="29">
        <v>1028769.0399999999</v>
      </c>
      <c r="G26" s="30">
        <f t="shared" si="0"/>
        <v>3863612.08</v>
      </c>
      <c r="H26" s="29">
        <v>578474.56000000006</v>
      </c>
      <c r="I26" s="29"/>
      <c r="J26" s="29">
        <f t="shared" si="2"/>
        <v>4152849.3600000003</v>
      </c>
      <c r="K26" s="31">
        <v>20</v>
      </c>
      <c r="L26" s="32">
        <f t="shared" si="3"/>
        <v>0.05</v>
      </c>
      <c r="M26" s="42">
        <f t="shared" si="1"/>
        <v>207642.46800000002</v>
      </c>
      <c r="N26" s="214">
        <v>272806.77</v>
      </c>
      <c r="O26" s="29">
        <f t="shared" si="4"/>
        <v>-65164.301999999996</v>
      </c>
      <c r="P26" s="242" t="s">
        <v>95</v>
      </c>
    </row>
    <row r="27" spans="2:16">
      <c r="B27" s="36">
        <v>1823</v>
      </c>
      <c r="C27" s="36">
        <v>1815</v>
      </c>
      <c r="D27" s="38" t="s">
        <v>61</v>
      </c>
      <c r="E27" s="29">
        <v>17165239.760000002</v>
      </c>
      <c r="F27" s="29"/>
      <c r="G27" s="30">
        <f t="shared" si="0"/>
        <v>17165239.760000002</v>
      </c>
      <c r="H27" s="29">
        <v>1263100.24</v>
      </c>
      <c r="I27" s="29"/>
      <c r="J27" s="29">
        <f t="shared" si="2"/>
        <v>17796789.880000003</v>
      </c>
      <c r="K27" s="31">
        <v>30</v>
      </c>
      <c r="L27" s="32">
        <f t="shared" si="3"/>
        <v>3.3333333333333333E-2</v>
      </c>
      <c r="M27" s="42">
        <f t="shared" si="1"/>
        <v>593226.32933333341</v>
      </c>
      <c r="N27" s="214">
        <v>924962.3</v>
      </c>
      <c r="O27" s="29">
        <f t="shared" si="4"/>
        <v>-331735.97066666663</v>
      </c>
      <c r="P27" s="242" t="s">
        <v>95</v>
      </c>
    </row>
    <row r="28" spans="2:16">
      <c r="B28" s="36">
        <v>1824</v>
      </c>
      <c r="C28" s="36">
        <v>1815</v>
      </c>
      <c r="D28" s="38" t="s">
        <v>62</v>
      </c>
      <c r="E28" s="29">
        <v>3815534.78</v>
      </c>
      <c r="F28" s="29"/>
      <c r="G28" s="30">
        <f t="shared" si="0"/>
        <v>3815534.78</v>
      </c>
      <c r="H28" s="29">
        <v>72780.47</v>
      </c>
      <c r="I28" s="29"/>
      <c r="J28" s="29">
        <f t="shared" si="2"/>
        <v>3851925.0149999997</v>
      </c>
      <c r="K28" s="31">
        <v>30</v>
      </c>
      <c r="L28" s="32">
        <f t="shared" si="3"/>
        <v>3.3333333333333333E-2</v>
      </c>
      <c r="M28" s="42">
        <f t="shared" si="1"/>
        <v>128397.50049999999</v>
      </c>
      <c r="N28" s="214">
        <v>204962.41</v>
      </c>
      <c r="O28" s="29">
        <f t="shared" si="4"/>
        <v>-76564.909500000009</v>
      </c>
      <c r="P28" s="242" t="s">
        <v>95</v>
      </c>
    </row>
    <row r="29" spans="2:16" ht="24.75" customHeight="1">
      <c r="B29" s="43"/>
      <c r="C29" s="43"/>
      <c r="D29" s="44"/>
      <c r="E29" s="45"/>
      <c r="F29" s="45"/>
      <c r="G29" s="46"/>
      <c r="H29" s="45"/>
      <c r="I29" s="45"/>
      <c r="J29" s="47" t="s">
        <v>86</v>
      </c>
      <c r="K29" s="48"/>
      <c r="L29" s="49"/>
      <c r="M29" s="30">
        <f>SUM(M20:M28)</f>
        <v>2841463.6994333332</v>
      </c>
      <c r="N29" s="214">
        <f>SUM(N20:N28)</f>
        <v>4153776.1799999997</v>
      </c>
      <c r="O29" s="29">
        <f>+M29-N29</f>
        <v>-1312312.4805666665</v>
      </c>
      <c r="P29" s="242"/>
    </row>
    <row r="30" spans="2:16" ht="20.25" customHeight="1">
      <c r="B30" s="50">
        <v>1820</v>
      </c>
      <c r="C30" s="50">
        <v>1820</v>
      </c>
      <c r="D30" s="51" t="s">
        <v>25</v>
      </c>
      <c r="E30" s="29">
        <v>-145378</v>
      </c>
      <c r="F30" s="29"/>
      <c r="G30" s="30">
        <f>E30-F30</f>
        <v>-145378</v>
      </c>
      <c r="H30" s="29">
        <v>-23651.98</v>
      </c>
      <c r="I30" s="29"/>
      <c r="J30" s="29">
        <f t="shared" ref="J30:J33" si="5">G30+0.5*H30+0.5*I30</f>
        <v>-157203.99</v>
      </c>
      <c r="K30" s="31">
        <v>30</v>
      </c>
      <c r="L30" s="52">
        <f t="shared" si="3"/>
        <v>3.3333333333333333E-2</v>
      </c>
      <c r="M30" s="42">
        <f t="shared" si="1"/>
        <v>-5240.1329999999998</v>
      </c>
      <c r="N30" s="214">
        <v>-3930</v>
      </c>
      <c r="O30" s="30">
        <f>M30-N30</f>
        <v>-1310.1329999999998</v>
      </c>
      <c r="P30" s="242" t="s">
        <v>95</v>
      </c>
    </row>
    <row r="31" spans="2:16">
      <c r="B31" s="53">
        <v>1826</v>
      </c>
      <c r="C31" s="53">
        <v>1820</v>
      </c>
      <c r="D31" s="38" t="s">
        <v>63</v>
      </c>
      <c r="E31" s="29">
        <v>9950615.4399999995</v>
      </c>
      <c r="F31" s="29"/>
      <c r="G31" s="30">
        <f>E31-F31</f>
        <v>9950615.4399999995</v>
      </c>
      <c r="H31" s="29">
        <v>394701.52</v>
      </c>
      <c r="I31" s="29"/>
      <c r="J31" s="29">
        <f t="shared" si="5"/>
        <v>10147966.199999999</v>
      </c>
      <c r="K31" s="31">
        <v>40</v>
      </c>
      <c r="L31" s="52">
        <f t="shared" si="3"/>
        <v>2.5000000000000001E-2</v>
      </c>
      <c r="M31" s="42">
        <f t="shared" si="1"/>
        <v>253699.15499999997</v>
      </c>
      <c r="N31" s="214">
        <v>326303.15999999997</v>
      </c>
      <c r="O31" s="30">
        <f t="shared" ref="O31:O33" si="6">M31-N31</f>
        <v>-72604.005000000005</v>
      </c>
      <c r="P31" s="242" t="s">
        <v>95</v>
      </c>
    </row>
    <row r="32" spans="2:16">
      <c r="B32" s="53">
        <v>1827</v>
      </c>
      <c r="C32" s="53">
        <v>1820</v>
      </c>
      <c r="D32" s="38" t="s">
        <v>64</v>
      </c>
      <c r="E32" s="29">
        <v>9724176.7599999998</v>
      </c>
      <c r="F32" s="29">
        <v>1011191.9100000001</v>
      </c>
      <c r="G32" s="30">
        <f>E32-F32</f>
        <v>8712984.8499999996</v>
      </c>
      <c r="H32" s="29">
        <v>203770.22</v>
      </c>
      <c r="I32" s="29"/>
      <c r="J32" s="29">
        <f t="shared" si="5"/>
        <v>8814869.959999999</v>
      </c>
      <c r="K32" s="31">
        <v>20</v>
      </c>
      <c r="L32" s="52">
        <f t="shared" si="3"/>
        <v>0.05</v>
      </c>
      <c r="M32" s="42">
        <f t="shared" si="1"/>
        <v>440743.49799999996</v>
      </c>
      <c r="N32" s="214">
        <v>715440.93</v>
      </c>
      <c r="O32" s="30">
        <f t="shared" si="6"/>
        <v>-274697.43200000009</v>
      </c>
      <c r="P32" s="242" t="s">
        <v>95</v>
      </c>
    </row>
    <row r="33" spans="2:16">
      <c r="B33" s="53">
        <v>1828</v>
      </c>
      <c r="C33" s="53">
        <v>1820</v>
      </c>
      <c r="D33" s="38" t="s">
        <v>65</v>
      </c>
      <c r="E33" s="29">
        <v>2216037.1</v>
      </c>
      <c r="F33" s="29">
        <v>2174.33</v>
      </c>
      <c r="G33" s="30">
        <f>E33-F33</f>
        <v>2213862.77</v>
      </c>
      <c r="H33" s="29">
        <v>693519.73</v>
      </c>
      <c r="I33" s="29"/>
      <c r="J33" s="29">
        <f t="shared" si="5"/>
        <v>2560622.6349999998</v>
      </c>
      <c r="K33" s="31">
        <v>30</v>
      </c>
      <c r="L33" s="52">
        <f t="shared" si="3"/>
        <v>3.3333333333333333E-2</v>
      </c>
      <c r="M33" s="42">
        <f t="shared" si="1"/>
        <v>85354.087833333324</v>
      </c>
      <c r="N33" s="214">
        <v>116063.77</v>
      </c>
      <c r="O33" s="30">
        <f t="shared" si="6"/>
        <v>-30709.68216666668</v>
      </c>
      <c r="P33" s="242" t="s">
        <v>95</v>
      </c>
    </row>
    <row r="34" spans="2:16" ht="20.25" customHeight="1">
      <c r="B34" s="43"/>
      <c r="C34" s="43"/>
      <c r="D34" s="44"/>
      <c r="E34" s="45"/>
      <c r="F34" s="45"/>
      <c r="G34" s="46"/>
      <c r="H34" s="45"/>
      <c r="I34" s="45"/>
      <c r="J34" s="47" t="s">
        <v>87</v>
      </c>
      <c r="K34" s="48"/>
      <c r="L34" s="49"/>
      <c r="M34" s="30">
        <f>SUM(M30:M33)</f>
        <v>774556.6078333332</v>
      </c>
      <c r="N34" s="214">
        <f>SUM(N30:N33)</f>
        <v>1153877.8600000001</v>
      </c>
      <c r="O34" s="29">
        <f>+M34-N34</f>
        <v>-379321.25216666691</v>
      </c>
      <c r="P34" s="242"/>
    </row>
    <row r="35" spans="2:16" ht="24" customHeight="1">
      <c r="B35" s="53">
        <v>1825</v>
      </c>
      <c r="C35" s="53">
        <v>1825</v>
      </c>
      <c r="D35" s="37" t="s">
        <v>26</v>
      </c>
      <c r="E35" s="29">
        <v>0</v>
      </c>
      <c r="F35" s="29"/>
      <c r="G35" s="30">
        <f t="shared" ref="G35:G51" si="7">E35-F35</f>
        <v>0</v>
      </c>
      <c r="H35" s="29"/>
      <c r="I35" s="29"/>
      <c r="J35" s="29">
        <f t="shared" ref="J35:J51" si="8">G35+0.5*H35+0.5*I35</f>
        <v>0</v>
      </c>
      <c r="K35" s="31">
        <v>0</v>
      </c>
      <c r="L35" s="52" t="str">
        <f t="shared" si="3"/>
        <v/>
      </c>
      <c r="M35" s="42" t="str">
        <f t="shared" si="1"/>
        <v/>
      </c>
      <c r="N35" s="214"/>
      <c r="O35" s="30"/>
      <c r="P35" s="242"/>
    </row>
    <row r="36" spans="2:16">
      <c r="B36" s="53">
        <v>1830</v>
      </c>
      <c r="C36" s="53">
        <v>1830</v>
      </c>
      <c r="D36" s="37" t="s">
        <v>27</v>
      </c>
      <c r="E36" s="29">
        <v>113829009.75</v>
      </c>
      <c r="F36" s="29"/>
      <c r="G36" s="30">
        <f t="shared" si="7"/>
        <v>113829009.75</v>
      </c>
      <c r="H36" s="29">
        <v>15749826.66</v>
      </c>
      <c r="I36" s="29">
        <v>-59283</v>
      </c>
      <c r="J36" s="29">
        <f t="shared" si="8"/>
        <v>121674281.58</v>
      </c>
      <c r="K36" s="206">
        <v>45</v>
      </c>
      <c r="L36" s="52">
        <f t="shared" si="3"/>
        <v>2.2222222222222223E-2</v>
      </c>
      <c r="M36" s="42">
        <f t="shared" si="1"/>
        <v>2703872.9240000001</v>
      </c>
      <c r="N36" s="214">
        <v>2857679.89</v>
      </c>
      <c r="O36" s="29">
        <f>+M36-N36</f>
        <v>-153806.96600000001</v>
      </c>
      <c r="P36" s="242" t="s">
        <v>95</v>
      </c>
    </row>
    <row r="37" spans="2:16">
      <c r="B37" s="53">
        <v>1835</v>
      </c>
      <c r="C37" s="53">
        <v>1835</v>
      </c>
      <c r="D37" s="37" t="s">
        <v>28</v>
      </c>
      <c r="E37" s="29">
        <v>102674158</v>
      </c>
      <c r="F37" s="29"/>
      <c r="G37" s="30">
        <f t="shared" si="7"/>
        <v>102674158</v>
      </c>
      <c r="H37" s="29">
        <v>11150543.210000001</v>
      </c>
      <c r="I37" s="29">
        <v>-73683.87</v>
      </c>
      <c r="J37" s="29">
        <f t="shared" si="8"/>
        <v>108212587.67</v>
      </c>
      <c r="K37" s="206">
        <v>40</v>
      </c>
      <c r="L37" s="52">
        <f t="shared" si="3"/>
        <v>2.5000000000000001E-2</v>
      </c>
      <c r="M37" s="42">
        <f t="shared" si="1"/>
        <v>2705314.6917500002</v>
      </c>
      <c r="N37" s="214">
        <v>3180794</v>
      </c>
      <c r="O37" s="29">
        <f t="shared" ref="O37:O50" si="9">+M37-N37</f>
        <v>-475479.30824999977</v>
      </c>
      <c r="P37" s="242" t="s">
        <v>95</v>
      </c>
    </row>
    <row r="38" spans="2:16">
      <c r="B38" s="53">
        <v>1836</v>
      </c>
      <c r="C38" s="53">
        <v>1836</v>
      </c>
      <c r="D38" s="37" t="s">
        <v>103</v>
      </c>
      <c r="E38" s="29">
        <v>1276.67</v>
      </c>
      <c r="F38" s="29"/>
      <c r="G38" s="30">
        <f t="shared" si="7"/>
        <v>1276.67</v>
      </c>
      <c r="H38" s="29">
        <v>0</v>
      </c>
      <c r="I38" s="29">
        <v>0</v>
      </c>
      <c r="J38" s="29">
        <f t="shared" si="8"/>
        <v>1276.67</v>
      </c>
      <c r="K38" s="206">
        <v>25</v>
      </c>
      <c r="L38" s="52">
        <f t="shared" si="3"/>
        <v>0.04</v>
      </c>
      <c r="M38" s="42">
        <f t="shared" si="1"/>
        <v>51.066800000000001</v>
      </c>
      <c r="N38" s="214">
        <v>267.89</v>
      </c>
      <c r="O38" s="29">
        <f t="shared" si="9"/>
        <v>-216.82319999999999</v>
      </c>
      <c r="P38" s="242" t="s">
        <v>95</v>
      </c>
    </row>
    <row r="39" spans="2:16">
      <c r="B39" s="53">
        <v>1840</v>
      </c>
      <c r="C39" s="53">
        <v>1840</v>
      </c>
      <c r="D39" s="37" t="s">
        <v>29</v>
      </c>
      <c r="E39" s="29">
        <v>70946265.010000005</v>
      </c>
      <c r="F39" s="29">
        <v>77228.17</v>
      </c>
      <c r="G39" s="30">
        <f t="shared" si="7"/>
        <v>70869036.840000004</v>
      </c>
      <c r="H39" s="29">
        <v>8070402.6500000004</v>
      </c>
      <c r="I39" s="29"/>
      <c r="J39" s="29">
        <f t="shared" si="8"/>
        <v>74904238.165000007</v>
      </c>
      <c r="K39" s="206">
        <v>60</v>
      </c>
      <c r="L39" s="52">
        <f t="shared" si="3"/>
        <v>1.6666666666666666E-2</v>
      </c>
      <c r="M39" s="42">
        <f t="shared" si="1"/>
        <v>1248403.9694166668</v>
      </c>
      <c r="N39" s="214">
        <v>1384951.71</v>
      </c>
      <c r="O39" s="29">
        <f t="shared" si="9"/>
        <v>-136547.74058333319</v>
      </c>
      <c r="P39" s="242" t="s">
        <v>95</v>
      </c>
    </row>
    <row r="40" spans="2:16">
      <c r="B40" s="53">
        <v>1845</v>
      </c>
      <c r="C40" s="53">
        <v>1845</v>
      </c>
      <c r="D40" s="37" t="s">
        <v>30</v>
      </c>
      <c r="E40" s="29">
        <v>214995763</v>
      </c>
      <c r="F40" s="29">
        <v>1607457.41</v>
      </c>
      <c r="G40" s="30">
        <f t="shared" si="7"/>
        <v>213388305.59</v>
      </c>
      <c r="H40" s="29">
        <v>31247881.73</v>
      </c>
      <c r="I40" s="29">
        <v>-476859.53</v>
      </c>
      <c r="J40" s="29">
        <f t="shared" si="8"/>
        <v>228773816.69000003</v>
      </c>
      <c r="K40" s="206">
        <v>45</v>
      </c>
      <c r="L40" s="52">
        <f t="shared" si="3"/>
        <v>2.2222222222222223E-2</v>
      </c>
      <c r="M40" s="42">
        <f t="shared" si="1"/>
        <v>5083862.5931111118</v>
      </c>
      <c r="N40" s="214">
        <v>6097677</v>
      </c>
      <c r="O40" s="29">
        <f t="shared" si="9"/>
        <v>-1013814.4068888882</v>
      </c>
      <c r="P40" s="242" t="s">
        <v>95</v>
      </c>
    </row>
    <row r="41" spans="2:16">
      <c r="B41" s="53">
        <v>1849</v>
      </c>
      <c r="C41" s="53">
        <v>1849</v>
      </c>
      <c r="D41" s="37" t="s">
        <v>44</v>
      </c>
      <c r="E41" s="29">
        <v>20313317</v>
      </c>
      <c r="F41" s="29"/>
      <c r="G41" s="30">
        <f t="shared" si="7"/>
        <v>20313317</v>
      </c>
      <c r="H41" s="29">
        <v>1592694.92</v>
      </c>
      <c r="I41" s="29">
        <v>-588977.13</v>
      </c>
      <c r="J41" s="29">
        <f t="shared" si="8"/>
        <v>20815175.895</v>
      </c>
      <c r="K41" s="31">
        <v>40</v>
      </c>
      <c r="L41" s="52">
        <f t="shared" si="3"/>
        <v>2.5000000000000001E-2</v>
      </c>
      <c r="M41" s="42">
        <f t="shared" si="1"/>
        <v>520379.397375</v>
      </c>
      <c r="N41" s="214">
        <v>662416</v>
      </c>
      <c r="O41" s="29">
        <f t="shared" si="9"/>
        <v>-142036.602625</v>
      </c>
      <c r="P41" s="242" t="s">
        <v>95</v>
      </c>
    </row>
    <row r="42" spans="2:16">
      <c r="B42" s="53">
        <v>1850</v>
      </c>
      <c r="C42" s="53">
        <v>1850</v>
      </c>
      <c r="D42" s="37" t="s">
        <v>77</v>
      </c>
      <c r="E42" s="29">
        <v>124666972</v>
      </c>
      <c r="F42" s="29">
        <v>157912.65</v>
      </c>
      <c r="G42" s="30">
        <f t="shared" si="7"/>
        <v>124509059.34999999</v>
      </c>
      <c r="H42" s="29">
        <v>8069277.9299999997</v>
      </c>
      <c r="I42" s="29">
        <v>-1547044.82</v>
      </c>
      <c r="J42" s="29">
        <f t="shared" si="8"/>
        <v>127770175.905</v>
      </c>
      <c r="K42" s="31">
        <v>30</v>
      </c>
      <c r="L42" s="52">
        <f t="shared" si="3"/>
        <v>3.3333333333333333E-2</v>
      </c>
      <c r="M42" s="42">
        <f t="shared" si="1"/>
        <v>4259005.8635</v>
      </c>
      <c r="N42" s="214">
        <v>5814932</v>
      </c>
      <c r="O42" s="29">
        <f t="shared" si="9"/>
        <v>-1555926.1365</v>
      </c>
      <c r="P42" s="242" t="s">
        <v>95</v>
      </c>
    </row>
    <row r="43" spans="2:16">
      <c r="B43" s="53">
        <v>1855</v>
      </c>
      <c r="C43" s="53">
        <v>1855</v>
      </c>
      <c r="D43" s="37" t="s">
        <v>94</v>
      </c>
      <c r="E43" s="29">
        <v>10259521.27</v>
      </c>
      <c r="F43" s="29"/>
      <c r="G43" s="30">
        <f t="shared" si="7"/>
        <v>10259521.27</v>
      </c>
      <c r="H43" s="29">
        <v>1096396.81</v>
      </c>
      <c r="I43" s="29"/>
      <c r="J43" s="29">
        <f t="shared" si="8"/>
        <v>10807719.674999999</v>
      </c>
      <c r="K43" s="31">
        <v>40</v>
      </c>
      <c r="L43" s="52">
        <f t="shared" si="3"/>
        <v>2.5000000000000001E-2</v>
      </c>
      <c r="M43" s="42">
        <f t="shared" si="1"/>
        <v>270192.99187499995</v>
      </c>
      <c r="N43" s="214">
        <v>310193.15999999997</v>
      </c>
      <c r="O43" s="29">
        <f t="shared" si="9"/>
        <v>-40000.168125000026</v>
      </c>
      <c r="P43" s="242" t="s">
        <v>95</v>
      </c>
    </row>
    <row r="44" spans="2:16">
      <c r="B44" s="53">
        <v>1856</v>
      </c>
      <c r="C44" s="53">
        <v>1856</v>
      </c>
      <c r="D44" s="37" t="s">
        <v>45</v>
      </c>
      <c r="E44" s="29">
        <v>47892364.229999997</v>
      </c>
      <c r="F44" s="29"/>
      <c r="G44" s="30">
        <f t="shared" si="7"/>
        <v>47892364.229999997</v>
      </c>
      <c r="H44" s="29">
        <v>3458909.91</v>
      </c>
      <c r="I44" s="29"/>
      <c r="J44" s="29">
        <f t="shared" si="8"/>
        <v>49621819.184999995</v>
      </c>
      <c r="K44" s="31">
        <v>25</v>
      </c>
      <c r="L44" s="52">
        <f t="shared" si="3"/>
        <v>0.04</v>
      </c>
      <c r="M44" s="42">
        <f t="shared" si="1"/>
        <v>1984872.7673999998</v>
      </c>
      <c r="N44" s="214">
        <v>2987367.12</v>
      </c>
      <c r="O44" s="29">
        <f t="shared" si="9"/>
        <v>-1002494.3526000003</v>
      </c>
      <c r="P44" s="242" t="s">
        <v>95</v>
      </c>
    </row>
    <row r="45" spans="2:16">
      <c r="B45" s="53">
        <v>1860</v>
      </c>
      <c r="C45" s="53">
        <v>1860</v>
      </c>
      <c r="D45" s="37" t="s">
        <v>31</v>
      </c>
      <c r="E45" s="29">
        <v>11476888</v>
      </c>
      <c r="F45" s="29">
        <v>9433.82</v>
      </c>
      <c r="G45" s="30">
        <f t="shared" si="7"/>
        <v>11467454.18</v>
      </c>
      <c r="H45" s="29">
        <v>845682.28</v>
      </c>
      <c r="I45" s="29"/>
      <c r="J45" s="29">
        <f t="shared" si="8"/>
        <v>11890295.32</v>
      </c>
      <c r="K45" s="31">
        <v>25</v>
      </c>
      <c r="L45" s="52">
        <f t="shared" si="3"/>
        <v>0.04</v>
      </c>
      <c r="M45" s="42">
        <f t="shared" si="1"/>
        <v>475611.81280000001</v>
      </c>
      <c r="N45" s="214">
        <v>467236</v>
      </c>
      <c r="O45" s="29">
        <f t="shared" si="9"/>
        <v>8375.8128000000142</v>
      </c>
      <c r="P45" s="242" t="s">
        <v>95</v>
      </c>
    </row>
    <row r="46" spans="2:16">
      <c r="B46" s="53">
        <v>1861</v>
      </c>
      <c r="C46" s="53">
        <v>1861</v>
      </c>
      <c r="D46" s="37" t="s">
        <v>46</v>
      </c>
      <c r="E46" s="29">
        <v>12367313.58</v>
      </c>
      <c r="F46" s="29"/>
      <c r="G46" s="30">
        <f t="shared" si="7"/>
        <v>12367313.58</v>
      </c>
      <c r="H46" s="29">
        <v>4168838.87</v>
      </c>
      <c r="I46" s="29"/>
      <c r="J46" s="29">
        <f t="shared" si="8"/>
        <v>14451733.015000001</v>
      </c>
      <c r="K46" s="31">
        <v>15</v>
      </c>
      <c r="L46" s="52">
        <f t="shared" si="3"/>
        <v>6.6666666666666666E-2</v>
      </c>
      <c r="M46" s="42">
        <f t="shared" si="1"/>
        <v>963448.86766666675</v>
      </c>
      <c r="N46" s="214">
        <v>985497.66</v>
      </c>
      <c r="O46" s="29">
        <f t="shared" si="9"/>
        <v>-22048.792333333287</v>
      </c>
      <c r="P46" s="242" t="s">
        <v>95</v>
      </c>
    </row>
    <row r="47" spans="2:16">
      <c r="B47" s="53">
        <v>1862</v>
      </c>
      <c r="C47" s="53">
        <v>1862</v>
      </c>
      <c r="D47" s="37" t="s">
        <v>79</v>
      </c>
      <c r="E47" s="29">
        <v>46922382.479999997</v>
      </c>
      <c r="F47" s="29"/>
      <c r="G47" s="30">
        <f t="shared" si="7"/>
        <v>46922382.479999997</v>
      </c>
      <c r="H47" s="29">
        <v>1447733.87</v>
      </c>
      <c r="I47" s="29"/>
      <c r="J47" s="29">
        <f t="shared" si="8"/>
        <v>47646249.414999999</v>
      </c>
      <c r="K47" s="31">
        <v>15</v>
      </c>
      <c r="L47" s="52">
        <f t="shared" si="3"/>
        <v>6.6666666666666666E-2</v>
      </c>
      <c r="M47" s="42">
        <f t="shared" si="1"/>
        <v>3176416.6276666666</v>
      </c>
      <c r="N47" s="214">
        <v>3452909.3</v>
      </c>
      <c r="O47" s="29">
        <f t="shared" si="9"/>
        <v>-276492.67233333318</v>
      </c>
      <c r="P47" s="242" t="s">
        <v>95</v>
      </c>
    </row>
    <row r="48" spans="2:16">
      <c r="B48" s="53">
        <v>1870</v>
      </c>
      <c r="C48" s="53">
        <v>1870</v>
      </c>
      <c r="D48" s="37" t="s">
        <v>47</v>
      </c>
      <c r="E48" s="29">
        <v>0</v>
      </c>
      <c r="F48" s="29"/>
      <c r="G48" s="30">
        <f t="shared" si="7"/>
        <v>0</v>
      </c>
      <c r="H48" s="29">
        <v>0</v>
      </c>
      <c r="I48" s="29"/>
      <c r="J48" s="29">
        <f t="shared" si="8"/>
        <v>0</v>
      </c>
      <c r="K48" s="31">
        <v>0</v>
      </c>
      <c r="L48" s="52" t="str">
        <f t="shared" si="3"/>
        <v/>
      </c>
      <c r="M48" s="42" t="str">
        <f t="shared" si="1"/>
        <v/>
      </c>
      <c r="N48" s="214">
        <v>0</v>
      </c>
      <c r="O48" s="29"/>
      <c r="P48" s="242"/>
    </row>
    <row r="49" spans="2:16" ht="21.75" customHeight="1">
      <c r="B49" s="53">
        <v>1908</v>
      </c>
      <c r="C49" s="53">
        <v>1908</v>
      </c>
      <c r="D49" s="37" t="s">
        <v>33</v>
      </c>
      <c r="E49" s="29">
        <v>20555541.510000002</v>
      </c>
      <c r="F49" s="30"/>
      <c r="G49" s="30">
        <f t="shared" si="7"/>
        <v>20555541.510000002</v>
      </c>
      <c r="H49" s="29">
        <v>520347.17</v>
      </c>
      <c r="I49" s="29"/>
      <c r="J49" s="29">
        <f t="shared" si="8"/>
        <v>20815715.095000003</v>
      </c>
      <c r="K49" s="31">
        <v>50</v>
      </c>
      <c r="L49" s="52">
        <f t="shared" si="3"/>
        <v>0.02</v>
      </c>
      <c r="M49" s="42">
        <f>IF(K49=0,"",J49/K49)</f>
        <v>416314.30190000008</v>
      </c>
      <c r="N49" s="214">
        <v>441016.63</v>
      </c>
      <c r="O49" s="30">
        <f t="shared" si="9"/>
        <v>-24702.328099999926</v>
      </c>
      <c r="P49" s="242" t="s">
        <v>95</v>
      </c>
    </row>
    <row r="50" spans="2:16">
      <c r="B50" s="53">
        <v>1912</v>
      </c>
      <c r="C50" s="53">
        <v>1908</v>
      </c>
      <c r="D50" s="37" t="s">
        <v>96</v>
      </c>
      <c r="E50" s="29">
        <v>17001102.870000001</v>
      </c>
      <c r="F50" s="29"/>
      <c r="G50" s="30">
        <f t="shared" si="7"/>
        <v>17001102.870000001</v>
      </c>
      <c r="H50" s="29">
        <v>282141.84000000003</v>
      </c>
      <c r="I50" s="29"/>
      <c r="J50" s="29">
        <f t="shared" si="8"/>
        <v>17142173.790000003</v>
      </c>
      <c r="K50" s="31">
        <v>50</v>
      </c>
      <c r="L50" s="52">
        <f t="shared" si="3"/>
        <v>0.02</v>
      </c>
      <c r="M50" s="42">
        <f>IF(K50=0,"",J50/K50)</f>
        <v>342843.47580000007</v>
      </c>
      <c r="N50" s="214">
        <v>396349.04</v>
      </c>
      <c r="O50" s="30">
        <f t="shared" si="9"/>
        <v>-53505.564199999906</v>
      </c>
      <c r="P50" s="242" t="s">
        <v>95</v>
      </c>
    </row>
    <row r="51" spans="2:16">
      <c r="B51" s="53">
        <v>1913</v>
      </c>
      <c r="C51" s="53">
        <v>1908</v>
      </c>
      <c r="D51" s="54" t="s">
        <v>66</v>
      </c>
      <c r="E51" s="29">
        <v>2682152.7999999998</v>
      </c>
      <c r="F51" s="29"/>
      <c r="G51" s="30">
        <f t="shared" si="7"/>
        <v>2682152.7999999998</v>
      </c>
      <c r="H51" s="29">
        <v>86591.44</v>
      </c>
      <c r="I51" s="29"/>
      <c r="J51" s="29">
        <f t="shared" si="8"/>
        <v>2725448.52</v>
      </c>
      <c r="K51" s="31">
        <v>30</v>
      </c>
      <c r="L51" s="52">
        <f t="shared" si="3"/>
        <v>3.3333333333333333E-2</v>
      </c>
      <c r="M51" s="42">
        <f>IF(K51=0,"",J51/K51)</f>
        <v>90848.284</v>
      </c>
      <c r="N51" s="214">
        <v>98658.880000000005</v>
      </c>
      <c r="O51" s="30"/>
      <c r="P51" s="242" t="s">
        <v>95</v>
      </c>
    </row>
    <row r="52" spans="2:16" ht="18">
      <c r="B52" s="43"/>
      <c r="C52" s="43"/>
      <c r="D52" s="44"/>
      <c r="E52" s="45"/>
      <c r="F52" s="45"/>
      <c r="G52" s="46"/>
      <c r="H52" s="45"/>
      <c r="I52" s="45"/>
      <c r="J52" s="47" t="s">
        <v>88</v>
      </c>
      <c r="K52" s="48"/>
      <c r="L52" s="49"/>
      <c r="M52" s="30">
        <f>SUM(M49:M51)</f>
        <v>850006.06170000019</v>
      </c>
      <c r="N52" s="214">
        <f>SUM(N49:N51)</f>
        <v>936024.54999999993</v>
      </c>
      <c r="O52" s="29">
        <f t="shared" ref="O52:O73" si="10">+M52-N52</f>
        <v>-86018.488299999735</v>
      </c>
      <c r="P52" s="242"/>
    </row>
    <row r="53" spans="2:16" ht="23.25" customHeight="1">
      <c r="B53" s="53">
        <v>1910</v>
      </c>
      <c r="C53" s="53">
        <v>1910</v>
      </c>
      <c r="D53" s="55" t="s">
        <v>104</v>
      </c>
      <c r="E53" s="29">
        <v>11225</v>
      </c>
      <c r="F53" s="29"/>
      <c r="G53" s="30">
        <f t="shared" ref="G53:G54" si="11">E53-F53</f>
        <v>11225</v>
      </c>
      <c r="H53" s="29">
        <v>-7164.46</v>
      </c>
      <c r="I53" s="29"/>
      <c r="J53" s="29">
        <f t="shared" ref="J53:J54" si="12">G53+0.5*H53+0.5*I53</f>
        <v>7642.77</v>
      </c>
      <c r="K53" s="56">
        <v>10</v>
      </c>
      <c r="L53" s="32">
        <f t="shared" ref="L53:L54" si="13">IF(K53=0,"",1/K53)</f>
        <v>0.1</v>
      </c>
      <c r="M53" s="42">
        <f t="shared" ref="M53:M54" si="14">IF(K53=0,"",J53/K53)</f>
        <v>764.27700000000004</v>
      </c>
      <c r="N53" s="214">
        <v>0</v>
      </c>
      <c r="O53" s="201">
        <f t="shared" si="10"/>
        <v>764.27700000000004</v>
      </c>
      <c r="P53" s="242" t="s">
        <v>95</v>
      </c>
    </row>
    <row r="54" spans="2:16">
      <c r="B54" s="53">
        <v>1911</v>
      </c>
      <c r="C54" s="53">
        <v>1910</v>
      </c>
      <c r="D54" s="54" t="s">
        <v>105</v>
      </c>
      <c r="E54" s="29">
        <v>53945.9</v>
      </c>
      <c r="F54" s="29"/>
      <c r="G54" s="30">
        <f t="shared" si="11"/>
        <v>53945.9</v>
      </c>
      <c r="H54" s="29">
        <v>157873.88</v>
      </c>
      <c r="I54" s="29"/>
      <c r="J54" s="29">
        <f t="shared" si="12"/>
        <v>132882.84</v>
      </c>
      <c r="K54" s="56">
        <v>2</v>
      </c>
      <c r="L54" s="32">
        <f t="shared" si="13"/>
        <v>0.5</v>
      </c>
      <c r="M54" s="42">
        <f t="shared" si="14"/>
        <v>66441.42</v>
      </c>
      <c r="N54" s="214">
        <v>8221.36</v>
      </c>
      <c r="O54" s="29">
        <f t="shared" si="10"/>
        <v>58220.06</v>
      </c>
      <c r="P54" s="242" t="s">
        <v>95</v>
      </c>
    </row>
    <row r="55" spans="2:16" ht="15.75">
      <c r="B55" s="53"/>
      <c r="C55" s="53"/>
      <c r="D55" s="37"/>
      <c r="E55" s="29"/>
      <c r="F55" s="29"/>
      <c r="G55" s="30"/>
      <c r="H55" s="29"/>
      <c r="I55" s="29"/>
      <c r="J55" s="59" t="s">
        <v>106</v>
      </c>
      <c r="K55" s="56"/>
      <c r="L55" s="32"/>
      <c r="M55" s="42">
        <f>SUM(M53:M54)</f>
        <v>67205.697</v>
      </c>
      <c r="N55" s="214">
        <f>SUM(N53:N54)</f>
        <v>8221.36</v>
      </c>
      <c r="O55" s="202">
        <f t="shared" si="10"/>
        <v>58984.337</v>
      </c>
      <c r="P55" s="242"/>
    </row>
    <row r="56" spans="2:16" ht="25.5" customHeight="1">
      <c r="B56" s="53">
        <v>1915</v>
      </c>
      <c r="C56" s="53">
        <v>1915</v>
      </c>
      <c r="D56" s="37" t="s">
        <v>82</v>
      </c>
      <c r="E56" s="29">
        <v>4876458</v>
      </c>
      <c r="F56" s="29">
        <v>21758.41</v>
      </c>
      <c r="G56" s="30">
        <f t="shared" ref="G56:G61" si="15">E56-F56</f>
        <v>4854699.59</v>
      </c>
      <c r="H56" s="29">
        <v>17375.830000000002</v>
      </c>
      <c r="I56" s="29"/>
      <c r="J56" s="29">
        <f t="shared" ref="J56:J61" si="16">G56+0.5*H56+0.5*I56</f>
        <v>4863387.5049999999</v>
      </c>
      <c r="K56" s="31">
        <v>10</v>
      </c>
      <c r="L56" s="52">
        <f t="shared" si="3"/>
        <v>0.1</v>
      </c>
      <c r="M56" s="42">
        <f>IF(K56=0,"",J56/K56)</f>
        <v>486338.75049999997</v>
      </c>
      <c r="N56" s="214">
        <v>593930</v>
      </c>
      <c r="O56" s="29">
        <f t="shared" si="10"/>
        <v>-107591.24950000003</v>
      </c>
      <c r="P56" s="242" t="s">
        <v>95</v>
      </c>
    </row>
    <row r="57" spans="2:16" ht="24" customHeight="1">
      <c r="B57" s="53">
        <v>1920</v>
      </c>
      <c r="C57" s="53">
        <v>1920</v>
      </c>
      <c r="D57" s="37" t="s">
        <v>34</v>
      </c>
      <c r="E57" s="29">
        <v>82692.94</v>
      </c>
      <c r="F57" s="29"/>
      <c r="G57" s="30">
        <f t="shared" si="15"/>
        <v>82692.94</v>
      </c>
      <c r="H57" s="29">
        <v>-0.04</v>
      </c>
      <c r="I57" s="29"/>
      <c r="J57" s="29">
        <f t="shared" si="16"/>
        <v>82692.92</v>
      </c>
      <c r="K57" s="31">
        <v>5</v>
      </c>
      <c r="L57" s="52">
        <f t="shared" si="3"/>
        <v>0.2</v>
      </c>
      <c r="M57" s="42">
        <f>IF(K57=0,"",J57/K57)</f>
        <v>16538.583999999999</v>
      </c>
      <c r="N57" s="214">
        <v>0</v>
      </c>
      <c r="O57" s="203">
        <f t="shared" si="10"/>
        <v>16538.583999999999</v>
      </c>
      <c r="P57" s="242" t="s">
        <v>95</v>
      </c>
    </row>
    <row r="58" spans="2:16">
      <c r="B58" s="53">
        <v>1921</v>
      </c>
      <c r="C58" s="53">
        <v>1920</v>
      </c>
      <c r="D58" s="37" t="s">
        <v>67</v>
      </c>
      <c r="E58" s="29">
        <v>1520435.02</v>
      </c>
      <c r="F58" s="29">
        <v>691966.76</v>
      </c>
      <c r="G58" s="30">
        <f t="shared" si="15"/>
        <v>828468.26</v>
      </c>
      <c r="H58" s="29">
        <v>309366.56</v>
      </c>
      <c r="I58" s="29"/>
      <c r="J58" s="29">
        <f t="shared" si="16"/>
        <v>983151.54</v>
      </c>
      <c r="K58" s="31">
        <v>4</v>
      </c>
      <c r="L58" s="52">
        <f t="shared" si="3"/>
        <v>0.25</v>
      </c>
      <c r="M58" s="42">
        <f t="shared" ref="M58:M71" si="17">IF(K58=0,"",J58/K58)</f>
        <v>245787.88500000001</v>
      </c>
      <c r="N58" s="214">
        <v>266554.63</v>
      </c>
      <c r="O58" s="203">
        <f t="shared" si="10"/>
        <v>-20766.744999999995</v>
      </c>
      <c r="P58" s="242" t="s">
        <v>95</v>
      </c>
    </row>
    <row r="59" spans="2:16">
      <c r="B59" s="53">
        <v>1922</v>
      </c>
      <c r="C59" s="53">
        <v>1920</v>
      </c>
      <c r="D59" s="37" t="s">
        <v>68</v>
      </c>
      <c r="E59" s="29">
        <v>3160713.6</v>
      </c>
      <c r="F59" s="29">
        <v>790251.99</v>
      </c>
      <c r="G59" s="30">
        <f t="shared" si="15"/>
        <v>2370461.6100000003</v>
      </c>
      <c r="H59" s="29">
        <v>1745237.8</v>
      </c>
      <c r="I59" s="29"/>
      <c r="J59" s="29">
        <f t="shared" si="16"/>
        <v>3243080.5100000002</v>
      </c>
      <c r="K59" s="31">
        <v>5</v>
      </c>
      <c r="L59" s="52">
        <f t="shared" si="3"/>
        <v>0.2</v>
      </c>
      <c r="M59" s="42">
        <f t="shared" si="17"/>
        <v>648616.10200000007</v>
      </c>
      <c r="N59" s="214">
        <v>616004.30000000005</v>
      </c>
      <c r="O59" s="30">
        <f t="shared" si="10"/>
        <v>32611.802000000025</v>
      </c>
      <c r="P59" s="242" t="s">
        <v>95</v>
      </c>
    </row>
    <row r="60" spans="2:16">
      <c r="B60" s="53">
        <v>1923</v>
      </c>
      <c r="C60" s="53">
        <v>1920</v>
      </c>
      <c r="D60" s="37" t="s">
        <v>69</v>
      </c>
      <c r="E60" s="29">
        <v>468370.47</v>
      </c>
      <c r="F60" s="29">
        <v>82233.990000000005</v>
      </c>
      <c r="G60" s="30">
        <f t="shared" si="15"/>
        <v>386136.48</v>
      </c>
      <c r="H60" s="29">
        <v>87633.98</v>
      </c>
      <c r="I60" s="29"/>
      <c r="J60" s="29">
        <f t="shared" si="16"/>
        <v>429953.47</v>
      </c>
      <c r="K60" s="31">
        <v>5</v>
      </c>
      <c r="L60" s="52">
        <f t="shared" si="3"/>
        <v>0.2</v>
      </c>
      <c r="M60" s="42">
        <f t="shared" si="17"/>
        <v>85990.693999999989</v>
      </c>
      <c r="N60" s="214">
        <v>59769.53</v>
      </c>
      <c r="O60" s="205">
        <f t="shared" si="10"/>
        <v>26221.16399999999</v>
      </c>
      <c r="P60" s="242" t="s">
        <v>95</v>
      </c>
    </row>
    <row r="61" spans="2:16">
      <c r="B61" s="53">
        <v>1924</v>
      </c>
      <c r="C61" s="53">
        <v>1920</v>
      </c>
      <c r="D61" s="37" t="s">
        <v>70</v>
      </c>
      <c r="E61" s="29">
        <v>1619846.66</v>
      </c>
      <c r="F61" s="29">
        <v>130986.73000000001</v>
      </c>
      <c r="G61" s="30">
        <f t="shared" si="15"/>
        <v>1488859.93</v>
      </c>
      <c r="H61" s="29">
        <v>-4488.58</v>
      </c>
      <c r="I61" s="29"/>
      <c r="J61" s="29">
        <f t="shared" si="16"/>
        <v>1486615.64</v>
      </c>
      <c r="K61" s="31">
        <v>6</v>
      </c>
      <c r="L61" s="52">
        <f t="shared" si="3"/>
        <v>0.16666666666666666</v>
      </c>
      <c r="M61" s="42">
        <f t="shared" si="17"/>
        <v>247769.27333333332</v>
      </c>
      <c r="N61" s="214">
        <v>251899.63</v>
      </c>
      <c r="O61" s="30">
        <f t="shared" si="10"/>
        <v>-4130.3566666666884</v>
      </c>
      <c r="P61" s="242" t="s">
        <v>95</v>
      </c>
    </row>
    <row r="62" spans="2:16" ht="22.5" customHeight="1">
      <c r="B62" s="43"/>
      <c r="C62" s="43"/>
      <c r="D62" s="44"/>
      <c r="E62" s="45"/>
      <c r="F62" s="45"/>
      <c r="G62" s="46"/>
      <c r="H62" s="45"/>
      <c r="I62" s="45"/>
      <c r="J62" s="47" t="s">
        <v>92</v>
      </c>
      <c r="K62" s="48"/>
      <c r="L62" s="49"/>
      <c r="M62" s="30">
        <f>SUM(M57:M61)</f>
        <v>1244702.5383333333</v>
      </c>
      <c r="N62" s="214">
        <f>SUM(N57:N61)</f>
        <v>1194228.0900000001</v>
      </c>
      <c r="O62" s="201">
        <f t="shared" si="10"/>
        <v>50474.448333333246</v>
      </c>
      <c r="P62" s="242"/>
    </row>
    <row r="63" spans="2:16" ht="24.75" customHeight="1">
      <c r="B63" s="53">
        <v>1925</v>
      </c>
      <c r="C63" s="53">
        <v>1925</v>
      </c>
      <c r="D63" s="37" t="s">
        <v>35</v>
      </c>
      <c r="E63" s="29">
        <v>11791701</v>
      </c>
      <c r="F63" s="29">
        <v>1823337.68</v>
      </c>
      <c r="G63" s="30">
        <f>E63-F63</f>
        <v>9968363.3200000003</v>
      </c>
      <c r="H63" s="29">
        <v>2816642.64</v>
      </c>
      <c r="I63" s="29"/>
      <c r="J63" s="29">
        <f t="shared" ref="J63:J67" si="18">G63+0.5*H63+0.5*I63</f>
        <v>11376684.640000001</v>
      </c>
      <c r="K63" s="31">
        <v>4</v>
      </c>
      <c r="L63" s="52">
        <f t="shared" si="3"/>
        <v>0.25</v>
      </c>
      <c r="M63" s="42">
        <f t="shared" si="17"/>
        <v>2844171.16</v>
      </c>
      <c r="N63" s="214">
        <v>2700858.35</v>
      </c>
      <c r="O63" s="87">
        <f t="shared" si="10"/>
        <v>143312.81000000006</v>
      </c>
      <c r="P63" s="242" t="s">
        <v>95</v>
      </c>
    </row>
    <row r="64" spans="2:16" ht="24.75" customHeight="1">
      <c r="B64" s="53">
        <v>1927</v>
      </c>
      <c r="C64" s="53">
        <v>1925</v>
      </c>
      <c r="D64" s="37" t="s">
        <v>107</v>
      </c>
      <c r="E64" s="29">
        <v>286665.46999999997</v>
      </c>
      <c r="F64" s="29"/>
      <c r="G64" s="30">
        <f>E64-F64</f>
        <v>286665.46999999997</v>
      </c>
      <c r="H64" s="29">
        <v>396058.69</v>
      </c>
      <c r="I64" s="29"/>
      <c r="J64" s="29">
        <f t="shared" si="18"/>
        <v>484694.81499999994</v>
      </c>
      <c r="K64" s="31">
        <v>10</v>
      </c>
      <c r="L64" s="52">
        <f t="shared" si="3"/>
        <v>0.1</v>
      </c>
      <c r="M64" s="42">
        <f t="shared" si="17"/>
        <v>48469.481499999994</v>
      </c>
      <c r="N64" s="214">
        <v>0</v>
      </c>
      <c r="O64" s="202">
        <f t="shared" si="10"/>
        <v>48469.481499999994</v>
      </c>
      <c r="P64" s="242" t="s">
        <v>95</v>
      </c>
    </row>
    <row r="65" spans="2:16" ht="29.25" customHeight="1">
      <c r="B65" s="53">
        <v>1930</v>
      </c>
      <c r="C65" s="53">
        <v>1930</v>
      </c>
      <c r="D65" s="54" t="s">
        <v>71</v>
      </c>
      <c r="E65" s="29">
        <v>4674808</v>
      </c>
      <c r="F65" s="29">
        <v>205387.38</v>
      </c>
      <c r="G65" s="30">
        <f>E65-F65</f>
        <v>4469420.62</v>
      </c>
      <c r="H65" s="29">
        <v>1808633.76</v>
      </c>
      <c r="I65" s="29">
        <v>-9973.98</v>
      </c>
      <c r="J65" s="29">
        <f t="shared" si="18"/>
        <v>5368750.5099999998</v>
      </c>
      <c r="K65" s="31">
        <v>7</v>
      </c>
      <c r="L65" s="52">
        <f t="shared" si="3"/>
        <v>0.14285714285714285</v>
      </c>
      <c r="M65" s="42">
        <f t="shared" si="17"/>
        <v>766964.35857142857</v>
      </c>
      <c r="N65" s="214">
        <v>958229.46</v>
      </c>
      <c r="O65" s="30">
        <f t="shared" si="10"/>
        <v>-191265.10142857139</v>
      </c>
      <c r="P65" s="242" t="s">
        <v>95</v>
      </c>
    </row>
    <row r="66" spans="2:16">
      <c r="B66" s="53">
        <v>1931</v>
      </c>
      <c r="C66" s="53">
        <v>1930</v>
      </c>
      <c r="D66" s="54" t="s">
        <v>72</v>
      </c>
      <c r="E66" s="29">
        <v>6688129.9500000002</v>
      </c>
      <c r="F66" s="29"/>
      <c r="G66" s="30">
        <f>E66-F66</f>
        <v>6688129.9500000002</v>
      </c>
      <c r="H66" s="29">
        <v>88391</v>
      </c>
      <c r="I66" s="29">
        <v>-81.96</v>
      </c>
      <c r="J66" s="29">
        <f t="shared" si="18"/>
        <v>6732284.4699999997</v>
      </c>
      <c r="K66" s="31">
        <v>12</v>
      </c>
      <c r="L66" s="52">
        <f t="shared" si="3"/>
        <v>8.3333333333333329E-2</v>
      </c>
      <c r="M66" s="42">
        <f t="shared" si="17"/>
        <v>561023.70583333331</v>
      </c>
      <c r="N66" s="214">
        <v>632109.99</v>
      </c>
      <c r="O66" s="30">
        <f t="shared" si="10"/>
        <v>-71086.284166666679</v>
      </c>
      <c r="P66" s="242" t="s">
        <v>95</v>
      </c>
    </row>
    <row r="67" spans="2:16">
      <c r="B67" s="53">
        <v>1932</v>
      </c>
      <c r="C67" s="53">
        <v>1930</v>
      </c>
      <c r="D67" s="54" t="s">
        <v>73</v>
      </c>
      <c r="E67" s="29">
        <v>165563.25</v>
      </c>
      <c r="F67" s="29"/>
      <c r="G67" s="30">
        <f>E67-F67</f>
        <v>165563.25</v>
      </c>
      <c r="H67" s="29">
        <v>0</v>
      </c>
      <c r="I67" s="29"/>
      <c r="J67" s="29">
        <f t="shared" si="18"/>
        <v>165563.25</v>
      </c>
      <c r="K67" s="31">
        <v>22</v>
      </c>
      <c r="L67" s="52">
        <f t="shared" si="3"/>
        <v>4.5454545454545456E-2</v>
      </c>
      <c r="M67" s="42">
        <f t="shared" si="17"/>
        <v>7525.602272727273</v>
      </c>
      <c r="N67" s="214">
        <v>6006.5</v>
      </c>
      <c r="O67" s="30">
        <f t="shared" si="10"/>
        <v>1519.102272727273</v>
      </c>
      <c r="P67" s="242" t="s">
        <v>95</v>
      </c>
    </row>
    <row r="68" spans="2:16" ht="18.75" customHeight="1">
      <c r="B68" s="43"/>
      <c r="C68" s="43"/>
      <c r="D68" s="44"/>
      <c r="E68" s="45"/>
      <c r="F68" s="45"/>
      <c r="G68" s="46"/>
      <c r="H68" s="45"/>
      <c r="I68" s="45"/>
      <c r="J68" s="47" t="s">
        <v>89</v>
      </c>
      <c r="K68" s="48"/>
      <c r="L68" s="49"/>
      <c r="M68" s="30">
        <f>SUM(M65:M67)</f>
        <v>1335513.6666774892</v>
      </c>
      <c r="N68" s="214">
        <f>SUM(N65:N67)</f>
        <v>1596345.95</v>
      </c>
      <c r="O68" s="29">
        <f t="shared" si="10"/>
        <v>-260832.28332251078</v>
      </c>
      <c r="P68" s="242"/>
    </row>
    <row r="69" spans="2:16">
      <c r="B69" s="53">
        <v>1935</v>
      </c>
      <c r="C69" s="53">
        <v>1935</v>
      </c>
      <c r="D69" s="37" t="s">
        <v>36</v>
      </c>
      <c r="E69" s="29">
        <v>3504</v>
      </c>
      <c r="F69" s="29"/>
      <c r="G69" s="30">
        <f>E69-F69</f>
        <v>3504</v>
      </c>
      <c r="H69" s="29">
        <v>0</v>
      </c>
      <c r="I69" s="29"/>
      <c r="J69" s="29">
        <f t="shared" ref="J69:J72" si="19">G69+0.5*H69+0.5*I69</f>
        <v>3504</v>
      </c>
      <c r="K69" s="31">
        <v>10</v>
      </c>
      <c r="L69" s="52">
        <f t="shared" si="3"/>
        <v>0.1</v>
      </c>
      <c r="M69" s="42">
        <f t="shared" si="17"/>
        <v>350.4</v>
      </c>
      <c r="N69" s="214">
        <v>648</v>
      </c>
      <c r="O69" s="29">
        <f t="shared" si="10"/>
        <v>-297.60000000000002</v>
      </c>
      <c r="P69" s="242" t="s">
        <v>95</v>
      </c>
    </row>
    <row r="70" spans="2:16" ht="16.5" customHeight="1">
      <c r="B70" s="53">
        <v>1940</v>
      </c>
      <c r="C70" s="53">
        <v>1940</v>
      </c>
      <c r="D70" s="37" t="s">
        <v>37</v>
      </c>
      <c r="E70" s="29">
        <v>3242632</v>
      </c>
      <c r="F70" s="29">
        <v>183356.84</v>
      </c>
      <c r="G70" s="30">
        <f>E70-F70</f>
        <v>3059275.16</v>
      </c>
      <c r="H70" s="29">
        <v>510219.39</v>
      </c>
      <c r="I70" s="29"/>
      <c r="J70" s="29">
        <f t="shared" si="19"/>
        <v>3314384.855</v>
      </c>
      <c r="K70" s="31">
        <v>10</v>
      </c>
      <c r="L70" s="52">
        <f t="shared" si="3"/>
        <v>0.1</v>
      </c>
      <c r="M70" s="42">
        <f t="shared" si="17"/>
        <v>331438.48550000001</v>
      </c>
      <c r="N70" s="214">
        <v>429820</v>
      </c>
      <c r="O70" s="29">
        <f t="shared" si="10"/>
        <v>-98381.51449999999</v>
      </c>
      <c r="P70" s="242" t="s">
        <v>95</v>
      </c>
    </row>
    <row r="71" spans="2:16" ht="24.75" customHeight="1">
      <c r="B71" s="53">
        <v>1955</v>
      </c>
      <c r="C71" s="53">
        <v>1955</v>
      </c>
      <c r="D71" s="37" t="s">
        <v>38</v>
      </c>
      <c r="E71" s="29">
        <v>1816882.63</v>
      </c>
      <c r="F71" s="29">
        <v>55634.539999999994</v>
      </c>
      <c r="G71" s="30">
        <f>E71-F71</f>
        <v>1761248.0899999999</v>
      </c>
      <c r="H71" s="29">
        <v>241321.45</v>
      </c>
      <c r="I71" s="29"/>
      <c r="J71" s="29">
        <f t="shared" si="19"/>
        <v>1881908.8149999999</v>
      </c>
      <c r="K71" s="31">
        <v>6</v>
      </c>
      <c r="L71" s="52">
        <f t="shared" si="3"/>
        <v>0.16666666666666666</v>
      </c>
      <c r="M71" s="42">
        <f t="shared" si="17"/>
        <v>313651.46916666668</v>
      </c>
      <c r="N71" s="214">
        <v>401699.52</v>
      </c>
      <c r="O71" s="29">
        <f t="shared" si="10"/>
        <v>-88048.050833333342</v>
      </c>
      <c r="P71" s="242" t="s">
        <v>95</v>
      </c>
    </row>
    <row r="72" spans="2:16">
      <c r="B72" s="53">
        <v>1956</v>
      </c>
      <c r="C72" s="53">
        <v>1955</v>
      </c>
      <c r="D72" s="37" t="s">
        <v>48</v>
      </c>
      <c r="E72" s="29">
        <v>58854.07</v>
      </c>
      <c r="F72" s="30">
        <v>39777.54</v>
      </c>
      <c r="G72" s="30">
        <f>E72-F72</f>
        <v>19076.53</v>
      </c>
      <c r="H72" s="29">
        <v>0</v>
      </c>
      <c r="I72" s="29"/>
      <c r="J72" s="29">
        <f t="shared" si="19"/>
        <v>19076.53</v>
      </c>
      <c r="K72" s="31">
        <v>3</v>
      </c>
      <c r="L72" s="52">
        <f t="shared" si="3"/>
        <v>0.33333333333333331</v>
      </c>
      <c r="M72" s="42">
        <f>IF(K72=0,"",J72/K72)</f>
        <v>6358.8433333333332</v>
      </c>
      <c r="N72" s="214">
        <v>9577.7000000000007</v>
      </c>
      <c r="O72" s="29">
        <f>+M72-N72</f>
        <v>-3218.8566666666675</v>
      </c>
      <c r="P72" s="242" t="s">
        <v>95</v>
      </c>
    </row>
    <row r="73" spans="2:16" ht="18">
      <c r="B73" s="43"/>
      <c r="C73" s="43"/>
      <c r="D73" s="44"/>
      <c r="E73" s="45"/>
      <c r="F73" s="45"/>
      <c r="G73" s="46"/>
      <c r="H73" s="45"/>
      <c r="I73" s="45"/>
      <c r="J73" s="47" t="s">
        <v>90</v>
      </c>
      <c r="K73" s="48"/>
      <c r="L73" s="49"/>
      <c r="M73" s="30">
        <f>SUM(M71:M72)</f>
        <v>320010.3125</v>
      </c>
      <c r="N73" s="214">
        <f>SUM(N71:N72)</f>
        <v>411277.22000000003</v>
      </c>
      <c r="O73" s="29">
        <f t="shared" si="10"/>
        <v>-91266.90750000003</v>
      </c>
      <c r="P73" s="242"/>
    </row>
    <row r="74" spans="2:16" ht="26.25" customHeight="1">
      <c r="B74" s="53">
        <v>1960</v>
      </c>
      <c r="C74" s="53">
        <v>1960</v>
      </c>
      <c r="D74" s="37" t="s">
        <v>39</v>
      </c>
      <c r="E74" s="29"/>
      <c r="F74" s="29"/>
      <c r="G74" s="30">
        <f>E74-F74</f>
        <v>0</v>
      </c>
      <c r="H74" s="29"/>
      <c r="I74" s="29"/>
      <c r="J74" s="29">
        <f t="shared" ref="J74:J78" si="20">G74+0.5*H74+0.5*I74</f>
        <v>0</v>
      </c>
      <c r="K74" s="31">
        <v>0</v>
      </c>
      <c r="L74" s="52" t="str">
        <f t="shared" si="3"/>
        <v/>
      </c>
      <c r="M74" s="42" t="str">
        <f>IF(K74=0,"",J74/K74)</f>
        <v/>
      </c>
      <c r="N74" s="214"/>
      <c r="O74" s="30"/>
      <c r="P74" s="242"/>
    </row>
    <row r="75" spans="2:16" ht="14.25" customHeight="1">
      <c r="B75" s="53">
        <v>1961</v>
      </c>
      <c r="C75" s="53">
        <v>1961</v>
      </c>
      <c r="D75" s="37" t="s">
        <v>49</v>
      </c>
      <c r="E75" s="29">
        <v>-4884243</v>
      </c>
      <c r="F75" s="29"/>
      <c r="G75" s="30">
        <f>E75-F75</f>
        <v>-4884243</v>
      </c>
      <c r="H75" s="29">
        <v>4884243</v>
      </c>
      <c r="I75" s="29"/>
      <c r="J75" s="29">
        <f t="shared" si="20"/>
        <v>-2442121.5</v>
      </c>
      <c r="K75" s="31">
        <v>3</v>
      </c>
      <c r="L75" s="52">
        <f t="shared" si="3"/>
        <v>0.33333333333333331</v>
      </c>
      <c r="M75" s="42">
        <f>IF(K75=0,"",J75/K75)</f>
        <v>-814040.5</v>
      </c>
      <c r="N75" s="214">
        <v>120227.52</v>
      </c>
      <c r="O75" s="30">
        <f>M75-N75</f>
        <v>-934268.02</v>
      </c>
      <c r="P75" s="242" t="s">
        <v>95</v>
      </c>
    </row>
    <row r="76" spans="2:16" ht="23.25" customHeight="1">
      <c r="B76" s="53">
        <v>1980</v>
      </c>
      <c r="C76" s="53">
        <v>1980</v>
      </c>
      <c r="D76" s="37" t="s">
        <v>40</v>
      </c>
      <c r="E76" s="29">
        <v>2132946</v>
      </c>
      <c r="F76" s="29">
        <v>100452.37999999999</v>
      </c>
      <c r="G76" s="30">
        <f>E76-F76</f>
        <v>2032493.62</v>
      </c>
      <c r="H76" s="29">
        <v>54744.31</v>
      </c>
      <c r="I76" s="29"/>
      <c r="J76" s="29">
        <f t="shared" si="20"/>
        <v>2059865.7750000001</v>
      </c>
      <c r="K76" s="31">
        <v>15</v>
      </c>
      <c r="L76" s="52">
        <f t="shared" si="3"/>
        <v>6.6666666666666666E-2</v>
      </c>
      <c r="M76" s="42">
        <f>IF(K76=0,"",J76/K76)</f>
        <v>137324.38500000001</v>
      </c>
      <c r="N76" s="214">
        <v>190008</v>
      </c>
      <c r="O76" s="203">
        <f>M76-N76</f>
        <v>-52683.614999999991</v>
      </c>
      <c r="P76" s="242" t="s">
        <v>95</v>
      </c>
    </row>
    <row r="77" spans="2:16">
      <c r="B77" s="53">
        <v>1981</v>
      </c>
      <c r="C77" s="53">
        <v>1980</v>
      </c>
      <c r="D77" s="37" t="s">
        <v>74</v>
      </c>
      <c r="E77" s="29">
        <v>6153451.3499999996</v>
      </c>
      <c r="F77" s="29">
        <v>374234.57</v>
      </c>
      <c r="G77" s="30">
        <f>E77-F77</f>
        <v>5779216.7799999993</v>
      </c>
      <c r="H77" s="29">
        <v>1237168.51</v>
      </c>
      <c r="I77" s="29"/>
      <c r="J77" s="29">
        <f t="shared" si="20"/>
        <v>6397801.0349999992</v>
      </c>
      <c r="K77" s="31">
        <v>15</v>
      </c>
      <c r="L77" s="52">
        <f t="shared" si="3"/>
        <v>6.6666666666666666E-2</v>
      </c>
      <c r="M77" s="42">
        <f>IF(K77=0,"",J77/K77)</f>
        <v>426520.06899999996</v>
      </c>
      <c r="N77" s="214">
        <v>720579.11</v>
      </c>
      <c r="O77" s="87">
        <f>M77-N77</f>
        <v>-294059.04100000003</v>
      </c>
      <c r="P77" s="242" t="s">
        <v>95</v>
      </c>
    </row>
    <row r="78" spans="2:16">
      <c r="B78" s="53">
        <v>1982</v>
      </c>
      <c r="C78" s="53">
        <v>1980</v>
      </c>
      <c r="D78" s="37" t="s">
        <v>75</v>
      </c>
      <c r="E78" s="29">
        <v>588032.65</v>
      </c>
      <c r="F78" s="29">
        <v>212263.5</v>
      </c>
      <c r="G78" s="30">
        <f>E78-F78</f>
        <v>375769.15</v>
      </c>
      <c r="H78" s="29">
        <v>18021.830000000002</v>
      </c>
      <c r="I78" s="29">
        <v>-5333</v>
      </c>
      <c r="J78" s="29">
        <f t="shared" si="20"/>
        <v>382113.565</v>
      </c>
      <c r="K78" s="31">
        <v>10</v>
      </c>
      <c r="L78" s="52">
        <f t="shared" si="3"/>
        <v>0.1</v>
      </c>
      <c r="M78" s="42">
        <f>IF(K78=0,"",J78/K78)</f>
        <v>38211.356500000002</v>
      </c>
      <c r="N78" s="214">
        <v>73361.63</v>
      </c>
      <c r="O78" s="204">
        <f>M78-N78</f>
        <v>-35150.273500000003</v>
      </c>
      <c r="P78" s="242" t="s">
        <v>95</v>
      </c>
    </row>
    <row r="79" spans="2:16" ht="18">
      <c r="B79" s="43"/>
      <c r="C79" s="43"/>
      <c r="D79" s="44"/>
      <c r="E79" s="45"/>
      <c r="F79" s="45"/>
      <c r="G79" s="46"/>
      <c r="H79" s="45"/>
      <c r="I79" s="45"/>
      <c r="J79" s="47" t="s">
        <v>93</v>
      </c>
      <c r="K79" s="48"/>
      <c r="L79" s="49"/>
      <c r="M79" s="30">
        <f>SUM(M76:M78)</f>
        <v>602055.81049999991</v>
      </c>
      <c r="N79" s="214">
        <f>SUM(N76:N78)</f>
        <v>983948.74</v>
      </c>
      <c r="O79" s="29">
        <f>+M79-N79</f>
        <v>-381892.92950000009</v>
      </c>
      <c r="P79" s="242"/>
    </row>
    <row r="80" spans="2:16" ht="27" customHeight="1">
      <c r="B80" s="53">
        <v>1985</v>
      </c>
      <c r="C80" s="53">
        <v>1985</v>
      </c>
      <c r="D80" s="54" t="s">
        <v>50</v>
      </c>
      <c r="E80" s="29"/>
      <c r="F80" s="29"/>
      <c r="G80" s="30">
        <f t="shared" ref="G80:G85" si="21">E80-F80</f>
        <v>0</v>
      </c>
      <c r="H80" s="29"/>
      <c r="I80" s="29"/>
      <c r="J80" s="29">
        <f t="shared" ref="J80:J85" si="22">G80+0.5*H80+0.5*I80</f>
        <v>0</v>
      </c>
      <c r="K80" s="31">
        <v>0</v>
      </c>
      <c r="L80" s="52" t="str">
        <f t="shared" si="3"/>
        <v/>
      </c>
      <c r="M80" s="42">
        <v>0</v>
      </c>
      <c r="N80" s="214"/>
      <c r="O80" s="30"/>
      <c r="P80" s="242"/>
    </row>
    <row r="81" spans="2:16">
      <c r="B81" s="53">
        <v>1995</v>
      </c>
      <c r="C81" s="53">
        <v>1995</v>
      </c>
      <c r="D81" s="37" t="s">
        <v>41</v>
      </c>
      <c r="E81" s="29"/>
      <c r="F81" s="29"/>
      <c r="G81" s="30">
        <f t="shared" si="21"/>
        <v>0</v>
      </c>
      <c r="H81" s="29"/>
      <c r="I81" s="29"/>
      <c r="J81" s="29">
        <f t="shared" si="22"/>
        <v>0</v>
      </c>
      <c r="K81" s="31">
        <v>37.5</v>
      </c>
      <c r="L81" s="52">
        <f t="shared" si="3"/>
        <v>2.6666666666666668E-2</v>
      </c>
      <c r="M81" s="42">
        <f>IF(K81=0,"",J81/K81)</f>
        <v>0</v>
      </c>
      <c r="N81" s="214"/>
      <c r="O81" s="201">
        <f>+M81-N81</f>
        <v>0</v>
      </c>
      <c r="P81" s="242" t="s">
        <v>95</v>
      </c>
    </row>
    <row r="82" spans="2:16">
      <c r="B82" s="53">
        <v>1996</v>
      </c>
      <c r="C82" s="53">
        <v>1995</v>
      </c>
      <c r="D82" s="38" t="s">
        <v>109</v>
      </c>
      <c r="E82" s="29">
        <v>-279841374</v>
      </c>
      <c r="F82" s="29"/>
      <c r="G82" s="30">
        <f t="shared" si="21"/>
        <v>-279841374</v>
      </c>
      <c r="H82" s="29">
        <f>-24428061.12-13459+344536</f>
        <v>-24096984.120000001</v>
      </c>
      <c r="I82" s="29">
        <f>70018.21+1046532</f>
        <v>1116550.21</v>
      </c>
      <c r="J82" s="29">
        <f t="shared" si="22"/>
        <v>-291331590.95499998</v>
      </c>
      <c r="K82" s="31">
        <v>37.5</v>
      </c>
      <c r="L82" s="52">
        <f t="shared" ref="L82:L83" si="23">IF(K82=0,"",1/K82)</f>
        <v>2.6666666666666668E-2</v>
      </c>
      <c r="M82" s="42">
        <f>IF(K82=0,"",J82/K82)</f>
        <v>-7768842.425466666</v>
      </c>
      <c r="N82" s="214">
        <v>-8836252</v>
      </c>
      <c r="O82" s="87">
        <f>+M82-N82</f>
        <v>1067409.574533334</v>
      </c>
      <c r="P82" s="242" t="s">
        <v>95</v>
      </c>
    </row>
    <row r="83" spans="2:16">
      <c r="B83" s="53">
        <v>2005</v>
      </c>
      <c r="C83" s="53">
        <v>2005</v>
      </c>
      <c r="D83" s="37" t="s">
        <v>111</v>
      </c>
      <c r="E83" s="29">
        <v>17549082.289999999</v>
      </c>
      <c r="F83" s="29"/>
      <c r="G83" s="30">
        <f t="shared" si="21"/>
        <v>17549082.289999999</v>
      </c>
      <c r="H83" s="29">
        <v>0</v>
      </c>
      <c r="I83" s="29"/>
      <c r="J83" s="29">
        <f t="shared" si="22"/>
        <v>17549082.289999999</v>
      </c>
      <c r="K83" s="56">
        <v>25</v>
      </c>
      <c r="L83" s="32">
        <f t="shared" si="23"/>
        <v>0.04</v>
      </c>
      <c r="M83" s="42">
        <f t="shared" ref="M83" si="24">IF(K83=0,"",J83/K83)</f>
        <v>701963.2916</v>
      </c>
      <c r="N83" s="214">
        <v>730711.28</v>
      </c>
      <c r="O83" s="202">
        <f>+M83-N83</f>
        <v>-28747.988400000031</v>
      </c>
      <c r="P83" s="242" t="s">
        <v>95</v>
      </c>
    </row>
    <row r="84" spans="2:16">
      <c r="B84" s="53">
        <v>1611</v>
      </c>
      <c r="C84" s="53">
        <v>1611</v>
      </c>
      <c r="D84" s="54" t="s">
        <v>52</v>
      </c>
      <c r="E84" s="29">
        <v>4972016.92</v>
      </c>
      <c r="F84" s="29"/>
      <c r="G84" s="30">
        <f t="shared" si="21"/>
        <v>4972016.92</v>
      </c>
      <c r="H84" s="29">
        <v>0</v>
      </c>
      <c r="I84" s="29"/>
      <c r="J84" s="29">
        <f t="shared" si="22"/>
        <v>4972016.92</v>
      </c>
      <c r="K84" s="31">
        <v>19.25</v>
      </c>
      <c r="L84" s="52">
        <f>IF(K84=0,"",1/K84)</f>
        <v>5.1948051948051951E-2</v>
      </c>
      <c r="M84" s="42">
        <f>IF(K84=0,"",J84/K84)</f>
        <v>258286.59324675324</v>
      </c>
      <c r="N84" s="214">
        <v>288281.38</v>
      </c>
      <c r="O84" s="29">
        <f>+M84-N84</f>
        <v>-29994.786753246764</v>
      </c>
      <c r="P84" s="242" t="s">
        <v>95</v>
      </c>
    </row>
    <row r="85" spans="2:16">
      <c r="B85" s="53"/>
      <c r="C85" s="53"/>
      <c r="D85" s="37"/>
      <c r="E85" s="29"/>
      <c r="F85" s="29"/>
      <c r="G85" s="30">
        <f t="shared" si="21"/>
        <v>0</v>
      </c>
      <c r="H85" s="29"/>
      <c r="I85" s="29"/>
      <c r="J85" s="29">
        <f t="shared" si="22"/>
        <v>0</v>
      </c>
      <c r="K85" s="31"/>
      <c r="L85" s="52" t="str">
        <f>IF(K85=0,"",1/K85)</f>
        <v/>
      </c>
      <c r="M85" s="33" t="str">
        <f>IF(K85=0,"",J85/K85)</f>
        <v/>
      </c>
      <c r="N85" s="217"/>
      <c r="O85" s="29"/>
      <c r="P85" s="242"/>
    </row>
    <row r="86" spans="2:16" ht="13.5" thickBot="1">
      <c r="B86" s="61"/>
      <c r="C86" s="61"/>
      <c r="D86" s="62"/>
      <c r="E86" s="63"/>
      <c r="F86" s="63"/>
      <c r="G86" s="64"/>
      <c r="H86" s="63"/>
      <c r="I86" s="63"/>
      <c r="J86" s="29"/>
      <c r="K86" s="66"/>
      <c r="L86" s="67" t="str">
        <f>IF(K86=0,"",1/K86)</f>
        <v/>
      </c>
      <c r="M86" s="68" t="str">
        <f>IF(K86=0,"",J86/K86)</f>
        <v/>
      </c>
      <c r="N86" s="218"/>
      <c r="O86" s="69"/>
      <c r="P86" s="244"/>
    </row>
    <row r="87" spans="2:16" ht="14.25" thickTop="1" thickBot="1">
      <c r="B87" s="70"/>
      <c r="C87" s="70"/>
      <c r="D87" s="71" t="s">
        <v>42</v>
      </c>
      <c r="E87" s="72">
        <f t="shared" ref="E87:J87" si="25">SUM(E16:E86)</f>
        <v>754638993.32000017</v>
      </c>
      <c r="F87" s="72">
        <f>SUM(F16:F86)</f>
        <v>8913301.9800000004</v>
      </c>
      <c r="G87" s="72">
        <f t="shared" si="25"/>
        <v>745725691.34000003</v>
      </c>
      <c r="H87" s="72">
        <f t="shared" si="25"/>
        <v>84766525.040000007</v>
      </c>
      <c r="I87" s="72">
        <f t="shared" si="25"/>
        <v>-1644687.08</v>
      </c>
      <c r="J87" s="72">
        <f t="shared" si="25"/>
        <v>787286610.31999981</v>
      </c>
      <c r="K87" s="73"/>
      <c r="L87" s="74"/>
      <c r="M87" s="72">
        <f>+M18+M29+M34+M36+M37+M39+M40+M41+M42+M43+M44+M45+M46+M47+M52+M56+M62+M63+M68+M69+M70+M73+M79+M81+M82+M84+M83+M38+M55+M75</f>
        <v>27628560.517093699</v>
      </c>
      <c r="N87" s="72">
        <f>+N18+N29+N34+N36+N37+N39+N40+N41+N42+N43+N44+N45+N46+N47+N52+N56+N62+N63+N68+N69+N70+N73+N79+N81+N82+N84+N83+N38+N55+N75</f>
        <v>34870090.06000001</v>
      </c>
      <c r="O87" s="72">
        <f>+O18+O29+O34+O36+O37+O39+O40+O41+O42+O43+O44+O45+O46+O47+O52+O56+O62+O63+O68+O69+O70+O73+O79+O81+O82+O84+O83+O38+O55+O75</f>
        <v>-7241529.5429063104</v>
      </c>
      <c r="P87" s="75"/>
    </row>
    <row r="88" spans="2:16" ht="15.75" customHeight="1">
      <c r="N88" s="3"/>
      <c r="O88" s="76">
        <f>+M87-N87</f>
        <v>-7241529.5429063104</v>
      </c>
      <c r="P88" s="1" t="s">
        <v>164</v>
      </c>
    </row>
    <row r="89" spans="2:16" ht="11.25" customHeight="1">
      <c r="B89" s="4" t="s">
        <v>43</v>
      </c>
      <c r="C89" s="4"/>
      <c r="D89" s="9"/>
      <c r="E89" s="9"/>
      <c r="F89" s="11"/>
      <c r="G89" s="77"/>
      <c r="H89" s="9"/>
      <c r="I89" s="9"/>
      <c r="J89" s="9"/>
      <c r="K89" s="9"/>
      <c r="L89" s="9"/>
      <c r="M89" s="9"/>
      <c r="N89" s="78"/>
      <c r="O89" s="9"/>
    </row>
    <row r="90" spans="2:16" ht="7.5" customHeight="1">
      <c r="B90" s="9"/>
      <c r="C90" s="9"/>
      <c r="D90" s="9"/>
      <c r="E90" s="9"/>
      <c r="F90" s="9"/>
      <c r="G90" s="9"/>
      <c r="H90" s="9"/>
      <c r="I90" s="9"/>
      <c r="J90" s="9"/>
      <c r="K90" s="9"/>
      <c r="L90" s="9"/>
      <c r="M90" s="9"/>
      <c r="N90" s="78"/>
      <c r="O90" s="9"/>
    </row>
    <row r="91" spans="2:16" ht="26.25" customHeight="1">
      <c r="B91" s="263" t="s">
        <v>151</v>
      </c>
      <c r="C91" s="263"/>
      <c r="D91" s="263"/>
      <c r="E91" s="263"/>
      <c r="F91" s="263"/>
      <c r="G91" s="263"/>
      <c r="H91" s="263"/>
      <c r="I91" s="263"/>
      <c r="J91" s="263"/>
      <c r="K91" s="263"/>
      <c r="L91" s="263"/>
      <c r="M91" s="103"/>
      <c r="N91" s="208"/>
      <c r="O91" s="209"/>
    </row>
    <row r="92" spans="2:16" ht="21" customHeight="1">
      <c r="B92" s="258" t="s">
        <v>97</v>
      </c>
      <c r="C92" s="259"/>
      <c r="D92" s="259"/>
      <c r="E92" s="259"/>
      <c r="F92" s="259"/>
      <c r="G92" s="259"/>
      <c r="H92" s="259"/>
      <c r="I92" s="259"/>
      <c r="J92" s="259"/>
      <c r="K92" s="259"/>
      <c r="L92" s="103"/>
      <c r="M92" s="103"/>
      <c r="N92" s="208"/>
      <c r="O92" s="207"/>
    </row>
    <row r="93" spans="2:16" ht="14.25" customHeight="1">
      <c r="B93" s="260" t="s">
        <v>91</v>
      </c>
      <c r="C93" s="261"/>
      <c r="D93" s="261"/>
      <c r="E93" s="261"/>
      <c r="F93" s="261"/>
      <c r="G93" s="261"/>
      <c r="H93" s="261"/>
      <c r="I93" s="261"/>
      <c r="J93" s="261"/>
      <c r="K93" s="261"/>
      <c r="L93" s="103"/>
      <c r="M93" s="103"/>
      <c r="N93" s="208"/>
      <c r="O93" s="207"/>
    </row>
    <row r="94" spans="2:16" ht="15.75" customHeight="1">
      <c r="B94" s="261"/>
      <c r="C94" s="261"/>
      <c r="D94" s="261"/>
      <c r="E94" s="261"/>
      <c r="F94" s="261"/>
      <c r="G94" s="261"/>
      <c r="H94" s="261"/>
      <c r="I94" s="261"/>
      <c r="J94" s="261"/>
      <c r="K94" s="261"/>
      <c r="L94" s="103"/>
      <c r="M94" s="103"/>
      <c r="N94" s="208"/>
      <c r="O94" s="207"/>
    </row>
    <row r="95" spans="2:16" ht="15.75" customHeight="1">
      <c r="B95" s="258" t="s">
        <v>155</v>
      </c>
      <c r="C95" s="262"/>
      <c r="D95" s="262"/>
      <c r="E95" s="262"/>
      <c r="F95" s="262"/>
      <c r="G95" s="262"/>
      <c r="H95" s="262"/>
      <c r="I95" s="262"/>
      <c r="J95" s="262"/>
      <c r="K95" s="262"/>
      <c r="L95" s="136"/>
      <c r="M95" s="136"/>
      <c r="N95" s="210"/>
      <c r="O95" s="102"/>
    </row>
    <row r="96" spans="2:16" ht="16.5" customHeight="1">
      <c r="B96" s="258" t="s">
        <v>150</v>
      </c>
      <c r="C96" s="259"/>
      <c r="D96" s="259"/>
      <c r="E96" s="259"/>
      <c r="F96" s="259"/>
      <c r="G96" s="259"/>
      <c r="H96" s="259"/>
      <c r="I96" s="259"/>
      <c r="J96" s="259"/>
      <c r="K96" s="259"/>
      <c r="L96" s="259"/>
      <c r="M96" s="259"/>
      <c r="N96" s="191"/>
      <c r="O96" s="191"/>
    </row>
    <row r="97" spans="2:15">
      <c r="B97" s="9"/>
      <c r="C97" s="9"/>
      <c r="D97" s="10"/>
      <c r="E97" s="10"/>
      <c r="F97" s="10"/>
      <c r="G97" s="10"/>
      <c r="H97" s="10"/>
      <c r="I97" s="10"/>
      <c r="J97" s="10"/>
      <c r="K97" s="10"/>
      <c r="L97" s="10"/>
      <c r="M97" s="10"/>
      <c r="N97" s="79"/>
      <c r="O97" s="10"/>
    </row>
    <row r="98" spans="2:15">
      <c r="B98" s="9"/>
      <c r="C98" s="9"/>
      <c r="D98" s="10"/>
      <c r="E98" s="10"/>
      <c r="F98" s="10"/>
      <c r="G98" s="10"/>
      <c r="H98" s="10"/>
      <c r="I98" s="10"/>
      <c r="J98" s="10"/>
      <c r="K98" s="10"/>
      <c r="L98" s="10"/>
      <c r="M98" s="10"/>
      <c r="N98" s="79"/>
      <c r="O98" s="10"/>
    </row>
    <row r="99" spans="2:15">
      <c r="N99" s="3"/>
    </row>
    <row r="100" spans="2:15">
      <c r="N100" s="3"/>
    </row>
    <row r="101" spans="2:15">
      <c r="N101" s="3"/>
    </row>
    <row r="102" spans="2:15">
      <c r="N102" s="3"/>
    </row>
    <row r="103" spans="2:15">
      <c r="N103" s="3"/>
    </row>
    <row r="104" spans="2:15">
      <c r="N104" s="222"/>
    </row>
    <row r="105" spans="2:15">
      <c r="N105" s="222"/>
    </row>
    <row r="106" spans="2:15">
      <c r="N106" s="222"/>
    </row>
    <row r="107" spans="2:15">
      <c r="N107" s="222"/>
    </row>
    <row r="108" spans="2:15">
      <c r="N108" s="222"/>
    </row>
    <row r="109" spans="2:15">
      <c r="N109" s="222"/>
    </row>
    <row r="110" spans="2:15">
      <c r="N110" s="222"/>
    </row>
    <row r="111" spans="2:15">
      <c r="N111" s="222"/>
    </row>
    <row r="112" spans="2:15">
      <c r="N112" s="222"/>
    </row>
    <row r="113" spans="14:14">
      <c r="N113" s="222"/>
    </row>
    <row r="114" spans="14:14">
      <c r="N114" s="222"/>
    </row>
    <row r="115" spans="14:14">
      <c r="N115" s="222"/>
    </row>
    <row r="116" spans="14:14">
      <c r="N116" s="222"/>
    </row>
    <row r="117" spans="14:14">
      <c r="N117" s="222"/>
    </row>
    <row r="118" spans="14:14">
      <c r="N118" s="222"/>
    </row>
    <row r="119" spans="14:14">
      <c r="N119" s="222"/>
    </row>
    <row r="120" spans="14:14">
      <c r="N120" s="222"/>
    </row>
    <row r="121" spans="14:14">
      <c r="N121" s="222"/>
    </row>
    <row r="122" spans="14:14">
      <c r="N122" s="222"/>
    </row>
    <row r="123" spans="14:14">
      <c r="N123" s="222"/>
    </row>
    <row r="124" spans="14:14">
      <c r="N124" s="222"/>
    </row>
    <row r="125" spans="14:14">
      <c r="N125" s="222"/>
    </row>
    <row r="126" spans="14:14">
      <c r="N126" s="222"/>
    </row>
    <row r="127" spans="14:14">
      <c r="N127" s="222"/>
    </row>
    <row r="128" spans="14:14">
      <c r="N128" s="222"/>
    </row>
    <row r="129" spans="14:14">
      <c r="N129" s="222"/>
    </row>
    <row r="130" spans="14:14">
      <c r="N130" s="222"/>
    </row>
    <row r="131" spans="14:14">
      <c r="N131" s="222"/>
    </row>
    <row r="132" spans="14:14">
      <c r="N132" s="222"/>
    </row>
    <row r="133" spans="14:14">
      <c r="N133" s="222"/>
    </row>
    <row r="134" spans="14:14">
      <c r="N134" s="222"/>
    </row>
    <row r="135" spans="14:14">
      <c r="N135" s="222"/>
    </row>
    <row r="136" spans="14:14">
      <c r="N136" s="222"/>
    </row>
    <row r="137" spans="14:14">
      <c r="N137" s="222"/>
    </row>
    <row r="138" spans="14:14">
      <c r="N138" s="222"/>
    </row>
    <row r="139" spans="14:14">
      <c r="N139" s="222"/>
    </row>
    <row r="140" spans="14:14">
      <c r="N140" s="222"/>
    </row>
    <row r="141" spans="14:14">
      <c r="N141" s="222"/>
    </row>
    <row r="142" spans="14:14">
      <c r="N142" s="222"/>
    </row>
    <row r="143" spans="14:14">
      <c r="N143" s="222"/>
    </row>
    <row r="144" spans="14:14">
      <c r="N144" s="222"/>
    </row>
    <row r="145" spans="14:14">
      <c r="N145" s="222"/>
    </row>
    <row r="146" spans="14:14">
      <c r="N146" s="222"/>
    </row>
    <row r="147" spans="14:14">
      <c r="N147" s="222"/>
    </row>
    <row r="148" spans="14:14">
      <c r="N148" s="222"/>
    </row>
    <row r="149" spans="14:14">
      <c r="N149" s="222"/>
    </row>
    <row r="150" spans="14:14">
      <c r="N150" s="222"/>
    </row>
    <row r="151" spans="14:14">
      <c r="N151" s="222"/>
    </row>
    <row r="152" spans="14:14">
      <c r="N152" s="222"/>
    </row>
    <row r="153" spans="14:14">
      <c r="N153" s="222"/>
    </row>
    <row r="154" spans="14:14">
      <c r="N154" s="222"/>
    </row>
    <row r="155" spans="14:14">
      <c r="N155" s="222"/>
    </row>
    <row r="156" spans="14:14">
      <c r="N156" s="222"/>
    </row>
    <row r="157" spans="14:14">
      <c r="N157" s="222"/>
    </row>
    <row r="158" spans="14:14">
      <c r="N158" s="222"/>
    </row>
    <row r="159" spans="14:14">
      <c r="N159" s="222"/>
    </row>
    <row r="160" spans="14:14">
      <c r="N160" s="222"/>
    </row>
    <row r="161" spans="14:14">
      <c r="N161" s="222"/>
    </row>
    <row r="162" spans="14:14">
      <c r="N162" s="222"/>
    </row>
    <row r="163" spans="14:14">
      <c r="N163" s="222"/>
    </row>
    <row r="164" spans="14:14">
      <c r="N164" s="222"/>
    </row>
    <row r="165" spans="14:14">
      <c r="N165" s="222"/>
    </row>
    <row r="166" spans="14:14">
      <c r="N166" s="222"/>
    </row>
    <row r="167" spans="14:14">
      <c r="N167" s="222"/>
    </row>
    <row r="168" spans="14:14">
      <c r="N168" s="222"/>
    </row>
    <row r="169" spans="14:14">
      <c r="N169" s="222"/>
    </row>
    <row r="170" spans="14:14">
      <c r="N170" s="222"/>
    </row>
    <row r="171" spans="14:14">
      <c r="N171" s="222"/>
    </row>
    <row r="172" spans="14:14">
      <c r="N172" s="222"/>
    </row>
    <row r="173" spans="14:14">
      <c r="N173" s="222"/>
    </row>
    <row r="174" spans="14:14">
      <c r="N174" s="222"/>
    </row>
    <row r="175" spans="14:14">
      <c r="N175" s="222"/>
    </row>
    <row r="176" spans="14:14">
      <c r="N176" s="222"/>
    </row>
    <row r="177" spans="14:14">
      <c r="N177" s="222"/>
    </row>
    <row r="178" spans="14:14">
      <c r="N178" s="222"/>
    </row>
    <row r="179" spans="14:14">
      <c r="N179" s="222"/>
    </row>
    <row r="180" spans="14:14">
      <c r="N180" s="222"/>
    </row>
    <row r="181" spans="14:14">
      <c r="N181" s="222"/>
    </row>
    <row r="182" spans="14:14">
      <c r="N182" s="222"/>
    </row>
    <row r="183" spans="14:14">
      <c r="N183" s="222"/>
    </row>
    <row r="184" spans="14:14">
      <c r="N184" s="222"/>
    </row>
    <row r="185" spans="14:14">
      <c r="N185" s="222"/>
    </row>
    <row r="186" spans="14:14">
      <c r="N186" s="222"/>
    </row>
    <row r="187" spans="14:14">
      <c r="N187" s="222"/>
    </row>
    <row r="188" spans="14:14">
      <c r="N188" s="222"/>
    </row>
    <row r="189" spans="14:14">
      <c r="N189" s="222"/>
    </row>
    <row r="190" spans="14:14">
      <c r="N190" s="222"/>
    </row>
    <row r="191" spans="14:14">
      <c r="N191" s="222"/>
    </row>
    <row r="192" spans="14:14">
      <c r="N192" s="222"/>
    </row>
    <row r="193" spans="14:14">
      <c r="N193" s="222"/>
    </row>
    <row r="194" spans="14:14">
      <c r="N194" s="222"/>
    </row>
    <row r="195" spans="14:14">
      <c r="N195" s="222"/>
    </row>
    <row r="196" spans="14:14">
      <c r="N196" s="222"/>
    </row>
    <row r="197" spans="14:14">
      <c r="N197" s="222"/>
    </row>
    <row r="198" spans="14:14">
      <c r="N198" s="222"/>
    </row>
    <row r="199" spans="14:14">
      <c r="N199" s="222"/>
    </row>
    <row r="200" spans="14:14">
      <c r="N200" s="222"/>
    </row>
    <row r="201" spans="14:14">
      <c r="N201" s="222"/>
    </row>
    <row r="202" spans="14:14">
      <c r="N202" s="222"/>
    </row>
    <row r="203" spans="14:14">
      <c r="N203" s="222"/>
    </row>
    <row r="204" spans="14:14">
      <c r="N204" s="222"/>
    </row>
    <row r="205" spans="14:14">
      <c r="N205" s="222"/>
    </row>
    <row r="206" spans="14:14">
      <c r="N206" s="222"/>
    </row>
    <row r="207" spans="14:14">
      <c r="N207" s="222"/>
    </row>
    <row r="208" spans="14:14">
      <c r="N208" s="222"/>
    </row>
    <row r="209" spans="14:14">
      <c r="N209" s="222"/>
    </row>
    <row r="210" spans="14:14">
      <c r="N210" s="222"/>
    </row>
    <row r="211" spans="14:14">
      <c r="N211" s="222"/>
    </row>
    <row r="212" spans="14:14">
      <c r="N212" s="222"/>
    </row>
    <row r="213" spans="14:14">
      <c r="N213" s="222"/>
    </row>
    <row r="214" spans="14:14">
      <c r="N214" s="222"/>
    </row>
    <row r="215" spans="14:14">
      <c r="N215" s="222"/>
    </row>
    <row r="216" spans="14:14">
      <c r="N216" s="222"/>
    </row>
    <row r="217" spans="14:14">
      <c r="N217" s="222"/>
    </row>
    <row r="218" spans="14:14">
      <c r="N218" s="222"/>
    </row>
    <row r="219" spans="14:14">
      <c r="N219" s="222"/>
    </row>
    <row r="220" spans="14:14">
      <c r="N220" s="222"/>
    </row>
    <row r="221" spans="14:14">
      <c r="N221" s="222"/>
    </row>
    <row r="222" spans="14:14">
      <c r="N222" s="222"/>
    </row>
    <row r="223" spans="14:14">
      <c r="N223" s="222"/>
    </row>
    <row r="224" spans="14:14">
      <c r="N224" s="222"/>
    </row>
    <row r="225" spans="14:14">
      <c r="N225" s="222"/>
    </row>
    <row r="226" spans="14:14">
      <c r="N226" s="222"/>
    </row>
    <row r="227" spans="14:14">
      <c r="N227" s="222"/>
    </row>
    <row r="228" spans="14:14">
      <c r="N228" s="222"/>
    </row>
    <row r="229" spans="14:14">
      <c r="N229" s="222"/>
    </row>
    <row r="230" spans="14:14">
      <c r="N230" s="222"/>
    </row>
    <row r="231" spans="14:14">
      <c r="N231" s="222"/>
    </row>
    <row r="232" spans="14:14">
      <c r="N232" s="222"/>
    </row>
    <row r="233" spans="14:14">
      <c r="N233" s="222"/>
    </row>
    <row r="234" spans="14:14">
      <c r="N234" s="222"/>
    </row>
    <row r="235" spans="14:14">
      <c r="N235" s="222"/>
    </row>
    <row r="236" spans="14:14">
      <c r="N236" s="222"/>
    </row>
    <row r="237" spans="14:14">
      <c r="N237" s="222"/>
    </row>
    <row r="238" spans="14:14">
      <c r="N238" s="222"/>
    </row>
    <row r="239" spans="14:14">
      <c r="N239" s="222"/>
    </row>
    <row r="240" spans="14:14">
      <c r="N240" s="222"/>
    </row>
    <row r="241" spans="14:14">
      <c r="N241" s="222"/>
    </row>
    <row r="242" spans="14:14">
      <c r="N242" s="222"/>
    </row>
    <row r="243" spans="14:14">
      <c r="N243" s="222"/>
    </row>
    <row r="244" spans="14:14">
      <c r="N244" s="222"/>
    </row>
    <row r="245" spans="14:14">
      <c r="N245" s="222"/>
    </row>
    <row r="246" spans="14:14">
      <c r="N246" s="222"/>
    </row>
    <row r="247" spans="14:14">
      <c r="N247" s="222"/>
    </row>
    <row r="248" spans="14:14">
      <c r="N248" s="222"/>
    </row>
    <row r="249" spans="14:14">
      <c r="N249" s="222"/>
    </row>
    <row r="250" spans="14:14">
      <c r="N250" s="222"/>
    </row>
    <row r="251" spans="14:14">
      <c r="N251" s="222"/>
    </row>
    <row r="252" spans="14:14">
      <c r="N252" s="222"/>
    </row>
    <row r="253" spans="14:14">
      <c r="N253" s="222"/>
    </row>
    <row r="254" spans="14:14">
      <c r="N254" s="222"/>
    </row>
    <row r="255" spans="14:14">
      <c r="N255" s="222"/>
    </row>
    <row r="256" spans="14:14">
      <c r="N256" s="222"/>
    </row>
    <row r="257" spans="14:14">
      <c r="N257" s="222"/>
    </row>
    <row r="258" spans="14:14">
      <c r="N258" s="222"/>
    </row>
    <row r="259" spans="14:14">
      <c r="N259" s="222"/>
    </row>
    <row r="260" spans="14:14">
      <c r="N260" s="222"/>
    </row>
    <row r="261" spans="14:14">
      <c r="N261" s="222"/>
    </row>
    <row r="262" spans="14:14">
      <c r="N262" s="222"/>
    </row>
    <row r="263" spans="14:14">
      <c r="N263" s="222"/>
    </row>
    <row r="264" spans="14:14">
      <c r="N264" s="222"/>
    </row>
    <row r="265" spans="14:14">
      <c r="N265" s="222"/>
    </row>
    <row r="266" spans="14:14">
      <c r="N266" s="222"/>
    </row>
    <row r="267" spans="14:14">
      <c r="N267" s="222"/>
    </row>
    <row r="268" spans="14:14">
      <c r="N268" s="222"/>
    </row>
    <row r="269" spans="14:14">
      <c r="N269" s="222"/>
    </row>
    <row r="270" spans="14:14">
      <c r="N270" s="222"/>
    </row>
    <row r="271" spans="14:14">
      <c r="N271" s="222"/>
    </row>
    <row r="272" spans="14:14">
      <c r="N272" s="222"/>
    </row>
    <row r="273" spans="14:14">
      <c r="N273" s="222"/>
    </row>
    <row r="274" spans="14:14">
      <c r="N274" s="222"/>
    </row>
    <row r="275" spans="14:14">
      <c r="N275" s="222"/>
    </row>
    <row r="276" spans="14:14">
      <c r="N276" s="222"/>
    </row>
    <row r="277" spans="14:14">
      <c r="N277" s="222"/>
    </row>
    <row r="278" spans="14:14">
      <c r="N278" s="222"/>
    </row>
    <row r="279" spans="14:14">
      <c r="N279" s="222"/>
    </row>
    <row r="280" spans="14:14">
      <c r="N280" s="222"/>
    </row>
    <row r="281" spans="14:14">
      <c r="N281" s="222"/>
    </row>
    <row r="282" spans="14:14">
      <c r="N282" s="222"/>
    </row>
    <row r="283" spans="14:14">
      <c r="N283" s="222"/>
    </row>
    <row r="284" spans="14:14">
      <c r="N284" s="222"/>
    </row>
    <row r="285" spans="14:14">
      <c r="N285" s="222"/>
    </row>
    <row r="286" spans="14:14">
      <c r="N286" s="222"/>
    </row>
    <row r="287" spans="14:14">
      <c r="N287" s="222"/>
    </row>
    <row r="288" spans="14:14">
      <c r="N288" s="222"/>
    </row>
    <row r="289" spans="14:14">
      <c r="N289" s="222"/>
    </row>
    <row r="290" spans="14:14">
      <c r="N290" s="222"/>
    </row>
    <row r="291" spans="14:14">
      <c r="N291" s="222"/>
    </row>
    <row r="292" spans="14:14">
      <c r="N292" s="222"/>
    </row>
    <row r="293" spans="14:14">
      <c r="N293" s="222"/>
    </row>
    <row r="294" spans="14:14">
      <c r="N294" s="222"/>
    </row>
    <row r="295" spans="14:14">
      <c r="N295" s="222"/>
    </row>
    <row r="296" spans="14:14">
      <c r="N296" s="222"/>
    </row>
    <row r="297" spans="14:14">
      <c r="N297" s="222"/>
    </row>
    <row r="298" spans="14:14">
      <c r="N298" s="222"/>
    </row>
    <row r="299" spans="14:14">
      <c r="N299" s="222"/>
    </row>
    <row r="300" spans="14:14">
      <c r="N300" s="222"/>
    </row>
    <row r="301" spans="14:14">
      <c r="N301" s="222"/>
    </row>
    <row r="302" spans="14:14">
      <c r="N302" s="222"/>
    </row>
    <row r="303" spans="14:14">
      <c r="N303" s="222"/>
    </row>
    <row r="304" spans="14:14">
      <c r="N304" s="222"/>
    </row>
    <row r="305" spans="14:14">
      <c r="N305" s="222"/>
    </row>
    <row r="306" spans="14:14">
      <c r="N306" s="222"/>
    </row>
    <row r="307" spans="14:14">
      <c r="N307" s="222"/>
    </row>
    <row r="308" spans="14:14">
      <c r="N308" s="222"/>
    </row>
    <row r="309" spans="14:14">
      <c r="N309" s="222"/>
    </row>
    <row r="310" spans="14:14">
      <c r="N310" s="222"/>
    </row>
    <row r="311" spans="14:14">
      <c r="N311" s="222"/>
    </row>
    <row r="312" spans="14:14">
      <c r="N312" s="222"/>
    </row>
    <row r="313" spans="14:14">
      <c r="N313" s="222"/>
    </row>
    <row r="314" spans="14:14">
      <c r="N314" s="222"/>
    </row>
    <row r="315" spans="14:14">
      <c r="N315" s="222"/>
    </row>
    <row r="316" spans="14:14">
      <c r="N316" s="222"/>
    </row>
    <row r="317" spans="14:14">
      <c r="N317" s="222"/>
    </row>
    <row r="318" spans="14:14">
      <c r="N318" s="222"/>
    </row>
    <row r="319" spans="14:14">
      <c r="N319" s="222"/>
    </row>
    <row r="320" spans="14:14">
      <c r="N320" s="222"/>
    </row>
    <row r="321" spans="14:14">
      <c r="N321" s="222"/>
    </row>
    <row r="322" spans="14:14">
      <c r="N322" s="222"/>
    </row>
    <row r="323" spans="14:14">
      <c r="N323" s="222"/>
    </row>
    <row r="324" spans="14:14">
      <c r="N324" s="222"/>
    </row>
    <row r="325" spans="14:14">
      <c r="N325" s="222"/>
    </row>
    <row r="326" spans="14:14">
      <c r="N326" s="222"/>
    </row>
    <row r="327" spans="14:14">
      <c r="N327" s="222"/>
    </row>
    <row r="328" spans="14:14">
      <c r="N328" s="222"/>
    </row>
    <row r="329" spans="14:14">
      <c r="N329" s="222"/>
    </row>
    <row r="330" spans="14:14">
      <c r="N330" s="222"/>
    </row>
    <row r="331" spans="14:14">
      <c r="N331" s="222"/>
    </row>
    <row r="332" spans="14:14">
      <c r="N332" s="222"/>
    </row>
    <row r="333" spans="14:14">
      <c r="N333" s="222"/>
    </row>
    <row r="334" spans="14:14">
      <c r="N334" s="222"/>
    </row>
    <row r="335" spans="14:14">
      <c r="N335" s="222"/>
    </row>
    <row r="336" spans="14:14">
      <c r="N336" s="222"/>
    </row>
    <row r="337" spans="14:14">
      <c r="N337" s="222"/>
    </row>
    <row r="338" spans="14:14">
      <c r="N338" s="222"/>
    </row>
    <row r="339" spans="14:14">
      <c r="N339" s="222"/>
    </row>
    <row r="340" spans="14:14">
      <c r="N340" s="222"/>
    </row>
    <row r="341" spans="14:14">
      <c r="N341" s="222"/>
    </row>
    <row r="342" spans="14:14">
      <c r="N342" s="222"/>
    </row>
    <row r="343" spans="14:14">
      <c r="N343" s="222"/>
    </row>
    <row r="344" spans="14:14">
      <c r="N344" s="222"/>
    </row>
    <row r="345" spans="14:14">
      <c r="N345" s="222"/>
    </row>
    <row r="346" spans="14:14">
      <c r="N346" s="222"/>
    </row>
    <row r="347" spans="14:14">
      <c r="N347" s="222"/>
    </row>
    <row r="348" spans="14:14">
      <c r="N348" s="222"/>
    </row>
    <row r="349" spans="14:14">
      <c r="N349" s="222"/>
    </row>
    <row r="350" spans="14:14">
      <c r="N350" s="222"/>
    </row>
    <row r="351" spans="14:14">
      <c r="N351" s="222"/>
    </row>
    <row r="352" spans="14:14">
      <c r="N352" s="222"/>
    </row>
    <row r="353" spans="14:14">
      <c r="N353" s="222"/>
    </row>
    <row r="354" spans="14:14">
      <c r="N354" s="222"/>
    </row>
    <row r="355" spans="14:14">
      <c r="N355" s="222"/>
    </row>
    <row r="356" spans="14:14">
      <c r="N356" s="222"/>
    </row>
    <row r="357" spans="14:14">
      <c r="N357" s="222"/>
    </row>
    <row r="358" spans="14:14">
      <c r="N358" s="222"/>
    </row>
    <row r="359" spans="14:14">
      <c r="N359" s="222"/>
    </row>
    <row r="360" spans="14:14">
      <c r="N360" s="222"/>
    </row>
    <row r="361" spans="14:14">
      <c r="N361" s="222"/>
    </row>
    <row r="362" spans="14:14">
      <c r="N362" s="222"/>
    </row>
    <row r="363" spans="14:14">
      <c r="N363" s="222"/>
    </row>
    <row r="364" spans="14:14">
      <c r="N364" s="222"/>
    </row>
    <row r="365" spans="14:14">
      <c r="N365" s="222"/>
    </row>
    <row r="366" spans="14:14">
      <c r="N366" s="222"/>
    </row>
    <row r="367" spans="14:14">
      <c r="N367" s="222"/>
    </row>
    <row r="368" spans="14:14">
      <c r="N368" s="222"/>
    </row>
    <row r="369" spans="14:14">
      <c r="N369" s="222"/>
    </row>
    <row r="370" spans="14:14">
      <c r="N370" s="222"/>
    </row>
    <row r="371" spans="14:14">
      <c r="N371" s="222"/>
    </row>
    <row r="372" spans="14:14">
      <c r="N372" s="222"/>
    </row>
    <row r="373" spans="14:14">
      <c r="N373" s="222"/>
    </row>
    <row r="374" spans="14:14">
      <c r="N374" s="222"/>
    </row>
    <row r="375" spans="14:14">
      <c r="N375" s="222"/>
    </row>
    <row r="376" spans="14:14">
      <c r="N376" s="222"/>
    </row>
    <row r="377" spans="14:14">
      <c r="N377" s="222"/>
    </row>
    <row r="378" spans="14:14">
      <c r="N378" s="222"/>
    </row>
    <row r="379" spans="14:14">
      <c r="N379" s="222"/>
    </row>
    <row r="380" spans="14:14">
      <c r="N380" s="222"/>
    </row>
    <row r="381" spans="14:14">
      <c r="N381" s="222"/>
    </row>
    <row r="382" spans="14:14">
      <c r="N382" s="222"/>
    </row>
    <row r="383" spans="14:14">
      <c r="N383" s="222"/>
    </row>
    <row r="384" spans="14:14">
      <c r="N384" s="222"/>
    </row>
    <row r="385" spans="14:14">
      <c r="N385" s="222"/>
    </row>
    <row r="386" spans="14:14">
      <c r="N386" s="222"/>
    </row>
    <row r="387" spans="14:14">
      <c r="N387" s="222"/>
    </row>
    <row r="388" spans="14:14">
      <c r="N388" s="222"/>
    </row>
    <row r="389" spans="14:14">
      <c r="N389" s="222"/>
    </row>
    <row r="390" spans="14:14">
      <c r="N390" s="222"/>
    </row>
    <row r="391" spans="14:14">
      <c r="N391" s="222"/>
    </row>
    <row r="392" spans="14:14">
      <c r="N392" s="222"/>
    </row>
    <row r="393" spans="14:14">
      <c r="N393" s="222"/>
    </row>
    <row r="394" spans="14:14">
      <c r="N394" s="222"/>
    </row>
    <row r="395" spans="14:14">
      <c r="N395" s="222"/>
    </row>
    <row r="396" spans="14:14">
      <c r="N396" s="222"/>
    </row>
    <row r="397" spans="14:14">
      <c r="N397" s="222"/>
    </row>
    <row r="398" spans="14:14">
      <c r="N398" s="222"/>
    </row>
    <row r="399" spans="14:14">
      <c r="N399" s="222"/>
    </row>
    <row r="400" spans="14:14">
      <c r="N400" s="222"/>
    </row>
    <row r="401" spans="14:14">
      <c r="N401" s="222"/>
    </row>
    <row r="402" spans="14:14">
      <c r="N402" s="222"/>
    </row>
    <row r="403" spans="14:14">
      <c r="N403" s="222"/>
    </row>
    <row r="404" spans="14:14">
      <c r="N404" s="222"/>
    </row>
    <row r="405" spans="14:14">
      <c r="N405" s="222"/>
    </row>
    <row r="406" spans="14:14">
      <c r="N406" s="222"/>
    </row>
    <row r="407" spans="14:14">
      <c r="N407" s="222"/>
    </row>
    <row r="408" spans="14:14">
      <c r="N408" s="222"/>
    </row>
    <row r="409" spans="14:14">
      <c r="N409" s="222"/>
    </row>
    <row r="410" spans="14:14">
      <c r="N410" s="222"/>
    </row>
    <row r="411" spans="14:14">
      <c r="N411" s="222"/>
    </row>
    <row r="412" spans="14:14">
      <c r="N412" s="222"/>
    </row>
    <row r="413" spans="14:14">
      <c r="N413" s="222"/>
    </row>
    <row r="414" spans="14:14">
      <c r="N414" s="222"/>
    </row>
    <row r="415" spans="14:14">
      <c r="N415" s="222"/>
    </row>
    <row r="416" spans="14:14">
      <c r="N416" s="222"/>
    </row>
    <row r="417" spans="14:14">
      <c r="N417" s="222"/>
    </row>
    <row r="418" spans="14:14">
      <c r="N418" s="222"/>
    </row>
    <row r="419" spans="14:14">
      <c r="N419" s="222"/>
    </row>
    <row r="420" spans="14:14">
      <c r="N420" s="222"/>
    </row>
    <row r="421" spans="14:14">
      <c r="N421" s="222"/>
    </row>
    <row r="422" spans="14:14">
      <c r="N422" s="222"/>
    </row>
    <row r="423" spans="14:14">
      <c r="N423" s="222"/>
    </row>
    <row r="424" spans="14:14">
      <c r="N424" s="222"/>
    </row>
    <row r="425" spans="14:14">
      <c r="N425" s="222"/>
    </row>
    <row r="426" spans="14:14">
      <c r="N426" s="222"/>
    </row>
    <row r="427" spans="14:14">
      <c r="N427" s="222"/>
    </row>
    <row r="428" spans="14:14">
      <c r="N428" s="222"/>
    </row>
    <row r="429" spans="14:14">
      <c r="N429" s="222"/>
    </row>
    <row r="430" spans="14:14">
      <c r="N430" s="222"/>
    </row>
    <row r="431" spans="14:14">
      <c r="N431" s="222"/>
    </row>
    <row r="432" spans="14:14">
      <c r="N432" s="222"/>
    </row>
    <row r="433" spans="14:14">
      <c r="N433" s="222"/>
    </row>
    <row r="434" spans="14:14">
      <c r="N434" s="222"/>
    </row>
    <row r="435" spans="14:14">
      <c r="N435" s="222"/>
    </row>
    <row r="436" spans="14:14">
      <c r="N436" s="222"/>
    </row>
    <row r="437" spans="14:14">
      <c r="N437" s="222"/>
    </row>
    <row r="438" spans="14:14">
      <c r="N438" s="222"/>
    </row>
    <row r="439" spans="14:14">
      <c r="N439" s="222"/>
    </row>
    <row r="440" spans="14:14">
      <c r="N440" s="222"/>
    </row>
    <row r="441" spans="14:14">
      <c r="N441" s="222"/>
    </row>
    <row r="442" spans="14:14">
      <c r="N442" s="222"/>
    </row>
    <row r="443" spans="14:14">
      <c r="N443" s="222"/>
    </row>
    <row r="444" spans="14:14">
      <c r="N444" s="222"/>
    </row>
    <row r="445" spans="14:14">
      <c r="N445" s="222"/>
    </row>
    <row r="446" spans="14:14">
      <c r="N446" s="222"/>
    </row>
    <row r="447" spans="14:14">
      <c r="N447" s="222"/>
    </row>
    <row r="448" spans="14:14">
      <c r="N448" s="222"/>
    </row>
    <row r="449" spans="14:14">
      <c r="N449" s="222"/>
    </row>
    <row r="450" spans="14:14">
      <c r="N450" s="222"/>
    </row>
    <row r="451" spans="14:14">
      <c r="N451" s="222"/>
    </row>
    <row r="452" spans="14:14">
      <c r="N452" s="222"/>
    </row>
    <row r="453" spans="14:14">
      <c r="N453" s="222"/>
    </row>
    <row r="454" spans="14:14">
      <c r="N454" s="222"/>
    </row>
    <row r="455" spans="14:14">
      <c r="N455" s="222"/>
    </row>
    <row r="456" spans="14:14">
      <c r="N456" s="222"/>
    </row>
    <row r="457" spans="14:14">
      <c r="N457" s="222"/>
    </row>
    <row r="458" spans="14:14">
      <c r="N458" s="222"/>
    </row>
    <row r="459" spans="14:14">
      <c r="N459" s="222"/>
    </row>
    <row r="460" spans="14:14">
      <c r="N460" s="222"/>
    </row>
    <row r="461" spans="14:14">
      <c r="N461" s="222"/>
    </row>
    <row r="462" spans="14:14">
      <c r="N462" s="222"/>
    </row>
    <row r="463" spans="14:14">
      <c r="N463" s="222"/>
    </row>
    <row r="464" spans="14:14">
      <c r="N464" s="222"/>
    </row>
    <row r="465" spans="14:14">
      <c r="N465" s="222"/>
    </row>
    <row r="466" spans="14:14">
      <c r="N466" s="222"/>
    </row>
    <row r="467" spans="14:14">
      <c r="N467" s="222"/>
    </row>
    <row r="468" spans="14:14">
      <c r="N468" s="222"/>
    </row>
    <row r="469" spans="14:14">
      <c r="N469" s="222"/>
    </row>
    <row r="470" spans="14:14">
      <c r="N470" s="222"/>
    </row>
    <row r="471" spans="14:14">
      <c r="N471" s="222"/>
    </row>
    <row r="472" spans="14:14">
      <c r="N472" s="222"/>
    </row>
    <row r="473" spans="14:14">
      <c r="N473" s="222"/>
    </row>
    <row r="474" spans="14:14">
      <c r="N474" s="222"/>
    </row>
    <row r="475" spans="14:14">
      <c r="N475" s="222"/>
    </row>
    <row r="476" spans="14:14">
      <c r="N476" s="222"/>
    </row>
    <row r="477" spans="14:14">
      <c r="N477" s="222"/>
    </row>
    <row r="478" spans="14:14">
      <c r="N478" s="222"/>
    </row>
    <row r="479" spans="14:14">
      <c r="N479" s="222"/>
    </row>
    <row r="480" spans="14:14">
      <c r="N480" s="222"/>
    </row>
    <row r="481" spans="14:14">
      <c r="N481" s="222"/>
    </row>
    <row r="482" spans="14:14">
      <c r="N482" s="222"/>
    </row>
    <row r="483" spans="14:14">
      <c r="N483" s="222"/>
    </row>
    <row r="484" spans="14:14">
      <c r="N484" s="222"/>
    </row>
    <row r="485" spans="14:14">
      <c r="N485" s="222"/>
    </row>
    <row r="486" spans="14:14">
      <c r="N486" s="222"/>
    </row>
    <row r="487" spans="14:14">
      <c r="N487" s="222"/>
    </row>
    <row r="488" spans="14:14">
      <c r="N488" s="222"/>
    </row>
    <row r="489" spans="14:14">
      <c r="N489" s="222"/>
    </row>
    <row r="490" spans="14:14">
      <c r="N490" s="222"/>
    </row>
    <row r="491" spans="14:14">
      <c r="N491" s="222"/>
    </row>
    <row r="492" spans="14:14">
      <c r="N492" s="222"/>
    </row>
    <row r="493" spans="14:14">
      <c r="N493" s="222"/>
    </row>
    <row r="494" spans="14:14">
      <c r="N494" s="222"/>
    </row>
    <row r="495" spans="14:14">
      <c r="N495" s="222"/>
    </row>
    <row r="496" spans="14:14">
      <c r="N496" s="222"/>
    </row>
    <row r="497" spans="14:14">
      <c r="N497" s="222"/>
    </row>
    <row r="498" spans="14:14">
      <c r="N498" s="222"/>
    </row>
    <row r="499" spans="14:14">
      <c r="N499" s="222"/>
    </row>
    <row r="500" spans="14:14">
      <c r="N500" s="222"/>
    </row>
    <row r="501" spans="14:14">
      <c r="N501" s="222"/>
    </row>
    <row r="502" spans="14:14">
      <c r="N502" s="222"/>
    </row>
    <row r="503" spans="14:14">
      <c r="N503" s="222"/>
    </row>
    <row r="504" spans="14:14">
      <c r="N504" s="222"/>
    </row>
    <row r="505" spans="14:14">
      <c r="N505" s="222"/>
    </row>
    <row r="506" spans="14:14">
      <c r="N506" s="222"/>
    </row>
    <row r="507" spans="14:14">
      <c r="N507" s="222"/>
    </row>
    <row r="508" spans="14:14">
      <c r="N508" s="222"/>
    </row>
    <row r="509" spans="14:14">
      <c r="N509" s="222"/>
    </row>
    <row r="510" spans="14:14">
      <c r="N510" s="222"/>
    </row>
    <row r="511" spans="14:14">
      <c r="N511" s="222"/>
    </row>
    <row r="512" spans="14:14">
      <c r="N512" s="222"/>
    </row>
    <row r="513" spans="14:14">
      <c r="N513" s="222"/>
    </row>
    <row r="514" spans="14:14">
      <c r="N514" s="222"/>
    </row>
    <row r="515" spans="14:14">
      <c r="N515" s="222"/>
    </row>
    <row r="516" spans="14:14">
      <c r="N516" s="222"/>
    </row>
    <row r="517" spans="14:14">
      <c r="N517" s="222"/>
    </row>
    <row r="518" spans="14:14">
      <c r="N518" s="222"/>
    </row>
    <row r="519" spans="14:14">
      <c r="N519" s="222"/>
    </row>
    <row r="520" spans="14:14">
      <c r="N520" s="222"/>
    </row>
    <row r="521" spans="14:14">
      <c r="N521" s="222"/>
    </row>
    <row r="522" spans="14:14">
      <c r="N522" s="222"/>
    </row>
    <row r="523" spans="14:14">
      <c r="N523" s="222"/>
    </row>
    <row r="524" spans="14:14">
      <c r="N524" s="222"/>
    </row>
    <row r="525" spans="14:14">
      <c r="N525" s="222"/>
    </row>
    <row r="526" spans="14:14">
      <c r="N526" s="222"/>
    </row>
    <row r="527" spans="14:14">
      <c r="N527" s="222"/>
    </row>
    <row r="528" spans="14:14">
      <c r="N528" s="222"/>
    </row>
    <row r="529" spans="14:14">
      <c r="N529" s="222"/>
    </row>
    <row r="530" spans="14:14">
      <c r="N530" s="222"/>
    </row>
    <row r="531" spans="14:14">
      <c r="N531" s="222"/>
    </row>
    <row r="532" spans="14:14">
      <c r="N532" s="222"/>
    </row>
    <row r="533" spans="14:14">
      <c r="N533" s="222"/>
    </row>
    <row r="534" spans="14:14">
      <c r="N534" s="222"/>
    </row>
    <row r="535" spans="14:14">
      <c r="N535" s="222"/>
    </row>
    <row r="536" spans="14:14">
      <c r="N536" s="222"/>
    </row>
    <row r="537" spans="14:14">
      <c r="N537" s="222"/>
    </row>
    <row r="538" spans="14:14">
      <c r="N538" s="222"/>
    </row>
    <row r="539" spans="14:14">
      <c r="N539" s="222"/>
    </row>
    <row r="540" spans="14:14">
      <c r="N540" s="222"/>
    </row>
    <row r="541" spans="14:14">
      <c r="N541" s="222"/>
    </row>
    <row r="542" spans="14:14">
      <c r="N542" s="222"/>
    </row>
    <row r="543" spans="14:14">
      <c r="N543" s="222"/>
    </row>
    <row r="544" spans="14:14">
      <c r="N544" s="222"/>
    </row>
    <row r="545" spans="14:14">
      <c r="N545" s="222"/>
    </row>
    <row r="546" spans="14:14">
      <c r="N546" s="222"/>
    </row>
    <row r="547" spans="14:14">
      <c r="N547" s="222"/>
    </row>
    <row r="548" spans="14:14">
      <c r="N548" s="222"/>
    </row>
    <row r="549" spans="14:14">
      <c r="N549" s="222"/>
    </row>
    <row r="550" spans="14:14">
      <c r="N550" s="222"/>
    </row>
    <row r="551" spans="14:14">
      <c r="N551" s="222"/>
    </row>
    <row r="552" spans="14:14">
      <c r="N552" s="222"/>
    </row>
    <row r="553" spans="14:14">
      <c r="N553" s="222"/>
    </row>
    <row r="554" spans="14:14">
      <c r="N554" s="222"/>
    </row>
    <row r="555" spans="14:14">
      <c r="N555" s="222"/>
    </row>
    <row r="556" spans="14:14">
      <c r="N556" s="222"/>
    </row>
    <row r="557" spans="14:14">
      <c r="N557" s="222"/>
    </row>
    <row r="558" spans="14:14">
      <c r="N558" s="222"/>
    </row>
    <row r="559" spans="14:14">
      <c r="N559" s="222"/>
    </row>
    <row r="560" spans="14:14">
      <c r="N560" s="222"/>
    </row>
    <row r="561" spans="14:14">
      <c r="N561" s="222"/>
    </row>
    <row r="562" spans="14:14">
      <c r="N562" s="222"/>
    </row>
    <row r="563" spans="14:14">
      <c r="N563" s="222"/>
    </row>
    <row r="564" spans="14:14">
      <c r="N564" s="222"/>
    </row>
    <row r="565" spans="14:14">
      <c r="N565" s="222"/>
    </row>
    <row r="566" spans="14:14">
      <c r="N566" s="222"/>
    </row>
    <row r="567" spans="14:14">
      <c r="N567" s="222"/>
    </row>
    <row r="568" spans="14:14">
      <c r="N568" s="222"/>
    </row>
    <row r="569" spans="14:14">
      <c r="N569" s="222"/>
    </row>
    <row r="570" spans="14:14">
      <c r="N570" s="222"/>
    </row>
    <row r="571" spans="14:14">
      <c r="N571" s="222"/>
    </row>
    <row r="572" spans="14:14">
      <c r="N572" s="222"/>
    </row>
    <row r="573" spans="14:14">
      <c r="N573" s="222"/>
    </row>
    <row r="574" spans="14:14">
      <c r="N574" s="222"/>
    </row>
    <row r="575" spans="14:14">
      <c r="N575" s="222"/>
    </row>
    <row r="576" spans="14:14">
      <c r="N576" s="222"/>
    </row>
    <row r="577" spans="14:14">
      <c r="N577" s="222"/>
    </row>
    <row r="578" spans="14:14">
      <c r="N578" s="222"/>
    </row>
    <row r="579" spans="14:14">
      <c r="N579" s="222"/>
    </row>
    <row r="580" spans="14:14">
      <c r="N580" s="222"/>
    </row>
    <row r="581" spans="14:14">
      <c r="N581" s="222"/>
    </row>
    <row r="582" spans="14:14">
      <c r="N582" s="222"/>
    </row>
    <row r="583" spans="14:14">
      <c r="N583" s="222"/>
    </row>
    <row r="584" spans="14:14">
      <c r="N584" s="222"/>
    </row>
    <row r="585" spans="14:14">
      <c r="N585" s="222"/>
    </row>
    <row r="586" spans="14:14">
      <c r="N586" s="222"/>
    </row>
    <row r="587" spans="14:14">
      <c r="N587" s="222"/>
    </row>
    <row r="588" spans="14:14">
      <c r="N588" s="222"/>
    </row>
    <row r="589" spans="14:14">
      <c r="N589" s="222"/>
    </row>
    <row r="590" spans="14:14">
      <c r="N590" s="222"/>
    </row>
    <row r="591" spans="14:14">
      <c r="N591" s="222"/>
    </row>
    <row r="592" spans="14:14">
      <c r="N592" s="222"/>
    </row>
    <row r="593" spans="14:14">
      <c r="N593" s="222"/>
    </row>
    <row r="594" spans="14:14">
      <c r="N594" s="222"/>
    </row>
    <row r="595" spans="14:14">
      <c r="N595" s="222"/>
    </row>
    <row r="596" spans="14:14">
      <c r="N596" s="222"/>
    </row>
    <row r="597" spans="14:14">
      <c r="N597" s="222"/>
    </row>
    <row r="598" spans="14:14">
      <c r="N598" s="222"/>
    </row>
    <row r="599" spans="14:14">
      <c r="N599" s="222"/>
    </row>
    <row r="600" spans="14:14">
      <c r="N600" s="222"/>
    </row>
    <row r="601" spans="14:14">
      <c r="N601" s="222"/>
    </row>
    <row r="602" spans="14:14">
      <c r="N602" s="222"/>
    </row>
    <row r="603" spans="14:14">
      <c r="N603" s="222"/>
    </row>
    <row r="604" spans="14:14">
      <c r="N604" s="222"/>
    </row>
    <row r="605" spans="14:14">
      <c r="N605" s="222"/>
    </row>
    <row r="606" spans="14:14">
      <c r="N606" s="222"/>
    </row>
    <row r="607" spans="14:14">
      <c r="N607" s="222"/>
    </row>
    <row r="608" spans="14:14">
      <c r="N608" s="222"/>
    </row>
    <row r="609" spans="14:14">
      <c r="N609" s="222"/>
    </row>
    <row r="610" spans="14:14">
      <c r="N610" s="222"/>
    </row>
    <row r="611" spans="14:14">
      <c r="N611" s="222"/>
    </row>
    <row r="612" spans="14:14">
      <c r="N612" s="222"/>
    </row>
    <row r="613" spans="14:14">
      <c r="N613" s="222"/>
    </row>
    <row r="614" spans="14:14">
      <c r="N614" s="222"/>
    </row>
    <row r="615" spans="14:14">
      <c r="N615" s="222"/>
    </row>
    <row r="616" spans="14:14">
      <c r="N616" s="222"/>
    </row>
    <row r="617" spans="14:14">
      <c r="N617" s="222"/>
    </row>
    <row r="618" spans="14:14">
      <c r="N618" s="222"/>
    </row>
    <row r="619" spans="14:14">
      <c r="N619" s="222"/>
    </row>
    <row r="620" spans="14:14">
      <c r="N620" s="222"/>
    </row>
    <row r="621" spans="14:14">
      <c r="N621" s="222"/>
    </row>
    <row r="622" spans="14:14">
      <c r="N622" s="222"/>
    </row>
    <row r="623" spans="14:14">
      <c r="N623" s="222"/>
    </row>
    <row r="624" spans="14:14">
      <c r="N624" s="222"/>
    </row>
    <row r="625" spans="14:14">
      <c r="N625" s="222"/>
    </row>
    <row r="626" spans="14:14">
      <c r="N626" s="222"/>
    </row>
    <row r="627" spans="14:14">
      <c r="N627" s="222"/>
    </row>
    <row r="628" spans="14:14">
      <c r="N628" s="222"/>
    </row>
    <row r="629" spans="14:14">
      <c r="N629" s="222"/>
    </row>
    <row r="630" spans="14:14">
      <c r="N630" s="222"/>
    </row>
    <row r="631" spans="14:14">
      <c r="N631" s="222"/>
    </row>
    <row r="632" spans="14:14">
      <c r="N632" s="222"/>
    </row>
    <row r="633" spans="14:14">
      <c r="N633" s="222"/>
    </row>
    <row r="634" spans="14:14">
      <c r="N634" s="222"/>
    </row>
    <row r="635" spans="14:14">
      <c r="N635" s="222"/>
    </row>
    <row r="636" spans="14:14">
      <c r="N636" s="222"/>
    </row>
    <row r="637" spans="14:14">
      <c r="N637" s="222"/>
    </row>
    <row r="638" spans="14:14">
      <c r="N638" s="222"/>
    </row>
    <row r="639" spans="14:14">
      <c r="N639" s="222"/>
    </row>
    <row r="640" spans="14:14">
      <c r="N640" s="222"/>
    </row>
    <row r="641" spans="14:14">
      <c r="N641" s="222"/>
    </row>
    <row r="642" spans="14:14">
      <c r="N642" s="222"/>
    </row>
    <row r="643" spans="14:14">
      <c r="N643" s="222"/>
    </row>
    <row r="644" spans="14:14">
      <c r="N644" s="222"/>
    </row>
    <row r="645" spans="14:14">
      <c r="N645" s="222"/>
    </row>
    <row r="646" spans="14:14">
      <c r="N646" s="222"/>
    </row>
    <row r="647" spans="14:14">
      <c r="N647" s="222"/>
    </row>
    <row r="648" spans="14:14">
      <c r="N648" s="222"/>
    </row>
    <row r="649" spans="14:14">
      <c r="N649" s="222"/>
    </row>
  </sheetData>
  <mergeCells count="11">
    <mergeCell ref="P14:P15"/>
    <mergeCell ref="C9:M9"/>
    <mergeCell ref="C10:M10"/>
    <mergeCell ref="B14:B15"/>
    <mergeCell ref="C14:C15"/>
    <mergeCell ref="D14:D15"/>
    <mergeCell ref="B92:K92"/>
    <mergeCell ref="B93:K94"/>
    <mergeCell ref="B96:M96"/>
    <mergeCell ref="B91:L91"/>
    <mergeCell ref="B95:K95"/>
  </mergeCells>
  <dataValidations count="2">
    <dataValidation type="list" allowBlank="1" showInputMessage="1" showErrorMessage="1" sqref="P16:P86">
      <formula1>"Yes, No"</formula1>
    </dataValidation>
    <dataValidation allowBlank="1" showInputMessage="1" showErrorMessage="1" promptTitle="Date Format" prompt="E.g:  &quot;August 1, 2011&quot;" sqref="M7:O7"/>
  </dataValidations>
  <printOptions horizontalCentered="1"/>
  <pageMargins left="0" right="0" top="0.13" bottom="0" header="0" footer="0"/>
  <pageSetup paperSize="17" scale="48" orientation="landscape" cellComments="asDisplayed" r:id="rId1"/>
  <headerFooter alignWithMargins="0"/>
  <rowBreaks count="1" manualBreakCount="1">
    <brk id="52"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455"/>
  <sheetViews>
    <sheetView showGridLines="0" topLeftCell="F1" zoomScaleNormal="100" workbookViewId="0">
      <selection activeCell="M5" sqref="M5"/>
    </sheetView>
  </sheetViews>
  <sheetFormatPr defaultRowHeight="12.75"/>
  <cols>
    <col min="1" max="1" width="9.7109375" style="1" customWidth="1"/>
    <col min="2" max="2" width="9.140625" style="1"/>
    <col min="3" max="3" width="39.42578125" style="1" customWidth="1"/>
    <col min="4" max="4" width="18" style="1" customWidth="1"/>
    <col min="5" max="5" width="14.5703125" style="1" customWidth="1"/>
    <col min="6" max="6" width="15.42578125" style="1" customWidth="1"/>
    <col min="7" max="7" width="14.140625" style="1" customWidth="1"/>
    <col min="8" max="8" width="14.28515625" style="1" customWidth="1"/>
    <col min="9" max="9" width="13" style="1" customWidth="1"/>
    <col min="10" max="10" width="17.28515625" style="1" customWidth="1"/>
    <col min="11" max="11" width="7.7109375" style="1" customWidth="1"/>
    <col min="12" max="12" width="12.28515625" style="1" customWidth="1"/>
    <col min="13" max="13" width="15.7109375" style="1" customWidth="1"/>
    <col min="14" max="14" width="13.7109375" style="13" customWidth="1"/>
    <col min="15" max="15" width="14.7109375" style="1" customWidth="1"/>
    <col min="16" max="16" width="15.85546875" style="1" customWidth="1"/>
    <col min="17" max="17" width="9.140625" style="1"/>
    <col min="18" max="18" width="15" style="1" bestFit="1" customWidth="1"/>
    <col min="19" max="19" width="16.7109375" style="1" customWidth="1"/>
    <col min="20" max="20" width="9.140625" style="1"/>
    <col min="21" max="21" width="15.5703125" style="14" bestFit="1" customWidth="1"/>
    <col min="22" max="23" width="9.140625" style="1"/>
    <col min="24" max="24" width="17.7109375" style="1" bestFit="1" customWidth="1"/>
    <col min="25" max="25" width="15.5703125" style="1" bestFit="1" customWidth="1"/>
    <col min="26" max="16384" width="9.140625" style="1"/>
  </cols>
  <sheetData>
    <row r="1" spans="1:25">
      <c r="K1" s="4" t="s">
        <v>0</v>
      </c>
      <c r="M1" s="12" t="s">
        <v>128</v>
      </c>
      <c r="N1" s="3"/>
      <c r="O1" s="3"/>
      <c r="R1" s="2"/>
      <c r="S1" s="2"/>
    </row>
    <row r="2" spans="1:25">
      <c r="K2" s="4" t="s">
        <v>1</v>
      </c>
      <c r="M2" s="187" t="s">
        <v>142</v>
      </c>
      <c r="N2" s="3"/>
      <c r="O2" s="3"/>
      <c r="R2" s="2"/>
      <c r="S2" s="2"/>
    </row>
    <row r="3" spans="1:25">
      <c r="K3" s="4" t="s">
        <v>2</v>
      </c>
      <c r="M3" s="15"/>
      <c r="N3" s="3"/>
      <c r="O3" s="3"/>
      <c r="R3" s="2"/>
      <c r="S3" s="2"/>
    </row>
    <row r="4" spans="1:25">
      <c r="K4" s="4" t="s">
        <v>3</v>
      </c>
      <c r="M4" s="12"/>
      <c r="N4" s="3"/>
      <c r="O4" s="3"/>
      <c r="R4" s="2"/>
      <c r="S4" s="2"/>
    </row>
    <row r="5" spans="1:25">
      <c r="K5" s="4" t="s">
        <v>4</v>
      </c>
      <c r="M5" s="12"/>
      <c r="N5" s="3"/>
      <c r="O5" s="3"/>
      <c r="R5" s="2"/>
      <c r="S5" s="2"/>
    </row>
    <row r="6" spans="1:25">
      <c r="K6" s="4"/>
      <c r="N6" s="3"/>
      <c r="O6" s="3"/>
      <c r="R6" s="2"/>
      <c r="S6" s="2"/>
    </row>
    <row r="7" spans="1:25">
      <c r="K7" s="4" t="s">
        <v>5</v>
      </c>
      <c r="M7" s="221" t="s">
        <v>153</v>
      </c>
      <c r="N7" s="5"/>
      <c r="O7" s="5"/>
      <c r="R7" s="2"/>
      <c r="S7" s="2"/>
    </row>
    <row r="8" spans="1:25">
      <c r="N8" s="3"/>
    </row>
    <row r="9" spans="1:25" ht="18">
      <c r="B9" s="271" t="s">
        <v>142</v>
      </c>
      <c r="C9" s="271"/>
      <c r="D9" s="271"/>
      <c r="E9" s="271"/>
      <c r="F9" s="271"/>
      <c r="G9" s="271"/>
      <c r="H9" s="271"/>
      <c r="I9" s="271"/>
      <c r="J9" s="271"/>
      <c r="K9" s="271"/>
      <c r="L9" s="271"/>
      <c r="M9" s="271"/>
      <c r="N9" s="178"/>
      <c r="O9" s="6"/>
    </row>
    <row r="10" spans="1:25" ht="18">
      <c r="B10" s="271" t="s">
        <v>6</v>
      </c>
      <c r="C10" s="271"/>
      <c r="D10" s="271"/>
      <c r="E10" s="271"/>
      <c r="F10" s="271"/>
      <c r="G10" s="271"/>
      <c r="H10" s="271"/>
      <c r="I10" s="271"/>
      <c r="J10" s="271"/>
      <c r="K10" s="271"/>
      <c r="L10" s="271"/>
      <c r="M10" s="271"/>
      <c r="N10" s="178"/>
      <c r="O10" s="6"/>
    </row>
    <row r="11" spans="1:25" ht="13.5" customHeight="1">
      <c r="A11" s="6"/>
      <c r="B11" s="6"/>
      <c r="C11" s="6"/>
      <c r="D11" s="6"/>
      <c r="E11" s="6"/>
      <c r="F11" s="6"/>
      <c r="G11" s="6"/>
      <c r="H11" s="6"/>
      <c r="I11" s="6"/>
      <c r="J11" s="80"/>
      <c r="K11" s="6"/>
      <c r="L11" s="6"/>
      <c r="M11" s="6"/>
      <c r="N11" s="178"/>
      <c r="O11" s="6"/>
    </row>
    <row r="12" spans="1:25" ht="13.5" customHeight="1">
      <c r="A12" s="6"/>
      <c r="B12" s="6"/>
      <c r="C12" s="6"/>
      <c r="D12" s="6"/>
      <c r="E12" s="16" t="s">
        <v>7</v>
      </c>
      <c r="F12" s="17">
        <v>2012</v>
      </c>
      <c r="G12" s="18" t="s">
        <v>54</v>
      </c>
      <c r="H12" s="18"/>
      <c r="I12" s="18"/>
      <c r="J12" s="6"/>
      <c r="K12" s="6"/>
      <c r="L12" s="6"/>
      <c r="M12" s="6"/>
      <c r="N12" s="178"/>
      <c r="O12" s="6"/>
    </row>
    <row r="13" spans="1:25" ht="13.5" thickBot="1">
      <c r="N13" s="3"/>
    </row>
    <row r="14" spans="1:25" ht="39" customHeight="1">
      <c r="A14" s="272" t="s">
        <v>113</v>
      </c>
      <c r="B14" s="276" t="s">
        <v>8</v>
      </c>
      <c r="C14" s="278" t="s">
        <v>9</v>
      </c>
      <c r="D14" s="19" t="s">
        <v>83</v>
      </c>
      <c r="E14" s="20" t="s">
        <v>10</v>
      </c>
      <c r="F14" s="7" t="s">
        <v>11</v>
      </c>
      <c r="G14" s="7" t="s">
        <v>12</v>
      </c>
      <c r="H14" s="7" t="s">
        <v>114</v>
      </c>
      <c r="I14" s="7" t="s">
        <v>81</v>
      </c>
      <c r="J14" s="7" t="s">
        <v>84</v>
      </c>
      <c r="K14" s="7" t="s">
        <v>13</v>
      </c>
      <c r="L14" s="7" t="s">
        <v>14</v>
      </c>
      <c r="M14" s="7" t="s">
        <v>76</v>
      </c>
      <c r="N14" s="20" t="s">
        <v>80</v>
      </c>
      <c r="O14" s="8" t="s">
        <v>98</v>
      </c>
      <c r="P14" s="269" t="s">
        <v>162</v>
      </c>
    </row>
    <row r="15" spans="1:25" ht="34.5" customHeight="1">
      <c r="A15" s="273"/>
      <c r="B15" s="277"/>
      <c r="C15" s="279"/>
      <c r="D15" s="21" t="s">
        <v>15</v>
      </c>
      <c r="E15" s="21" t="s">
        <v>16</v>
      </c>
      <c r="F15" s="22" t="s">
        <v>17</v>
      </c>
      <c r="G15" s="22" t="s">
        <v>18</v>
      </c>
      <c r="H15" s="23" t="s">
        <v>85</v>
      </c>
      <c r="I15" s="23" t="s">
        <v>19</v>
      </c>
      <c r="J15" s="24" t="s">
        <v>101</v>
      </c>
      <c r="K15" s="22" t="s">
        <v>19</v>
      </c>
      <c r="L15" s="22" t="s">
        <v>20</v>
      </c>
      <c r="M15" s="22" t="s">
        <v>21</v>
      </c>
      <c r="N15" s="21" t="s">
        <v>99</v>
      </c>
      <c r="O15" s="25" t="s">
        <v>102</v>
      </c>
      <c r="P15" s="270"/>
      <c r="R15" s="26"/>
      <c r="S15" s="26"/>
      <c r="T15" s="4"/>
    </row>
    <row r="16" spans="1:25">
      <c r="A16" s="27">
        <v>1805</v>
      </c>
      <c r="B16" s="27">
        <v>1805</v>
      </c>
      <c r="C16" s="28" t="s">
        <v>22</v>
      </c>
      <c r="D16" s="29">
        <v>10967832</v>
      </c>
      <c r="E16" s="29"/>
      <c r="F16" s="30">
        <f>D16-E16</f>
        <v>10967832</v>
      </c>
      <c r="G16" s="29">
        <v>7116898.7300000004</v>
      </c>
      <c r="H16" s="29"/>
      <c r="I16" s="29"/>
      <c r="J16" s="29">
        <f>F16+0.5*G16+0.5*I16+0.5*H16</f>
        <v>14526281.365</v>
      </c>
      <c r="K16" s="56">
        <v>0</v>
      </c>
      <c r="L16" s="32" t="str">
        <f>IF(K16=0,"",1/K16)</f>
        <v/>
      </c>
      <c r="M16" s="33">
        <v>0</v>
      </c>
      <c r="N16" s="29">
        <v>0</v>
      </c>
      <c r="O16" s="34"/>
      <c r="P16" s="245"/>
      <c r="R16" s="14"/>
      <c r="S16" s="14"/>
      <c r="T16" s="35"/>
      <c r="X16" s="57"/>
      <c r="Y16" s="58"/>
    </row>
    <row r="17" spans="1:25">
      <c r="A17" s="36">
        <v>1806</v>
      </c>
      <c r="B17" s="36">
        <v>1806</v>
      </c>
      <c r="C17" s="37" t="s">
        <v>32</v>
      </c>
      <c r="D17" s="29">
        <v>765751.97</v>
      </c>
      <c r="E17" s="29"/>
      <c r="F17" s="30">
        <f t="shared" ref="F17:F80" si="0">D17-E17</f>
        <v>765751.97</v>
      </c>
      <c r="G17" s="29">
        <v>30568.35</v>
      </c>
      <c r="H17" s="29"/>
      <c r="I17" s="29"/>
      <c r="J17" s="29">
        <f t="shared" ref="J17:J84" si="1">F17+0.5*G17+0.5*I17+0.5*H17</f>
        <v>781036.14500000002</v>
      </c>
      <c r="K17" s="56">
        <v>0</v>
      </c>
      <c r="L17" s="32"/>
      <c r="M17" s="33">
        <v>0</v>
      </c>
      <c r="N17" s="29">
        <v>0</v>
      </c>
      <c r="O17" s="34"/>
      <c r="P17" s="245"/>
      <c r="R17" s="14"/>
      <c r="S17" s="14"/>
      <c r="T17" s="35"/>
      <c r="X17" s="57"/>
      <c r="Y17" s="58"/>
    </row>
    <row r="18" spans="1:25">
      <c r="A18" s="36">
        <v>1808</v>
      </c>
      <c r="B18" s="36">
        <v>1808</v>
      </c>
      <c r="C18" s="38" t="s">
        <v>23</v>
      </c>
      <c r="D18" s="29">
        <v>6120071.9199999999</v>
      </c>
      <c r="E18" s="29"/>
      <c r="F18" s="30">
        <f t="shared" si="0"/>
        <v>6120071.9199999999</v>
      </c>
      <c r="G18" s="29">
        <v>187664.36</v>
      </c>
      <c r="H18" s="29"/>
      <c r="I18" s="29"/>
      <c r="J18" s="29">
        <f t="shared" si="1"/>
        <v>6213904.0999999996</v>
      </c>
      <c r="K18" s="56">
        <v>40</v>
      </c>
      <c r="L18" s="41">
        <f>1/K18</f>
        <v>2.5000000000000001E-2</v>
      </c>
      <c r="M18" s="33">
        <f t="shared" ref="M18:M51" si="2">IF(K18=0,"",J18/K18)</f>
        <v>155347.60249999998</v>
      </c>
      <c r="N18" s="29">
        <v>197340.95</v>
      </c>
      <c r="O18" s="34">
        <f>+M18-N18</f>
        <v>-41993.347500000033</v>
      </c>
      <c r="P18" s="246" t="s">
        <v>95</v>
      </c>
      <c r="R18" s="14"/>
      <c r="S18" s="14"/>
      <c r="T18" s="39"/>
      <c r="X18" s="57"/>
      <c r="Y18" s="58"/>
    </row>
    <row r="19" spans="1:25">
      <c r="A19" s="36">
        <v>1810</v>
      </c>
      <c r="B19" s="36">
        <v>1810</v>
      </c>
      <c r="C19" s="37" t="s">
        <v>53</v>
      </c>
      <c r="D19" s="29">
        <v>9183888.9199999999</v>
      </c>
      <c r="E19" s="29">
        <v>0</v>
      </c>
      <c r="F19" s="30">
        <f t="shared" si="0"/>
        <v>9183888.9199999999</v>
      </c>
      <c r="G19" s="29">
        <v>-1075574.6299999999</v>
      </c>
      <c r="H19" s="29"/>
      <c r="I19" s="29"/>
      <c r="J19" s="29">
        <f t="shared" si="1"/>
        <v>8646101.6050000004</v>
      </c>
      <c r="K19" s="56">
        <v>0</v>
      </c>
      <c r="L19" s="32">
        <v>0</v>
      </c>
      <c r="M19" s="33">
        <v>0</v>
      </c>
      <c r="N19" s="29">
        <v>0</v>
      </c>
      <c r="O19" s="34">
        <f t="shared" ref="O19:O27" si="3">+M19-N19</f>
        <v>0</v>
      </c>
      <c r="P19" s="245"/>
      <c r="R19" s="14"/>
      <c r="S19" s="14"/>
      <c r="T19" s="35"/>
      <c r="X19" s="57"/>
      <c r="Y19" s="58"/>
    </row>
    <row r="20" spans="1:25" ht="30.75" customHeight="1">
      <c r="A20" s="36">
        <v>1815</v>
      </c>
      <c r="B20" s="36">
        <v>1815</v>
      </c>
      <c r="C20" s="38" t="s">
        <v>24</v>
      </c>
      <c r="D20" s="29">
        <v>-61884.34</v>
      </c>
      <c r="E20" s="29"/>
      <c r="F20" s="30">
        <f t="shared" si="0"/>
        <v>-61884.34</v>
      </c>
      <c r="G20" s="29">
        <v>43511.29</v>
      </c>
      <c r="H20" s="29"/>
      <c r="I20" s="29"/>
      <c r="J20" s="29">
        <f t="shared" si="1"/>
        <v>-40128.694999999992</v>
      </c>
      <c r="K20" s="56">
        <v>40</v>
      </c>
      <c r="L20" s="32">
        <f t="shared" ref="L20:L51" si="4">IF(K20=0,"",1/K20)</f>
        <v>2.5000000000000001E-2</v>
      </c>
      <c r="M20" s="33">
        <f t="shared" si="2"/>
        <v>-1003.2173749999998</v>
      </c>
      <c r="N20" s="29">
        <v>0</v>
      </c>
      <c r="O20" s="34">
        <f t="shared" si="3"/>
        <v>-1003.2173749999998</v>
      </c>
      <c r="P20" s="245" t="s">
        <v>95</v>
      </c>
      <c r="R20" s="14"/>
      <c r="S20" s="14"/>
      <c r="T20" s="35"/>
      <c r="X20" s="57"/>
      <c r="Y20" s="58"/>
    </row>
    <row r="21" spans="1:25" s="9" customFormat="1">
      <c r="A21" s="36">
        <v>1816</v>
      </c>
      <c r="B21" s="36">
        <v>1815</v>
      </c>
      <c r="C21" s="37" t="s">
        <v>55</v>
      </c>
      <c r="D21" s="29">
        <v>9507112.8399999999</v>
      </c>
      <c r="E21" s="30"/>
      <c r="F21" s="30">
        <f t="shared" si="0"/>
        <v>9507112.8399999999</v>
      </c>
      <c r="G21" s="30">
        <v>330460.84000000003</v>
      </c>
      <c r="H21" s="29"/>
      <c r="I21" s="30"/>
      <c r="J21" s="29">
        <f t="shared" si="1"/>
        <v>9672343.2599999998</v>
      </c>
      <c r="K21" s="81">
        <v>40</v>
      </c>
      <c r="L21" s="41">
        <f t="shared" si="4"/>
        <v>2.5000000000000001E-2</v>
      </c>
      <c r="M21" s="42">
        <f t="shared" si="2"/>
        <v>241808.5815</v>
      </c>
      <c r="N21" s="30">
        <v>313476.2</v>
      </c>
      <c r="O21" s="34">
        <f t="shared" si="3"/>
        <v>-71667.618500000011</v>
      </c>
      <c r="P21" s="247" t="s">
        <v>95</v>
      </c>
      <c r="R21" s="14"/>
      <c r="S21" s="14"/>
      <c r="T21" s="35"/>
      <c r="U21" s="14"/>
      <c r="X21" s="57"/>
      <c r="Y21" s="58"/>
    </row>
    <row r="22" spans="1:25">
      <c r="A22" s="36">
        <v>1817</v>
      </c>
      <c r="B22" s="36">
        <v>1815</v>
      </c>
      <c r="C22" s="38" t="s">
        <v>56</v>
      </c>
      <c r="D22" s="29">
        <v>9507112.8399999999</v>
      </c>
      <c r="E22" s="29">
        <v>123702.98</v>
      </c>
      <c r="F22" s="30">
        <f t="shared" si="0"/>
        <v>9383409.8599999994</v>
      </c>
      <c r="G22" s="29">
        <v>86788.07</v>
      </c>
      <c r="H22" s="29"/>
      <c r="I22" s="29"/>
      <c r="J22" s="29">
        <f t="shared" si="1"/>
        <v>9426803.8949999996</v>
      </c>
      <c r="K22" s="189">
        <v>25</v>
      </c>
      <c r="L22" s="32">
        <f t="shared" si="4"/>
        <v>0.04</v>
      </c>
      <c r="M22" s="42">
        <f>IF(K22=0,"",J22/K22)</f>
        <v>377072.15580000001</v>
      </c>
      <c r="N22" s="30">
        <v>770606.19</v>
      </c>
      <c r="O22" s="34">
        <f t="shared" si="3"/>
        <v>-393534.03419999994</v>
      </c>
      <c r="P22" s="245" t="s">
        <v>95</v>
      </c>
      <c r="R22" s="14"/>
      <c r="S22" s="14"/>
      <c r="T22" s="35"/>
      <c r="X22" s="57"/>
      <c r="Y22" s="58"/>
    </row>
    <row r="23" spans="1:25">
      <c r="A23" s="36">
        <v>1818</v>
      </c>
      <c r="B23" s="36">
        <v>1815</v>
      </c>
      <c r="C23" s="38" t="s">
        <v>57</v>
      </c>
      <c r="D23" s="29">
        <v>38979162.780000001</v>
      </c>
      <c r="E23" s="29"/>
      <c r="F23" s="30">
        <f t="shared" si="0"/>
        <v>38979162.780000001</v>
      </c>
      <c r="G23" s="29">
        <v>133249.53</v>
      </c>
      <c r="H23" s="29"/>
      <c r="I23" s="29"/>
      <c r="J23" s="29">
        <f t="shared" si="1"/>
        <v>39045787.545000002</v>
      </c>
      <c r="K23" s="56">
        <v>40</v>
      </c>
      <c r="L23" s="32">
        <f t="shared" si="4"/>
        <v>2.5000000000000001E-2</v>
      </c>
      <c r="M23" s="42">
        <f t="shared" si="2"/>
        <v>976144.68862500007</v>
      </c>
      <c r="N23" s="30">
        <v>1285325.8600000001</v>
      </c>
      <c r="O23" s="34">
        <f t="shared" si="3"/>
        <v>-309181.17137500003</v>
      </c>
      <c r="P23" s="245" t="s">
        <v>95</v>
      </c>
      <c r="R23" s="14"/>
      <c r="S23" s="14"/>
      <c r="T23" s="35"/>
      <c r="X23" s="57"/>
      <c r="Y23" s="58"/>
    </row>
    <row r="24" spans="1:25">
      <c r="A24" s="36">
        <v>1819</v>
      </c>
      <c r="B24" s="36">
        <v>1815</v>
      </c>
      <c r="C24" s="38" t="s">
        <v>58</v>
      </c>
      <c r="D24" s="29">
        <v>6654979.0199999996</v>
      </c>
      <c r="E24" s="29"/>
      <c r="F24" s="30">
        <f t="shared" si="0"/>
        <v>6654979.0199999996</v>
      </c>
      <c r="G24" s="29">
        <v>21727.21</v>
      </c>
      <c r="H24" s="29"/>
      <c r="I24" s="29"/>
      <c r="J24" s="29">
        <f t="shared" si="1"/>
        <v>6665842.625</v>
      </c>
      <c r="K24" s="56">
        <v>40</v>
      </c>
      <c r="L24" s="32">
        <f t="shared" si="4"/>
        <v>2.5000000000000001E-2</v>
      </c>
      <c r="M24" s="42">
        <f t="shared" si="2"/>
        <v>166646.06562499999</v>
      </c>
      <c r="N24" s="30">
        <v>219433.37</v>
      </c>
      <c r="O24" s="34">
        <f t="shared" si="3"/>
        <v>-52787.304375000007</v>
      </c>
      <c r="P24" s="245" t="s">
        <v>95</v>
      </c>
      <c r="R24" s="14"/>
      <c r="S24" s="14"/>
      <c r="T24" s="35"/>
      <c r="X24" s="57"/>
      <c r="Y24" s="58"/>
    </row>
    <row r="25" spans="1:25">
      <c r="A25" s="36">
        <v>1821</v>
      </c>
      <c r="B25" s="36">
        <v>1815</v>
      </c>
      <c r="C25" s="38" t="s">
        <v>59</v>
      </c>
      <c r="D25" s="29">
        <v>4726648.74</v>
      </c>
      <c r="E25" s="29"/>
      <c r="F25" s="30">
        <f t="shared" si="0"/>
        <v>4726648.74</v>
      </c>
      <c r="G25" s="29">
        <v>18048.310000000001</v>
      </c>
      <c r="H25" s="29"/>
      <c r="I25" s="29"/>
      <c r="J25" s="29">
        <f t="shared" si="1"/>
        <v>4735672.8950000005</v>
      </c>
      <c r="K25" s="56">
        <v>40</v>
      </c>
      <c r="L25" s="32">
        <f t="shared" si="4"/>
        <v>2.5000000000000001E-2</v>
      </c>
      <c r="M25" s="42">
        <f t="shared" si="2"/>
        <v>118391.82237500002</v>
      </c>
      <c r="N25" s="30">
        <v>156064.01999999999</v>
      </c>
      <c r="O25" s="34">
        <f t="shared" si="3"/>
        <v>-37672.197624999972</v>
      </c>
      <c r="P25" s="245" t="s">
        <v>95</v>
      </c>
      <c r="R25" s="14"/>
      <c r="S25" s="14"/>
      <c r="T25" s="35"/>
      <c r="X25" s="57"/>
      <c r="Y25" s="58"/>
    </row>
    <row r="26" spans="1:25">
      <c r="A26" s="36">
        <v>1822</v>
      </c>
      <c r="B26" s="36">
        <v>1815</v>
      </c>
      <c r="C26" s="38" t="s">
        <v>60</v>
      </c>
      <c r="D26" s="29">
        <v>4753556.46</v>
      </c>
      <c r="E26" s="29">
        <v>1021809.4099999999</v>
      </c>
      <c r="F26" s="30">
        <f t="shared" si="0"/>
        <v>3731747.05</v>
      </c>
      <c r="G26" s="29">
        <v>138824.66</v>
      </c>
      <c r="H26" s="29"/>
      <c r="I26" s="29"/>
      <c r="J26" s="29">
        <f t="shared" si="1"/>
        <v>3801159.38</v>
      </c>
      <c r="K26" s="56">
        <v>20</v>
      </c>
      <c r="L26" s="32">
        <f t="shared" si="4"/>
        <v>0.05</v>
      </c>
      <c r="M26" s="42">
        <f t="shared" si="2"/>
        <v>190057.96899999998</v>
      </c>
      <c r="N26" s="30">
        <v>418421.71</v>
      </c>
      <c r="O26" s="34">
        <f t="shared" si="3"/>
        <v>-228363.74100000004</v>
      </c>
      <c r="P26" s="245" t="s">
        <v>95</v>
      </c>
      <c r="R26" s="14"/>
      <c r="S26" s="14"/>
      <c r="T26" s="35"/>
      <c r="X26" s="57"/>
      <c r="Y26" s="58"/>
    </row>
    <row r="27" spans="1:25">
      <c r="A27" s="36">
        <v>1823</v>
      </c>
      <c r="B27" s="36">
        <v>1815</v>
      </c>
      <c r="C27" s="38" t="s">
        <v>61</v>
      </c>
      <c r="D27" s="29">
        <v>17112803.190000001</v>
      </c>
      <c r="E27" s="29"/>
      <c r="F27" s="30">
        <f t="shared" si="0"/>
        <v>17112803.190000001</v>
      </c>
      <c r="G27" s="29">
        <v>52436.57</v>
      </c>
      <c r="H27" s="29"/>
      <c r="I27" s="29"/>
      <c r="J27" s="29">
        <f t="shared" si="1"/>
        <v>17139021.475000001</v>
      </c>
      <c r="K27" s="56">
        <v>30</v>
      </c>
      <c r="L27" s="32">
        <f t="shared" si="4"/>
        <v>3.3333333333333333E-2</v>
      </c>
      <c r="M27" s="42">
        <f t="shared" si="2"/>
        <v>571300.71583333344</v>
      </c>
      <c r="N27" s="30">
        <v>913825.87</v>
      </c>
      <c r="O27" s="34">
        <f t="shared" si="3"/>
        <v>-342525.15416666656</v>
      </c>
      <c r="P27" s="245" t="s">
        <v>95</v>
      </c>
      <c r="R27" s="14"/>
      <c r="S27" s="14"/>
      <c r="T27" s="35"/>
      <c r="X27" s="57"/>
      <c r="Y27" s="58"/>
    </row>
    <row r="28" spans="1:25">
      <c r="A28" s="36">
        <v>1824</v>
      </c>
      <c r="B28" s="36">
        <v>1815</v>
      </c>
      <c r="C28" s="38" t="s">
        <v>62</v>
      </c>
      <c r="D28" s="29">
        <v>3802845.22</v>
      </c>
      <c r="E28" s="29"/>
      <c r="F28" s="30">
        <f t="shared" si="0"/>
        <v>3802845.22</v>
      </c>
      <c r="G28" s="29">
        <v>12689.56</v>
      </c>
      <c r="H28" s="29"/>
      <c r="I28" s="29"/>
      <c r="J28" s="29">
        <f t="shared" si="1"/>
        <v>3809190</v>
      </c>
      <c r="K28" s="56">
        <v>30</v>
      </c>
      <c r="L28" s="32">
        <f t="shared" si="4"/>
        <v>3.3333333333333333E-2</v>
      </c>
      <c r="M28" s="42">
        <f t="shared" si="2"/>
        <v>126973</v>
      </c>
      <c r="N28" s="30">
        <v>203072.42</v>
      </c>
      <c r="O28" s="34">
        <f>+M28-N28</f>
        <v>-76099.420000000013</v>
      </c>
      <c r="P28" s="245" t="s">
        <v>95</v>
      </c>
      <c r="R28" s="14"/>
      <c r="S28" s="14"/>
      <c r="T28" s="35"/>
      <c r="X28" s="57"/>
      <c r="Y28" s="58"/>
    </row>
    <row r="29" spans="1:25" ht="24.75" customHeight="1">
      <c r="A29" s="43"/>
      <c r="B29" s="43"/>
      <c r="C29" s="82"/>
      <c r="D29" s="45"/>
      <c r="E29" s="45"/>
      <c r="F29" s="46"/>
      <c r="G29" s="45"/>
      <c r="H29" s="45"/>
      <c r="I29" s="45"/>
      <c r="J29" s="82" t="s">
        <v>86</v>
      </c>
      <c r="K29" s="83"/>
      <c r="L29" s="84"/>
      <c r="M29" s="85">
        <f>SUM(M20:M28)</f>
        <v>2767391.7813833337</v>
      </c>
      <c r="N29" s="87">
        <f>SUM(N20:N28)</f>
        <v>4280225.6400000006</v>
      </c>
      <c r="O29" s="34">
        <f>+M29-N29</f>
        <v>-1512833.8586166669</v>
      </c>
      <c r="P29" s="245"/>
      <c r="R29" s="14"/>
      <c r="S29" s="14"/>
      <c r="T29" s="35"/>
      <c r="X29" s="57"/>
      <c r="Y29" s="58"/>
    </row>
    <row r="30" spans="1:25">
      <c r="A30" s="50">
        <v>1820</v>
      </c>
      <c r="B30" s="53">
        <v>1820</v>
      </c>
      <c r="C30" s="37" t="s">
        <v>25</v>
      </c>
      <c r="D30" s="29">
        <v>-163475</v>
      </c>
      <c r="E30" s="29"/>
      <c r="F30" s="30">
        <f t="shared" si="0"/>
        <v>-163475</v>
      </c>
      <c r="G30" s="29">
        <v>18097.099999999999</v>
      </c>
      <c r="H30" s="29"/>
      <c r="I30" s="29"/>
      <c r="J30" s="29">
        <f t="shared" si="1"/>
        <v>-154426.45000000001</v>
      </c>
      <c r="K30" s="56">
        <v>30</v>
      </c>
      <c r="L30" s="52">
        <f t="shared" si="4"/>
        <v>3.3333333333333333E-2</v>
      </c>
      <c r="M30" s="42">
        <f t="shared" si="2"/>
        <v>-5147.5483333333341</v>
      </c>
      <c r="N30" s="30">
        <v>-3930</v>
      </c>
      <c r="O30" s="34">
        <f>M30-N30</f>
        <v>-1217.5483333333341</v>
      </c>
      <c r="P30" s="245" t="s">
        <v>95</v>
      </c>
      <c r="R30" s="14"/>
      <c r="S30" s="14"/>
      <c r="T30" s="35"/>
      <c r="X30" s="57"/>
      <c r="Y30" s="58"/>
    </row>
    <row r="31" spans="1:25">
      <c r="A31" s="53">
        <v>1826</v>
      </c>
      <c r="B31" s="53">
        <v>1820</v>
      </c>
      <c r="C31" s="38" t="s">
        <v>63</v>
      </c>
      <c r="D31" s="29">
        <v>9878053.2400000002</v>
      </c>
      <c r="E31" s="29"/>
      <c r="F31" s="30">
        <f t="shared" si="0"/>
        <v>9878053.2400000002</v>
      </c>
      <c r="G31" s="29">
        <v>72562.2</v>
      </c>
      <c r="H31" s="29"/>
      <c r="I31" s="29"/>
      <c r="J31" s="29">
        <f t="shared" si="1"/>
        <v>9914334.3399999999</v>
      </c>
      <c r="K31" s="56">
        <v>40</v>
      </c>
      <c r="L31" s="52">
        <f t="shared" si="4"/>
        <v>2.5000000000000001E-2</v>
      </c>
      <c r="M31" s="42">
        <f t="shared" si="2"/>
        <v>247858.3585</v>
      </c>
      <c r="N31" s="30">
        <v>324288.90999999997</v>
      </c>
      <c r="O31" s="34">
        <f t="shared" ref="O31:O33" si="5">M31-N31</f>
        <v>-76430.551499999972</v>
      </c>
      <c r="P31" s="245" t="s">
        <v>95</v>
      </c>
      <c r="R31" s="14"/>
      <c r="S31" s="14"/>
      <c r="T31" s="35"/>
      <c r="X31" s="57"/>
      <c r="Y31" s="58"/>
    </row>
    <row r="32" spans="1:25">
      <c r="A32" s="53">
        <v>1827</v>
      </c>
      <c r="B32" s="53">
        <v>1820</v>
      </c>
      <c r="C32" s="38" t="s">
        <v>64</v>
      </c>
      <c r="D32" s="29">
        <v>9664513.6799999997</v>
      </c>
      <c r="E32" s="29">
        <v>1004290.1800000002</v>
      </c>
      <c r="F32" s="30">
        <f t="shared" si="0"/>
        <v>8660223.5</v>
      </c>
      <c r="G32" s="29">
        <v>59663.08</v>
      </c>
      <c r="H32" s="29"/>
      <c r="I32" s="29"/>
      <c r="J32" s="29">
        <f t="shared" si="1"/>
        <v>8690055.0399999991</v>
      </c>
      <c r="K32" s="56">
        <v>20</v>
      </c>
      <c r="L32" s="52">
        <f t="shared" si="4"/>
        <v>0.05</v>
      </c>
      <c r="M32" s="42">
        <f t="shared" si="2"/>
        <v>434502.75199999998</v>
      </c>
      <c r="N32" s="30">
        <v>727074.75</v>
      </c>
      <c r="O32" s="34">
        <f t="shared" si="5"/>
        <v>-292571.99800000002</v>
      </c>
      <c r="P32" s="245" t="s">
        <v>95</v>
      </c>
      <c r="R32" s="14"/>
      <c r="S32" s="14"/>
      <c r="T32" s="35"/>
      <c r="X32" s="57"/>
      <c r="Y32" s="58"/>
    </row>
    <row r="33" spans="1:25">
      <c r="A33" s="53">
        <v>1828</v>
      </c>
      <c r="B33" s="53">
        <v>1820</v>
      </c>
      <c r="C33" s="38" t="s">
        <v>65</v>
      </c>
      <c r="D33" s="29">
        <v>2147670.5299999998</v>
      </c>
      <c r="E33" s="29"/>
      <c r="F33" s="30">
        <f t="shared" si="0"/>
        <v>2147670.5299999998</v>
      </c>
      <c r="G33" s="29">
        <v>68366.570000000007</v>
      </c>
      <c r="H33" s="29"/>
      <c r="I33" s="29"/>
      <c r="J33" s="29">
        <f t="shared" si="1"/>
        <v>2181853.8149999999</v>
      </c>
      <c r="K33" s="56">
        <v>30</v>
      </c>
      <c r="L33" s="52">
        <f t="shared" si="4"/>
        <v>3.3333333333333333E-2</v>
      </c>
      <c r="M33" s="42">
        <f t="shared" si="2"/>
        <v>72728.460500000001</v>
      </c>
      <c r="N33" s="30">
        <v>114088.94</v>
      </c>
      <c r="O33" s="34">
        <f t="shared" si="5"/>
        <v>-41360.479500000001</v>
      </c>
      <c r="P33" s="245" t="s">
        <v>95</v>
      </c>
      <c r="R33" s="14"/>
      <c r="S33" s="14"/>
      <c r="T33" s="35"/>
      <c r="X33" s="57"/>
      <c r="Y33" s="58"/>
    </row>
    <row r="34" spans="1:25" ht="19.5" customHeight="1">
      <c r="A34" s="43"/>
      <c r="B34" s="86"/>
      <c r="C34" s="82"/>
      <c r="D34" s="45"/>
      <c r="E34" s="45"/>
      <c r="F34" s="46"/>
      <c r="G34" s="45"/>
      <c r="H34" s="45"/>
      <c r="I34" s="45"/>
      <c r="J34" s="82" t="s">
        <v>87</v>
      </c>
      <c r="K34" s="83"/>
      <c r="L34" s="49"/>
      <c r="M34" s="87">
        <f>SUM(M30:M33)</f>
        <v>749942.02266666666</v>
      </c>
      <c r="N34" s="87">
        <f>SUM(N30:N33)</f>
        <v>1161522.5999999999</v>
      </c>
      <c r="O34" s="34">
        <f>+M34-N34</f>
        <v>-411580.5773333332</v>
      </c>
      <c r="P34" s="245"/>
      <c r="R34" s="14"/>
      <c r="S34" s="14"/>
      <c r="T34" s="35"/>
      <c r="X34" s="57"/>
      <c r="Y34" s="58"/>
    </row>
    <row r="35" spans="1:25">
      <c r="A35" s="53">
        <v>1825</v>
      </c>
      <c r="B35" s="53">
        <v>1825</v>
      </c>
      <c r="C35" s="37" t="s">
        <v>26</v>
      </c>
      <c r="D35" s="29"/>
      <c r="E35" s="29"/>
      <c r="F35" s="30">
        <f t="shared" si="0"/>
        <v>0</v>
      </c>
      <c r="G35" s="29"/>
      <c r="H35" s="29"/>
      <c r="I35" s="29"/>
      <c r="J35" s="29">
        <f t="shared" si="1"/>
        <v>0</v>
      </c>
      <c r="K35" s="56">
        <v>0</v>
      </c>
      <c r="L35" s="52" t="str">
        <f t="shared" si="4"/>
        <v/>
      </c>
      <c r="M35" s="42" t="str">
        <f t="shared" si="2"/>
        <v/>
      </c>
      <c r="N35" s="30"/>
      <c r="O35" s="34"/>
      <c r="P35" s="245"/>
      <c r="R35" s="14"/>
      <c r="S35" s="14"/>
      <c r="T35" s="35"/>
      <c r="X35" s="57"/>
      <c r="Y35" s="58"/>
    </row>
    <row r="36" spans="1:25">
      <c r="A36" s="53">
        <v>1830</v>
      </c>
      <c r="B36" s="53">
        <v>1830</v>
      </c>
      <c r="C36" s="37" t="s">
        <v>27</v>
      </c>
      <c r="D36" s="29">
        <v>100912590.41</v>
      </c>
      <c r="E36" s="29"/>
      <c r="F36" s="30">
        <f t="shared" si="0"/>
        <v>100912590.41</v>
      </c>
      <c r="G36" s="29">
        <v>13031070.34</v>
      </c>
      <c r="H36" s="29"/>
      <c r="I36" s="29">
        <v>-114651</v>
      </c>
      <c r="J36" s="29">
        <f t="shared" si="1"/>
        <v>107370800.08</v>
      </c>
      <c r="K36" s="189">
        <v>45</v>
      </c>
      <c r="L36" s="32">
        <f t="shared" si="4"/>
        <v>2.2222222222222223E-2</v>
      </c>
      <c r="M36" s="42">
        <f t="shared" si="2"/>
        <v>2386017.7795555554</v>
      </c>
      <c r="N36" s="30">
        <v>2605951.44</v>
      </c>
      <c r="O36" s="34">
        <f t="shared" ref="O36:O74" si="6">+M36-N36</f>
        <v>-219933.66044444451</v>
      </c>
      <c r="P36" s="245" t="s">
        <v>95</v>
      </c>
      <c r="R36" s="14"/>
      <c r="S36" s="14"/>
      <c r="T36" s="35"/>
      <c r="X36" s="57"/>
      <c r="Y36" s="58"/>
    </row>
    <row r="37" spans="1:25">
      <c r="A37" s="53">
        <v>1835</v>
      </c>
      <c r="B37" s="53">
        <v>1835</v>
      </c>
      <c r="C37" s="37" t="s">
        <v>28</v>
      </c>
      <c r="D37" s="29">
        <v>94289247</v>
      </c>
      <c r="E37" s="29"/>
      <c r="F37" s="30">
        <f t="shared" si="0"/>
        <v>94289247</v>
      </c>
      <c r="G37" s="29">
        <v>8571803.1899999995</v>
      </c>
      <c r="H37" s="29"/>
      <c r="I37" s="29">
        <v>-186892</v>
      </c>
      <c r="J37" s="29">
        <f t="shared" si="1"/>
        <v>98481702.594999999</v>
      </c>
      <c r="K37" s="56">
        <v>40</v>
      </c>
      <c r="L37" s="32">
        <f t="shared" si="4"/>
        <v>2.5000000000000001E-2</v>
      </c>
      <c r="M37" s="42">
        <f t="shared" si="2"/>
        <v>2462042.5648750002</v>
      </c>
      <c r="N37" s="30">
        <v>2996224</v>
      </c>
      <c r="O37" s="34">
        <f t="shared" si="6"/>
        <v>-534181.43512499984</v>
      </c>
      <c r="P37" s="245" t="s">
        <v>95</v>
      </c>
      <c r="R37" s="14"/>
      <c r="S37" s="14"/>
      <c r="T37" s="35"/>
      <c r="X37" s="57"/>
      <c r="Y37" s="58"/>
    </row>
    <row r="38" spans="1:25">
      <c r="A38" s="53">
        <v>1836</v>
      </c>
      <c r="B38" s="53">
        <v>1836</v>
      </c>
      <c r="C38" s="37" t="s">
        <v>103</v>
      </c>
      <c r="D38" s="29">
        <v>1276.67</v>
      </c>
      <c r="E38" s="29"/>
      <c r="F38" s="30">
        <f t="shared" si="0"/>
        <v>1276.67</v>
      </c>
      <c r="G38" s="29"/>
      <c r="H38" s="29">
        <v>0</v>
      </c>
      <c r="I38" s="29"/>
      <c r="J38" s="29">
        <f t="shared" si="1"/>
        <v>1276.67</v>
      </c>
      <c r="K38" s="189">
        <v>25</v>
      </c>
      <c r="L38" s="32">
        <f t="shared" si="4"/>
        <v>0.04</v>
      </c>
      <c r="M38" s="42">
        <f t="shared" si="2"/>
        <v>51.066800000000001</v>
      </c>
      <c r="N38" s="30">
        <v>268.64</v>
      </c>
      <c r="O38" s="34">
        <f t="shared" si="6"/>
        <v>-217.57319999999999</v>
      </c>
      <c r="P38" s="245" t="s">
        <v>95</v>
      </c>
      <c r="R38" s="14"/>
      <c r="S38" s="14"/>
      <c r="T38" s="35"/>
      <c r="X38" s="57"/>
      <c r="Y38" s="58"/>
    </row>
    <row r="39" spans="1:25">
      <c r="A39" s="53">
        <v>1840</v>
      </c>
      <c r="B39" s="53">
        <v>1840</v>
      </c>
      <c r="C39" s="37" t="s">
        <v>29</v>
      </c>
      <c r="D39" s="29">
        <v>63373941.439999998</v>
      </c>
      <c r="E39" s="29">
        <v>16658.5</v>
      </c>
      <c r="F39" s="30">
        <f t="shared" si="0"/>
        <v>63357282.939999998</v>
      </c>
      <c r="G39" s="29">
        <v>7572323.5700000003</v>
      </c>
      <c r="H39" s="29">
        <v>0</v>
      </c>
      <c r="I39" s="29"/>
      <c r="J39" s="29">
        <f>F39+0.5*G39+0.5*I39+0.5*H39</f>
        <v>67143444.724999994</v>
      </c>
      <c r="K39" s="189">
        <v>60</v>
      </c>
      <c r="L39" s="32">
        <f t="shared" si="4"/>
        <v>1.6666666666666666E-2</v>
      </c>
      <c r="M39" s="42">
        <f t="shared" si="2"/>
        <v>1119057.4120833331</v>
      </c>
      <c r="N39" s="30">
        <v>1253271.1000000001</v>
      </c>
      <c r="O39" s="34">
        <f t="shared" si="6"/>
        <v>-134213.68791666697</v>
      </c>
      <c r="P39" s="245" t="s">
        <v>95</v>
      </c>
      <c r="R39" s="14"/>
      <c r="S39" s="14"/>
      <c r="T39" s="35"/>
      <c r="X39" s="57"/>
      <c r="Y39" s="58"/>
    </row>
    <row r="40" spans="1:25">
      <c r="A40" s="53">
        <v>1845</v>
      </c>
      <c r="B40" s="53">
        <v>1845</v>
      </c>
      <c r="C40" s="37" t="s">
        <v>30</v>
      </c>
      <c r="D40" s="29">
        <v>185285788</v>
      </c>
      <c r="E40" s="29">
        <v>1452824.3599999999</v>
      </c>
      <c r="F40" s="30">
        <f t="shared" si="0"/>
        <v>183832963.63999999</v>
      </c>
      <c r="G40" s="29">
        <v>30099265.629999999</v>
      </c>
      <c r="H40" s="29"/>
      <c r="I40" s="29">
        <v>-389290</v>
      </c>
      <c r="J40" s="29">
        <f t="shared" si="1"/>
        <v>198687951.45499998</v>
      </c>
      <c r="K40" s="56">
        <v>45</v>
      </c>
      <c r="L40" s="32">
        <f t="shared" si="4"/>
        <v>2.2222222222222223E-2</v>
      </c>
      <c r="M40" s="42">
        <f t="shared" si="2"/>
        <v>4415287.810111111</v>
      </c>
      <c r="N40" s="30">
        <v>5461706</v>
      </c>
      <c r="O40" s="34">
        <f t="shared" si="6"/>
        <v>-1046418.189888889</v>
      </c>
      <c r="P40" s="245" t="s">
        <v>95</v>
      </c>
      <c r="R40" s="14"/>
      <c r="S40" s="14"/>
      <c r="T40" s="35"/>
      <c r="X40" s="57"/>
      <c r="Y40" s="58"/>
    </row>
    <row r="41" spans="1:25">
      <c r="A41" s="53">
        <v>1849</v>
      </c>
      <c r="B41" s="53">
        <v>1849</v>
      </c>
      <c r="C41" s="37" t="s">
        <v>44</v>
      </c>
      <c r="D41" s="29">
        <v>19101813</v>
      </c>
      <c r="E41" s="29"/>
      <c r="F41" s="30">
        <f t="shared" si="0"/>
        <v>19101813</v>
      </c>
      <c r="G41" s="29">
        <v>1796412.3</v>
      </c>
      <c r="H41" s="29"/>
      <c r="I41" s="29">
        <v>-584909</v>
      </c>
      <c r="J41" s="29">
        <f t="shared" si="1"/>
        <v>19707564.649999999</v>
      </c>
      <c r="K41" s="56">
        <v>40</v>
      </c>
      <c r="L41" s="32">
        <f t="shared" si="4"/>
        <v>2.5000000000000001E-2</v>
      </c>
      <c r="M41" s="42">
        <f t="shared" si="2"/>
        <v>492689.11624999996</v>
      </c>
      <c r="N41" s="30">
        <v>638163</v>
      </c>
      <c r="O41" s="34">
        <f t="shared" si="6"/>
        <v>-145473.88375000004</v>
      </c>
      <c r="P41" s="245" t="s">
        <v>95</v>
      </c>
      <c r="R41" s="14"/>
      <c r="S41" s="14"/>
      <c r="T41" s="35"/>
      <c r="X41" s="57"/>
      <c r="Y41" s="58"/>
    </row>
    <row r="42" spans="1:25">
      <c r="A42" s="53">
        <v>1850</v>
      </c>
      <c r="B42" s="53">
        <v>1850</v>
      </c>
      <c r="C42" s="37" t="s">
        <v>77</v>
      </c>
      <c r="D42" s="29">
        <v>113944254</v>
      </c>
      <c r="E42" s="29">
        <v>39889.24</v>
      </c>
      <c r="F42" s="30">
        <f t="shared" si="0"/>
        <v>113904364.76000001</v>
      </c>
      <c r="G42" s="29">
        <v>11803072.65</v>
      </c>
      <c r="H42" s="29"/>
      <c r="I42" s="29">
        <v>-1080354</v>
      </c>
      <c r="J42" s="29">
        <f t="shared" si="1"/>
        <v>119265724.08500001</v>
      </c>
      <c r="K42" s="56">
        <v>30</v>
      </c>
      <c r="L42" s="32">
        <f t="shared" si="4"/>
        <v>3.3333333333333333E-2</v>
      </c>
      <c r="M42" s="42">
        <f t="shared" si="2"/>
        <v>3975524.1361666671</v>
      </c>
      <c r="N42" s="30">
        <v>5555775</v>
      </c>
      <c r="O42" s="34">
        <f t="shared" si="6"/>
        <v>-1580250.8638333329</v>
      </c>
      <c r="P42" s="245" t="s">
        <v>95</v>
      </c>
      <c r="R42" s="14"/>
      <c r="S42" s="14"/>
      <c r="T42" s="35"/>
      <c r="X42" s="57"/>
      <c r="Y42" s="58"/>
    </row>
    <row r="43" spans="1:25">
      <c r="A43" s="53">
        <v>1855</v>
      </c>
      <c r="B43" s="53">
        <v>1855</v>
      </c>
      <c r="C43" s="37" t="s">
        <v>78</v>
      </c>
      <c r="D43" s="29">
        <v>8976989.3599999994</v>
      </c>
      <c r="E43" s="29"/>
      <c r="F43" s="30">
        <f t="shared" si="0"/>
        <v>8976989.3599999994</v>
      </c>
      <c r="G43" s="29">
        <v>1282531.9099999999</v>
      </c>
      <c r="H43" s="29"/>
      <c r="I43" s="29"/>
      <c r="J43" s="29">
        <f t="shared" si="1"/>
        <v>9618255.3149999995</v>
      </c>
      <c r="K43" s="56">
        <v>40</v>
      </c>
      <c r="L43" s="32">
        <f t="shared" si="4"/>
        <v>2.5000000000000001E-2</v>
      </c>
      <c r="M43" s="42">
        <f t="shared" si="2"/>
        <v>240456.38287499998</v>
      </c>
      <c r="N43" s="30">
        <v>281555.17</v>
      </c>
      <c r="O43" s="34">
        <f t="shared" si="6"/>
        <v>-41098.787125000003</v>
      </c>
      <c r="P43" s="245" t="s">
        <v>95</v>
      </c>
      <c r="R43" s="14"/>
      <c r="S43" s="14"/>
      <c r="T43" s="35"/>
      <c r="X43" s="57"/>
      <c r="Y43" s="58"/>
    </row>
    <row r="44" spans="1:25">
      <c r="A44" s="53">
        <v>1856</v>
      </c>
      <c r="B44" s="53">
        <v>1856</v>
      </c>
      <c r="C44" s="37" t="s">
        <v>45</v>
      </c>
      <c r="D44" s="29">
        <v>44956110.920000002</v>
      </c>
      <c r="E44" s="29"/>
      <c r="F44" s="30">
        <f t="shared" si="0"/>
        <v>44956110.920000002</v>
      </c>
      <c r="G44" s="29">
        <v>2936253.31</v>
      </c>
      <c r="H44" s="29"/>
      <c r="I44" s="29"/>
      <c r="J44" s="29">
        <f t="shared" si="1"/>
        <v>46424237.575000003</v>
      </c>
      <c r="K44" s="56">
        <v>25</v>
      </c>
      <c r="L44" s="32">
        <f t="shared" si="4"/>
        <v>0.04</v>
      </c>
      <c r="M44" s="42">
        <f t="shared" si="2"/>
        <v>1856969.503</v>
      </c>
      <c r="N44" s="30">
        <v>2957517.81</v>
      </c>
      <c r="O44" s="183">
        <f t="shared" si="6"/>
        <v>-1100548.307</v>
      </c>
      <c r="P44" s="245" t="s">
        <v>95</v>
      </c>
      <c r="R44" s="14"/>
      <c r="S44" s="14"/>
      <c r="T44" s="35"/>
      <c r="X44" s="57"/>
      <c r="Y44" s="58"/>
    </row>
    <row r="45" spans="1:25">
      <c r="A45" s="53">
        <v>1860</v>
      </c>
      <c r="B45" s="53">
        <v>1860</v>
      </c>
      <c r="C45" s="37" t="s">
        <v>31</v>
      </c>
      <c r="D45" s="29">
        <v>8603818.120000001</v>
      </c>
      <c r="E45" s="29">
        <v>9433.82</v>
      </c>
      <c r="F45" s="30">
        <f t="shared" si="0"/>
        <v>8594384.3000000007</v>
      </c>
      <c r="G45" s="29">
        <v>1203752.76</v>
      </c>
      <c r="H45" s="29"/>
      <c r="I45" s="29">
        <v>-75174.399999999994</v>
      </c>
      <c r="J45" s="29">
        <f>F45+0.5*G45+0.5*I45+H45</f>
        <v>9158673.4800000023</v>
      </c>
      <c r="K45" s="56">
        <v>25</v>
      </c>
      <c r="L45" s="32">
        <f t="shared" si="4"/>
        <v>0.04</v>
      </c>
      <c r="M45" s="42">
        <f t="shared" si="2"/>
        <v>366346.93920000008</v>
      </c>
      <c r="N45" s="214">
        <v>424794</v>
      </c>
      <c r="O45" s="188">
        <f t="shared" si="6"/>
        <v>-58447.060799999919</v>
      </c>
      <c r="P45" s="242" t="s">
        <v>95</v>
      </c>
      <c r="R45" s="14"/>
      <c r="S45" s="14"/>
      <c r="T45" s="35"/>
      <c r="X45" s="57"/>
      <c r="Y45" s="58"/>
    </row>
    <row r="46" spans="1:25">
      <c r="A46" s="53">
        <v>1861</v>
      </c>
      <c r="B46" s="53">
        <v>1861</v>
      </c>
      <c r="C46" s="37" t="s">
        <v>46</v>
      </c>
      <c r="D46" s="29">
        <v>9454519.0199999996</v>
      </c>
      <c r="E46" s="29"/>
      <c r="F46" s="30">
        <f t="shared" si="0"/>
        <v>9454519.0199999996</v>
      </c>
      <c r="G46" s="29">
        <v>2704191.56</v>
      </c>
      <c r="H46" s="29">
        <v>208603</v>
      </c>
      <c r="I46" s="29"/>
      <c r="J46" s="29">
        <f>F46+0.5*G46+0.5*I46+H46</f>
        <v>11015217.799999999</v>
      </c>
      <c r="K46" s="56">
        <v>15</v>
      </c>
      <c r="L46" s="32">
        <f t="shared" si="4"/>
        <v>6.6666666666666666E-2</v>
      </c>
      <c r="M46" s="42">
        <f t="shared" si="2"/>
        <v>734347.85333333327</v>
      </c>
      <c r="N46" s="30">
        <v>777178.03</v>
      </c>
      <c r="O46" s="184">
        <f t="shared" si="6"/>
        <v>-42830.176666666754</v>
      </c>
      <c r="P46" s="245" t="s">
        <v>95</v>
      </c>
      <c r="R46" s="14"/>
      <c r="S46" s="14"/>
      <c r="T46" s="35"/>
      <c r="X46" s="57"/>
      <c r="Y46" s="58"/>
    </row>
    <row r="47" spans="1:25">
      <c r="A47" s="53">
        <v>1862</v>
      </c>
      <c r="B47" s="53">
        <v>1862</v>
      </c>
      <c r="C47" s="37" t="s">
        <v>79</v>
      </c>
      <c r="D47" s="29">
        <v>46535921.270000003</v>
      </c>
      <c r="E47" s="29"/>
      <c r="F47" s="30">
        <f t="shared" si="0"/>
        <v>46535921.270000003</v>
      </c>
      <c r="G47" s="29">
        <v>470924.01</v>
      </c>
      <c r="H47" s="29"/>
      <c r="I47" s="29">
        <v>-84462.8</v>
      </c>
      <c r="J47" s="29">
        <f t="shared" si="1"/>
        <v>46729151.875000007</v>
      </c>
      <c r="K47" s="56">
        <v>15</v>
      </c>
      <c r="L47" s="32">
        <f t="shared" si="4"/>
        <v>6.6666666666666666E-2</v>
      </c>
      <c r="M47" s="42">
        <f t="shared" si="2"/>
        <v>3115276.791666667</v>
      </c>
      <c r="N47" s="30">
        <v>3413141.64</v>
      </c>
      <c r="O47" s="34">
        <f t="shared" si="6"/>
        <v>-297864.84833333315</v>
      </c>
      <c r="P47" s="245" t="s">
        <v>95</v>
      </c>
      <c r="R47" s="14"/>
      <c r="S47" s="14"/>
      <c r="T47" s="35"/>
      <c r="X47" s="57"/>
      <c r="Y47" s="58"/>
    </row>
    <row r="48" spans="1:25" ht="12.75" customHeight="1">
      <c r="A48" s="53">
        <v>1870</v>
      </c>
      <c r="B48" s="53">
        <v>1870</v>
      </c>
      <c r="C48" s="37" t="s">
        <v>47</v>
      </c>
      <c r="D48" s="29">
        <v>0</v>
      </c>
      <c r="E48" s="29"/>
      <c r="F48" s="30">
        <f t="shared" si="0"/>
        <v>0</v>
      </c>
      <c r="G48" s="29">
        <v>0</v>
      </c>
      <c r="H48" s="29"/>
      <c r="I48" s="29"/>
      <c r="J48" s="29">
        <f t="shared" si="1"/>
        <v>0</v>
      </c>
      <c r="K48" s="56">
        <v>10</v>
      </c>
      <c r="L48" s="32">
        <f t="shared" si="4"/>
        <v>0.1</v>
      </c>
      <c r="M48" s="42">
        <f t="shared" si="2"/>
        <v>0</v>
      </c>
      <c r="N48" s="30">
        <v>0</v>
      </c>
      <c r="O48" s="34">
        <f t="shared" si="6"/>
        <v>0</v>
      </c>
      <c r="P48" s="245"/>
      <c r="R48" s="14"/>
      <c r="S48" s="14"/>
      <c r="T48" s="35"/>
      <c r="X48" s="57"/>
      <c r="Y48" s="58"/>
    </row>
    <row r="49" spans="1:25" ht="24.75" customHeight="1">
      <c r="A49" s="53">
        <v>1908</v>
      </c>
      <c r="B49" s="53">
        <v>1908</v>
      </c>
      <c r="C49" s="37" t="s">
        <v>33</v>
      </c>
      <c r="D49" s="29">
        <v>20314207.190000001</v>
      </c>
      <c r="E49" s="29"/>
      <c r="F49" s="30">
        <f t="shared" si="0"/>
        <v>20314207.190000001</v>
      </c>
      <c r="G49" s="29">
        <v>241334.32</v>
      </c>
      <c r="H49" s="29"/>
      <c r="I49" s="29"/>
      <c r="J49" s="29">
        <f t="shared" si="1"/>
        <v>20434874.350000001</v>
      </c>
      <c r="K49" s="56">
        <v>50</v>
      </c>
      <c r="L49" s="32">
        <f t="shared" si="4"/>
        <v>0.02</v>
      </c>
      <c r="M49" s="42">
        <f t="shared" si="2"/>
        <v>408697.48700000002</v>
      </c>
      <c r="N49" s="30">
        <v>435775.19</v>
      </c>
      <c r="O49" s="34">
        <f t="shared" si="6"/>
        <v>-27077.70299999998</v>
      </c>
      <c r="P49" s="245" t="s">
        <v>95</v>
      </c>
      <c r="R49" s="14"/>
      <c r="S49" s="14"/>
      <c r="T49" s="35"/>
      <c r="X49" s="57"/>
      <c r="Y49" s="58"/>
    </row>
    <row r="50" spans="1:25">
      <c r="A50" s="53">
        <v>1912</v>
      </c>
      <c r="B50" s="53">
        <v>1908</v>
      </c>
      <c r="C50" s="37" t="s">
        <v>96</v>
      </c>
      <c r="D50" s="29">
        <v>16914768.809999999</v>
      </c>
      <c r="E50" s="29"/>
      <c r="F50" s="30">
        <f t="shared" si="0"/>
        <v>16914768.809999999</v>
      </c>
      <c r="G50" s="29">
        <v>86334.06</v>
      </c>
      <c r="H50" s="29"/>
      <c r="I50" s="29"/>
      <c r="J50" s="29">
        <f t="shared" si="1"/>
        <v>16957935.84</v>
      </c>
      <c r="K50" s="56">
        <v>50</v>
      </c>
      <c r="L50" s="32">
        <f t="shared" si="4"/>
        <v>0.02</v>
      </c>
      <c r="M50" s="42">
        <f t="shared" si="2"/>
        <v>339158.71679999999</v>
      </c>
      <c r="N50" s="30">
        <v>394009.5</v>
      </c>
      <c r="O50" s="34">
        <f t="shared" si="6"/>
        <v>-54850.783200000005</v>
      </c>
      <c r="P50" s="245" t="s">
        <v>95</v>
      </c>
      <c r="R50" s="14"/>
      <c r="S50" s="14"/>
      <c r="T50" s="35"/>
      <c r="X50" s="57"/>
      <c r="Y50" s="58"/>
    </row>
    <row r="51" spans="1:25">
      <c r="A51" s="53">
        <v>1913</v>
      </c>
      <c r="B51" s="53">
        <v>1908</v>
      </c>
      <c r="C51" s="54" t="s">
        <v>66</v>
      </c>
      <c r="D51" s="29">
        <v>2655479.16</v>
      </c>
      <c r="E51" s="29"/>
      <c r="F51" s="30">
        <f t="shared" si="0"/>
        <v>2655479.16</v>
      </c>
      <c r="G51" s="29">
        <v>26673.64</v>
      </c>
      <c r="H51" s="29"/>
      <c r="I51" s="29"/>
      <c r="J51" s="29">
        <f t="shared" si="1"/>
        <v>2668815.98</v>
      </c>
      <c r="K51" s="56">
        <v>30</v>
      </c>
      <c r="L51" s="32">
        <f t="shared" si="4"/>
        <v>3.3333333333333333E-2</v>
      </c>
      <c r="M51" s="42">
        <f t="shared" si="2"/>
        <v>88960.532666666666</v>
      </c>
      <c r="N51" s="30">
        <v>97218.45</v>
      </c>
      <c r="O51" s="34">
        <f t="shared" si="6"/>
        <v>-8257.917333333331</v>
      </c>
      <c r="P51" s="245" t="s">
        <v>95</v>
      </c>
      <c r="R51" s="14"/>
      <c r="S51" s="14"/>
      <c r="T51" s="35"/>
      <c r="X51" s="57"/>
      <c r="Y51" s="58"/>
    </row>
    <row r="52" spans="1:25" ht="21.75" customHeight="1">
      <c r="A52" s="43"/>
      <c r="B52" s="86"/>
      <c r="C52" s="82"/>
      <c r="D52" s="45"/>
      <c r="E52" s="45"/>
      <c r="F52" s="46"/>
      <c r="G52" s="45"/>
      <c r="H52" s="45"/>
      <c r="I52" s="45"/>
      <c r="J52" s="82" t="s">
        <v>88</v>
      </c>
      <c r="K52" s="83"/>
      <c r="L52" s="49"/>
      <c r="M52" s="42">
        <f>SUM(M49:M51)</f>
        <v>836816.73646666668</v>
      </c>
      <c r="N52" s="30">
        <f>SUM(N49:N51)</f>
        <v>927003.1399999999</v>
      </c>
      <c r="O52" s="34">
        <f t="shared" si="6"/>
        <v>-90186.403533333214</v>
      </c>
      <c r="P52" s="245"/>
      <c r="R52" s="14"/>
      <c r="S52" s="14"/>
      <c r="T52" s="35"/>
      <c r="X52" s="57"/>
      <c r="Y52" s="58"/>
    </row>
    <row r="53" spans="1:25" ht="23.25" customHeight="1">
      <c r="A53" s="53">
        <v>1910</v>
      </c>
      <c r="B53" s="53">
        <v>1910</v>
      </c>
      <c r="C53" s="55" t="s">
        <v>104</v>
      </c>
      <c r="D53" s="29">
        <v>0</v>
      </c>
      <c r="E53" s="29"/>
      <c r="F53" s="30">
        <f t="shared" ref="F53:F54" si="7">D53-E53</f>
        <v>0</v>
      </c>
      <c r="G53" s="29">
        <v>11225</v>
      </c>
      <c r="H53" s="29"/>
      <c r="I53" s="29"/>
      <c r="J53" s="29">
        <f t="shared" ref="J53:J54" si="8">F53+0.5*G53+0.5*I53+0.5*H53</f>
        <v>5612.5</v>
      </c>
      <c r="K53" s="56">
        <v>10</v>
      </c>
      <c r="L53" s="32">
        <f t="shared" ref="L53:L54" si="9">IF(K53=0,"",1/K53)</f>
        <v>0.1</v>
      </c>
      <c r="M53" s="42">
        <f t="shared" ref="M53:M54" si="10">IF(K53=0,"",J53/K53)</f>
        <v>561.25</v>
      </c>
      <c r="N53" s="30">
        <v>0</v>
      </c>
      <c r="O53" s="34">
        <f t="shared" si="6"/>
        <v>561.25</v>
      </c>
      <c r="P53" s="245" t="s">
        <v>95</v>
      </c>
      <c r="R53" s="14"/>
      <c r="S53" s="14"/>
      <c r="T53" s="35"/>
      <c r="X53" s="57"/>
      <c r="Y53" s="58"/>
    </row>
    <row r="54" spans="1:25">
      <c r="A54" s="53">
        <v>1911</v>
      </c>
      <c r="B54" s="53">
        <v>1910</v>
      </c>
      <c r="C54" s="54" t="s">
        <v>105</v>
      </c>
      <c r="D54" s="29">
        <v>0</v>
      </c>
      <c r="E54" s="29"/>
      <c r="F54" s="30">
        <f t="shared" si="7"/>
        <v>0</v>
      </c>
      <c r="G54" s="29">
        <v>53945.9</v>
      </c>
      <c r="H54" s="29"/>
      <c r="I54" s="29"/>
      <c r="J54" s="29">
        <f t="shared" si="8"/>
        <v>26972.95</v>
      </c>
      <c r="K54" s="56">
        <v>2</v>
      </c>
      <c r="L54" s="32">
        <f t="shared" si="9"/>
        <v>0.5</v>
      </c>
      <c r="M54" s="42">
        <f t="shared" si="10"/>
        <v>13486.475</v>
      </c>
      <c r="N54" s="30">
        <v>240.2</v>
      </c>
      <c r="O54" s="34">
        <f t="shared" si="6"/>
        <v>13246.275</v>
      </c>
      <c r="P54" s="245" t="s">
        <v>95</v>
      </c>
      <c r="R54" s="14"/>
      <c r="S54" s="14"/>
      <c r="T54" s="35"/>
      <c r="X54" s="57"/>
      <c r="Y54" s="58"/>
    </row>
    <row r="55" spans="1:25" ht="15.75">
      <c r="A55" s="53"/>
      <c r="B55" s="53"/>
      <c r="C55" s="37"/>
      <c r="D55" s="29"/>
      <c r="E55" s="29"/>
      <c r="F55" s="30"/>
      <c r="G55" s="29"/>
      <c r="H55" s="29"/>
      <c r="I55" s="29"/>
      <c r="J55" s="59" t="s">
        <v>106</v>
      </c>
      <c r="K55" s="56"/>
      <c r="L55" s="32"/>
      <c r="M55" s="42">
        <f>SUM(M53:M54)</f>
        <v>14047.725</v>
      </c>
      <c r="N55" s="30">
        <f>SUM(N53:N54)</f>
        <v>240.2</v>
      </c>
      <c r="O55" s="34">
        <f t="shared" si="6"/>
        <v>13807.525</v>
      </c>
      <c r="P55" s="245"/>
      <c r="R55" s="14"/>
      <c r="S55" s="14"/>
      <c r="T55" s="35"/>
      <c r="X55" s="57"/>
      <c r="Y55" s="58"/>
    </row>
    <row r="56" spans="1:25" ht="23.25" customHeight="1">
      <c r="A56" s="53">
        <v>1915</v>
      </c>
      <c r="B56" s="53">
        <v>1915</v>
      </c>
      <c r="C56" s="55" t="s">
        <v>110</v>
      </c>
      <c r="D56" s="29">
        <v>3653846</v>
      </c>
      <c r="E56" s="29">
        <v>16143.82</v>
      </c>
      <c r="F56" s="30">
        <f t="shared" ref="F56:F59" si="11">D56-E56</f>
        <v>3637702.18</v>
      </c>
      <c r="G56" s="29">
        <v>1222611.3899999999</v>
      </c>
      <c r="H56" s="29"/>
      <c r="I56" s="29"/>
      <c r="J56" s="29">
        <f t="shared" ref="J56" si="12">F56+0.5*G56+0.5*I56+0.5*H56</f>
        <v>4249007.875</v>
      </c>
      <c r="K56" s="56">
        <v>10</v>
      </c>
      <c r="L56" s="32">
        <f t="shared" ref="L56:L83" si="13">IF(K56=0,"",1/K56)</f>
        <v>0.1</v>
      </c>
      <c r="M56" s="42">
        <f t="shared" ref="M56" si="14">IF(K56=0,"",J56/K56)</f>
        <v>424900.78749999998</v>
      </c>
      <c r="N56" s="30">
        <v>556015</v>
      </c>
      <c r="O56" s="34">
        <f>+M56-N56</f>
        <v>-131114.21250000002</v>
      </c>
      <c r="P56" s="245" t="s">
        <v>95</v>
      </c>
      <c r="R56" s="14"/>
      <c r="S56" s="14"/>
      <c r="T56" s="35"/>
      <c r="X56" s="57"/>
      <c r="Y56" s="58"/>
    </row>
    <row r="57" spans="1:25" ht="24" customHeight="1">
      <c r="A57" s="53">
        <v>1920</v>
      </c>
      <c r="B57" s="53">
        <v>1920</v>
      </c>
      <c r="C57" s="37" t="s">
        <v>34</v>
      </c>
      <c r="D57" s="29">
        <v>0.01</v>
      </c>
      <c r="E57" s="29"/>
      <c r="F57" s="30">
        <f t="shared" si="11"/>
        <v>0.01</v>
      </c>
      <c r="G57" s="29">
        <v>82692.929999999993</v>
      </c>
      <c r="H57" s="29"/>
      <c r="I57" s="29"/>
      <c r="J57" s="29">
        <f t="shared" ref="J57:J59" si="15">F57+0.5*G57+0.5*H57+0.5*I57</f>
        <v>41346.474999999999</v>
      </c>
      <c r="K57" s="31">
        <v>5</v>
      </c>
      <c r="L57" s="52">
        <f t="shared" si="13"/>
        <v>0.2</v>
      </c>
      <c r="M57" s="42">
        <f>IF(K57=0,"",J57/K57)</f>
        <v>8269.2950000000001</v>
      </c>
      <c r="N57" s="30">
        <v>0</v>
      </c>
      <c r="O57" s="34">
        <f>+M57-N57</f>
        <v>8269.2950000000001</v>
      </c>
      <c r="P57" s="245" t="s">
        <v>95</v>
      </c>
      <c r="R57" s="14"/>
      <c r="S57" s="14"/>
      <c r="T57" s="35"/>
    </row>
    <row r="58" spans="1:25">
      <c r="A58" s="53">
        <v>1921</v>
      </c>
      <c r="B58" s="53">
        <v>1920</v>
      </c>
      <c r="C58" s="37" t="s">
        <v>67</v>
      </c>
      <c r="D58" s="29">
        <v>1179809.7</v>
      </c>
      <c r="E58" s="29">
        <v>405083.94</v>
      </c>
      <c r="F58" s="30">
        <f t="shared" si="11"/>
        <v>774725.76</v>
      </c>
      <c r="G58" s="29">
        <v>340625.32</v>
      </c>
      <c r="H58" s="29"/>
      <c r="I58" s="29"/>
      <c r="J58" s="29">
        <f t="shared" si="15"/>
        <v>945038.42</v>
      </c>
      <c r="K58" s="31">
        <v>4</v>
      </c>
      <c r="L58" s="52">
        <f t="shared" si="13"/>
        <v>0.25</v>
      </c>
      <c r="M58" s="42">
        <f t="shared" ref="M58:M59" si="16">IF(K58=0,"",J58/K58)</f>
        <v>236259.60500000001</v>
      </c>
      <c r="N58" s="30">
        <v>353175.78</v>
      </c>
      <c r="O58" s="34">
        <f t="shared" ref="O58:O59" si="17">+M58-N58</f>
        <v>-116916.17500000002</v>
      </c>
      <c r="P58" s="245" t="s">
        <v>95</v>
      </c>
      <c r="R58" s="14"/>
      <c r="S58" s="14"/>
      <c r="T58" s="35"/>
    </row>
    <row r="59" spans="1:25">
      <c r="A59" s="53">
        <v>1922</v>
      </c>
      <c r="B59" s="53">
        <v>1920</v>
      </c>
      <c r="C59" s="37" t="s">
        <v>68</v>
      </c>
      <c r="D59" s="29">
        <v>2573823.5499999998</v>
      </c>
      <c r="E59" s="29">
        <v>305768.42000000004</v>
      </c>
      <c r="F59" s="30">
        <f t="shared" si="11"/>
        <v>2268055.13</v>
      </c>
      <c r="G59" s="29">
        <v>586890.05000000005</v>
      </c>
      <c r="H59" s="29"/>
      <c r="I59" s="29"/>
      <c r="J59" s="29">
        <f t="shared" si="15"/>
        <v>2561500.1549999998</v>
      </c>
      <c r="K59" s="31">
        <v>5</v>
      </c>
      <c r="L59" s="52">
        <f t="shared" si="13"/>
        <v>0.2</v>
      </c>
      <c r="M59" s="42">
        <f t="shared" si="16"/>
        <v>512300.03099999996</v>
      </c>
      <c r="N59" s="30">
        <v>707330.49</v>
      </c>
      <c r="O59" s="34">
        <f t="shared" si="17"/>
        <v>-195030.45900000003</v>
      </c>
      <c r="P59" s="245" t="s">
        <v>95</v>
      </c>
      <c r="R59" s="14"/>
      <c r="S59" s="14"/>
      <c r="T59" s="35"/>
    </row>
    <row r="60" spans="1:25">
      <c r="A60" s="53">
        <v>1923</v>
      </c>
      <c r="B60" s="53">
        <v>1920</v>
      </c>
      <c r="C60" s="37" t="s">
        <v>69</v>
      </c>
      <c r="D60" s="29">
        <v>247892.27</v>
      </c>
      <c r="E60" s="29">
        <v>31828.070000000003</v>
      </c>
      <c r="F60" s="30">
        <f t="shared" si="0"/>
        <v>216064.19999999998</v>
      </c>
      <c r="G60" s="29">
        <v>220478.2</v>
      </c>
      <c r="H60" s="29"/>
      <c r="I60" s="29"/>
      <c r="J60" s="29">
        <f t="shared" si="1"/>
        <v>326303.3</v>
      </c>
      <c r="K60" s="56">
        <v>5</v>
      </c>
      <c r="L60" s="32">
        <f t="shared" si="13"/>
        <v>0.2</v>
      </c>
      <c r="M60" s="42">
        <f>IF(K60=0,"",J60/K60)</f>
        <v>65260.659999999996</v>
      </c>
      <c r="N60" s="30">
        <v>68447.5</v>
      </c>
      <c r="O60" s="34">
        <f t="shared" si="6"/>
        <v>-3186.8400000000038</v>
      </c>
      <c r="P60" s="245" t="s">
        <v>95</v>
      </c>
      <c r="R60" s="14"/>
      <c r="S60" s="14"/>
      <c r="T60" s="35"/>
      <c r="X60" s="57"/>
      <c r="Y60" s="58"/>
    </row>
    <row r="61" spans="1:25">
      <c r="A61" s="53">
        <v>1924</v>
      </c>
      <c r="B61" s="53">
        <v>1920</v>
      </c>
      <c r="C61" s="37" t="s">
        <v>70</v>
      </c>
      <c r="D61" s="29">
        <v>1098301.54</v>
      </c>
      <c r="E61" s="29">
        <v>32831.07</v>
      </c>
      <c r="F61" s="30">
        <f t="shared" si="0"/>
        <v>1065470.47</v>
      </c>
      <c r="G61" s="29">
        <v>521545.12</v>
      </c>
      <c r="H61" s="29"/>
      <c r="I61" s="29"/>
      <c r="J61" s="29">
        <f t="shared" si="1"/>
        <v>1326243.03</v>
      </c>
      <c r="K61" s="56">
        <v>6</v>
      </c>
      <c r="L61" s="32">
        <f t="shared" si="13"/>
        <v>0.16666666666666666</v>
      </c>
      <c r="M61" s="42">
        <f>IF(K61=0,"",J61/K61)</f>
        <v>221040.505</v>
      </c>
      <c r="N61" s="30">
        <v>260585.41</v>
      </c>
      <c r="O61" s="34">
        <f t="shared" si="6"/>
        <v>-39544.904999999999</v>
      </c>
      <c r="P61" s="245" t="s">
        <v>95</v>
      </c>
      <c r="R61" s="14"/>
      <c r="S61" s="14"/>
      <c r="T61" s="35"/>
      <c r="X61" s="57"/>
      <c r="Y61" s="58"/>
    </row>
    <row r="62" spans="1:25" ht="25.5" customHeight="1">
      <c r="A62" s="43"/>
      <c r="B62" s="86"/>
      <c r="C62" s="88"/>
      <c r="D62" s="45"/>
      <c r="E62" s="45"/>
      <c r="F62" s="46"/>
      <c r="G62" s="45"/>
      <c r="H62" s="45"/>
      <c r="I62" s="45"/>
      <c r="J62" s="82" t="s">
        <v>92</v>
      </c>
      <c r="K62" s="83"/>
      <c r="L62" s="89"/>
      <c r="M62" s="42">
        <f>SUM(M57:M61)</f>
        <v>1043130.096</v>
      </c>
      <c r="N62" s="30">
        <f>SUM(N57:N61)</f>
        <v>1389539.18</v>
      </c>
      <c r="O62" s="34">
        <f>+M62-N62</f>
        <v>-346409.08399999992</v>
      </c>
      <c r="P62" s="245"/>
      <c r="R62" s="14"/>
      <c r="S62" s="14"/>
      <c r="T62" s="35"/>
      <c r="X62" s="57"/>
      <c r="Y62" s="58"/>
    </row>
    <row r="63" spans="1:25" ht="14.25" customHeight="1">
      <c r="A63" s="53">
        <v>1925</v>
      </c>
      <c r="B63" s="53">
        <v>1925</v>
      </c>
      <c r="C63" s="37" t="s">
        <v>35</v>
      </c>
      <c r="D63" s="29">
        <v>8750349</v>
      </c>
      <c r="E63" s="29">
        <v>391869.99</v>
      </c>
      <c r="F63" s="30">
        <f t="shared" si="0"/>
        <v>8358479.0099999998</v>
      </c>
      <c r="G63" s="29">
        <v>3041351.54</v>
      </c>
      <c r="H63" s="29"/>
      <c r="I63" s="29"/>
      <c r="J63" s="29">
        <f t="shared" si="1"/>
        <v>9879154.7799999993</v>
      </c>
      <c r="K63" s="56">
        <v>4</v>
      </c>
      <c r="L63" s="32">
        <f t="shared" si="13"/>
        <v>0.25</v>
      </c>
      <c r="M63" s="42">
        <f>IF(K63=0,"",J63/K63)</f>
        <v>2469788.6949999998</v>
      </c>
      <c r="N63" s="30">
        <v>2503438.5099999998</v>
      </c>
      <c r="O63" s="60">
        <f t="shared" si="6"/>
        <v>-33649.814999999944</v>
      </c>
      <c r="P63" s="245" t="s">
        <v>95</v>
      </c>
      <c r="R63" s="14"/>
      <c r="S63" s="14"/>
      <c r="T63" s="35"/>
      <c r="X63" s="57"/>
      <c r="Y63" s="58"/>
    </row>
    <row r="64" spans="1:25" ht="25.5" customHeight="1">
      <c r="A64" s="53">
        <v>1927</v>
      </c>
      <c r="B64" s="53">
        <v>1925</v>
      </c>
      <c r="C64" s="37" t="s">
        <v>107</v>
      </c>
      <c r="D64" s="29">
        <v>0</v>
      </c>
      <c r="E64" s="29"/>
      <c r="F64" s="30">
        <f t="shared" si="0"/>
        <v>0</v>
      </c>
      <c r="G64" s="29">
        <v>286665.46999999997</v>
      </c>
      <c r="H64" s="29">
        <v>-286665</v>
      </c>
      <c r="I64" s="29"/>
      <c r="J64" s="29">
        <f t="shared" si="1"/>
        <v>0.23499999998603016</v>
      </c>
      <c r="K64" s="56">
        <v>10</v>
      </c>
      <c r="L64" s="32">
        <f t="shared" si="13"/>
        <v>0.1</v>
      </c>
      <c r="M64" s="42">
        <f>IF(K64=0,"",J64/K64)</f>
        <v>2.3499999998603017E-2</v>
      </c>
      <c r="N64" s="30">
        <v>0</v>
      </c>
      <c r="O64" s="60"/>
      <c r="P64" s="245" t="s">
        <v>95</v>
      </c>
      <c r="R64" s="14"/>
      <c r="S64" s="14"/>
      <c r="T64" s="35"/>
      <c r="X64" s="57"/>
      <c r="Y64" s="58"/>
    </row>
    <row r="65" spans="1:25">
      <c r="A65" s="53">
        <v>1930</v>
      </c>
      <c r="B65" s="53">
        <v>1930</v>
      </c>
      <c r="C65" s="37" t="s">
        <v>71</v>
      </c>
      <c r="D65" s="29">
        <v>3719076</v>
      </c>
      <c r="E65" s="29"/>
      <c r="F65" s="30">
        <f t="shared" si="0"/>
        <v>3719076</v>
      </c>
      <c r="G65" s="29">
        <v>955732.42</v>
      </c>
      <c r="H65" s="29"/>
      <c r="I65" s="29"/>
      <c r="J65" s="29">
        <f t="shared" si="1"/>
        <v>4196942.21</v>
      </c>
      <c r="K65" s="56">
        <v>7</v>
      </c>
      <c r="L65" s="32">
        <f t="shared" si="13"/>
        <v>0.14285714285714285</v>
      </c>
      <c r="M65" s="42">
        <f t="shared" ref="M65:M77" si="18">IF(K65=0,"",J65/K65)</f>
        <v>599563.17285714287</v>
      </c>
      <c r="N65" s="30">
        <v>780867.84</v>
      </c>
      <c r="O65" s="60">
        <f t="shared" ref="O65" si="19">+M65-N65</f>
        <v>-181304.6671428571</v>
      </c>
      <c r="P65" s="245" t="s">
        <v>95</v>
      </c>
      <c r="R65" s="14"/>
      <c r="S65" s="14"/>
      <c r="T65" s="35"/>
      <c r="X65" s="57"/>
      <c r="Y65" s="58"/>
    </row>
    <row r="66" spans="1:25">
      <c r="A66" s="53">
        <v>1931</v>
      </c>
      <c r="B66" s="53">
        <v>1930</v>
      </c>
      <c r="C66" s="37" t="s">
        <v>72</v>
      </c>
      <c r="D66" s="29">
        <v>5696742.1399999997</v>
      </c>
      <c r="E66" s="29"/>
      <c r="F66" s="30">
        <f t="shared" si="0"/>
        <v>5696742.1399999997</v>
      </c>
      <c r="G66" s="29">
        <v>991387.81</v>
      </c>
      <c r="H66" s="29"/>
      <c r="I66" s="29"/>
      <c r="J66" s="29">
        <f t="shared" si="1"/>
        <v>6192436.0449999999</v>
      </c>
      <c r="K66" s="56">
        <v>12</v>
      </c>
      <c r="L66" s="32">
        <f t="shared" si="13"/>
        <v>8.3333333333333329E-2</v>
      </c>
      <c r="M66" s="42">
        <f t="shared" si="18"/>
        <v>516036.33708333335</v>
      </c>
      <c r="N66" s="30">
        <v>609315.68000000005</v>
      </c>
      <c r="O66" s="60">
        <f t="shared" si="6"/>
        <v>-93279.342916666705</v>
      </c>
      <c r="P66" s="245" t="s">
        <v>95</v>
      </c>
      <c r="R66" s="14"/>
      <c r="S66" s="14"/>
      <c r="T66" s="35"/>
      <c r="X66" s="57"/>
      <c r="Y66" s="58"/>
    </row>
    <row r="67" spans="1:25">
      <c r="A67" s="53">
        <v>1932</v>
      </c>
      <c r="B67" s="53">
        <v>1930</v>
      </c>
      <c r="C67" s="37" t="s">
        <v>73</v>
      </c>
      <c r="D67" s="29">
        <v>165563.25</v>
      </c>
      <c r="E67" s="29"/>
      <c r="F67" s="30">
        <f t="shared" si="0"/>
        <v>165563.25</v>
      </c>
      <c r="G67" s="29">
        <v>0</v>
      </c>
      <c r="H67" s="29"/>
      <c r="I67" s="29"/>
      <c r="J67" s="29">
        <f t="shared" si="1"/>
        <v>165563.25</v>
      </c>
      <c r="K67" s="56">
        <v>22</v>
      </c>
      <c r="L67" s="32">
        <f t="shared" si="13"/>
        <v>4.5454545454545456E-2</v>
      </c>
      <c r="M67" s="42">
        <f t="shared" si="18"/>
        <v>7525.602272727273</v>
      </c>
      <c r="N67" s="30">
        <v>6022.94</v>
      </c>
      <c r="O67" s="34">
        <f t="shared" si="6"/>
        <v>1502.6622727272734</v>
      </c>
      <c r="P67" s="245" t="s">
        <v>95</v>
      </c>
      <c r="R67" s="14"/>
      <c r="S67" s="14"/>
      <c r="T67" s="35"/>
      <c r="X67" s="57"/>
      <c r="Y67" s="58"/>
    </row>
    <row r="68" spans="1:25" ht="25.5" customHeight="1">
      <c r="A68" s="43"/>
      <c r="B68" s="86"/>
      <c r="C68" s="88"/>
      <c r="D68" s="45"/>
      <c r="E68" s="45"/>
      <c r="F68" s="46"/>
      <c r="G68" s="45"/>
      <c r="H68" s="45"/>
      <c r="I68" s="45"/>
      <c r="J68" s="82" t="s">
        <v>89</v>
      </c>
      <c r="K68" s="83"/>
      <c r="L68" s="49"/>
      <c r="M68" s="90">
        <f>SUM(M65:M67)</f>
        <v>1123125.1122132035</v>
      </c>
      <c r="N68" s="215">
        <f>SUM(N65:N67)</f>
        <v>1396206.46</v>
      </c>
      <c r="O68" s="60">
        <f t="shared" si="6"/>
        <v>-273081.34778679651</v>
      </c>
      <c r="P68" s="245"/>
      <c r="R68" s="14"/>
      <c r="S68" s="14"/>
      <c r="T68" s="35"/>
      <c r="X68" s="57"/>
      <c r="Y68" s="58"/>
    </row>
    <row r="69" spans="1:25">
      <c r="A69" s="53">
        <v>1935</v>
      </c>
      <c r="B69" s="53">
        <v>1935</v>
      </c>
      <c r="C69" s="37" t="s">
        <v>36</v>
      </c>
      <c r="D69" s="29">
        <v>-3583</v>
      </c>
      <c r="E69" s="29"/>
      <c r="F69" s="30">
        <f t="shared" si="0"/>
        <v>-3583</v>
      </c>
      <c r="G69" s="29">
        <v>7087.04</v>
      </c>
      <c r="H69" s="29"/>
      <c r="I69" s="29"/>
      <c r="J69" s="29">
        <f t="shared" si="1"/>
        <v>-39.480000000000018</v>
      </c>
      <c r="K69" s="56">
        <v>10</v>
      </c>
      <c r="L69" s="32">
        <f t="shared" si="13"/>
        <v>0.1</v>
      </c>
      <c r="M69" s="42">
        <f t="shared" si="18"/>
        <v>-3.9480000000000017</v>
      </c>
      <c r="N69" s="30">
        <v>211</v>
      </c>
      <c r="O69" s="34">
        <f t="shared" si="6"/>
        <v>-214.94800000000001</v>
      </c>
      <c r="P69" s="245" t="s">
        <v>95</v>
      </c>
      <c r="R69" s="14"/>
      <c r="S69" s="14"/>
      <c r="T69" s="35"/>
      <c r="X69" s="57"/>
      <c r="Y69" s="58"/>
    </row>
    <row r="70" spans="1:25">
      <c r="A70" s="53">
        <v>1940</v>
      </c>
      <c r="B70" s="53">
        <v>1940</v>
      </c>
      <c r="C70" s="37" t="s">
        <v>37</v>
      </c>
      <c r="D70" s="29">
        <v>2528018</v>
      </c>
      <c r="E70" s="29">
        <v>39142.03</v>
      </c>
      <c r="F70" s="30">
        <f t="shared" si="0"/>
        <v>2488875.9700000002</v>
      </c>
      <c r="G70" s="29">
        <v>714613.88</v>
      </c>
      <c r="H70" s="29"/>
      <c r="I70" s="29"/>
      <c r="J70" s="29">
        <f t="shared" si="1"/>
        <v>2846182.91</v>
      </c>
      <c r="K70" s="56">
        <v>10</v>
      </c>
      <c r="L70" s="32">
        <f t="shared" si="13"/>
        <v>0.1</v>
      </c>
      <c r="M70" s="42">
        <f t="shared" si="18"/>
        <v>284618.29100000003</v>
      </c>
      <c r="N70" s="30">
        <v>419213</v>
      </c>
      <c r="O70" s="34">
        <f t="shared" si="6"/>
        <v>-134594.70899999997</v>
      </c>
      <c r="P70" s="245" t="s">
        <v>95</v>
      </c>
      <c r="R70" s="14"/>
      <c r="S70" s="14"/>
      <c r="T70" s="35"/>
      <c r="X70" s="57"/>
      <c r="Y70" s="58"/>
    </row>
    <row r="71" spans="1:25" ht="27" customHeight="1">
      <c r="A71" s="53">
        <v>1955</v>
      </c>
      <c r="B71" s="53">
        <v>1955</v>
      </c>
      <c r="C71" s="54" t="s">
        <v>38</v>
      </c>
      <c r="D71" s="29">
        <v>1563007.69</v>
      </c>
      <c r="E71" s="29">
        <v>54666.479999999996</v>
      </c>
      <c r="F71" s="30">
        <f t="shared" si="0"/>
        <v>1508341.21</v>
      </c>
      <c r="G71" s="29">
        <v>253874.94</v>
      </c>
      <c r="H71" s="29"/>
      <c r="I71" s="29"/>
      <c r="J71" s="29">
        <f t="shared" si="1"/>
        <v>1635278.68</v>
      </c>
      <c r="K71" s="56">
        <v>6</v>
      </c>
      <c r="L71" s="32">
        <f t="shared" si="13"/>
        <v>0.16666666666666666</v>
      </c>
      <c r="M71" s="42">
        <f t="shared" si="18"/>
        <v>272546.44666666666</v>
      </c>
      <c r="N71" s="30">
        <v>358049.59</v>
      </c>
      <c r="O71" s="34">
        <f t="shared" si="6"/>
        <v>-85503.14333333337</v>
      </c>
      <c r="P71" s="245" t="s">
        <v>95</v>
      </c>
      <c r="R71" s="14"/>
      <c r="S71" s="14"/>
      <c r="T71" s="35"/>
      <c r="X71" s="57"/>
      <c r="Y71" s="58"/>
    </row>
    <row r="72" spans="1:25">
      <c r="A72" s="53">
        <v>1956</v>
      </c>
      <c r="B72" s="53">
        <v>1955</v>
      </c>
      <c r="C72" s="37" t="s">
        <v>48</v>
      </c>
      <c r="D72" s="29">
        <v>55430.76</v>
      </c>
      <c r="E72" s="29">
        <v>20931.740000000002</v>
      </c>
      <c r="F72" s="30">
        <f t="shared" si="0"/>
        <v>34499.020000000004</v>
      </c>
      <c r="G72" s="29">
        <v>3423.31</v>
      </c>
      <c r="H72" s="29"/>
      <c r="I72" s="29"/>
      <c r="J72" s="29">
        <f t="shared" si="1"/>
        <v>36210.675000000003</v>
      </c>
      <c r="K72" s="56">
        <v>3</v>
      </c>
      <c r="L72" s="32">
        <f t="shared" si="13"/>
        <v>0.33333333333333331</v>
      </c>
      <c r="M72" s="42">
        <f t="shared" si="18"/>
        <v>12070.225</v>
      </c>
      <c r="N72" s="30">
        <v>19439.05</v>
      </c>
      <c r="O72" s="34">
        <f t="shared" si="6"/>
        <v>-7368.8249999999989</v>
      </c>
      <c r="P72" s="245" t="s">
        <v>95</v>
      </c>
      <c r="R72" s="14"/>
      <c r="S72" s="14"/>
      <c r="T72" s="35"/>
      <c r="X72" s="57"/>
      <c r="Y72" s="58"/>
    </row>
    <row r="73" spans="1:25" ht="20.25" customHeight="1">
      <c r="A73" s="43"/>
      <c r="B73" s="53"/>
      <c r="C73" s="37"/>
      <c r="D73" s="29"/>
      <c r="E73" s="29"/>
      <c r="F73" s="30"/>
      <c r="G73" s="29"/>
      <c r="H73" s="29"/>
      <c r="I73" s="29"/>
      <c r="J73" s="82" t="s">
        <v>90</v>
      </c>
      <c r="K73" s="56"/>
      <c r="L73" s="32"/>
      <c r="M73" s="42">
        <f>SUM(M71:M72)</f>
        <v>284616.67166666663</v>
      </c>
      <c r="N73" s="30">
        <f>SUM(N71:N72)</f>
        <v>377488.64000000001</v>
      </c>
      <c r="O73" s="34">
        <f t="shared" si="6"/>
        <v>-92871.968333333381</v>
      </c>
      <c r="P73" s="245"/>
      <c r="R73" s="14"/>
      <c r="S73" s="14"/>
      <c r="T73" s="35"/>
      <c r="X73" s="57"/>
      <c r="Y73" s="58"/>
    </row>
    <row r="74" spans="1:25">
      <c r="A74" s="53">
        <v>1960</v>
      </c>
      <c r="B74" s="53">
        <v>1960</v>
      </c>
      <c r="C74" s="37" t="s">
        <v>39</v>
      </c>
      <c r="D74" s="29"/>
      <c r="E74" s="29"/>
      <c r="F74" s="30">
        <f t="shared" si="0"/>
        <v>0</v>
      </c>
      <c r="G74" s="29"/>
      <c r="H74" s="29"/>
      <c r="I74" s="29"/>
      <c r="J74" s="29">
        <f t="shared" si="1"/>
        <v>0</v>
      </c>
      <c r="K74" s="56">
        <v>10</v>
      </c>
      <c r="L74" s="32">
        <f t="shared" si="13"/>
        <v>0.1</v>
      </c>
      <c r="M74" s="42">
        <f t="shared" si="18"/>
        <v>0</v>
      </c>
      <c r="N74" s="30">
        <v>0</v>
      </c>
      <c r="O74" s="34">
        <f t="shared" si="6"/>
        <v>0</v>
      </c>
      <c r="P74" s="245"/>
      <c r="R74" s="14"/>
      <c r="S74" s="14"/>
      <c r="T74" s="35"/>
      <c r="X74" s="57"/>
      <c r="Y74" s="58"/>
    </row>
    <row r="75" spans="1:25" ht="18.75" customHeight="1">
      <c r="A75" s="53">
        <v>1961</v>
      </c>
      <c r="B75" s="53">
        <v>1961</v>
      </c>
      <c r="C75" s="37" t="s">
        <v>49</v>
      </c>
      <c r="D75" s="29">
        <v>0</v>
      </c>
      <c r="E75" s="29"/>
      <c r="F75" s="30">
        <f t="shared" si="0"/>
        <v>0</v>
      </c>
      <c r="G75" s="29">
        <v>-4884243</v>
      </c>
      <c r="H75" s="29"/>
      <c r="I75" s="29"/>
      <c r="J75" s="29">
        <f t="shared" si="1"/>
        <v>-2442121.5</v>
      </c>
      <c r="K75" s="56">
        <v>3</v>
      </c>
      <c r="L75" s="32">
        <f t="shared" si="13"/>
        <v>0.33333333333333331</v>
      </c>
      <c r="M75" s="42">
        <f t="shared" si="18"/>
        <v>-814040.5</v>
      </c>
      <c r="N75" s="30">
        <v>-120227.52</v>
      </c>
      <c r="O75" s="34">
        <f>M75-N75</f>
        <v>-693812.98</v>
      </c>
      <c r="P75" s="245" t="s">
        <v>95</v>
      </c>
      <c r="R75" s="14"/>
      <c r="S75" s="14"/>
      <c r="T75" s="35"/>
      <c r="X75" s="57"/>
      <c r="Y75" s="58"/>
    </row>
    <row r="76" spans="1:25" ht="18.75" customHeight="1">
      <c r="A76" s="53">
        <v>1980</v>
      </c>
      <c r="B76" s="53">
        <v>1980</v>
      </c>
      <c r="C76" s="37" t="s">
        <v>40</v>
      </c>
      <c r="D76" s="29">
        <v>1809664</v>
      </c>
      <c r="E76" s="29">
        <v>87183.26</v>
      </c>
      <c r="F76" s="30">
        <f t="shared" si="0"/>
        <v>1722480.74</v>
      </c>
      <c r="G76" s="29">
        <v>323281.99</v>
      </c>
      <c r="H76" s="29"/>
      <c r="I76" s="29"/>
      <c r="J76" s="29">
        <f t="shared" si="1"/>
        <v>1884121.7349999999</v>
      </c>
      <c r="K76" s="56">
        <v>15</v>
      </c>
      <c r="L76" s="32">
        <f t="shared" si="13"/>
        <v>6.6666666666666666E-2</v>
      </c>
      <c r="M76" s="42">
        <f t="shared" si="18"/>
        <v>125608.11566666666</v>
      </c>
      <c r="N76" s="30">
        <v>189847</v>
      </c>
      <c r="O76" s="34">
        <f t="shared" ref="O76:O78" si="20">M76-N76</f>
        <v>-64238.884333333335</v>
      </c>
      <c r="P76" s="245" t="s">
        <v>95</v>
      </c>
      <c r="R76" s="14"/>
      <c r="S76" s="14"/>
      <c r="T76" s="35"/>
      <c r="X76" s="57"/>
      <c r="Y76" s="58"/>
    </row>
    <row r="77" spans="1:25">
      <c r="A77" s="53">
        <v>1981</v>
      </c>
      <c r="B77" s="53">
        <v>1980</v>
      </c>
      <c r="C77" s="37" t="s">
        <v>74</v>
      </c>
      <c r="D77" s="29">
        <v>5740350.5999999996</v>
      </c>
      <c r="E77" s="29">
        <v>324543.06</v>
      </c>
      <c r="F77" s="30">
        <f t="shared" si="0"/>
        <v>5415807.54</v>
      </c>
      <c r="G77" s="29">
        <v>419767.75</v>
      </c>
      <c r="H77" s="29"/>
      <c r="I77" s="29">
        <v>-6667</v>
      </c>
      <c r="J77" s="29">
        <f t="shared" si="1"/>
        <v>5622357.915</v>
      </c>
      <c r="K77" s="56">
        <v>15</v>
      </c>
      <c r="L77" s="32">
        <f t="shared" si="13"/>
        <v>6.6666666666666666E-2</v>
      </c>
      <c r="M77" s="42">
        <f t="shared" si="18"/>
        <v>374823.86099999998</v>
      </c>
      <c r="N77" s="30">
        <v>697866.03</v>
      </c>
      <c r="O77" s="34">
        <f t="shared" si="20"/>
        <v>-323042.16900000005</v>
      </c>
      <c r="P77" s="245" t="s">
        <v>95</v>
      </c>
      <c r="R77" s="14"/>
      <c r="S77" s="14"/>
      <c r="T77" s="35"/>
      <c r="X77" s="57"/>
      <c r="Y77" s="58"/>
    </row>
    <row r="78" spans="1:25">
      <c r="A78" s="53">
        <v>1982</v>
      </c>
      <c r="B78" s="53">
        <v>1980</v>
      </c>
      <c r="C78" s="37" t="s">
        <v>75</v>
      </c>
      <c r="D78" s="29">
        <v>548737.07999999996</v>
      </c>
      <c r="E78" s="30">
        <v>155089.46</v>
      </c>
      <c r="F78" s="30">
        <f t="shared" si="0"/>
        <v>393647.62</v>
      </c>
      <c r="G78" s="29">
        <v>39295.57</v>
      </c>
      <c r="H78" s="29"/>
      <c r="I78" s="29"/>
      <c r="J78" s="29">
        <f t="shared" si="1"/>
        <v>413295.40499999997</v>
      </c>
      <c r="K78" s="56">
        <v>10</v>
      </c>
      <c r="L78" s="32">
        <f t="shared" si="13"/>
        <v>0.1</v>
      </c>
      <c r="M78" s="42">
        <f>IF(K78=0,"",J78/K78)</f>
        <v>41329.540499999996</v>
      </c>
      <c r="N78" s="30">
        <v>90983.09</v>
      </c>
      <c r="O78" s="34">
        <f t="shared" si="20"/>
        <v>-49653.549500000001</v>
      </c>
      <c r="P78" s="245" t="s">
        <v>95</v>
      </c>
      <c r="R78" s="14"/>
      <c r="S78" s="14"/>
      <c r="T78" s="35"/>
      <c r="X78" s="57"/>
      <c r="Y78" s="58"/>
    </row>
    <row r="79" spans="1:25" ht="23.25" customHeight="1">
      <c r="A79" s="43"/>
      <c r="B79" s="86"/>
      <c r="C79" s="88"/>
      <c r="D79" s="45"/>
      <c r="E79" s="46"/>
      <c r="F79" s="46"/>
      <c r="G79" s="45"/>
      <c r="H79" s="45"/>
      <c r="I79" s="45"/>
      <c r="J79" s="82" t="s">
        <v>93</v>
      </c>
      <c r="K79" s="83"/>
      <c r="L79" s="91"/>
      <c r="M79" s="42">
        <f>SUM(M76:M78)</f>
        <v>541761.51716666657</v>
      </c>
      <c r="N79" s="30">
        <f>SUM(N76:N78)</f>
        <v>978696.12</v>
      </c>
      <c r="O79" s="34">
        <f>+M79-N79</f>
        <v>-436934.60283333343</v>
      </c>
      <c r="P79" s="245"/>
      <c r="R79" s="14"/>
      <c r="S79" s="14"/>
      <c r="T79" s="35"/>
      <c r="X79" s="57"/>
      <c r="Y79" s="58"/>
    </row>
    <row r="80" spans="1:25">
      <c r="A80" s="53">
        <v>1985</v>
      </c>
      <c r="B80" s="50">
        <v>1985</v>
      </c>
      <c r="C80" s="37" t="s">
        <v>50</v>
      </c>
      <c r="D80" s="29"/>
      <c r="E80" s="29"/>
      <c r="F80" s="30">
        <f t="shared" si="0"/>
        <v>0</v>
      </c>
      <c r="G80" s="29"/>
      <c r="H80" s="29"/>
      <c r="I80" s="29"/>
      <c r="J80" s="29">
        <f t="shared" si="1"/>
        <v>0</v>
      </c>
      <c r="K80" s="56">
        <v>0</v>
      </c>
      <c r="L80" s="32" t="str">
        <f t="shared" si="13"/>
        <v/>
      </c>
      <c r="M80" s="42" t="str">
        <f t="shared" ref="M80:M86" si="21">IF(K80=0,"",J80/K80)</f>
        <v/>
      </c>
      <c r="N80" s="30"/>
      <c r="O80" s="34">
        <v>0</v>
      </c>
      <c r="P80" s="245"/>
      <c r="R80" s="14"/>
      <c r="S80" s="14"/>
      <c r="T80" s="35"/>
      <c r="X80" s="57"/>
      <c r="Y80" s="58"/>
    </row>
    <row r="81" spans="1:25">
      <c r="A81" s="53">
        <v>1995</v>
      </c>
      <c r="B81" s="53">
        <v>1995</v>
      </c>
      <c r="C81" s="37" t="s">
        <v>41</v>
      </c>
      <c r="D81" s="29"/>
      <c r="E81" s="29"/>
      <c r="F81" s="30">
        <f t="shared" ref="F81:F83" si="22">D81-E81</f>
        <v>0</v>
      </c>
      <c r="G81" s="29"/>
      <c r="H81" s="29"/>
      <c r="I81" s="29"/>
      <c r="J81" s="29">
        <f t="shared" si="1"/>
        <v>0</v>
      </c>
      <c r="K81" s="56">
        <v>37.5</v>
      </c>
      <c r="L81" s="32">
        <f t="shared" si="13"/>
        <v>2.6666666666666668E-2</v>
      </c>
      <c r="M81" s="42">
        <f t="shared" si="21"/>
        <v>0</v>
      </c>
      <c r="N81" s="30"/>
      <c r="O81" s="185">
        <f>+M81-N81</f>
        <v>0</v>
      </c>
      <c r="P81" s="245" t="s">
        <v>95</v>
      </c>
      <c r="R81" s="14"/>
      <c r="S81" s="14"/>
      <c r="T81" s="35"/>
      <c r="X81" s="57"/>
      <c r="Y81" s="58"/>
    </row>
    <row r="82" spans="1:25">
      <c r="A82" s="53">
        <v>1996</v>
      </c>
      <c r="B82" s="53">
        <v>1995</v>
      </c>
      <c r="C82" s="37" t="s">
        <v>108</v>
      </c>
      <c r="D82" s="29">
        <v>-243086345</v>
      </c>
      <c r="E82" s="29"/>
      <c r="F82" s="30">
        <f t="shared" si="22"/>
        <v>-243086345</v>
      </c>
      <c r="G82" s="29">
        <v>-37639769</v>
      </c>
      <c r="H82" s="29"/>
      <c r="I82" s="29">
        <v>884740.29</v>
      </c>
      <c r="J82" s="29">
        <f t="shared" si="1"/>
        <v>-261463859.35499999</v>
      </c>
      <c r="K82" s="56">
        <v>37.5</v>
      </c>
      <c r="L82" s="32">
        <f t="shared" si="13"/>
        <v>2.6666666666666668E-2</v>
      </c>
      <c r="M82" s="42">
        <f t="shared" si="21"/>
        <v>-6972369.5828</v>
      </c>
      <c r="N82" s="214">
        <v>-8140757</v>
      </c>
      <c r="O82" s="188">
        <f>+M82-N82</f>
        <v>1168387.4172</v>
      </c>
      <c r="P82" s="242" t="s">
        <v>95</v>
      </c>
      <c r="R82" s="14"/>
      <c r="S82" s="14"/>
      <c r="T82" s="35"/>
      <c r="X82" s="57"/>
      <c r="Y82" s="58"/>
    </row>
    <row r="83" spans="1:25">
      <c r="A83" s="53">
        <v>2005</v>
      </c>
      <c r="B83" s="53">
        <v>2005</v>
      </c>
      <c r="C83" s="37" t="s">
        <v>111</v>
      </c>
      <c r="D83" s="29">
        <v>17549082.289999999</v>
      </c>
      <c r="E83" s="29"/>
      <c r="F83" s="30">
        <f t="shared" si="22"/>
        <v>17549082.289999999</v>
      </c>
      <c r="G83" s="29">
        <v>0</v>
      </c>
      <c r="H83" s="29"/>
      <c r="I83" s="29"/>
      <c r="J83" s="29">
        <f t="shared" si="1"/>
        <v>17549082.289999999</v>
      </c>
      <c r="K83" s="56">
        <v>25</v>
      </c>
      <c r="L83" s="32">
        <f t="shared" si="13"/>
        <v>0.04</v>
      </c>
      <c r="M83" s="42">
        <f t="shared" si="21"/>
        <v>701963.2916</v>
      </c>
      <c r="N83" s="30">
        <v>732713.22</v>
      </c>
      <c r="O83" s="184">
        <f>+M83-N83</f>
        <v>-30749.928399999975</v>
      </c>
      <c r="P83" s="245" t="s">
        <v>95</v>
      </c>
      <c r="R83" s="14"/>
      <c r="S83" s="14"/>
      <c r="T83" s="35"/>
      <c r="X83" s="57"/>
      <c r="Y83" s="58"/>
    </row>
    <row r="84" spans="1:25">
      <c r="A84" s="53">
        <v>1611</v>
      </c>
      <c r="B84" s="53">
        <v>1611</v>
      </c>
      <c r="C84" s="54" t="s">
        <v>52</v>
      </c>
      <c r="D84" s="29">
        <v>609442.28</v>
      </c>
      <c r="E84" s="29"/>
      <c r="F84" s="30">
        <f>D84-E84</f>
        <v>609442.28</v>
      </c>
      <c r="G84" s="29">
        <v>4362574.6399999997</v>
      </c>
      <c r="H84" s="29"/>
      <c r="I84" s="29"/>
      <c r="J84" s="29">
        <f t="shared" si="1"/>
        <v>2790729.5999999996</v>
      </c>
      <c r="K84" s="56">
        <v>19.25</v>
      </c>
      <c r="L84" s="32">
        <f>IF(K84=0,"",1/K84)</f>
        <v>5.1948051948051951E-2</v>
      </c>
      <c r="M84" s="42">
        <f>IF(K84=0,"",J84/K84)</f>
        <v>144972.9662337662</v>
      </c>
      <c r="N84" s="30">
        <v>288281.38</v>
      </c>
      <c r="O84" s="34">
        <f>+M84-N84</f>
        <v>-143308.4137662338</v>
      </c>
      <c r="P84" s="245" t="s">
        <v>95</v>
      </c>
      <c r="R84" s="14"/>
      <c r="S84" s="14"/>
      <c r="T84" s="35"/>
      <c r="X84" s="57"/>
      <c r="Y84" s="58"/>
    </row>
    <row r="85" spans="1:25">
      <c r="A85" s="53"/>
      <c r="B85" s="53"/>
      <c r="C85" s="37"/>
      <c r="D85" s="29"/>
      <c r="E85" s="29"/>
      <c r="F85" s="30"/>
      <c r="G85" s="29"/>
      <c r="H85" s="29"/>
      <c r="I85" s="29"/>
      <c r="J85" s="29">
        <f>F85+0.5*G85</f>
        <v>0</v>
      </c>
      <c r="K85" s="92"/>
      <c r="L85" s="33" t="str">
        <f>IF(K85=0,"",1/K85)</f>
        <v/>
      </c>
      <c r="M85" s="33" t="str">
        <f t="shared" si="21"/>
        <v/>
      </c>
      <c r="N85" s="29"/>
      <c r="O85" s="34"/>
      <c r="P85" s="245"/>
      <c r="S85" s="14"/>
    </row>
    <row r="86" spans="1:25" ht="13.5" thickBot="1">
      <c r="A86" s="61"/>
      <c r="B86" s="61"/>
      <c r="C86" s="62"/>
      <c r="D86" s="63"/>
      <c r="E86" s="63"/>
      <c r="F86" s="64"/>
      <c r="G86" s="63"/>
      <c r="H86" s="63"/>
      <c r="I86" s="63"/>
      <c r="J86" s="65">
        <f>F86+0.5*G86</f>
        <v>0</v>
      </c>
      <c r="K86" s="93"/>
      <c r="L86" s="94" t="str">
        <f>IF(K86=0,"",1/K86)</f>
        <v/>
      </c>
      <c r="M86" s="95" t="str">
        <f t="shared" si="21"/>
        <v/>
      </c>
      <c r="N86" s="216"/>
      <c r="O86" s="96"/>
      <c r="P86" s="244"/>
    </row>
    <row r="87" spans="1:25" ht="14.25" thickTop="1" thickBot="1">
      <c r="A87" s="70"/>
      <c r="B87" s="70"/>
      <c r="C87" s="71" t="s">
        <v>42</v>
      </c>
      <c r="D87" s="72">
        <f>SUM(D16:D86)</f>
        <v>693266576.53999984</v>
      </c>
      <c r="E87" s="72">
        <f t="shared" ref="E87:I87" si="23">SUM(E16:E86)</f>
        <v>5533689.830000001</v>
      </c>
      <c r="F87" s="72">
        <f t="shared" si="23"/>
        <v>687732886.70999968</v>
      </c>
      <c r="G87" s="72">
        <f t="shared" si="23"/>
        <v>61056983.320000023</v>
      </c>
      <c r="H87" s="72">
        <f t="shared" si="23"/>
        <v>-78062</v>
      </c>
      <c r="I87" s="72">
        <f t="shared" si="23"/>
        <v>-1637659.9099999997</v>
      </c>
      <c r="J87" s="72">
        <f>F87+0.5*G87</f>
        <v>718261378.36999965</v>
      </c>
      <c r="K87" s="97"/>
      <c r="L87" s="72">
        <f>SUM(L16:L86)</f>
        <v>4.8947041847041826</v>
      </c>
      <c r="M87" s="212">
        <f>+M18+M29+M34+M36+M37+M38+M40+M41+M42+M43+M44+M45+M46+M47+M48+M52+M62+M63+M68+M69+M70+M73+M79+M81+M82+M84+M39+M55+M56+M75+M83</f>
        <v>24920076.621513635</v>
      </c>
      <c r="N87" s="212">
        <f>+N18+N29+N34+N36+N37+N38+N40+N41+N42+N43+N44+N45+N46+N47+N48+N52+N62+N63+N68+N69+N70+N73+N79+N81+N82+N84+N39+N55+N56+N75+N83</f>
        <v>33312696.350000005</v>
      </c>
      <c r="O87" s="212">
        <f>+O18+O29+O34+O36+O37+O38+O40+O41+O42+O43+O44+O45+O46+O47+O48+O52+O62+O63+O68+O69+O70+O73+O79+O81+O82+O84+O39+O55+O56+O75+O83</f>
        <v>-8392619.7284863628</v>
      </c>
      <c r="P87" s="75"/>
      <c r="R87" s="223"/>
      <c r="S87" s="223"/>
      <c r="T87" s="220"/>
      <c r="U87" s="223"/>
      <c r="V87" s="220"/>
      <c r="W87" s="220"/>
      <c r="X87" s="223"/>
      <c r="Y87" s="223"/>
    </row>
    <row r="88" spans="1:25" ht="15" customHeight="1">
      <c r="D88" s="3"/>
      <c r="E88" s="98"/>
      <c r="N88" s="3"/>
      <c r="O88" s="76">
        <f>+M87-N87</f>
        <v>-8392619.7284863703</v>
      </c>
      <c r="P88" s="1" t="s">
        <v>164</v>
      </c>
      <c r="R88" s="220"/>
      <c r="S88" s="220"/>
      <c r="T88" s="220"/>
      <c r="U88" s="224"/>
      <c r="V88" s="220"/>
      <c r="W88" s="220"/>
      <c r="X88" s="220"/>
      <c r="Y88" s="220"/>
    </row>
    <row r="89" spans="1:25">
      <c r="A89" s="4" t="s">
        <v>43</v>
      </c>
      <c r="B89" s="4"/>
      <c r="C89" s="9"/>
      <c r="D89" s="99"/>
      <c r="E89" s="100"/>
      <c r="F89" s="77"/>
      <c r="G89" s="99"/>
      <c r="H89" s="9"/>
      <c r="I89" s="9"/>
      <c r="J89" s="9"/>
      <c r="K89" s="9"/>
      <c r="L89" s="9"/>
      <c r="M89" s="9"/>
      <c r="N89" s="101"/>
      <c r="O89" s="9"/>
    </row>
    <row r="90" spans="1:25" ht="7.5" customHeight="1">
      <c r="A90" s="9"/>
      <c r="B90" s="9"/>
      <c r="C90" s="9"/>
      <c r="D90" s="9"/>
      <c r="E90" s="9"/>
      <c r="F90" s="9"/>
      <c r="G90" s="9"/>
      <c r="H90" s="9"/>
      <c r="I90" s="9"/>
      <c r="J90" s="9"/>
      <c r="K90" s="9"/>
      <c r="L90" s="9"/>
      <c r="M90" s="9"/>
      <c r="N90" s="78"/>
      <c r="O90" s="9"/>
    </row>
    <row r="91" spans="1:25" ht="14.25" customHeight="1">
      <c r="A91" s="263" t="s">
        <v>151</v>
      </c>
      <c r="B91" s="263"/>
      <c r="C91" s="263"/>
      <c r="D91" s="263"/>
      <c r="E91" s="263"/>
      <c r="F91" s="263"/>
      <c r="G91" s="263"/>
      <c r="H91" s="263"/>
      <c r="I91" s="263"/>
      <c r="J91" s="263"/>
      <c r="K91" s="263"/>
      <c r="L91" s="103"/>
      <c r="M91" s="207"/>
      <c r="N91" s="211"/>
      <c r="O91" s="207"/>
    </row>
    <row r="92" spans="1:25" ht="18.75" customHeight="1">
      <c r="A92" s="258" t="s">
        <v>97</v>
      </c>
      <c r="B92" s="259"/>
      <c r="C92" s="259"/>
      <c r="D92" s="259"/>
      <c r="E92" s="259"/>
      <c r="F92" s="259"/>
      <c r="G92" s="259"/>
      <c r="H92" s="259"/>
      <c r="I92" s="259"/>
      <c r="J92" s="259"/>
      <c r="K92" s="103"/>
      <c r="L92" s="103"/>
      <c r="M92" s="207"/>
      <c r="N92" s="208"/>
      <c r="O92" s="207"/>
    </row>
    <row r="93" spans="1:25">
      <c r="A93" s="260" t="s">
        <v>91</v>
      </c>
      <c r="B93" s="261"/>
      <c r="C93" s="261"/>
      <c r="D93" s="261"/>
      <c r="E93" s="261"/>
      <c r="F93" s="261"/>
      <c r="G93" s="261"/>
      <c r="H93" s="261"/>
      <c r="I93" s="261"/>
      <c r="J93" s="261"/>
      <c r="K93" s="103"/>
      <c r="L93" s="103"/>
      <c r="M93" s="207"/>
      <c r="N93" s="208"/>
      <c r="O93" s="207"/>
    </row>
    <row r="94" spans="1:25" ht="15.75" customHeight="1">
      <c r="A94" s="261"/>
      <c r="B94" s="261"/>
      <c r="C94" s="261"/>
      <c r="D94" s="261"/>
      <c r="E94" s="261"/>
      <c r="F94" s="261"/>
      <c r="G94" s="261"/>
      <c r="H94" s="261"/>
      <c r="I94" s="261"/>
      <c r="J94" s="261"/>
      <c r="K94" s="103"/>
      <c r="L94" s="103"/>
      <c r="M94" s="207"/>
      <c r="N94" s="208"/>
      <c r="O94" s="207"/>
    </row>
    <row r="95" spans="1:25" ht="17.25" customHeight="1">
      <c r="A95" s="258" t="s">
        <v>154</v>
      </c>
      <c r="B95" s="262"/>
      <c r="C95" s="262"/>
      <c r="D95" s="262"/>
      <c r="E95" s="262"/>
      <c r="F95" s="262"/>
      <c r="G95" s="262"/>
      <c r="H95" s="262"/>
      <c r="I95" s="262"/>
      <c r="J95" s="262"/>
      <c r="K95" s="136"/>
      <c r="L95" s="136"/>
      <c r="M95" s="102"/>
      <c r="N95" s="210"/>
      <c r="O95" s="102"/>
    </row>
    <row r="96" spans="1:25" ht="15.75" customHeight="1">
      <c r="A96" s="258" t="s">
        <v>150</v>
      </c>
      <c r="B96" s="259"/>
      <c r="C96" s="259"/>
      <c r="D96" s="259"/>
      <c r="E96" s="259"/>
      <c r="F96" s="259"/>
      <c r="G96" s="259"/>
      <c r="H96" s="259"/>
      <c r="I96" s="259"/>
      <c r="J96" s="259"/>
      <c r="K96" s="259"/>
      <c r="L96" s="259"/>
      <c r="M96" s="191"/>
      <c r="N96" s="191"/>
      <c r="O96" s="191"/>
    </row>
    <row r="97" spans="1:15">
      <c r="A97" s="9"/>
      <c r="B97" s="102"/>
      <c r="C97" s="10"/>
      <c r="D97" s="10"/>
      <c r="E97" s="10"/>
      <c r="F97" s="10"/>
      <c r="G97" s="10"/>
      <c r="H97" s="10"/>
      <c r="I97" s="10"/>
      <c r="J97" s="10"/>
      <c r="K97" s="10"/>
      <c r="L97" s="10"/>
      <c r="M97" s="10"/>
      <c r="N97" s="79"/>
      <c r="O97" s="10"/>
    </row>
    <row r="98" spans="1:15">
      <c r="N98" s="3"/>
    </row>
    <row r="99" spans="1:15">
      <c r="N99" s="3"/>
    </row>
    <row r="100" spans="1:15">
      <c r="N100" s="3"/>
    </row>
    <row r="101" spans="1:15">
      <c r="N101" s="3"/>
    </row>
    <row r="102" spans="1:15">
      <c r="N102" s="3"/>
    </row>
    <row r="103" spans="1:15">
      <c r="N103" s="3"/>
    </row>
    <row r="104" spans="1:15">
      <c r="N104" s="3"/>
    </row>
    <row r="105" spans="1:15">
      <c r="N105" s="3"/>
    </row>
    <row r="106" spans="1:15">
      <c r="N106" s="3"/>
    </row>
    <row r="107" spans="1:15">
      <c r="N107" s="3"/>
    </row>
    <row r="108" spans="1:15">
      <c r="N108" s="3"/>
    </row>
    <row r="109" spans="1:15">
      <c r="N109" s="3"/>
    </row>
    <row r="110" spans="1:15">
      <c r="N110" s="3"/>
    </row>
    <row r="111" spans="1:15">
      <c r="N111" s="3"/>
    </row>
    <row r="112" spans="1:15">
      <c r="N112" s="3"/>
    </row>
    <row r="113" spans="14:14">
      <c r="N113" s="3"/>
    </row>
    <row r="114" spans="14:14">
      <c r="N114" s="3"/>
    </row>
    <row r="115" spans="14:14">
      <c r="N115" s="3"/>
    </row>
    <row r="116" spans="14:14">
      <c r="N116" s="3"/>
    </row>
    <row r="117" spans="14:14">
      <c r="N117" s="3"/>
    </row>
    <row r="118" spans="14:14">
      <c r="N118" s="3"/>
    </row>
    <row r="119" spans="14:14">
      <c r="N119" s="3"/>
    </row>
    <row r="120" spans="14:14">
      <c r="N120" s="3"/>
    </row>
    <row r="121" spans="14:14">
      <c r="N121" s="3"/>
    </row>
    <row r="122" spans="14:14">
      <c r="N122" s="3"/>
    </row>
    <row r="123" spans="14:14">
      <c r="N123" s="3"/>
    </row>
    <row r="124" spans="14:14">
      <c r="N124" s="3"/>
    </row>
    <row r="125" spans="14:14">
      <c r="N125" s="3"/>
    </row>
    <row r="126" spans="14:14">
      <c r="N126" s="3"/>
    </row>
    <row r="127" spans="14:14">
      <c r="N127" s="3"/>
    </row>
    <row r="128" spans="14:14">
      <c r="N128" s="3"/>
    </row>
    <row r="129" spans="14:14">
      <c r="N129" s="3"/>
    </row>
    <row r="130" spans="14:14">
      <c r="N130" s="3"/>
    </row>
    <row r="131" spans="14:14">
      <c r="N131" s="3"/>
    </row>
    <row r="132" spans="14:14">
      <c r="N132" s="3"/>
    </row>
    <row r="133" spans="14:14">
      <c r="N133" s="3"/>
    </row>
    <row r="134" spans="14:14">
      <c r="N134" s="3"/>
    </row>
    <row r="135" spans="14:14">
      <c r="N135" s="3"/>
    </row>
    <row r="136" spans="14:14">
      <c r="N136" s="3"/>
    </row>
    <row r="137" spans="14:14">
      <c r="N137" s="3"/>
    </row>
    <row r="138" spans="14:14">
      <c r="N138" s="3"/>
    </row>
    <row r="139" spans="14:14">
      <c r="N139" s="3"/>
    </row>
    <row r="140" spans="14:14">
      <c r="N140" s="3"/>
    </row>
    <row r="141" spans="14:14">
      <c r="N141" s="3"/>
    </row>
    <row r="142" spans="14:14">
      <c r="N142" s="3"/>
    </row>
    <row r="143" spans="14:14">
      <c r="N143" s="3"/>
    </row>
    <row r="144" spans="14:14">
      <c r="N144" s="3"/>
    </row>
    <row r="145" spans="14:14">
      <c r="N145" s="3"/>
    </row>
    <row r="146" spans="14:14">
      <c r="N146" s="3"/>
    </row>
    <row r="147" spans="14:14">
      <c r="N147" s="3"/>
    </row>
    <row r="148" spans="14:14">
      <c r="N148" s="3"/>
    </row>
    <row r="149" spans="14:14">
      <c r="N149" s="3"/>
    </row>
    <row r="150" spans="14:14">
      <c r="N150" s="3"/>
    </row>
    <row r="151" spans="14:14">
      <c r="N151" s="3"/>
    </row>
    <row r="152" spans="14:14">
      <c r="N152" s="3"/>
    </row>
    <row r="153" spans="14:14">
      <c r="N153" s="3"/>
    </row>
    <row r="154" spans="14:14">
      <c r="N154" s="3"/>
    </row>
    <row r="155" spans="14:14">
      <c r="N155" s="3"/>
    </row>
    <row r="156" spans="14:14">
      <c r="N156" s="3"/>
    </row>
    <row r="157" spans="14:14">
      <c r="N157" s="3"/>
    </row>
    <row r="158" spans="14:14">
      <c r="N158" s="3"/>
    </row>
    <row r="159" spans="14:14">
      <c r="N159" s="3"/>
    </row>
    <row r="160" spans="14:14">
      <c r="N160" s="3"/>
    </row>
    <row r="161" spans="14:14">
      <c r="N161" s="3"/>
    </row>
    <row r="162" spans="14:14">
      <c r="N162" s="3"/>
    </row>
    <row r="163" spans="14:14">
      <c r="N163" s="3"/>
    </row>
    <row r="164" spans="14:14">
      <c r="N164" s="3"/>
    </row>
    <row r="165" spans="14:14">
      <c r="N165" s="3"/>
    </row>
    <row r="166" spans="14:14">
      <c r="N166" s="3"/>
    </row>
    <row r="167" spans="14:14">
      <c r="N167" s="3"/>
    </row>
    <row r="168" spans="14:14">
      <c r="N168" s="3"/>
    </row>
    <row r="169" spans="14:14">
      <c r="N169" s="3"/>
    </row>
    <row r="170" spans="14:14">
      <c r="N170" s="3"/>
    </row>
    <row r="171" spans="14:14">
      <c r="N171" s="3"/>
    </row>
    <row r="172" spans="14:14">
      <c r="N172" s="3"/>
    </row>
    <row r="173" spans="14:14">
      <c r="N173" s="3"/>
    </row>
    <row r="174" spans="14:14">
      <c r="N174" s="3"/>
    </row>
    <row r="175" spans="14:14">
      <c r="N175" s="3"/>
    </row>
    <row r="176" spans="14:14">
      <c r="N176" s="3"/>
    </row>
    <row r="177" spans="14:14">
      <c r="N177" s="3"/>
    </row>
    <row r="178" spans="14:14">
      <c r="N178" s="3"/>
    </row>
    <row r="179" spans="14:14">
      <c r="N179" s="3"/>
    </row>
    <row r="180" spans="14:14">
      <c r="N180" s="3"/>
    </row>
    <row r="181" spans="14:14">
      <c r="N181" s="3"/>
    </row>
    <row r="182" spans="14:14">
      <c r="N182" s="3"/>
    </row>
    <row r="183" spans="14:14">
      <c r="N183" s="3"/>
    </row>
    <row r="184" spans="14:14">
      <c r="N184" s="3"/>
    </row>
    <row r="185" spans="14:14">
      <c r="N185" s="3"/>
    </row>
    <row r="186" spans="14:14">
      <c r="N186" s="3"/>
    </row>
    <row r="187" spans="14:14">
      <c r="N187" s="3"/>
    </row>
    <row r="188" spans="14:14">
      <c r="N188" s="3"/>
    </row>
    <row r="189" spans="14:14">
      <c r="N189" s="3"/>
    </row>
    <row r="190" spans="14:14">
      <c r="N190" s="3"/>
    </row>
    <row r="191" spans="14:14">
      <c r="N191" s="3"/>
    </row>
    <row r="192" spans="14:14">
      <c r="N192" s="3"/>
    </row>
    <row r="193" spans="14:14">
      <c r="N193" s="3"/>
    </row>
    <row r="194" spans="14:14">
      <c r="N194" s="3"/>
    </row>
    <row r="195" spans="14:14">
      <c r="N195" s="3"/>
    </row>
    <row r="196" spans="14:14">
      <c r="N196" s="3"/>
    </row>
    <row r="197" spans="14:14">
      <c r="N197" s="3"/>
    </row>
    <row r="198" spans="14:14">
      <c r="N198" s="3"/>
    </row>
    <row r="199" spans="14:14">
      <c r="N199" s="3"/>
    </row>
    <row r="200" spans="14:14">
      <c r="N200" s="3"/>
    </row>
    <row r="201" spans="14:14">
      <c r="N201" s="3"/>
    </row>
    <row r="202" spans="14:14">
      <c r="N202" s="3"/>
    </row>
    <row r="203" spans="14:14">
      <c r="N203" s="3"/>
    </row>
    <row r="204" spans="14:14">
      <c r="N204" s="3"/>
    </row>
    <row r="205" spans="14:14">
      <c r="N205" s="3"/>
    </row>
    <row r="206" spans="14:14">
      <c r="N206" s="3"/>
    </row>
    <row r="207" spans="14:14">
      <c r="N207" s="3"/>
    </row>
    <row r="208" spans="14:14">
      <c r="N208" s="3"/>
    </row>
    <row r="209" spans="14:14">
      <c r="N209" s="3"/>
    </row>
    <row r="210" spans="14:14">
      <c r="N210" s="3"/>
    </row>
    <row r="211" spans="14:14">
      <c r="N211" s="3"/>
    </row>
    <row r="212" spans="14:14">
      <c r="N212" s="3"/>
    </row>
    <row r="213" spans="14:14">
      <c r="N213" s="3"/>
    </row>
    <row r="214" spans="14:14">
      <c r="N214" s="3"/>
    </row>
    <row r="215" spans="14:14">
      <c r="N215" s="3"/>
    </row>
    <row r="216" spans="14:14">
      <c r="N216" s="3"/>
    </row>
    <row r="217" spans="14:14">
      <c r="N217" s="3"/>
    </row>
    <row r="218" spans="14:14">
      <c r="N218" s="3"/>
    </row>
    <row r="219" spans="14:14">
      <c r="N219" s="3"/>
    </row>
    <row r="220" spans="14:14">
      <c r="N220" s="3"/>
    </row>
    <row r="221" spans="14:14">
      <c r="N221" s="3"/>
    </row>
    <row r="222" spans="14:14">
      <c r="N222" s="3"/>
    </row>
    <row r="223" spans="14:14">
      <c r="N223" s="3"/>
    </row>
    <row r="224" spans="14:14">
      <c r="N224" s="3"/>
    </row>
    <row r="225" spans="14:14">
      <c r="N225" s="3"/>
    </row>
    <row r="226" spans="14:14">
      <c r="N226" s="3"/>
    </row>
    <row r="227" spans="14:14">
      <c r="N227" s="3"/>
    </row>
    <row r="228" spans="14:14">
      <c r="N228" s="3"/>
    </row>
    <row r="229" spans="14:14">
      <c r="N229" s="3"/>
    </row>
    <row r="230" spans="14:14">
      <c r="N230" s="3"/>
    </row>
    <row r="231" spans="14:14">
      <c r="N231" s="3"/>
    </row>
    <row r="232" spans="14:14">
      <c r="N232" s="3"/>
    </row>
    <row r="233" spans="14:14">
      <c r="N233" s="3"/>
    </row>
    <row r="234" spans="14:14">
      <c r="N234" s="3"/>
    </row>
    <row r="235" spans="14:14">
      <c r="N235" s="3"/>
    </row>
    <row r="236" spans="14:14">
      <c r="N236" s="3"/>
    </row>
    <row r="237" spans="14:14">
      <c r="N237" s="3"/>
    </row>
    <row r="238" spans="14:14">
      <c r="N238" s="3"/>
    </row>
    <row r="239" spans="14:14">
      <c r="N239" s="3"/>
    </row>
    <row r="240" spans="14:14">
      <c r="N240" s="3"/>
    </row>
    <row r="241" spans="14:14">
      <c r="N241" s="3"/>
    </row>
    <row r="242" spans="14:14">
      <c r="N242" s="3"/>
    </row>
    <row r="243" spans="14:14">
      <c r="N243" s="3"/>
    </row>
    <row r="244" spans="14:14">
      <c r="N244" s="3"/>
    </row>
    <row r="245" spans="14:14">
      <c r="N245" s="3"/>
    </row>
    <row r="246" spans="14:14">
      <c r="N246" s="3"/>
    </row>
    <row r="247" spans="14:14">
      <c r="N247" s="3"/>
    </row>
    <row r="248" spans="14:14">
      <c r="N248" s="3"/>
    </row>
    <row r="249" spans="14:14">
      <c r="N249" s="3"/>
    </row>
    <row r="250" spans="14:14">
      <c r="N250" s="3"/>
    </row>
    <row r="251" spans="14:14">
      <c r="N251" s="3"/>
    </row>
    <row r="252" spans="14:14">
      <c r="N252" s="3"/>
    </row>
    <row r="253" spans="14:14">
      <c r="N253" s="3"/>
    </row>
    <row r="254" spans="14:14">
      <c r="N254" s="3"/>
    </row>
    <row r="255" spans="14:14">
      <c r="N255" s="3"/>
    </row>
    <row r="256" spans="14:14">
      <c r="N256" s="3"/>
    </row>
    <row r="257" spans="14:14">
      <c r="N257" s="3"/>
    </row>
    <row r="258" spans="14:14">
      <c r="N258" s="3"/>
    </row>
    <row r="259" spans="14:14">
      <c r="N259" s="3"/>
    </row>
    <row r="260" spans="14:14">
      <c r="N260" s="3"/>
    </row>
    <row r="261" spans="14:14">
      <c r="N261" s="3"/>
    </row>
    <row r="262" spans="14:14">
      <c r="N262" s="3"/>
    </row>
    <row r="263" spans="14:14">
      <c r="N263" s="3"/>
    </row>
    <row r="264" spans="14:14">
      <c r="N264" s="3"/>
    </row>
    <row r="265" spans="14:14">
      <c r="N265" s="3"/>
    </row>
    <row r="266" spans="14:14">
      <c r="N266" s="3"/>
    </row>
    <row r="267" spans="14:14">
      <c r="N267" s="3"/>
    </row>
    <row r="268" spans="14:14">
      <c r="N268" s="3"/>
    </row>
    <row r="269" spans="14:14">
      <c r="N269" s="3"/>
    </row>
    <row r="270" spans="14:14">
      <c r="N270" s="3"/>
    </row>
    <row r="271" spans="14:14">
      <c r="N271" s="3"/>
    </row>
    <row r="272" spans="14:14">
      <c r="N272" s="3"/>
    </row>
    <row r="273" spans="14:14">
      <c r="N273" s="3"/>
    </row>
    <row r="274" spans="14:14">
      <c r="N274" s="3"/>
    </row>
    <row r="275" spans="14:14">
      <c r="N275" s="3"/>
    </row>
    <row r="276" spans="14:14">
      <c r="N276" s="3"/>
    </row>
    <row r="277" spans="14:14">
      <c r="N277" s="3"/>
    </row>
    <row r="278" spans="14:14">
      <c r="N278" s="3"/>
    </row>
    <row r="279" spans="14:14">
      <c r="N279" s="3"/>
    </row>
    <row r="280" spans="14:14">
      <c r="N280" s="3"/>
    </row>
    <row r="281" spans="14:14">
      <c r="N281" s="3"/>
    </row>
    <row r="282" spans="14:14">
      <c r="N282" s="3"/>
    </row>
    <row r="283" spans="14:14">
      <c r="N283" s="3"/>
    </row>
    <row r="284" spans="14:14">
      <c r="N284" s="3"/>
    </row>
    <row r="285" spans="14:14">
      <c r="N285" s="3"/>
    </row>
    <row r="286" spans="14:14">
      <c r="N286" s="3"/>
    </row>
    <row r="287" spans="14:14">
      <c r="N287" s="3"/>
    </row>
    <row r="288" spans="14:14">
      <c r="N288" s="3"/>
    </row>
    <row r="289" spans="14:14">
      <c r="N289" s="3"/>
    </row>
    <row r="290" spans="14:14">
      <c r="N290" s="3"/>
    </row>
    <row r="291" spans="14:14">
      <c r="N291" s="3"/>
    </row>
    <row r="292" spans="14:14">
      <c r="N292" s="3"/>
    </row>
    <row r="293" spans="14:14">
      <c r="N293" s="3"/>
    </row>
    <row r="294" spans="14:14">
      <c r="N294" s="3"/>
    </row>
    <row r="295" spans="14:14">
      <c r="N295" s="3"/>
    </row>
    <row r="296" spans="14:14">
      <c r="N296" s="3"/>
    </row>
    <row r="297" spans="14:14">
      <c r="N297" s="3"/>
    </row>
    <row r="298" spans="14:14">
      <c r="N298" s="3"/>
    </row>
    <row r="299" spans="14:14">
      <c r="N299" s="3"/>
    </row>
    <row r="300" spans="14:14">
      <c r="N300" s="3"/>
    </row>
    <row r="301" spans="14:14">
      <c r="N301" s="3"/>
    </row>
    <row r="302" spans="14:14">
      <c r="N302" s="3"/>
    </row>
    <row r="303" spans="14:14">
      <c r="N303" s="3"/>
    </row>
    <row r="304" spans="14:14">
      <c r="N304" s="3"/>
    </row>
    <row r="305" spans="14:14">
      <c r="N305" s="3"/>
    </row>
    <row r="306" spans="14:14">
      <c r="N306" s="3"/>
    </row>
    <row r="307" spans="14:14">
      <c r="N307" s="3"/>
    </row>
    <row r="308" spans="14:14">
      <c r="N308" s="3"/>
    </row>
    <row r="309" spans="14:14">
      <c r="N309" s="3"/>
    </row>
    <row r="310" spans="14:14">
      <c r="N310" s="3"/>
    </row>
    <row r="311" spans="14:14">
      <c r="N311" s="3"/>
    </row>
    <row r="312" spans="14:14">
      <c r="N312" s="3"/>
    </row>
    <row r="313" spans="14:14">
      <c r="N313" s="3"/>
    </row>
    <row r="314" spans="14:14">
      <c r="N314" s="3"/>
    </row>
    <row r="315" spans="14:14">
      <c r="N315" s="3"/>
    </row>
    <row r="316" spans="14:14">
      <c r="N316" s="3"/>
    </row>
    <row r="317" spans="14:14">
      <c r="N317" s="3"/>
    </row>
    <row r="318" spans="14:14">
      <c r="N318" s="3"/>
    </row>
    <row r="319" spans="14:14">
      <c r="N319" s="3"/>
    </row>
    <row r="320" spans="14:14">
      <c r="N320" s="3"/>
    </row>
    <row r="321" spans="14:14">
      <c r="N321" s="3"/>
    </row>
    <row r="322" spans="14:14">
      <c r="N322" s="3"/>
    </row>
    <row r="323" spans="14:14">
      <c r="N323" s="3"/>
    </row>
    <row r="324" spans="14:14">
      <c r="N324" s="3"/>
    </row>
    <row r="325" spans="14:14">
      <c r="N325" s="3"/>
    </row>
    <row r="326" spans="14:14">
      <c r="N326" s="3"/>
    </row>
    <row r="327" spans="14:14">
      <c r="N327" s="3"/>
    </row>
    <row r="328" spans="14:14">
      <c r="N328" s="3"/>
    </row>
    <row r="329" spans="14:14">
      <c r="N329" s="3"/>
    </row>
    <row r="330" spans="14:14">
      <c r="N330" s="3"/>
    </row>
    <row r="331" spans="14:14">
      <c r="N331" s="3"/>
    </row>
    <row r="332" spans="14:14">
      <c r="N332" s="3"/>
    </row>
    <row r="333" spans="14:14">
      <c r="N333" s="3"/>
    </row>
    <row r="334" spans="14:14">
      <c r="N334" s="3"/>
    </row>
    <row r="335" spans="14:14">
      <c r="N335" s="3"/>
    </row>
    <row r="336" spans="14:14">
      <c r="N336" s="3"/>
    </row>
    <row r="337" spans="14:14">
      <c r="N337" s="3"/>
    </row>
    <row r="338" spans="14:14">
      <c r="N338" s="3"/>
    </row>
    <row r="339" spans="14:14">
      <c r="N339" s="3"/>
    </row>
    <row r="340" spans="14:14">
      <c r="N340" s="3"/>
    </row>
    <row r="341" spans="14:14">
      <c r="N341" s="3"/>
    </row>
    <row r="342" spans="14:14">
      <c r="N342" s="3"/>
    </row>
    <row r="343" spans="14:14">
      <c r="N343" s="3"/>
    </row>
    <row r="344" spans="14:14">
      <c r="N344" s="3"/>
    </row>
    <row r="345" spans="14:14">
      <c r="N345" s="3"/>
    </row>
    <row r="346" spans="14:14">
      <c r="N346" s="3"/>
    </row>
    <row r="347" spans="14:14">
      <c r="N347" s="3"/>
    </row>
    <row r="348" spans="14:14">
      <c r="N348" s="3"/>
    </row>
    <row r="349" spans="14:14">
      <c r="N349" s="3"/>
    </row>
    <row r="350" spans="14:14">
      <c r="N350" s="3"/>
    </row>
    <row r="351" spans="14:14">
      <c r="N351" s="3"/>
    </row>
    <row r="352" spans="14:14">
      <c r="N352" s="3"/>
    </row>
    <row r="353" spans="14:14">
      <c r="N353" s="3"/>
    </row>
    <row r="354" spans="14:14">
      <c r="N354" s="3"/>
    </row>
    <row r="355" spans="14:14">
      <c r="N355" s="3"/>
    </row>
    <row r="356" spans="14:14">
      <c r="N356" s="3"/>
    </row>
    <row r="357" spans="14:14">
      <c r="N357" s="3"/>
    </row>
    <row r="358" spans="14:14">
      <c r="N358" s="3"/>
    </row>
    <row r="359" spans="14:14">
      <c r="N359" s="3"/>
    </row>
    <row r="360" spans="14:14">
      <c r="N360" s="3"/>
    </row>
    <row r="361" spans="14:14">
      <c r="N361" s="3"/>
    </row>
    <row r="362" spans="14:14">
      <c r="N362" s="3"/>
    </row>
    <row r="363" spans="14:14">
      <c r="N363" s="3"/>
    </row>
    <row r="364" spans="14:14">
      <c r="N364" s="3"/>
    </row>
    <row r="365" spans="14:14">
      <c r="N365" s="3"/>
    </row>
    <row r="366" spans="14:14">
      <c r="N366" s="3"/>
    </row>
    <row r="367" spans="14:14">
      <c r="N367" s="3"/>
    </row>
    <row r="368" spans="14:14">
      <c r="N368" s="3"/>
    </row>
    <row r="369" spans="14:14">
      <c r="N369" s="3"/>
    </row>
    <row r="370" spans="14:14">
      <c r="N370" s="3"/>
    </row>
    <row r="371" spans="14:14">
      <c r="N371" s="3"/>
    </row>
    <row r="372" spans="14:14">
      <c r="N372" s="3"/>
    </row>
    <row r="373" spans="14:14">
      <c r="N373" s="3"/>
    </row>
    <row r="374" spans="14:14">
      <c r="N374" s="3"/>
    </row>
    <row r="375" spans="14:14">
      <c r="N375" s="3"/>
    </row>
    <row r="376" spans="14:14">
      <c r="N376" s="3"/>
    </row>
    <row r="377" spans="14:14">
      <c r="N377" s="3"/>
    </row>
    <row r="378" spans="14:14">
      <c r="N378" s="3"/>
    </row>
    <row r="379" spans="14:14">
      <c r="N379" s="3"/>
    </row>
    <row r="380" spans="14:14">
      <c r="N380" s="3"/>
    </row>
    <row r="381" spans="14:14">
      <c r="N381" s="3"/>
    </row>
    <row r="382" spans="14:14">
      <c r="N382" s="3"/>
    </row>
    <row r="383" spans="14:14">
      <c r="N383" s="3"/>
    </row>
    <row r="384" spans="14:14">
      <c r="N384" s="3"/>
    </row>
    <row r="385" spans="14:14">
      <c r="N385" s="3"/>
    </row>
    <row r="386" spans="14:14">
      <c r="N386" s="3"/>
    </row>
    <row r="387" spans="14:14">
      <c r="N387" s="3"/>
    </row>
    <row r="388" spans="14:14">
      <c r="N388" s="3"/>
    </row>
    <row r="389" spans="14:14">
      <c r="N389" s="3"/>
    </row>
    <row r="390" spans="14:14">
      <c r="N390" s="3"/>
    </row>
    <row r="391" spans="14:14">
      <c r="N391" s="3"/>
    </row>
    <row r="392" spans="14:14">
      <c r="N392" s="3"/>
    </row>
    <row r="393" spans="14:14">
      <c r="N393" s="3"/>
    </row>
    <row r="394" spans="14:14">
      <c r="N394" s="3"/>
    </row>
    <row r="395" spans="14:14">
      <c r="N395" s="3"/>
    </row>
    <row r="396" spans="14:14">
      <c r="N396" s="3"/>
    </row>
    <row r="397" spans="14:14">
      <c r="N397" s="3"/>
    </row>
    <row r="398" spans="14:14">
      <c r="N398" s="3"/>
    </row>
    <row r="399" spans="14:14">
      <c r="N399" s="3"/>
    </row>
    <row r="400" spans="14:14">
      <c r="N400" s="3"/>
    </row>
    <row r="401" spans="14:14">
      <c r="N401" s="3"/>
    </row>
    <row r="402" spans="14:14">
      <c r="N402" s="3"/>
    </row>
    <row r="403" spans="14:14">
      <c r="N403" s="3"/>
    </row>
    <row r="404" spans="14:14">
      <c r="N404" s="3"/>
    </row>
    <row r="405" spans="14:14">
      <c r="N405" s="3"/>
    </row>
    <row r="406" spans="14:14">
      <c r="N406" s="3"/>
    </row>
    <row r="407" spans="14:14">
      <c r="N407" s="3"/>
    </row>
    <row r="408" spans="14:14">
      <c r="N408" s="3"/>
    </row>
    <row r="409" spans="14:14">
      <c r="N409" s="3"/>
    </row>
    <row r="410" spans="14:14">
      <c r="N410" s="3"/>
    </row>
    <row r="411" spans="14:14">
      <c r="N411" s="3"/>
    </row>
    <row r="412" spans="14:14">
      <c r="N412" s="3"/>
    </row>
    <row r="413" spans="14:14">
      <c r="N413" s="3"/>
    </row>
    <row r="414" spans="14:14">
      <c r="N414" s="3"/>
    </row>
    <row r="415" spans="14:14">
      <c r="N415" s="3"/>
    </row>
    <row r="416" spans="14:14">
      <c r="N416" s="3"/>
    </row>
    <row r="417" spans="14:14">
      <c r="N417" s="3"/>
    </row>
    <row r="418" spans="14:14">
      <c r="N418" s="3"/>
    </row>
    <row r="419" spans="14:14">
      <c r="N419" s="3"/>
    </row>
    <row r="420" spans="14:14">
      <c r="N420" s="3"/>
    </row>
    <row r="421" spans="14:14">
      <c r="N421" s="3"/>
    </row>
    <row r="422" spans="14:14">
      <c r="N422" s="3"/>
    </row>
    <row r="423" spans="14:14">
      <c r="N423" s="3"/>
    </row>
    <row r="424" spans="14:14">
      <c r="N424" s="3"/>
    </row>
    <row r="425" spans="14:14">
      <c r="N425" s="3"/>
    </row>
    <row r="426" spans="14:14">
      <c r="N426" s="3"/>
    </row>
    <row r="427" spans="14:14">
      <c r="N427" s="3"/>
    </row>
    <row r="428" spans="14:14">
      <c r="N428" s="3"/>
    </row>
    <row r="429" spans="14:14">
      <c r="N429" s="3"/>
    </row>
    <row r="430" spans="14:14">
      <c r="N430" s="3"/>
    </row>
    <row r="431" spans="14:14">
      <c r="N431" s="3"/>
    </row>
    <row r="432" spans="14:14">
      <c r="N432" s="3"/>
    </row>
    <row r="433" spans="14:14">
      <c r="N433" s="3"/>
    </row>
    <row r="434" spans="14:14">
      <c r="N434" s="3"/>
    </row>
    <row r="435" spans="14:14">
      <c r="N435" s="3"/>
    </row>
    <row r="436" spans="14:14">
      <c r="N436" s="3"/>
    </row>
    <row r="437" spans="14:14">
      <c r="N437" s="3"/>
    </row>
    <row r="438" spans="14:14">
      <c r="N438" s="3"/>
    </row>
    <row r="439" spans="14:14">
      <c r="N439" s="3"/>
    </row>
    <row r="440" spans="14:14">
      <c r="N440" s="3"/>
    </row>
    <row r="441" spans="14:14">
      <c r="N441" s="3"/>
    </row>
    <row r="442" spans="14:14">
      <c r="N442" s="3"/>
    </row>
    <row r="443" spans="14:14">
      <c r="N443" s="3"/>
    </row>
    <row r="444" spans="14:14">
      <c r="N444" s="3"/>
    </row>
    <row r="445" spans="14:14">
      <c r="N445" s="3"/>
    </row>
    <row r="446" spans="14:14">
      <c r="N446" s="3"/>
    </row>
    <row r="447" spans="14:14">
      <c r="N447" s="3"/>
    </row>
    <row r="448" spans="14:14">
      <c r="N448" s="3"/>
    </row>
    <row r="449" spans="14:14">
      <c r="N449" s="3"/>
    </row>
    <row r="450" spans="14:14">
      <c r="N450" s="3"/>
    </row>
    <row r="451" spans="14:14">
      <c r="N451" s="3"/>
    </row>
    <row r="452" spans="14:14">
      <c r="N452" s="3"/>
    </row>
    <row r="453" spans="14:14">
      <c r="N453" s="3"/>
    </row>
    <row r="454" spans="14:14">
      <c r="N454" s="3"/>
    </row>
    <row r="455" spans="14:14">
      <c r="N455" s="3"/>
    </row>
    <row r="456" spans="14:14">
      <c r="N456" s="3"/>
    </row>
    <row r="457" spans="14:14">
      <c r="N457" s="3"/>
    </row>
    <row r="458" spans="14:14">
      <c r="N458" s="3"/>
    </row>
    <row r="459" spans="14:14">
      <c r="N459" s="3"/>
    </row>
    <row r="460" spans="14:14">
      <c r="N460" s="3"/>
    </row>
    <row r="461" spans="14:14">
      <c r="N461" s="3"/>
    </row>
    <row r="462" spans="14:14">
      <c r="N462" s="3"/>
    </row>
    <row r="463" spans="14:14">
      <c r="N463" s="3"/>
    </row>
    <row r="464" spans="14:14">
      <c r="N464" s="3"/>
    </row>
    <row r="465" spans="14:14">
      <c r="N465" s="3"/>
    </row>
    <row r="466" spans="14:14">
      <c r="N466" s="3"/>
    </row>
    <row r="467" spans="14:14">
      <c r="N467" s="3"/>
    </row>
    <row r="468" spans="14:14">
      <c r="N468" s="3"/>
    </row>
    <row r="469" spans="14:14">
      <c r="N469" s="3"/>
    </row>
    <row r="470" spans="14:14">
      <c r="N470" s="3"/>
    </row>
    <row r="471" spans="14:14">
      <c r="N471" s="3"/>
    </row>
    <row r="472" spans="14:14">
      <c r="N472" s="3"/>
    </row>
    <row r="473" spans="14:14">
      <c r="N473" s="3"/>
    </row>
    <row r="474" spans="14:14">
      <c r="N474" s="3"/>
    </row>
    <row r="475" spans="14:14">
      <c r="N475" s="3"/>
    </row>
    <row r="476" spans="14:14">
      <c r="N476" s="3"/>
    </row>
    <row r="477" spans="14:14">
      <c r="N477" s="3"/>
    </row>
    <row r="478" spans="14:14">
      <c r="N478" s="3"/>
    </row>
    <row r="479" spans="14:14">
      <c r="N479" s="3"/>
    </row>
    <row r="480" spans="14:14">
      <c r="N480" s="3"/>
    </row>
    <row r="481" spans="14:14">
      <c r="N481" s="3"/>
    </row>
    <row r="482" spans="14:14">
      <c r="N482" s="3"/>
    </row>
    <row r="483" spans="14:14">
      <c r="N483" s="3"/>
    </row>
    <row r="484" spans="14:14">
      <c r="N484" s="3"/>
    </row>
    <row r="485" spans="14:14">
      <c r="N485" s="3"/>
    </row>
    <row r="486" spans="14:14">
      <c r="N486" s="3"/>
    </row>
    <row r="487" spans="14:14">
      <c r="N487" s="3"/>
    </row>
    <row r="488" spans="14:14">
      <c r="N488" s="3"/>
    </row>
    <row r="489" spans="14:14">
      <c r="N489" s="3"/>
    </row>
    <row r="490" spans="14:14">
      <c r="N490" s="3"/>
    </row>
    <row r="491" spans="14:14">
      <c r="N491" s="3"/>
    </row>
    <row r="492" spans="14:14">
      <c r="N492" s="3"/>
    </row>
    <row r="493" spans="14:14">
      <c r="N493" s="3"/>
    </row>
    <row r="494" spans="14:14">
      <c r="N494" s="3"/>
    </row>
    <row r="495" spans="14:14">
      <c r="N495" s="3"/>
    </row>
    <row r="496" spans="14:14">
      <c r="N496" s="3"/>
    </row>
    <row r="497" spans="14:14">
      <c r="N497" s="3"/>
    </row>
    <row r="498" spans="14:14">
      <c r="N498" s="3"/>
    </row>
    <row r="499" spans="14:14">
      <c r="N499" s="3"/>
    </row>
    <row r="500" spans="14:14">
      <c r="N500" s="3"/>
    </row>
    <row r="501" spans="14:14">
      <c r="N501" s="3"/>
    </row>
    <row r="502" spans="14:14">
      <c r="N502" s="3"/>
    </row>
    <row r="503" spans="14:14">
      <c r="N503" s="3"/>
    </row>
    <row r="504" spans="14:14">
      <c r="N504" s="3"/>
    </row>
    <row r="505" spans="14:14">
      <c r="N505" s="3"/>
    </row>
    <row r="506" spans="14:14">
      <c r="N506" s="3"/>
    </row>
    <row r="507" spans="14:14">
      <c r="N507" s="3"/>
    </row>
    <row r="508" spans="14:14">
      <c r="N508" s="3"/>
    </row>
    <row r="509" spans="14:14">
      <c r="N509" s="3"/>
    </row>
    <row r="510" spans="14:14">
      <c r="N510" s="3"/>
    </row>
    <row r="511" spans="14:14">
      <c r="N511" s="3"/>
    </row>
    <row r="512" spans="14:14">
      <c r="N512" s="3"/>
    </row>
    <row r="513" spans="14:14">
      <c r="N513" s="3"/>
    </row>
    <row r="514" spans="14:14">
      <c r="N514" s="3"/>
    </row>
    <row r="515" spans="14:14">
      <c r="N515" s="3"/>
    </row>
    <row r="516" spans="14:14">
      <c r="N516" s="3"/>
    </row>
    <row r="517" spans="14:14">
      <c r="N517" s="3"/>
    </row>
    <row r="518" spans="14:14">
      <c r="N518" s="3"/>
    </row>
    <row r="519" spans="14:14">
      <c r="N519" s="3"/>
    </row>
    <row r="520" spans="14:14">
      <c r="N520" s="3"/>
    </row>
    <row r="521" spans="14:14">
      <c r="N521" s="3"/>
    </row>
    <row r="522" spans="14:14">
      <c r="N522" s="3"/>
    </row>
    <row r="523" spans="14:14">
      <c r="N523" s="3"/>
    </row>
    <row r="524" spans="14:14">
      <c r="N524" s="3"/>
    </row>
    <row r="525" spans="14:14">
      <c r="N525" s="3"/>
    </row>
    <row r="526" spans="14:14">
      <c r="N526" s="3"/>
    </row>
    <row r="527" spans="14:14">
      <c r="N527" s="3"/>
    </row>
    <row r="528" spans="14:14">
      <c r="N528" s="3"/>
    </row>
    <row r="529" spans="14:14">
      <c r="N529" s="3"/>
    </row>
    <row r="530" spans="14:14">
      <c r="N530" s="3"/>
    </row>
    <row r="531" spans="14:14">
      <c r="N531" s="3"/>
    </row>
    <row r="532" spans="14:14">
      <c r="N532" s="3"/>
    </row>
    <row r="533" spans="14:14">
      <c r="N533" s="3"/>
    </row>
    <row r="534" spans="14:14">
      <c r="N534" s="3"/>
    </row>
    <row r="535" spans="14:14">
      <c r="N535" s="3"/>
    </row>
    <row r="536" spans="14:14">
      <c r="N536" s="3"/>
    </row>
    <row r="537" spans="14:14">
      <c r="N537" s="3"/>
    </row>
    <row r="538" spans="14:14">
      <c r="N538" s="3"/>
    </row>
    <row r="539" spans="14:14">
      <c r="N539" s="3"/>
    </row>
    <row r="540" spans="14:14">
      <c r="N540" s="3"/>
    </row>
    <row r="541" spans="14:14">
      <c r="N541" s="3"/>
    </row>
    <row r="542" spans="14:14">
      <c r="N542" s="3"/>
    </row>
    <row r="543" spans="14:14">
      <c r="N543" s="3"/>
    </row>
    <row r="544" spans="14:14">
      <c r="N544" s="3"/>
    </row>
    <row r="545" spans="14:14">
      <c r="N545" s="3"/>
    </row>
    <row r="546" spans="14:14">
      <c r="N546" s="3"/>
    </row>
    <row r="547" spans="14:14">
      <c r="N547" s="3"/>
    </row>
    <row r="548" spans="14:14">
      <c r="N548" s="3"/>
    </row>
    <row r="549" spans="14:14">
      <c r="N549" s="3"/>
    </row>
    <row r="550" spans="14:14">
      <c r="N550" s="3"/>
    </row>
    <row r="551" spans="14:14">
      <c r="N551" s="3"/>
    </row>
    <row r="552" spans="14:14">
      <c r="N552" s="3"/>
    </row>
    <row r="553" spans="14:14">
      <c r="N553" s="3"/>
    </row>
    <row r="554" spans="14:14">
      <c r="N554" s="3"/>
    </row>
    <row r="555" spans="14:14">
      <c r="N555" s="3"/>
    </row>
    <row r="556" spans="14:14">
      <c r="N556" s="3"/>
    </row>
    <row r="557" spans="14:14">
      <c r="N557" s="3"/>
    </row>
    <row r="558" spans="14:14">
      <c r="N558" s="3"/>
    </row>
    <row r="559" spans="14:14">
      <c r="N559" s="3"/>
    </row>
    <row r="560" spans="14:14">
      <c r="N560" s="3"/>
    </row>
    <row r="561" spans="14:14">
      <c r="N561" s="3"/>
    </row>
    <row r="562" spans="14:14">
      <c r="N562" s="3"/>
    </row>
    <row r="563" spans="14:14">
      <c r="N563" s="3"/>
    </row>
    <row r="564" spans="14:14">
      <c r="N564" s="3"/>
    </row>
    <row r="565" spans="14:14">
      <c r="N565" s="3"/>
    </row>
    <row r="566" spans="14:14">
      <c r="N566" s="3"/>
    </row>
    <row r="567" spans="14:14">
      <c r="N567" s="3"/>
    </row>
    <row r="568" spans="14:14">
      <c r="N568" s="3"/>
    </row>
    <row r="569" spans="14:14">
      <c r="N569" s="3"/>
    </row>
    <row r="570" spans="14:14">
      <c r="N570" s="3"/>
    </row>
    <row r="571" spans="14:14">
      <c r="N571" s="3"/>
    </row>
    <row r="572" spans="14:14">
      <c r="N572" s="3"/>
    </row>
    <row r="573" spans="14:14">
      <c r="N573" s="3"/>
    </row>
    <row r="574" spans="14:14">
      <c r="N574" s="3"/>
    </row>
    <row r="575" spans="14:14">
      <c r="N575" s="3"/>
    </row>
    <row r="576" spans="14:14">
      <c r="N576" s="3"/>
    </row>
    <row r="577" spans="14:14">
      <c r="N577" s="3"/>
    </row>
    <row r="578" spans="14:14">
      <c r="N578" s="3"/>
    </row>
    <row r="579" spans="14:14">
      <c r="N579" s="3"/>
    </row>
    <row r="580" spans="14:14">
      <c r="N580" s="3"/>
    </row>
    <row r="581" spans="14:14">
      <c r="N581" s="3"/>
    </row>
    <row r="582" spans="14:14">
      <c r="N582" s="3"/>
    </row>
    <row r="583" spans="14:14">
      <c r="N583" s="3"/>
    </row>
    <row r="584" spans="14:14">
      <c r="N584" s="3"/>
    </row>
    <row r="585" spans="14:14">
      <c r="N585" s="3"/>
    </row>
    <row r="586" spans="14:14">
      <c r="N586" s="3"/>
    </row>
    <row r="587" spans="14:14">
      <c r="N587" s="3"/>
    </row>
    <row r="588" spans="14:14">
      <c r="N588" s="3"/>
    </row>
    <row r="589" spans="14:14">
      <c r="N589" s="3"/>
    </row>
    <row r="590" spans="14:14">
      <c r="N590" s="3"/>
    </row>
    <row r="591" spans="14:14">
      <c r="N591" s="3"/>
    </row>
    <row r="592" spans="14:14">
      <c r="N592" s="3"/>
    </row>
    <row r="593" spans="14:14">
      <c r="N593" s="3"/>
    </row>
    <row r="594" spans="14:14">
      <c r="N594" s="3"/>
    </row>
    <row r="595" spans="14:14">
      <c r="N595" s="3"/>
    </row>
    <row r="596" spans="14:14">
      <c r="N596" s="3"/>
    </row>
    <row r="597" spans="14:14">
      <c r="N597" s="3"/>
    </row>
    <row r="598" spans="14:14">
      <c r="N598" s="3"/>
    </row>
    <row r="599" spans="14:14">
      <c r="N599" s="3"/>
    </row>
    <row r="600" spans="14:14">
      <c r="N600" s="3"/>
    </row>
    <row r="601" spans="14:14">
      <c r="N601" s="3"/>
    </row>
    <row r="602" spans="14:14">
      <c r="N602" s="3"/>
    </row>
    <row r="603" spans="14:14">
      <c r="N603" s="3"/>
    </row>
    <row r="604" spans="14:14">
      <c r="N604" s="3"/>
    </row>
    <row r="605" spans="14:14">
      <c r="N605" s="3"/>
    </row>
    <row r="606" spans="14:14">
      <c r="N606" s="3"/>
    </row>
    <row r="607" spans="14:14">
      <c r="N607" s="3"/>
    </row>
    <row r="608" spans="14:14">
      <c r="N608" s="3"/>
    </row>
    <row r="609" spans="14:14">
      <c r="N609" s="3"/>
    </row>
    <row r="610" spans="14:14">
      <c r="N610" s="3"/>
    </row>
    <row r="611" spans="14:14">
      <c r="N611" s="3"/>
    </row>
    <row r="612" spans="14:14">
      <c r="N612" s="3"/>
    </row>
    <row r="613" spans="14:14">
      <c r="N613" s="3"/>
    </row>
    <row r="614" spans="14:14">
      <c r="N614" s="3"/>
    </row>
    <row r="615" spans="14:14">
      <c r="N615" s="3"/>
    </row>
    <row r="616" spans="14:14">
      <c r="N616" s="3"/>
    </row>
    <row r="617" spans="14:14">
      <c r="N617" s="3"/>
    </row>
    <row r="618" spans="14:14">
      <c r="N618" s="3"/>
    </row>
    <row r="619" spans="14:14">
      <c r="N619" s="3"/>
    </row>
    <row r="620" spans="14:14">
      <c r="N620" s="3"/>
    </row>
    <row r="621" spans="14:14">
      <c r="N621" s="3"/>
    </row>
    <row r="622" spans="14:14">
      <c r="N622" s="3"/>
    </row>
    <row r="623" spans="14:14">
      <c r="N623" s="3"/>
    </row>
    <row r="624" spans="14:14">
      <c r="N624" s="3"/>
    </row>
    <row r="625" spans="14:14">
      <c r="N625" s="3"/>
    </row>
    <row r="626" spans="14:14">
      <c r="N626" s="3"/>
    </row>
    <row r="627" spans="14:14">
      <c r="N627" s="3"/>
    </row>
    <row r="628" spans="14:14">
      <c r="N628" s="3"/>
    </row>
    <row r="629" spans="14:14">
      <c r="N629" s="3"/>
    </row>
    <row r="630" spans="14:14">
      <c r="N630" s="3"/>
    </row>
    <row r="631" spans="14:14">
      <c r="N631" s="3"/>
    </row>
    <row r="632" spans="14:14">
      <c r="N632" s="3"/>
    </row>
    <row r="633" spans="14:14">
      <c r="N633" s="3"/>
    </row>
    <row r="634" spans="14:14">
      <c r="N634" s="3"/>
    </row>
    <row r="635" spans="14:14">
      <c r="N635" s="3"/>
    </row>
    <row r="636" spans="14:14">
      <c r="N636" s="3"/>
    </row>
    <row r="637" spans="14:14">
      <c r="N637" s="3"/>
    </row>
    <row r="638" spans="14:14">
      <c r="N638" s="3"/>
    </row>
    <row r="639" spans="14:14">
      <c r="N639" s="3"/>
    </row>
    <row r="640" spans="14:14">
      <c r="N640" s="3"/>
    </row>
    <row r="641" spans="14:14">
      <c r="N641" s="3"/>
    </row>
    <row r="642" spans="14:14">
      <c r="N642" s="3"/>
    </row>
    <row r="643" spans="14:14">
      <c r="N643" s="3"/>
    </row>
    <row r="644" spans="14:14">
      <c r="N644" s="3"/>
    </row>
    <row r="645" spans="14:14">
      <c r="N645" s="3"/>
    </row>
    <row r="646" spans="14:14">
      <c r="N646" s="3"/>
    </row>
    <row r="647" spans="14:14">
      <c r="N647" s="3"/>
    </row>
    <row r="648" spans="14:14">
      <c r="N648" s="3"/>
    </row>
    <row r="649" spans="14:14">
      <c r="N649" s="3"/>
    </row>
    <row r="650" spans="14:14">
      <c r="N650" s="3"/>
    </row>
    <row r="651" spans="14:14">
      <c r="N651" s="3"/>
    </row>
    <row r="652" spans="14:14">
      <c r="N652" s="3"/>
    </row>
    <row r="653" spans="14:14">
      <c r="N653" s="3"/>
    </row>
    <row r="654" spans="14:14">
      <c r="N654" s="3"/>
    </row>
    <row r="655" spans="14:14">
      <c r="N655" s="3"/>
    </row>
    <row r="656" spans="14:14">
      <c r="N656" s="3"/>
    </row>
    <row r="657" spans="14:14">
      <c r="N657" s="3"/>
    </row>
    <row r="658" spans="14:14">
      <c r="N658" s="3"/>
    </row>
    <row r="659" spans="14:14">
      <c r="N659" s="3"/>
    </row>
    <row r="660" spans="14:14">
      <c r="N660" s="3"/>
    </row>
    <row r="661" spans="14:14">
      <c r="N661" s="3"/>
    </row>
    <row r="662" spans="14:14">
      <c r="N662" s="3"/>
    </row>
    <row r="663" spans="14:14">
      <c r="N663" s="3"/>
    </row>
    <row r="664" spans="14:14">
      <c r="N664" s="3"/>
    </row>
    <row r="665" spans="14:14">
      <c r="N665" s="3"/>
    </row>
    <row r="666" spans="14:14">
      <c r="N666" s="3"/>
    </row>
    <row r="667" spans="14:14">
      <c r="N667" s="3"/>
    </row>
    <row r="668" spans="14:14">
      <c r="N668" s="3"/>
    </row>
    <row r="669" spans="14:14">
      <c r="N669" s="3"/>
    </row>
    <row r="670" spans="14:14">
      <c r="N670" s="3"/>
    </row>
    <row r="671" spans="14:14">
      <c r="N671" s="3"/>
    </row>
    <row r="672" spans="14:14">
      <c r="N672" s="3"/>
    </row>
    <row r="673" spans="14:14">
      <c r="N673" s="3"/>
    </row>
    <row r="674" spans="14:14">
      <c r="N674" s="3"/>
    </row>
    <row r="675" spans="14:14">
      <c r="N675" s="3"/>
    </row>
    <row r="676" spans="14:14">
      <c r="N676" s="3"/>
    </row>
    <row r="677" spans="14:14">
      <c r="N677" s="3"/>
    </row>
    <row r="678" spans="14:14">
      <c r="N678" s="3"/>
    </row>
    <row r="679" spans="14:14">
      <c r="N679" s="3"/>
    </row>
    <row r="680" spans="14:14">
      <c r="N680" s="3"/>
    </row>
    <row r="681" spans="14:14">
      <c r="N681" s="3"/>
    </row>
    <row r="682" spans="14:14">
      <c r="N682" s="3"/>
    </row>
    <row r="683" spans="14:14">
      <c r="N683" s="3"/>
    </row>
    <row r="684" spans="14:14">
      <c r="N684" s="3"/>
    </row>
    <row r="685" spans="14:14">
      <c r="N685" s="3"/>
    </row>
    <row r="686" spans="14:14">
      <c r="N686" s="3"/>
    </row>
    <row r="687" spans="14:14">
      <c r="N687" s="3"/>
    </row>
    <row r="688" spans="14:14">
      <c r="N688" s="3"/>
    </row>
    <row r="689" spans="14:14">
      <c r="N689" s="3"/>
    </row>
    <row r="690" spans="14:14">
      <c r="N690" s="3"/>
    </row>
    <row r="691" spans="14:14">
      <c r="N691" s="3"/>
    </row>
    <row r="692" spans="14:14">
      <c r="N692" s="3"/>
    </row>
    <row r="693" spans="14:14">
      <c r="N693" s="3"/>
    </row>
    <row r="694" spans="14:14">
      <c r="N694" s="3"/>
    </row>
    <row r="695" spans="14:14">
      <c r="N695" s="3"/>
    </row>
    <row r="696" spans="14:14">
      <c r="N696" s="3"/>
    </row>
    <row r="697" spans="14:14">
      <c r="N697" s="3"/>
    </row>
    <row r="698" spans="14:14">
      <c r="N698" s="3"/>
    </row>
    <row r="699" spans="14:14">
      <c r="N699" s="3"/>
    </row>
    <row r="700" spans="14:14">
      <c r="N700" s="3"/>
    </row>
    <row r="701" spans="14:14">
      <c r="N701" s="3"/>
    </row>
    <row r="702" spans="14:14">
      <c r="N702" s="3"/>
    </row>
    <row r="703" spans="14:14">
      <c r="N703" s="3"/>
    </row>
    <row r="704" spans="14:14">
      <c r="N704" s="3"/>
    </row>
    <row r="705" spans="14:14">
      <c r="N705" s="3"/>
    </row>
    <row r="706" spans="14:14">
      <c r="N706" s="3"/>
    </row>
    <row r="707" spans="14:14">
      <c r="N707" s="3"/>
    </row>
    <row r="708" spans="14:14">
      <c r="N708" s="3"/>
    </row>
    <row r="709" spans="14:14">
      <c r="N709" s="3"/>
    </row>
    <row r="710" spans="14:14">
      <c r="N710" s="3"/>
    </row>
    <row r="711" spans="14:14">
      <c r="N711" s="3"/>
    </row>
    <row r="712" spans="14:14">
      <c r="N712" s="3"/>
    </row>
    <row r="713" spans="14:14">
      <c r="N713" s="3"/>
    </row>
    <row r="714" spans="14:14">
      <c r="N714" s="3"/>
    </row>
    <row r="715" spans="14:14">
      <c r="N715" s="3"/>
    </row>
    <row r="716" spans="14:14">
      <c r="N716" s="3"/>
    </row>
    <row r="717" spans="14:14">
      <c r="N717" s="3"/>
    </row>
    <row r="718" spans="14:14">
      <c r="N718" s="3"/>
    </row>
    <row r="719" spans="14:14">
      <c r="N719" s="3"/>
    </row>
    <row r="720" spans="14:14">
      <c r="N720" s="3"/>
    </row>
    <row r="721" spans="14:14">
      <c r="N721" s="3"/>
    </row>
    <row r="722" spans="14:14">
      <c r="N722" s="3"/>
    </row>
    <row r="723" spans="14:14">
      <c r="N723" s="3"/>
    </row>
    <row r="724" spans="14:14">
      <c r="N724" s="3"/>
    </row>
    <row r="725" spans="14:14">
      <c r="N725" s="3"/>
    </row>
    <row r="726" spans="14:14">
      <c r="N726" s="3"/>
    </row>
    <row r="727" spans="14:14">
      <c r="N727" s="3"/>
    </row>
    <row r="728" spans="14:14">
      <c r="N728" s="3"/>
    </row>
    <row r="729" spans="14:14">
      <c r="N729" s="3"/>
    </row>
    <row r="730" spans="14:14">
      <c r="N730" s="3"/>
    </row>
    <row r="731" spans="14:14">
      <c r="N731" s="3"/>
    </row>
    <row r="732" spans="14:14">
      <c r="N732" s="3"/>
    </row>
    <row r="733" spans="14:14">
      <c r="N733" s="3"/>
    </row>
    <row r="734" spans="14:14">
      <c r="N734" s="3"/>
    </row>
    <row r="735" spans="14:14">
      <c r="N735" s="3"/>
    </row>
    <row r="736" spans="14:14">
      <c r="N736" s="3"/>
    </row>
    <row r="737" spans="14:14">
      <c r="N737" s="3"/>
    </row>
    <row r="738" spans="14:14">
      <c r="N738" s="3"/>
    </row>
    <row r="739" spans="14:14">
      <c r="N739" s="3"/>
    </row>
    <row r="740" spans="14:14">
      <c r="N740" s="3"/>
    </row>
    <row r="741" spans="14:14">
      <c r="N741" s="3"/>
    </row>
    <row r="742" spans="14:14">
      <c r="N742" s="3"/>
    </row>
    <row r="743" spans="14:14">
      <c r="N743" s="3"/>
    </row>
    <row r="744" spans="14:14">
      <c r="N744" s="3"/>
    </row>
    <row r="745" spans="14:14">
      <c r="N745" s="3"/>
    </row>
    <row r="746" spans="14:14">
      <c r="N746" s="3"/>
    </row>
    <row r="747" spans="14:14">
      <c r="N747" s="3"/>
    </row>
    <row r="748" spans="14:14">
      <c r="N748" s="3"/>
    </row>
    <row r="749" spans="14:14">
      <c r="N749" s="3"/>
    </row>
    <row r="750" spans="14:14">
      <c r="N750" s="3"/>
    </row>
    <row r="751" spans="14:14">
      <c r="N751" s="3"/>
    </row>
    <row r="752" spans="14:14">
      <c r="N752" s="3"/>
    </row>
    <row r="753" spans="14:14">
      <c r="N753" s="3"/>
    </row>
    <row r="754" spans="14:14">
      <c r="N754" s="3"/>
    </row>
    <row r="755" spans="14:14">
      <c r="N755" s="3"/>
    </row>
    <row r="756" spans="14:14">
      <c r="N756" s="3"/>
    </row>
    <row r="757" spans="14:14">
      <c r="N757" s="3"/>
    </row>
    <row r="758" spans="14:14">
      <c r="N758" s="3"/>
    </row>
    <row r="759" spans="14:14">
      <c r="N759" s="3"/>
    </row>
    <row r="760" spans="14:14">
      <c r="N760" s="3"/>
    </row>
    <row r="761" spans="14:14">
      <c r="N761" s="3"/>
    </row>
    <row r="762" spans="14:14">
      <c r="N762" s="3"/>
    </row>
    <row r="763" spans="14:14">
      <c r="N763" s="3"/>
    </row>
    <row r="764" spans="14:14">
      <c r="N764" s="3"/>
    </row>
    <row r="765" spans="14:14">
      <c r="N765" s="3"/>
    </row>
    <row r="766" spans="14:14">
      <c r="N766" s="3"/>
    </row>
    <row r="767" spans="14:14">
      <c r="N767" s="3"/>
    </row>
    <row r="768" spans="14:14">
      <c r="N768" s="3"/>
    </row>
    <row r="769" spans="14:14">
      <c r="N769" s="3"/>
    </row>
    <row r="770" spans="14:14">
      <c r="N770" s="3"/>
    </row>
    <row r="771" spans="14:14">
      <c r="N771" s="3"/>
    </row>
    <row r="772" spans="14:14">
      <c r="N772" s="3"/>
    </row>
    <row r="773" spans="14:14">
      <c r="N773" s="3"/>
    </row>
    <row r="774" spans="14:14">
      <c r="N774" s="3"/>
    </row>
    <row r="775" spans="14:14">
      <c r="N775" s="3"/>
    </row>
    <row r="776" spans="14:14">
      <c r="N776" s="3"/>
    </row>
    <row r="777" spans="14:14">
      <c r="N777" s="3"/>
    </row>
    <row r="778" spans="14:14">
      <c r="N778" s="3"/>
    </row>
    <row r="779" spans="14:14">
      <c r="N779" s="3"/>
    </row>
    <row r="780" spans="14:14">
      <c r="N780" s="3"/>
    </row>
    <row r="781" spans="14:14">
      <c r="N781" s="3"/>
    </row>
    <row r="782" spans="14:14">
      <c r="N782" s="3"/>
    </row>
    <row r="783" spans="14:14">
      <c r="N783" s="3"/>
    </row>
    <row r="784" spans="14:14">
      <c r="N784" s="3"/>
    </row>
    <row r="785" spans="14:14">
      <c r="N785" s="3"/>
    </row>
    <row r="786" spans="14:14">
      <c r="N786" s="3"/>
    </row>
    <row r="787" spans="14:14">
      <c r="N787" s="3"/>
    </row>
    <row r="788" spans="14:14">
      <c r="N788" s="3"/>
    </row>
    <row r="789" spans="14:14">
      <c r="N789" s="3"/>
    </row>
    <row r="790" spans="14:14">
      <c r="N790" s="3"/>
    </row>
    <row r="791" spans="14:14">
      <c r="N791" s="3"/>
    </row>
    <row r="792" spans="14:14">
      <c r="N792" s="3"/>
    </row>
    <row r="793" spans="14:14">
      <c r="N793" s="3"/>
    </row>
    <row r="794" spans="14:14">
      <c r="N794" s="3"/>
    </row>
    <row r="795" spans="14:14">
      <c r="N795" s="3"/>
    </row>
    <row r="796" spans="14:14">
      <c r="N796" s="3"/>
    </row>
    <row r="797" spans="14:14">
      <c r="N797" s="3"/>
    </row>
    <row r="798" spans="14:14">
      <c r="N798" s="3"/>
    </row>
    <row r="799" spans="14:14">
      <c r="N799" s="3"/>
    </row>
    <row r="800" spans="14:14">
      <c r="N800" s="3"/>
    </row>
    <row r="801" spans="14:14">
      <c r="N801" s="3"/>
    </row>
    <row r="802" spans="14:14">
      <c r="N802" s="3"/>
    </row>
    <row r="803" spans="14:14">
      <c r="N803" s="3"/>
    </row>
    <row r="804" spans="14:14">
      <c r="N804" s="3"/>
    </row>
    <row r="805" spans="14:14">
      <c r="N805" s="3"/>
    </row>
    <row r="806" spans="14:14">
      <c r="N806" s="3"/>
    </row>
    <row r="807" spans="14:14">
      <c r="N807" s="3"/>
    </row>
    <row r="808" spans="14:14">
      <c r="N808" s="3"/>
    </row>
    <row r="809" spans="14:14">
      <c r="N809" s="3"/>
    </row>
    <row r="810" spans="14:14">
      <c r="N810" s="3"/>
    </row>
    <row r="811" spans="14:14">
      <c r="N811" s="3"/>
    </row>
    <row r="812" spans="14:14">
      <c r="N812" s="3"/>
    </row>
    <row r="813" spans="14:14">
      <c r="N813" s="3"/>
    </row>
    <row r="814" spans="14:14">
      <c r="N814" s="3"/>
    </row>
    <row r="815" spans="14:14">
      <c r="N815" s="3"/>
    </row>
    <row r="816" spans="14:14">
      <c r="N816" s="3"/>
    </row>
    <row r="817" spans="14:14">
      <c r="N817" s="3"/>
    </row>
    <row r="818" spans="14:14">
      <c r="N818" s="3"/>
    </row>
    <row r="819" spans="14:14">
      <c r="N819" s="3"/>
    </row>
    <row r="820" spans="14:14">
      <c r="N820" s="3"/>
    </row>
    <row r="821" spans="14:14">
      <c r="N821" s="3"/>
    </row>
    <row r="822" spans="14:14">
      <c r="N822" s="3"/>
    </row>
    <row r="823" spans="14:14">
      <c r="N823" s="3"/>
    </row>
    <row r="824" spans="14:14">
      <c r="N824" s="3"/>
    </row>
    <row r="825" spans="14:14">
      <c r="N825" s="3"/>
    </row>
    <row r="826" spans="14:14">
      <c r="N826" s="3"/>
    </row>
    <row r="827" spans="14:14">
      <c r="N827" s="3"/>
    </row>
    <row r="828" spans="14:14">
      <c r="N828" s="3"/>
    </row>
    <row r="829" spans="14:14">
      <c r="N829" s="3"/>
    </row>
    <row r="830" spans="14:14">
      <c r="N830" s="3"/>
    </row>
    <row r="831" spans="14:14">
      <c r="N831" s="3"/>
    </row>
    <row r="832" spans="14:14">
      <c r="N832" s="3"/>
    </row>
    <row r="833" spans="14:14">
      <c r="N833" s="3"/>
    </row>
    <row r="834" spans="14:14">
      <c r="N834" s="3"/>
    </row>
    <row r="835" spans="14:14">
      <c r="N835" s="3"/>
    </row>
    <row r="836" spans="14:14">
      <c r="N836" s="3"/>
    </row>
    <row r="837" spans="14:14">
      <c r="N837" s="3"/>
    </row>
    <row r="838" spans="14:14">
      <c r="N838" s="3"/>
    </row>
    <row r="839" spans="14:14">
      <c r="N839" s="3"/>
    </row>
    <row r="840" spans="14:14">
      <c r="N840" s="3"/>
    </row>
    <row r="841" spans="14:14">
      <c r="N841" s="3"/>
    </row>
    <row r="842" spans="14:14">
      <c r="N842" s="3"/>
    </row>
    <row r="843" spans="14:14">
      <c r="N843" s="3"/>
    </row>
    <row r="844" spans="14:14">
      <c r="N844" s="3"/>
    </row>
    <row r="845" spans="14:14">
      <c r="N845" s="3"/>
    </row>
    <row r="846" spans="14:14">
      <c r="N846" s="3"/>
    </row>
    <row r="847" spans="14:14">
      <c r="N847" s="3"/>
    </row>
    <row r="848" spans="14:14">
      <c r="N848" s="3"/>
    </row>
    <row r="849" spans="14:14">
      <c r="N849" s="3"/>
    </row>
    <row r="850" spans="14:14">
      <c r="N850" s="3"/>
    </row>
    <row r="851" spans="14:14">
      <c r="N851" s="3"/>
    </row>
    <row r="852" spans="14:14">
      <c r="N852" s="3"/>
    </row>
    <row r="853" spans="14:14">
      <c r="N853" s="3"/>
    </row>
    <row r="854" spans="14:14">
      <c r="N854" s="3"/>
    </row>
    <row r="855" spans="14:14">
      <c r="N855" s="3"/>
    </row>
    <row r="856" spans="14:14">
      <c r="N856" s="3"/>
    </row>
    <row r="857" spans="14:14">
      <c r="N857" s="3"/>
    </row>
    <row r="858" spans="14:14">
      <c r="N858" s="3"/>
    </row>
    <row r="859" spans="14:14">
      <c r="N859" s="3"/>
    </row>
    <row r="860" spans="14:14">
      <c r="N860" s="3"/>
    </row>
    <row r="861" spans="14:14">
      <c r="N861" s="3"/>
    </row>
    <row r="862" spans="14:14">
      <c r="N862" s="3"/>
    </row>
    <row r="863" spans="14:14">
      <c r="N863" s="3"/>
    </row>
    <row r="864" spans="14:14">
      <c r="N864" s="3"/>
    </row>
    <row r="865" spans="14:14">
      <c r="N865" s="3"/>
    </row>
    <row r="866" spans="14:14">
      <c r="N866" s="3"/>
    </row>
    <row r="867" spans="14:14">
      <c r="N867" s="3"/>
    </row>
    <row r="868" spans="14:14">
      <c r="N868" s="3"/>
    </row>
    <row r="869" spans="14:14">
      <c r="N869" s="3"/>
    </row>
    <row r="870" spans="14:14">
      <c r="N870" s="3"/>
    </row>
    <row r="871" spans="14:14">
      <c r="N871" s="3"/>
    </row>
    <row r="872" spans="14:14">
      <c r="N872" s="3"/>
    </row>
    <row r="873" spans="14:14">
      <c r="N873" s="3"/>
    </row>
    <row r="874" spans="14:14">
      <c r="N874" s="3"/>
    </row>
    <row r="875" spans="14:14">
      <c r="N875" s="3"/>
    </row>
    <row r="876" spans="14:14">
      <c r="N876" s="3"/>
    </row>
    <row r="877" spans="14:14">
      <c r="N877" s="3"/>
    </row>
    <row r="878" spans="14:14">
      <c r="N878" s="3"/>
    </row>
    <row r="879" spans="14:14">
      <c r="N879" s="3"/>
    </row>
    <row r="880" spans="14:14">
      <c r="N880" s="3"/>
    </row>
    <row r="881" spans="14:14">
      <c r="N881" s="3"/>
    </row>
    <row r="882" spans="14:14">
      <c r="N882" s="3"/>
    </row>
    <row r="883" spans="14:14">
      <c r="N883" s="3"/>
    </row>
    <row r="884" spans="14:14">
      <c r="N884" s="3"/>
    </row>
    <row r="885" spans="14:14">
      <c r="N885" s="3"/>
    </row>
    <row r="886" spans="14:14">
      <c r="N886" s="3"/>
    </row>
    <row r="887" spans="14:14">
      <c r="N887" s="3"/>
    </row>
    <row r="888" spans="14:14">
      <c r="N888" s="3"/>
    </row>
    <row r="889" spans="14:14">
      <c r="N889" s="3"/>
    </row>
    <row r="890" spans="14:14">
      <c r="N890" s="3"/>
    </row>
    <row r="891" spans="14:14">
      <c r="N891" s="3"/>
    </row>
    <row r="892" spans="14:14">
      <c r="N892" s="3"/>
    </row>
    <row r="893" spans="14:14">
      <c r="N893" s="3"/>
    </row>
    <row r="894" spans="14:14">
      <c r="N894" s="3"/>
    </row>
    <row r="895" spans="14:14">
      <c r="N895" s="3"/>
    </row>
    <row r="896" spans="14:14">
      <c r="N896" s="3"/>
    </row>
    <row r="897" spans="14:14">
      <c r="N897" s="3"/>
    </row>
    <row r="898" spans="14:14">
      <c r="N898" s="3"/>
    </row>
    <row r="899" spans="14:14">
      <c r="N899" s="3"/>
    </row>
    <row r="900" spans="14:14">
      <c r="N900" s="3"/>
    </row>
    <row r="901" spans="14:14">
      <c r="N901" s="3"/>
    </row>
    <row r="902" spans="14:14">
      <c r="N902" s="3"/>
    </row>
    <row r="903" spans="14:14">
      <c r="N903" s="3"/>
    </row>
    <row r="904" spans="14:14">
      <c r="N904" s="3"/>
    </row>
    <row r="905" spans="14:14">
      <c r="N905" s="3"/>
    </row>
    <row r="906" spans="14:14">
      <c r="N906" s="3"/>
    </row>
    <row r="907" spans="14:14">
      <c r="N907" s="3"/>
    </row>
    <row r="908" spans="14:14">
      <c r="N908" s="3"/>
    </row>
    <row r="909" spans="14:14">
      <c r="N909" s="3"/>
    </row>
    <row r="910" spans="14:14">
      <c r="N910" s="3"/>
    </row>
    <row r="911" spans="14:14">
      <c r="N911" s="3"/>
    </row>
    <row r="912" spans="14:14">
      <c r="N912" s="3"/>
    </row>
    <row r="913" spans="14:14">
      <c r="N913" s="3"/>
    </row>
    <row r="914" spans="14:14">
      <c r="N914" s="3"/>
    </row>
    <row r="915" spans="14:14">
      <c r="N915" s="3"/>
    </row>
    <row r="916" spans="14:14">
      <c r="N916" s="3"/>
    </row>
    <row r="917" spans="14:14">
      <c r="N917" s="3"/>
    </row>
    <row r="918" spans="14:14">
      <c r="N918" s="3"/>
    </row>
    <row r="919" spans="14:14">
      <c r="N919" s="3"/>
    </row>
    <row r="920" spans="14:14">
      <c r="N920" s="3"/>
    </row>
    <row r="921" spans="14:14">
      <c r="N921" s="3"/>
    </row>
    <row r="922" spans="14:14">
      <c r="N922" s="3"/>
    </row>
    <row r="923" spans="14:14">
      <c r="N923" s="3"/>
    </row>
    <row r="924" spans="14:14">
      <c r="N924" s="3"/>
    </row>
    <row r="925" spans="14:14">
      <c r="N925" s="3"/>
    </row>
    <row r="926" spans="14:14">
      <c r="N926" s="3"/>
    </row>
    <row r="927" spans="14:14">
      <c r="N927" s="3"/>
    </row>
    <row r="928" spans="14:14">
      <c r="N928" s="3"/>
    </row>
    <row r="929" spans="14:14">
      <c r="N929" s="3"/>
    </row>
    <row r="930" spans="14:14">
      <c r="N930" s="3"/>
    </row>
    <row r="931" spans="14:14">
      <c r="N931" s="3"/>
    </row>
    <row r="932" spans="14:14">
      <c r="N932" s="3"/>
    </row>
    <row r="933" spans="14:14">
      <c r="N933" s="3"/>
    </row>
    <row r="934" spans="14:14">
      <c r="N934" s="3"/>
    </row>
    <row r="935" spans="14:14">
      <c r="N935" s="3"/>
    </row>
    <row r="936" spans="14:14">
      <c r="N936" s="3"/>
    </row>
    <row r="937" spans="14:14">
      <c r="N937" s="3"/>
    </row>
    <row r="938" spans="14:14">
      <c r="N938" s="3"/>
    </row>
    <row r="939" spans="14:14">
      <c r="N939" s="3"/>
    </row>
    <row r="940" spans="14:14">
      <c r="N940" s="3"/>
    </row>
    <row r="941" spans="14:14">
      <c r="N941" s="3"/>
    </row>
    <row r="942" spans="14:14">
      <c r="N942" s="3"/>
    </row>
    <row r="943" spans="14:14">
      <c r="N943" s="3"/>
    </row>
    <row r="944" spans="14:14">
      <c r="N944" s="3"/>
    </row>
    <row r="945" spans="14:14">
      <c r="N945" s="3"/>
    </row>
    <row r="946" spans="14:14">
      <c r="N946" s="3"/>
    </row>
    <row r="947" spans="14:14">
      <c r="N947" s="3"/>
    </row>
    <row r="948" spans="14:14">
      <c r="N948" s="3"/>
    </row>
    <row r="949" spans="14:14">
      <c r="N949" s="3"/>
    </row>
    <row r="950" spans="14:14">
      <c r="N950" s="3"/>
    </row>
    <row r="951" spans="14:14">
      <c r="N951" s="3"/>
    </row>
    <row r="952" spans="14:14">
      <c r="N952" s="3"/>
    </row>
    <row r="953" spans="14:14">
      <c r="N953" s="3"/>
    </row>
    <row r="954" spans="14:14">
      <c r="N954" s="3"/>
    </row>
    <row r="955" spans="14:14">
      <c r="N955" s="3"/>
    </row>
    <row r="956" spans="14:14">
      <c r="N956" s="3"/>
    </row>
    <row r="957" spans="14:14">
      <c r="N957" s="3"/>
    </row>
    <row r="958" spans="14:14">
      <c r="N958" s="3"/>
    </row>
    <row r="959" spans="14:14">
      <c r="N959" s="3"/>
    </row>
    <row r="960" spans="14:14">
      <c r="N960" s="3"/>
    </row>
    <row r="961" spans="14:14">
      <c r="N961" s="3"/>
    </row>
    <row r="962" spans="14:14">
      <c r="N962" s="3"/>
    </row>
    <row r="963" spans="14:14">
      <c r="N963" s="3"/>
    </row>
    <row r="964" spans="14:14">
      <c r="N964" s="3"/>
    </row>
    <row r="965" spans="14:14">
      <c r="N965" s="3"/>
    </row>
    <row r="966" spans="14:14">
      <c r="N966" s="3"/>
    </row>
    <row r="967" spans="14:14">
      <c r="N967" s="3"/>
    </row>
    <row r="968" spans="14:14">
      <c r="N968" s="3"/>
    </row>
    <row r="969" spans="14:14">
      <c r="N969" s="3"/>
    </row>
    <row r="970" spans="14:14">
      <c r="N970" s="3"/>
    </row>
    <row r="971" spans="14:14">
      <c r="N971" s="3"/>
    </row>
    <row r="972" spans="14:14">
      <c r="N972" s="3"/>
    </row>
    <row r="973" spans="14:14">
      <c r="N973" s="3"/>
    </row>
    <row r="974" spans="14:14">
      <c r="N974" s="3"/>
    </row>
    <row r="975" spans="14:14">
      <c r="N975" s="3"/>
    </row>
    <row r="976" spans="14:14">
      <c r="N976" s="3"/>
    </row>
    <row r="977" spans="14:14">
      <c r="N977" s="3"/>
    </row>
    <row r="978" spans="14:14">
      <c r="N978" s="3"/>
    </row>
    <row r="979" spans="14:14">
      <c r="N979" s="3"/>
    </row>
    <row r="980" spans="14:14">
      <c r="N980" s="3"/>
    </row>
    <row r="981" spans="14:14">
      <c r="N981" s="3"/>
    </row>
    <row r="982" spans="14:14">
      <c r="N982" s="3"/>
    </row>
    <row r="983" spans="14:14">
      <c r="N983" s="3"/>
    </row>
    <row r="984" spans="14:14">
      <c r="N984" s="3"/>
    </row>
    <row r="985" spans="14:14">
      <c r="N985" s="3"/>
    </row>
    <row r="986" spans="14:14">
      <c r="N986" s="3"/>
    </row>
    <row r="987" spans="14:14">
      <c r="N987" s="3"/>
    </row>
    <row r="988" spans="14:14">
      <c r="N988" s="3"/>
    </row>
    <row r="989" spans="14:14">
      <c r="N989" s="3"/>
    </row>
    <row r="990" spans="14:14">
      <c r="N990" s="3"/>
    </row>
    <row r="991" spans="14:14">
      <c r="N991" s="3"/>
    </row>
    <row r="992" spans="14:14">
      <c r="N992" s="3"/>
    </row>
    <row r="993" spans="14:14">
      <c r="N993" s="3"/>
    </row>
    <row r="994" spans="14:14">
      <c r="N994" s="3"/>
    </row>
    <row r="995" spans="14:14">
      <c r="N995" s="3"/>
    </row>
    <row r="996" spans="14:14">
      <c r="N996" s="3"/>
    </row>
    <row r="997" spans="14:14">
      <c r="N997" s="3"/>
    </row>
    <row r="998" spans="14:14">
      <c r="N998" s="3"/>
    </row>
    <row r="999" spans="14:14">
      <c r="N999" s="3"/>
    </row>
    <row r="1000" spans="14:14">
      <c r="N1000" s="3"/>
    </row>
    <row r="1001" spans="14:14">
      <c r="N1001" s="3"/>
    </row>
    <row r="1002" spans="14:14">
      <c r="N1002" s="3"/>
    </row>
    <row r="1003" spans="14:14">
      <c r="N1003" s="3"/>
    </row>
    <row r="1004" spans="14:14">
      <c r="N1004" s="3"/>
    </row>
    <row r="1005" spans="14:14">
      <c r="N1005" s="3"/>
    </row>
    <row r="1006" spans="14:14">
      <c r="N1006" s="3"/>
    </row>
    <row r="1007" spans="14:14">
      <c r="N1007" s="3"/>
    </row>
    <row r="1008" spans="14:14">
      <c r="N1008" s="3"/>
    </row>
    <row r="1009" spans="14:14">
      <c r="N1009" s="3"/>
    </row>
    <row r="1010" spans="14:14">
      <c r="N1010" s="3"/>
    </row>
    <row r="1011" spans="14:14">
      <c r="N1011" s="3"/>
    </row>
    <row r="1012" spans="14:14">
      <c r="N1012" s="3"/>
    </row>
    <row r="1013" spans="14:14">
      <c r="N1013" s="3"/>
    </row>
    <row r="1014" spans="14:14">
      <c r="N1014" s="3"/>
    </row>
    <row r="1015" spans="14:14">
      <c r="N1015" s="3"/>
    </row>
    <row r="1016" spans="14:14">
      <c r="N1016" s="3"/>
    </row>
    <row r="1017" spans="14:14">
      <c r="N1017" s="3"/>
    </row>
    <row r="1018" spans="14:14">
      <c r="N1018" s="3"/>
    </row>
    <row r="1019" spans="14:14">
      <c r="N1019" s="3"/>
    </row>
    <row r="1020" spans="14:14">
      <c r="N1020" s="3"/>
    </row>
    <row r="1021" spans="14:14">
      <c r="N1021" s="3"/>
    </row>
    <row r="1022" spans="14:14">
      <c r="N1022" s="3"/>
    </row>
    <row r="1023" spans="14:14">
      <c r="N1023" s="3"/>
    </row>
    <row r="1024" spans="14:14">
      <c r="N1024" s="3"/>
    </row>
    <row r="1025" spans="14:14">
      <c r="N1025" s="3"/>
    </row>
    <row r="1026" spans="14:14">
      <c r="N1026" s="3"/>
    </row>
    <row r="1027" spans="14:14">
      <c r="N1027" s="3"/>
    </row>
    <row r="1028" spans="14:14">
      <c r="N1028" s="3"/>
    </row>
    <row r="1029" spans="14:14">
      <c r="N1029" s="3"/>
    </row>
    <row r="1030" spans="14:14">
      <c r="N1030" s="3"/>
    </row>
    <row r="1031" spans="14:14">
      <c r="N1031" s="3"/>
    </row>
    <row r="1032" spans="14:14">
      <c r="N1032" s="3"/>
    </row>
    <row r="1033" spans="14:14">
      <c r="N1033" s="3"/>
    </row>
    <row r="1034" spans="14:14">
      <c r="N1034" s="3"/>
    </row>
    <row r="1035" spans="14:14">
      <c r="N1035" s="3"/>
    </row>
    <row r="1036" spans="14:14">
      <c r="N1036" s="3"/>
    </row>
    <row r="1037" spans="14:14">
      <c r="N1037" s="3"/>
    </row>
    <row r="1038" spans="14:14">
      <c r="N1038" s="3"/>
    </row>
    <row r="1039" spans="14:14">
      <c r="N1039" s="3"/>
    </row>
    <row r="1040" spans="14:14">
      <c r="N1040" s="3"/>
    </row>
    <row r="1041" spans="14:14">
      <c r="N1041" s="3"/>
    </row>
    <row r="1042" spans="14:14">
      <c r="N1042" s="3"/>
    </row>
    <row r="1043" spans="14:14">
      <c r="N1043" s="3"/>
    </row>
    <row r="1044" spans="14:14">
      <c r="N1044" s="3"/>
    </row>
    <row r="1045" spans="14:14">
      <c r="N1045" s="3"/>
    </row>
    <row r="1046" spans="14:14">
      <c r="N1046" s="3"/>
    </row>
    <row r="1047" spans="14:14">
      <c r="N1047" s="3"/>
    </row>
    <row r="1048" spans="14:14">
      <c r="N1048" s="3"/>
    </row>
    <row r="1049" spans="14:14">
      <c r="N1049" s="3"/>
    </row>
    <row r="1050" spans="14:14">
      <c r="N1050" s="3"/>
    </row>
    <row r="1051" spans="14:14">
      <c r="N1051" s="3"/>
    </row>
    <row r="1052" spans="14:14">
      <c r="N1052" s="3"/>
    </row>
    <row r="1053" spans="14:14">
      <c r="N1053" s="3"/>
    </row>
    <row r="1054" spans="14:14">
      <c r="N1054" s="3"/>
    </row>
    <row r="1055" spans="14:14">
      <c r="N1055" s="3"/>
    </row>
    <row r="1056" spans="14:14">
      <c r="N1056" s="3"/>
    </row>
    <row r="1057" spans="14:14">
      <c r="N1057" s="3"/>
    </row>
    <row r="1058" spans="14:14">
      <c r="N1058" s="3"/>
    </row>
    <row r="1059" spans="14:14">
      <c r="N1059" s="3"/>
    </row>
    <row r="1060" spans="14:14">
      <c r="N1060" s="3"/>
    </row>
    <row r="1061" spans="14:14">
      <c r="N1061" s="3"/>
    </row>
    <row r="1062" spans="14:14">
      <c r="N1062" s="3"/>
    </row>
    <row r="1063" spans="14:14">
      <c r="N1063" s="3"/>
    </row>
    <row r="1064" spans="14:14">
      <c r="N1064" s="3"/>
    </row>
    <row r="1065" spans="14:14">
      <c r="N1065" s="3"/>
    </row>
    <row r="1066" spans="14:14">
      <c r="N1066" s="3"/>
    </row>
    <row r="1067" spans="14:14">
      <c r="N1067" s="3"/>
    </row>
    <row r="1068" spans="14:14">
      <c r="N1068" s="3"/>
    </row>
    <row r="1069" spans="14:14">
      <c r="N1069" s="3"/>
    </row>
    <row r="1070" spans="14:14">
      <c r="N1070" s="3"/>
    </row>
    <row r="1071" spans="14:14">
      <c r="N1071" s="3"/>
    </row>
    <row r="1072" spans="14:14">
      <c r="N1072" s="3"/>
    </row>
    <row r="1073" spans="14:14">
      <c r="N1073" s="3"/>
    </row>
    <row r="1074" spans="14:14">
      <c r="N1074" s="3"/>
    </row>
    <row r="1075" spans="14:14">
      <c r="N1075" s="3"/>
    </row>
    <row r="1076" spans="14:14">
      <c r="N1076" s="3"/>
    </row>
    <row r="1077" spans="14:14">
      <c r="N1077" s="3"/>
    </row>
    <row r="1078" spans="14:14">
      <c r="N1078" s="3"/>
    </row>
    <row r="1079" spans="14:14">
      <c r="N1079" s="3"/>
    </row>
    <row r="1080" spans="14:14">
      <c r="N1080" s="3"/>
    </row>
    <row r="1081" spans="14:14">
      <c r="N1081" s="3"/>
    </row>
    <row r="1082" spans="14:14">
      <c r="N1082" s="3"/>
    </row>
    <row r="1083" spans="14:14">
      <c r="N1083" s="3"/>
    </row>
    <row r="1084" spans="14:14">
      <c r="N1084" s="3"/>
    </row>
    <row r="1085" spans="14:14">
      <c r="N1085" s="3"/>
    </row>
    <row r="1086" spans="14:14">
      <c r="N1086" s="3"/>
    </row>
    <row r="1087" spans="14:14">
      <c r="N1087" s="3"/>
    </row>
    <row r="1088" spans="14:14">
      <c r="N1088" s="3"/>
    </row>
    <row r="1089" spans="14:14">
      <c r="N1089" s="3"/>
    </row>
    <row r="1090" spans="14:14">
      <c r="N1090" s="3"/>
    </row>
    <row r="1091" spans="14:14">
      <c r="N1091" s="3"/>
    </row>
    <row r="1092" spans="14:14">
      <c r="N1092" s="3"/>
    </row>
    <row r="1093" spans="14:14">
      <c r="N1093" s="3"/>
    </row>
    <row r="1094" spans="14:14">
      <c r="N1094" s="3"/>
    </row>
    <row r="1095" spans="14:14">
      <c r="N1095" s="3"/>
    </row>
    <row r="1096" spans="14:14">
      <c r="N1096" s="3"/>
    </row>
    <row r="1097" spans="14:14">
      <c r="N1097" s="3"/>
    </row>
    <row r="1098" spans="14:14">
      <c r="N1098" s="3"/>
    </row>
    <row r="1099" spans="14:14">
      <c r="N1099" s="3"/>
    </row>
    <row r="1100" spans="14:14">
      <c r="N1100" s="3"/>
    </row>
    <row r="1101" spans="14:14">
      <c r="N1101" s="3"/>
    </row>
    <row r="1102" spans="14:14">
      <c r="N1102" s="3"/>
    </row>
    <row r="1103" spans="14:14">
      <c r="N1103" s="3"/>
    </row>
    <row r="1104" spans="14:14">
      <c r="N1104" s="3"/>
    </row>
    <row r="1105" spans="14:14">
      <c r="N1105" s="3"/>
    </row>
    <row r="1106" spans="14:14">
      <c r="N1106" s="3"/>
    </row>
    <row r="1107" spans="14:14">
      <c r="N1107" s="3"/>
    </row>
    <row r="1108" spans="14:14">
      <c r="N1108" s="3"/>
    </row>
    <row r="1109" spans="14:14">
      <c r="N1109" s="3"/>
    </row>
    <row r="1110" spans="14:14">
      <c r="N1110" s="3"/>
    </row>
    <row r="1111" spans="14:14">
      <c r="N1111" s="3"/>
    </row>
    <row r="1112" spans="14:14">
      <c r="N1112" s="3"/>
    </row>
    <row r="1113" spans="14:14">
      <c r="N1113" s="3"/>
    </row>
    <row r="1114" spans="14:14">
      <c r="N1114" s="3"/>
    </row>
    <row r="1115" spans="14:14">
      <c r="N1115" s="3"/>
    </row>
    <row r="1116" spans="14:14">
      <c r="N1116" s="3"/>
    </row>
    <row r="1117" spans="14:14">
      <c r="N1117" s="3"/>
    </row>
    <row r="1118" spans="14:14">
      <c r="N1118" s="3"/>
    </row>
    <row r="1119" spans="14:14">
      <c r="N1119" s="3"/>
    </row>
    <row r="1120" spans="14:14">
      <c r="N1120" s="3"/>
    </row>
    <row r="1121" spans="14:14">
      <c r="N1121" s="3"/>
    </row>
    <row r="1122" spans="14:14">
      <c r="N1122" s="3"/>
    </row>
    <row r="1123" spans="14:14">
      <c r="N1123" s="3"/>
    </row>
    <row r="1124" spans="14:14">
      <c r="N1124" s="3"/>
    </row>
    <row r="1125" spans="14:14">
      <c r="N1125" s="3"/>
    </row>
    <row r="1126" spans="14:14">
      <c r="N1126" s="3"/>
    </row>
    <row r="1127" spans="14:14">
      <c r="N1127" s="3"/>
    </row>
    <row r="1128" spans="14:14">
      <c r="N1128" s="3"/>
    </row>
    <row r="1129" spans="14:14">
      <c r="N1129" s="3"/>
    </row>
    <row r="1130" spans="14:14">
      <c r="N1130" s="3"/>
    </row>
    <row r="1131" spans="14:14">
      <c r="N1131" s="3"/>
    </row>
    <row r="1132" spans="14:14">
      <c r="N1132" s="3"/>
    </row>
    <row r="1133" spans="14:14">
      <c r="N1133" s="3"/>
    </row>
    <row r="1134" spans="14:14">
      <c r="N1134" s="3"/>
    </row>
    <row r="1135" spans="14:14">
      <c r="N1135" s="3"/>
    </row>
    <row r="1136" spans="14:14">
      <c r="N1136" s="3"/>
    </row>
    <row r="1137" spans="14:14">
      <c r="N1137" s="3"/>
    </row>
    <row r="1138" spans="14:14">
      <c r="N1138" s="3"/>
    </row>
    <row r="1139" spans="14:14">
      <c r="N1139" s="3"/>
    </row>
    <row r="1140" spans="14:14">
      <c r="N1140" s="3"/>
    </row>
    <row r="1141" spans="14:14">
      <c r="N1141" s="3"/>
    </row>
    <row r="1142" spans="14:14">
      <c r="N1142" s="3"/>
    </row>
    <row r="1143" spans="14:14">
      <c r="N1143" s="3"/>
    </row>
    <row r="1144" spans="14:14">
      <c r="N1144" s="3"/>
    </row>
    <row r="1145" spans="14:14">
      <c r="N1145" s="3"/>
    </row>
    <row r="1146" spans="14:14">
      <c r="N1146" s="3"/>
    </row>
    <row r="1147" spans="14:14">
      <c r="N1147" s="3"/>
    </row>
    <row r="1148" spans="14:14">
      <c r="N1148" s="3"/>
    </row>
    <row r="1149" spans="14:14">
      <c r="N1149" s="3"/>
    </row>
    <row r="1150" spans="14:14">
      <c r="N1150" s="3"/>
    </row>
    <row r="1151" spans="14:14">
      <c r="N1151" s="3"/>
    </row>
    <row r="1152" spans="14:14">
      <c r="N1152" s="3"/>
    </row>
    <row r="1153" spans="14:14">
      <c r="N1153" s="3"/>
    </row>
    <row r="1154" spans="14:14">
      <c r="N1154" s="3"/>
    </row>
    <row r="1155" spans="14:14">
      <c r="N1155" s="3"/>
    </row>
    <row r="1156" spans="14:14">
      <c r="N1156" s="3"/>
    </row>
    <row r="1157" spans="14:14">
      <c r="N1157" s="3"/>
    </row>
    <row r="1158" spans="14:14">
      <c r="N1158" s="3"/>
    </row>
    <row r="1159" spans="14:14">
      <c r="N1159" s="3"/>
    </row>
    <row r="1160" spans="14:14">
      <c r="N1160" s="3"/>
    </row>
    <row r="1161" spans="14:14">
      <c r="N1161" s="3"/>
    </row>
    <row r="1162" spans="14:14">
      <c r="N1162" s="3"/>
    </row>
    <row r="1163" spans="14:14">
      <c r="N1163" s="3"/>
    </row>
    <row r="1164" spans="14:14">
      <c r="N1164" s="3"/>
    </row>
    <row r="1165" spans="14:14">
      <c r="N1165" s="3"/>
    </row>
    <row r="1166" spans="14:14">
      <c r="N1166" s="3"/>
    </row>
    <row r="1167" spans="14:14">
      <c r="N1167" s="3"/>
    </row>
    <row r="1168" spans="14:14">
      <c r="N1168" s="3"/>
    </row>
    <row r="1169" spans="14:14">
      <c r="N1169" s="3"/>
    </row>
    <row r="1170" spans="14:14">
      <c r="N1170" s="3"/>
    </row>
    <row r="1171" spans="14:14">
      <c r="N1171" s="3"/>
    </row>
    <row r="1172" spans="14:14">
      <c r="N1172" s="3"/>
    </row>
    <row r="1173" spans="14:14">
      <c r="N1173" s="3"/>
    </row>
    <row r="1174" spans="14:14">
      <c r="N1174" s="3"/>
    </row>
    <row r="1175" spans="14:14">
      <c r="N1175" s="3"/>
    </row>
    <row r="1176" spans="14:14">
      <c r="N1176" s="3"/>
    </row>
    <row r="1177" spans="14:14">
      <c r="N1177" s="3"/>
    </row>
    <row r="1178" spans="14:14">
      <c r="N1178" s="3"/>
    </row>
    <row r="1179" spans="14:14">
      <c r="N1179" s="3"/>
    </row>
    <row r="1180" spans="14:14">
      <c r="N1180" s="3"/>
    </row>
    <row r="1181" spans="14:14">
      <c r="N1181" s="3"/>
    </row>
    <row r="1182" spans="14:14">
      <c r="N1182" s="3"/>
    </row>
    <row r="1183" spans="14:14">
      <c r="N1183" s="3"/>
    </row>
    <row r="1184" spans="14:14">
      <c r="N1184" s="3"/>
    </row>
    <row r="1185" spans="14:14">
      <c r="N1185" s="3"/>
    </row>
    <row r="1186" spans="14:14">
      <c r="N1186" s="3"/>
    </row>
    <row r="1187" spans="14:14">
      <c r="N1187" s="3"/>
    </row>
    <row r="1188" spans="14:14">
      <c r="N1188" s="3"/>
    </row>
    <row r="1189" spans="14:14">
      <c r="N1189" s="3"/>
    </row>
    <row r="1190" spans="14:14">
      <c r="N1190" s="3"/>
    </row>
    <row r="1191" spans="14:14">
      <c r="N1191" s="3"/>
    </row>
    <row r="1192" spans="14:14">
      <c r="N1192" s="3"/>
    </row>
    <row r="1193" spans="14:14">
      <c r="N1193" s="3"/>
    </row>
    <row r="1194" spans="14:14">
      <c r="N1194" s="3"/>
    </row>
    <row r="1195" spans="14:14">
      <c r="N1195" s="3"/>
    </row>
    <row r="1196" spans="14:14">
      <c r="N1196" s="3"/>
    </row>
    <row r="1197" spans="14:14">
      <c r="N1197" s="3"/>
    </row>
    <row r="1198" spans="14:14">
      <c r="N1198" s="3"/>
    </row>
    <row r="1199" spans="14:14">
      <c r="N1199" s="3"/>
    </row>
    <row r="1200" spans="14:14">
      <c r="N1200" s="3"/>
    </row>
    <row r="1201" spans="14:14">
      <c r="N1201" s="3"/>
    </row>
    <row r="1202" spans="14:14">
      <c r="N1202" s="3"/>
    </row>
    <row r="1203" spans="14:14">
      <c r="N1203" s="3"/>
    </row>
    <row r="1204" spans="14:14">
      <c r="N1204" s="3"/>
    </row>
    <row r="1205" spans="14:14">
      <c r="N1205" s="3"/>
    </row>
    <row r="1206" spans="14:14">
      <c r="N1206" s="3"/>
    </row>
    <row r="1207" spans="14:14">
      <c r="N1207" s="3"/>
    </row>
    <row r="1208" spans="14:14">
      <c r="N1208" s="3"/>
    </row>
    <row r="1209" spans="14:14">
      <c r="N1209" s="3"/>
    </row>
    <row r="1210" spans="14:14">
      <c r="N1210" s="3"/>
    </row>
    <row r="1211" spans="14:14">
      <c r="N1211" s="3"/>
    </row>
    <row r="1212" spans="14:14">
      <c r="N1212" s="3"/>
    </row>
    <row r="1213" spans="14:14">
      <c r="N1213" s="3"/>
    </row>
    <row r="1214" spans="14:14">
      <c r="N1214" s="3"/>
    </row>
    <row r="1215" spans="14:14">
      <c r="N1215" s="3"/>
    </row>
    <row r="1216" spans="14:14">
      <c r="N1216" s="3"/>
    </row>
    <row r="1217" spans="14:14">
      <c r="N1217" s="3"/>
    </row>
    <row r="1218" spans="14:14">
      <c r="N1218" s="3"/>
    </row>
    <row r="1219" spans="14:14">
      <c r="N1219" s="3"/>
    </row>
    <row r="1220" spans="14:14">
      <c r="N1220" s="3"/>
    </row>
    <row r="1221" spans="14:14">
      <c r="N1221" s="3"/>
    </row>
    <row r="1222" spans="14:14">
      <c r="N1222" s="3"/>
    </row>
    <row r="1223" spans="14:14">
      <c r="N1223" s="3"/>
    </row>
    <row r="1224" spans="14:14">
      <c r="N1224" s="3"/>
    </row>
    <row r="1225" spans="14:14">
      <c r="N1225" s="3"/>
    </row>
    <row r="1226" spans="14:14">
      <c r="N1226" s="3"/>
    </row>
    <row r="1227" spans="14:14">
      <c r="N1227" s="3"/>
    </row>
    <row r="1228" spans="14:14">
      <c r="N1228" s="3"/>
    </row>
    <row r="1229" spans="14:14">
      <c r="N1229" s="3"/>
    </row>
    <row r="1230" spans="14:14">
      <c r="N1230" s="3"/>
    </row>
    <row r="1231" spans="14:14">
      <c r="N1231" s="3"/>
    </row>
    <row r="1232" spans="14:14">
      <c r="N1232" s="3"/>
    </row>
    <row r="1233" spans="14:14">
      <c r="N1233" s="3"/>
    </row>
    <row r="1234" spans="14:14">
      <c r="N1234" s="3"/>
    </row>
    <row r="1235" spans="14:14">
      <c r="N1235" s="3"/>
    </row>
    <row r="1236" spans="14:14">
      <c r="N1236" s="3"/>
    </row>
    <row r="1237" spans="14:14">
      <c r="N1237" s="3"/>
    </row>
    <row r="1238" spans="14:14">
      <c r="N1238" s="3"/>
    </row>
    <row r="1239" spans="14:14">
      <c r="N1239" s="3"/>
    </row>
    <row r="1240" spans="14:14">
      <c r="N1240" s="3"/>
    </row>
    <row r="1241" spans="14:14">
      <c r="N1241" s="3"/>
    </row>
    <row r="1242" spans="14:14">
      <c r="N1242" s="3"/>
    </row>
    <row r="1243" spans="14:14">
      <c r="N1243" s="3"/>
    </row>
    <row r="1244" spans="14:14">
      <c r="N1244" s="3"/>
    </row>
    <row r="1245" spans="14:14">
      <c r="N1245" s="3"/>
    </row>
    <row r="1246" spans="14:14">
      <c r="N1246" s="3"/>
    </row>
    <row r="1247" spans="14:14">
      <c r="N1247" s="3"/>
    </row>
    <row r="1248" spans="14:14">
      <c r="N1248" s="3"/>
    </row>
    <row r="1249" spans="14:14">
      <c r="N1249" s="3"/>
    </row>
    <row r="1250" spans="14:14">
      <c r="N1250" s="3"/>
    </row>
    <row r="1251" spans="14:14">
      <c r="N1251" s="3"/>
    </row>
    <row r="1252" spans="14:14">
      <c r="N1252" s="3"/>
    </row>
    <row r="1253" spans="14:14">
      <c r="N1253" s="3"/>
    </row>
    <row r="1254" spans="14:14">
      <c r="N1254" s="3"/>
    </row>
    <row r="1255" spans="14:14">
      <c r="N1255" s="3"/>
    </row>
    <row r="1256" spans="14:14">
      <c r="N1256" s="3"/>
    </row>
    <row r="1257" spans="14:14">
      <c r="N1257" s="3"/>
    </row>
    <row r="1258" spans="14:14">
      <c r="N1258" s="3"/>
    </row>
    <row r="1259" spans="14:14">
      <c r="N1259" s="3"/>
    </row>
    <row r="1260" spans="14:14">
      <c r="N1260" s="3"/>
    </row>
    <row r="1261" spans="14:14">
      <c r="N1261" s="3"/>
    </row>
    <row r="1262" spans="14:14">
      <c r="N1262" s="3"/>
    </row>
    <row r="1263" spans="14:14">
      <c r="N1263" s="3"/>
    </row>
    <row r="1264" spans="14:14">
      <c r="N1264" s="3"/>
    </row>
    <row r="1265" spans="14:14">
      <c r="N1265" s="3"/>
    </row>
    <row r="1266" spans="14:14">
      <c r="N1266" s="3"/>
    </row>
    <row r="1267" spans="14:14">
      <c r="N1267" s="3"/>
    </row>
    <row r="1268" spans="14:14">
      <c r="N1268" s="3"/>
    </row>
    <row r="1269" spans="14:14">
      <c r="N1269" s="3"/>
    </row>
    <row r="1270" spans="14:14">
      <c r="N1270" s="3"/>
    </row>
    <row r="1271" spans="14:14">
      <c r="N1271" s="3"/>
    </row>
    <row r="1272" spans="14:14">
      <c r="N1272" s="3"/>
    </row>
    <row r="1273" spans="14:14">
      <c r="N1273" s="3"/>
    </row>
    <row r="1274" spans="14:14">
      <c r="N1274" s="3"/>
    </row>
    <row r="1275" spans="14:14">
      <c r="N1275" s="3"/>
    </row>
    <row r="1276" spans="14:14">
      <c r="N1276" s="3"/>
    </row>
    <row r="1277" spans="14:14">
      <c r="N1277" s="3"/>
    </row>
    <row r="1278" spans="14:14">
      <c r="N1278" s="3"/>
    </row>
    <row r="1279" spans="14:14">
      <c r="N1279" s="3"/>
    </row>
    <row r="1280" spans="14:14">
      <c r="N1280" s="3"/>
    </row>
    <row r="1281" spans="14:14">
      <c r="N1281" s="3"/>
    </row>
    <row r="1282" spans="14:14">
      <c r="N1282" s="3"/>
    </row>
    <row r="1283" spans="14:14">
      <c r="N1283" s="3"/>
    </row>
    <row r="1284" spans="14:14">
      <c r="N1284" s="3"/>
    </row>
    <row r="1285" spans="14:14">
      <c r="N1285" s="3"/>
    </row>
    <row r="1286" spans="14:14">
      <c r="N1286" s="3"/>
    </row>
    <row r="1287" spans="14:14">
      <c r="N1287" s="3"/>
    </row>
    <row r="1288" spans="14:14">
      <c r="N1288" s="3"/>
    </row>
    <row r="1289" spans="14:14">
      <c r="N1289" s="3"/>
    </row>
    <row r="1290" spans="14:14">
      <c r="N1290" s="3"/>
    </row>
    <row r="1291" spans="14:14">
      <c r="N1291" s="3"/>
    </row>
    <row r="1292" spans="14:14">
      <c r="N1292" s="3"/>
    </row>
    <row r="1293" spans="14:14">
      <c r="N1293" s="3"/>
    </row>
    <row r="1294" spans="14:14">
      <c r="N1294" s="3"/>
    </row>
    <row r="1295" spans="14:14">
      <c r="N1295" s="3"/>
    </row>
    <row r="1296" spans="14:14">
      <c r="N1296" s="3"/>
    </row>
    <row r="1297" spans="14:14">
      <c r="N1297" s="3"/>
    </row>
    <row r="1298" spans="14:14">
      <c r="N1298" s="3"/>
    </row>
    <row r="1299" spans="14:14">
      <c r="N1299" s="3"/>
    </row>
    <row r="1300" spans="14:14">
      <c r="N1300" s="3"/>
    </row>
    <row r="1301" spans="14:14">
      <c r="N1301" s="3"/>
    </row>
    <row r="1302" spans="14:14">
      <c r="N1302" s="3"/>
    </row>
    <row r="1303" spans="14:14">
      <c r="N1303" s="3"/>
    </row>
    <row r="1304" spans="14:14">
      <c r="N1304" s="3"/>
    </row>
    <row r="1305" spans="14:14">
      <c r="N1305" s="3"/>
    </row>
    <row r="1306" spans="14:14">
      <c r="N1306" s="3"/>
    </row>
    <row r="1307" spans="14:14">
      <c r="N1307" s="3"/>
    </row>
    <row r="1308" spans="14:14">
      <c r="N1308" s="3"/>
    </row>
    <row r="1309" spans="14:14">
      <c r="N1309" s="3"/>
    </row>
    <row r="1310" spans="14:14">
      <c r="N1310" s="3"/>
    </row>
    <row r="1311" spans="14:14">
      <c r="N1311" s="3"/>
    </row>
    <row r="1312" spans="14:14">
      <c r="N1312" s="3"/>
    </row>
    <row r="1313" spans="14:14">
      <c r="N1313" s="3"/>
    </row>
    <row r="1314" spans="14:14">
      <c r="N1314" s="3"/>
    </row>
    <row r="1315" spans="14:14">
      <c r="N1315" s="3"/>
    </row>
    <row r="1316" spans="14:14">
      <c r="N1316" s="3"/>
    </row>
    <row r="1317" spans="14:14">
      <c r="N1317" s="3"/>
    </row>
    <row r="1318" spans="14:14">
      <c r="N1318" s="3"/>
    </row>
    <row r="1319" spans="14:14">
      <c r="N1319" s="3"/>
    </row>
    <row r="1320" spans="14:14">
      <c r="N1320" s="3"/>
    </row>
    <row r="1321" spans="14:14">
      <c r="N1321" s="3"/>
    </row>
    <row r="1322" spans="14:14">
      <c r="N1322" s="3"/>
    </row>
    <row r="1323" spans="14:14">
      <c r="N1323" s="3"/>
    </row>
    <row r="1324" spans="14:14">
      <c r="N1324" s="3"/>
    </row>
    <row r="1325" spans="14:14">
      <c r="N1325" s="3"/>
    </row>
    <row r="1326" spans="14:14">
      <c r="N1326" s="3"/>
    </row>
    <row r="1327" spans="14:14">
      <c r="N1327" s="3"/>
    </row>
    <row r="1328" spans="14:14">
      <c r="N1328" s="3"/>
    </row>
    <row r="1329" spans="14:14">
      <c r="N1329" s="3"/>
    </row>
    <row r="1330" spans="14:14">
      <c r="N1330" s="3"/>
    </row>
    <row r="1331" spans="14:14">
      <c r="N1331" s="3"/>
    </row>
    <row r="1332" spans="14:14">
      <c r="N1332" s="3"/>
    </row>
    <row r="1333" spans="14:14">
      <c r="N1333" s="3"/>
    </row>
    <row r="1334" spans="14:14">
      <c r="N1334" s="3"/>
    </row>
    <row r="1335" spans="14:14">
      <c r="N1335" s="3"/>
    </row>
    <row r="1336" spans="14:14">
      <c r="N1336" s="3"/>
    </row>
    <row r="1337" spans="14:14">
      <c r="N1337" s="3"/>
    </row>
    <row r="1338" spans="14:14">
      <c r="N1338" s="3"/>
    </row>
    <row r="1339" spans="14:14">
      <c r="N1339" s="3"/>
    </row>
    <row r="1340" spans="14:14">
      <c r="N1340" s="3"/>
    </row>
    <row r="1341" spans="14:14">
      <c r="N1341" s="3"/>
    </row>
    <row r="1342" spans="14:14">
      <c r="N1342" s="3"/>
    </row>
    <row r="1343" spans="14:14">
      <c r="N1343" s="3"/>
    </row>
    <row r="1344" spans="14:14">
      <c r="N1344" s="3"/>
    </row>
    <row r="1345" spans="14:14">
      <c r="N1345" s="3"/>
    </row>
    <row r="1346" spans="14:14">
      <c r="N1346" s="3"/>
    </row>
    <row r="1347" spans="14:14">
      <c r="N1347" s="3"/>
    </row>
    <row r="1348" spans="14:14">
      <c r="N1348" s="3"/>
    </row>
    <row r="1349" spans="14:14">
      <c r="N1349" s="3"/>
    </row>
    <row r="1350" spans="14:14">
      <c r="N1350" s="3"/>
    </row>
    <row r="1351" spans="14:14">
      <c r="N1351" s="3"/>
    </row>
    <row r="1352" spans="14:14">
      <c r="N1352" s="3"/>
    </row>
    <row r="1353" spans="14:14">
      <c r="N1353" s="3"/>
    </row>
    <row r="1354" spans="14:14">
      <c r="N1354" s="3"/>
    </row>
    <row r="1355" spans="14:14">
      <c r="N1355" s="3"/>
    </row>
    <row r="1356" spans="14:14">
      <c r="N1356" s="3"/>
    </row>
    <row r="1357" spans="14:14">
      <c r="N1357" s="3"/>
    </row>
    <row r="1358" spans="14:14">
      <c r="N1358" s="3"/>
    </row>
    <row r="1359" spans="14:14">
      <c r="N1359" s="3"/>
    </row>
    <row r="1360" spans="14:14">
      <c r="N1360" s="3"/>
    </row>
    <row r="1361" spans="14:14">
      <c r="N1361" s="3"/>
    </row>
    <row r="1362" spans="14:14">
      <c r="N1362" s="3"/>
    </row>
    <row r="1363" spans="14:14">
      <c r="N1363" s="3"/>
    </row>
    <row r="1364" spans="14:14">
      <c r="N1364" s="3"/>
    </row>
    <row r="1365" spans="14:14">
      <c r="N1365" s="3"/>
    </row>
    <row r="1366" spans="14:14">
      <c r="N1366" s="3"/>
    </row>
    <row r="1367" spans="14:14">
      <c r="N1367" s="3"/>
    </row>
    <row r="1368" spans="14:14">
      <c r="N1368" s="3"/>
    </row>
    <row r="1369" spans="14:14">
      <c r="N1369" s="3"/>
    </row>
    <row r="1370" spans="14:14">
      <c r="N1370" s="3"/>
    </row>
    <row r="1371" spans="14:14">
      <c r="N1371" s="3"/>
    </row>
    <row r="1372" spans="14:14">
      <c r="N1372" s="3"/>
    </row>
    <row r="1373" spans="14:14">
      <c r="N1373" s="3"/>
    </row>
    <row r="1374" spans="14:14">
      <c r="N1374" s="3"/>
    </row>
    <row r="1375" spans="14:14">
      <c r="N1375" s="3"/>
    </row>
    <row r="1376" spans="14:14">
      <c r="N1376" s="3"/>
    </row>
    <row r="1377" spans="14:14">
      <c r="N1377" s="3"/>
    </row>
    <row r="1378" spans="14:14">
      <c r="N1378" s="3"/>
    </row>
    <row r="1379" spans="14:14">
      <c r="N1379" s="3"/>
    </row>
    <row r="1380" spans="14:14">
      <c r="N1380" s="3"/>
    </row>
    <row r="1381" spans="14:14">
      <c r="N1381" s="3"/>
    </row>
    <row r="1382" spans="14:14">
      <c r="N1382" s="3"/>
    </row>
    <row r="1383" spans="14:14">
      <c r="N1383" s="3"/>
    </row>
    <row r="1384" spans="14:14">
      <c r="N1384" s="3"/>
    </row>
    <row r="1385" spans="14:14">
      <c r="N1385" s="3"/>
    </row>
    <row r="1386" spans="14:14">
      <c r="N1386" s="3"/>
    </row>
    <row r="1387" spans="14:14">
      <c r="N1387" s="3"/>
    </row>
    <row r="1388" spans="14:14">
      <c r="N1388" s="3"/>
    </row>
    <row r="1389" spans="14:14">
      <c r="N1389" s="3"/>
    </row>
    <row r="1390" spans="14:14">
      <c r="N1390" s="3"/>
    </row>
    <row r="1391" spans="14:14">
      <c r="N1391" s="3"/>
    </row>
    <row r="1392" spans="14:14">
      <c r="N1392" s="3"/>
    </row>
    <row r="1393" spans="14:14">
      <c r="N1393" s="3"/>
    </row>
    <row r="1394" spans="14:14">
      <c r="N1394" s="3"/>
    </row>
    <row r="1395" spans="14:14">
      <c r="N1395" s="3"/>
    </row>
    <row r="1396" spans="14:14">
      <c r="N1396" s="3"/>
    </row>
    <row r="1397" spans="14:14">
      <c r="N1397" s="3"/>
    </row>
    <row r="1398" spans="14:14">
      <c r="N1398" s="3"/>
    </row>
    <row r="1399" spans="14:14">
      <c r="N1399" s="3"/>
    </row>
    <row r="1400" spans="14:14">
      <c r="N1400" s="3"/>
    </row>
    <row r="1401" spans="14:14">
      <c r="N1401" s="3"/>
    </row>
    <row r="1402" spans="14:14">
      <c r="N1402" s="3"/>
    </row>
    <row r="1403" spans="14:14">
      <c r="N1403" s="3"/>
    </row>
    <row r="1404" spans="14:14">
      <c r="N1404" s="3"/>
    </row>
    <row r="1405" spans="14:14">
      <c r="N1405" s="3"/>
    </row>
    <row r="1406" spans="14:14">
      <c r="N1406" s="3"/>
    </row>
    <row r="1407" spans="14:14">
      <c r="N1407" s="3"/>
    </row>
    <row r="1408" spans="14:14">
      <c r="N1408" s="3"/>
    </row>
    <row r="1409" spans="14:14">
      <c r="N1409" s="3"/>
    </row>
    <row r="1410" spans="14:14">
      <c r="N1410" s="3"/>
    </row>
    <row r="1411" spans="14:14">
      <c r="N1411" s="3"/>
    </row>
    <row r="1412" spans="14:14">
      <c r="N1412" s="3"/>
    </row>
    <row r="1413" spans="14:14">
      <c r="N1413" s="3"/>
    </row>
    <row r="1414" spans="14:14">
      <c r="N1414" s="3"/>
    </row>
    <row r="1415" spans="14:14">
      <c r="N1415" s="3"/>
    </row>
    <row r="1416" spans="14:14">
      <c r="N1416" s="3"/>
    </row>
    <row r="1417" spans="14:14">
      <c r="N1417" s="3"/>
    </row>
    <row r="1418" spans="14:14">
      <c r="N1418" s="3"/>
    </row>
    <row r="1419" spans="14:14">
      <c r="N1419" s="3"/>
    </row>
    <row r="1420" spans="14:14">
      <c r="N1420" s="3"/>
    </row>
    <row r="1421" spans="14:14">
      <c r="N1421" s="3"/>
    </row>
    <row r="1422" spans="14:14">
      <c r="N1422" s="3"/>
    </row>
    <row r="1423" spans="14:14">
      <c r="N1423" s="3"/>
    </row>
    <row r="1424" spans="14:14">
      <c r="N1424" s="3"/>
    </row>
    <row r="1425" spans="14:14">
      <c r="N1425" s="3"/>
    </row>
    <row r="1426" spans="14:14">
      <c r="N1426" s="3"/>
    </row>
    <row r="1427" spans="14:14">
      <c r="N1427" s="3"/>
    </row>
    <row r="1428" spans="14:14">
      <c r="N1428" s="3"/>
    </row>
    <row r="1429" spans="14:14">
      <c r="N1429" s="3"/>
    </row>
    <row r="1430" spans="14:14">
      <c r="N1430" s="3"/>
    </row>
    <row r="1431" spans="14:14">
      <c r="N1431" s="3"/>
    </row>
    <row r="1432" spans="14:14">
      <c r="N1432" s="3"/>
    </row>
    <row r="1433" spans="14:14">
      <c r="N1433" s="3"/>
    </row>
    <row r="1434" spans="14:14">
      <c r="N1434" s="3"/>
    </row>
    <row r="1435" spans="14:14">
      <c r="N1435" s="3"/>
    </row>
    <row r="1436" spans="14:14">
      <c r="N1436" s="3"/>
    </row>
    <row r="1437" spans="14:14">
      <c r="N1437" s="3"/>
    </row>
    <row r="1438" spans="14:14">
      <c r="N1438" s="3"/>
    </row>
    <row r="1439" spans="14:14">
      <c r="N1439" s="3"/>
    </row>
    <row r="1440" spans="14:14">
      <c r="N1440" s="3"/>
    </row>
    <row r="1441" spans="14:14">
      <c r="N1441" s="3"/>
    </row>
    <row r="1442" spans="14:14">
      <c r="N1442" s="3"/>
    </row>
    <row r="1443" spans="14:14">
      <c r="N1443" s="3"/>
    </row>
    <row r="1444" spans="14:14">
      <c r="N1444" s="3"/>
    </row>
    <row r="1445" spans="14:14">
      <c r="N1445" s="3"/>
    </row>
    <row r="1446" spans="14:14">
      <c r="N1446" s="3"/>
    </row>
    <row r="1447" spans="14:14">
      <c r="N1447" s="3"/>
    </row>
    <row r="1448" spans="14:14">
      <c r="N1448" s="3"/>
    </row>
    <row r="1449" spans="14:14">
      <c r="N1449" s="3"/>
    </row>
    <row r="1450" spans="14:14">
      <c r="N1450" s="3"/>
    </row>
    <row r="1451" spans="14:14">
      <c r="N1451" s="3"/>
    </row>
    <row r="1452" spans="14:14">
      <c r="N1452" s="3"/>
    </row>
    <row r="1453" spans="14:14">
      <c r="N1453" s="3"/>
    </row>
    <row r="1454" spans="14:14">
      <c r="N1454" s="3"/>
    </row>
    <row r="1455" spans="14:14">
      <c r="N1455" s="3"/>
    </row>
    <row r="1456" spans="14:14">
      <c r="N1456" s="3"/>
    </row>
    <row r="1457" spans="14:14">
      <c r="N1457" s="3"/>
    </row>
    <row r="1458" spans="14:14">
      <c r="N1458" s="3"/>
    </row>
    <row r="1459" spans="14:14">
      <c r="N1459" s="3"/>
    </row>
    <row r="1460" spans="14:14">
      <c r="N1460" s="3"/>
    </row>
    <row r="1461" spans="14:14">
      <c r="N1461" s="3"/>
    </row>
    <row r="1462" spans="14:14">
      <c r="N1462" s="3"/>
    </row>
    <row r="1463" spans="14:14">
      <c r="N1463" s="3"/>
    </row>
    <row r="1464" spans="14:14">
      <c r="N1464" s="3"/>
    </row>
    <row r="1465" spans="14:14">
      <c r="N1465" s="3"/>
    </row>
    <row r="1466" spans="14:14">
      <c r="N1466" s="3"/>
    </row>
    <row r="1467" spans="14:14">
      <c r="N1467" s="3"/>
    </row>
    <row r="1468" spans="14:14">
      <c r="N1468" s="3"/>
    </row>
    <row r="1469" spans="14:14">
      <c r="N1469" s="3"/>
    </row>
    <row r="1470" spans="14:14">
      <c r="N1470" s="3"/>
    </row>
    <row r="1471" spans="14:14">
      <c r="N1471" s="3"/>
    </row>
    <row r="1472" spans="14:14">
      <c r="N1472" s="3"/>
    </row>
    <row r="1473" spans="14:14">
      <c r="N1473" s="3"/>
    </row>
    <row r="1474" spans="14:14">
      <c r="N1474" s="3"/>
    </row>
    <row r="1475" spans="14:14">
      <c r="N1475" s="3"/>
    </row>
    <row r="1476" spans="14:14">
      <c r="N1476" s="3"/>
    </row>
    <row r="1477" spans="14:14">
      <c r="N1477" s="3"/>
    </row>
    <row r="1478" spans="14:14">
      <c r="N1478" s="3"/>
    </row>
    <row r="1479" spans="14:14">
      <c r="N1479" s="3"/>
    </row>
    <row r="1480" spans="14:14">
      <c r="N1480" s="3"/>
    </row>
    <row r="1481" spans="14:14">
      <c r="N1481" s="3"/>
    </row>
    <row r="1482" spans="14:14">
      <c r="N1482" s="3"/>
    </row>
    <row r="1483" spans="14:14">
      <c r="N1483" s="3"/>
    </row>
    <row r="1484" spans="14:14">
      <c r="N1484" s="3"/>
    </row>
    <row r="1485" spans="14:14">
      <c r="N1485" s="3"/>
    </row>
    <row r="1486" spans="14:14">
      <c r="N1486" s="3"/>
    </row>
    <row r="1487" spans="14:14">
      <c r="N1487" s="3"/>
    </row>
    <row r="1488" spans="14:14">
      <c r="N1488" s="3"/>
    </row>
    <row r="1489" spans="14:14">
      <c r="N1489" s="3"/>
    </row>
    <row r="1490" spans="14:14">
      <c r="N1490" s="3"/>
    </row>
    <row r="1491" spans="14:14">
      <c r="N1491" s="3"/>
    </row>
    <row r="1492" spans="14:14">
      <c r="N1492" s="3"/>
    </row>
    <row r="1493" spans="14:14">
      <c r="N1493" s="3"/>
    </row>
    <row r="1494" spans="14:14">
      <c r="N1494" s="3"/>
    </row>
    <row r="1495" spans="14:14">
      <c r="N1495" s="3"/>
    </row>
    <row r="1496" spans="14:14">
      <c r="N1496" s="3"/>
    </row>
    <row r="1497" spans="14:14">
      <c r="N1497" s="3"/>
    </row>
    <row r="1498" spans="14:14">
      <c r="N1498" s="3"/>
    </row>
    <row r="1499" spans="14:14">
      <c r="N1499" s="3"/>
    </row>
    <row r="1500" spans="14:14">
      <c r="N1500" s="3"/>
    </row>
    <row r="1501" spans="14:14">
      <c r="N1501" s="3"/>
    </row>
    <row r="1502" spans="14:14">
      <c r="N1502" s="3"/>
    </row>
    <row r="1503" spans="14:14">
      <c r="N1503" s="3"/>
    </row>
    <row r="1504" spans="14:14">
      <c r="N1504" s="3"/>
    </row>
    <row r="1505" spans="14:14">
      <c r="N1505" s="3"/>
    </row>
    <row r="1506" spans="14:14">
      <c r="N1506" s="3"/>
    </row>
    <row r="1507" spans="14:14">
      <c r="N1507" s="3"/>
    </row>
    <row r="1508" spans="14:14">
      <c r="N1508" s="3"/>
    </row>
    <row r="1509" spans="14:14">
      <c r="N1509" s="3"/>
    </row>
    <row r="1510" spans="14:14">
      <c r="N1510" s="3"/>
    </row>
    <row r="1511" spans="14:14">
      <c r="N1511" s="3"/>
    </row>
    <row r="1512" spans="14:14">
      <c r="N1512" s="3"/>
    </row>
    <row r="1513" spans="14:14">
      <c r="N1513" s="3"/>
    </row>
    <row r="1514" spans="14:14">
      <c r="N1514" s="3"/>
    </row>
    <row r="1515" spans="14:14">
      <c r="N1515" s="3"/>
    </row>
    <row r="1516" spans="14:14">
      <c r="N1516" s="3"/>
    </row>
    <row r="1517" spans="14:14">
      <c r="N1517" s="3"/>
    </row>
    <row r="1518" spans="14:14">
      <c r="N1518" s="3"/>
    </row>
    <row r="1519" spans="14:14">
      <c r="N1519" s="3"/>
    </row>
    <row r="1520" spans="14:14">
      <c r="N1520" s="3"/>
    </row>
    <row r="1521" spans="14:14">
      <c r="N1521" s="3"/>
    </row>
    <row r="1522" spans="14:14">
      <c r="N1522" s="3"/>
    </row>
    <row r="1523" spans="14:14">
      <c r="N1523" s="3"/>
    </row>
    <row r="1524" spans="14:14">
      <c r="N1524" s="3"/>
    </row>
    <row r="1525" spans="14:14">
      <c r="N1525" s="3"/>
    </row>
    <row r="1526" spans="14:14">
      <c r="N1526" s="3"/>
    </row>
    <row r="1527" spans="14:14">
      <c r="N1527" s="3"/>
    </row>
    <row r="1528" spans="14:14">
      <c r="N1528" s="3"/>
    </row>
    <row r="1529" spans="14:14">
      <c r="N1529" s="3"/>
    </row>
    <row r="1530" spans="14:14">
      <c r="N1530" s="3"/>
    </row>
    <row r="1531" spans="14:14">
      <c r="N1531" s="3"/>
    </row>
    <row r="1532" spans="14:14">
      <c r="N1532" s="3"/>
    </row>
    <row r="1533" spans="14:14">
      <c r="N1533" s="3"/>
    </row>
    <row r="1534" spans="14:14">
      <c r="N1534" s="3"/>
    </row>
    <row r="1535" spans="14:14">
      <c r="N1535" s="3"/>
    </row>
    <row r="1536" spans="14:14">
      <c r="N1536" s="3"/>
    </row>
    <row r="1537" spans="14:14">
      <c r="N1537" s="3"/>
    </row>
    <row r="1538" spans="14:14">
      <c r="N1538" s="3"/>
    </row>
    <row r="1539" spans="14:14">
      <c r="N1539" s="3"/>
    </row>
    <row r="1540" spans="14:14">
      <c r="N1540" s="3"/>
    </row>
    <row r="1541" spans="14:14">
      <c r="N1541" s="3"/>
    </row>
    <row r="1542" spans="14:14">
      <c r="N1542" s="3"/>
    </row>
    <row r="1543" spans="14:14">
      <c r="N1543" s="3"/>
    </row>
    <row r="1544" spans="14:14">
      <c r="N1544" s="3"/>
    </row>
    <row r="1545" spans="14:14">
      <c r="N1545" s="3"/>
    </row>
    <row r="1546" spans="14:14">
      <c r="N1546" s="3"/>
    </row>
    <row r="1547" spans="14:14">
      <c r="N1547" s="3"/>
    </row>
    <row r="1548" spans="14:14">
      <c r="N1548" s="3"/>
    </row>
    <row r="1549" spans="14:14">
      <c r="N1549" s="3"/>
    </row>
    <row r="1550" spans="14:14">
      <c r="N1550" s="3"/>
    </row>
    <row r="1551" spans="14:14">
      <c r="N1551" s="3"/>
    </row>
    <row r="1552" spans="14:14">
      <c r="N1552" s="3"/>
    </row>
    <row r="1553" spans="14:14">
      <c r="N1553" s="3"/>
    </row>
    <row r="1554" spans="14:14">
      <c r="N1554" s="3"/>
    </row>
    <row r="1555" spans="14:14">
      <c r="N1555" s="3"/>
    </row>
    <row r="1556" spans="14:14">
      <c r="N1556" s="3"/>
    </row>
    <row r="1557" spans="14:14">
      <c r="N1557" s="3"/>
    </row>
    <row r="1558" spans="14:14">
      <c r="N1558" s="3"/>
    </row>
    <row r="1559" spans="14:14">
      <c r="N1559" s="3"/>
    </row>
    <row r="1560" spans="14:14">
      <c r="N1560" s="3"/>
    </row>
    <row r="1561" spans="14:14">
      <c r="N1561" s="3"/>
    </row>
    <row r="1562" spans="14:14">
      <c r="N1562" s="3"/>
    </row>
    <row r="1563" spans="14:14">
      <c r="N1563" s="3"/>
    </row>
    <row r="1564" spans="14:14">
      <c r="N1564" s="3"/>
    </row>
    <row r="1565" spans="14:14">
      <c r="N1565" s="3"/>
    </row>
    <row r="1566" spans="14:14">
      <c r="N1566" s="3"/>
    </row>
    <row r="1567" spans="14:14">
      <c r="N1567" s="3"/>
    </row>
    <row r="1568" spans="14:14">
      <c r="N1568" s="3"/>
    </row>
    <row r="1569" spans="14:14">
      <c r="N1569" s="3"/>
    </row>
    <row r="1570" spans="14:14">
      <c r="N1570" s="3"/>
    </row>
    <row r="1571" spans="14:14">
      <c r="N1571" s="3"/>
    </row>
    <row r="1572" spans="14:14">
      <c r="N1572" s="3"/>
    </row>
    <row r="1573" spans="14:14">
      <c r="N1573" s="3"/>
    </row>
    <row r="1574" spans="14:14">
      <c r="N1574" s="3"/>
    </row>
    <row r="1575" spans="14:14">
      <c r="N1575" s="3"/>
    </row>
    <row r="1576" spans="14:14">
      <c r="N1576" s="3"/>
    </row>
    <row r="1577" spans="14:14">
      <c r="N1577" s="3"/>
    </row>
    <row r="1578" spans="14:14">
      <c r="N1578" s="3"/>
    </row>
    <row r="1579" spans="14:14">
      <c r="N1579" s="3"/>
    </row>
    <row r="1580" spans="14:14">
      <c r="N1580" s="3"/>
    </row>
    <row r="1581" spans="14:14">
      <c r="N1581" s="3"/>
    </row>
    <row r="1582" spans="14:14">
      <c r="N1582" s="3"/>
    </row>
    <row r="1583" spans="14:14">
      <c r="N1583" s="3"/>
    </row>
    <row r="1584" spans="14:14">
      <c r="N1584" s="3"/>
    </row>
    <row r="1585" spans="14:14">
      <c r="N1585" s="3"/>
    </row>
    <row r="1586" spans="14:14">
      <c r="N1586" s="3"/>
    </row>
    <row r="1587" spans="14:14">
      <c r="N1587" s="3"/>
    </row>
    <row r="1588" spans="14:14">
      <c r="N1588" s="3"/>
    </row>
    <row r="1589" spans="14:14">
      <c r="N1589" s="3"/>
    </row>
    <row r="1590" spans="14:14">
      <c r="N1590" s="3"/>
    </row>
    <row r="1591" spans="14:14">
      <c r="N1591" s="3"/>
    </row>
    <row r="1592" spans="14:14">
      <c r="N1592" s="3"/>
    </row>
    <row r="1593" spans="14:14">
      <c r="N1593" s="3"/>
    </row>
    <row r="1594" spans="14:14">
      <c r="N1594" s="3"/>
    </row>
    <row r="1595" spans="14:14">
      <c r="N1595" s="3"/>
    </row>
    <row r="1596" spans="14:14">
      <c r="N1596" s="3"/>
    </row>
    <row r="1597" spans="14:14">
      <c r="N1597" s="3"/>
    </row>
    <row r="1598" spans="14:14">
      <c r="N1598" s="3"/>
    </row>
    <row r="1599" spans="14:14">
      <c r="N1599" s="3"/>
    </row>
    <row r="1600" spans="14:14">
      <c r="N1600" s="3"/>
    </row>
    <row r="1601" spans="14:14">
      <c r="N1601" s="3"/>
    </row>
    <row r="1602" spans="14:14">
      <c r="N1602" s="3"/>
    </row>
    <row r="1603" spans="14:14">
      <c r="N1603" s="3"/>
    </row>
    <row r="1604" spans="14:14">
      <c r="N1604" s="3"/>
    </row>
    <row r="1605" spans="14:14">
      <c r="N1605" s="3"/>
    </row>
    <row r="1606" spans="14:14">
      <c r="N1606" s="3"/>
    </row>
    <row r="1607" spans="14:14">
      <c r="N1607" s="3"/>
    </row>
    <row r="1608" spans="14:14">
      <c r="N1608" s="3"/>
    </row>
    <row r="1609" spans="14:14">
      <c r="N1609" s="3"/>
    </row>
    <row r="1610" spans="14:14">
      <c r="N1610" s="3"/>
    </row>
    <row r="1611" spans="14:14">
      <c r="N1611" s="3"/>
    </row>
    <row r="1612" spans="14:14">
      <c r="N1612" s="3"/>
    </row>
    <row r="1613" spans="14:14">
      <c r="N1613" s="3"/>
    </row>
    <row r="1614" spans="14:14">
      <c r="N1614" s="3"/>
    </row>
    <row r="1615" spans="14:14">
      <c r="N1615" s="3"/>
    </row>
    <row r="1616" spans="14:14">
      <c r="N1616" s="3"/>
    </row>
    <row r="1617" spans="14:14">
      <c r="N1617" s="3"/>
    </row>
    <row r="1618" spans="14:14">
      <c r="N1618" s="3"/>
    </row>
    <row r="1619" spans="14:14">
      <c r="N1619" s="3"/>
    </row>
    <row r="1620" spans="14:14">
      <c r="N1620" s="3"/>
    </row>
    <row r="1621" spans="14:14">
      <c r="N1621" s="3"/>
    </row>
    <row r="1622" spans="14:14">
      <c r="N1622" s="3"/>
    </row>
    <row r="1623" spans="14:14">
      <c r="N1623" s="3"/>
    </row>
    <row r="1624" spans="14:14">
      <c r="N1624" s="3"/>
    </row>
    <row r="1625" spans="14:14">
      <c r="N1625" s="3"/>
    </row>
    <row r="1626" spans="14:14">
      <c r="N1626" s="3"/>
    </row>
    <row r="1627" spans="14:14">
      <c r="N1627" s="3"/>
    </row>
    <row r="1628" spans="14:14">
      <c r="N1628" s="3"/>
    </row>
    <row r="1629" spans="14:14">
      <c r="N1629" s="3"/>
    </row>
    <row r="1630" spans="14:14">
      <c r="N1630" s="3"/>
    </row>
    <row r="1631" spans="14:14">
      <c r="N1631" s="3"/>
    </row>
    <row r="1632" spans="14:14">
      <c r="N1632" s="3"/>
    </row>
    <row r="1633" spans="14:14">
      <c r="N1633" s="3"/>
    </row>
    <row r="1634" spans="14:14">
      <c r="N1634" s="3"/>
    </row>
    <row r="1635" spans="14:14">
      <c r="N1635" s="3"/>
    </row>
    <row r="1636" spans="14:14">
      <c r="N1636" s="3"/>
    </row>
    <row r="1637" spans="14:14">
      <c r="N1637" s="3"/>
    </row>
    <row r="1638" spans="14:14">
      <c r="N1638" s="3"/>
    </row>
    <row r="1639" spans="14:14">
      <c r="N1639" s="3"/>
    </row>
    <row r="1640" spans="14:14">
      <c r="N1640" s="3"/>
    </row>
    <row r="1641" spans="14:14">
      <c r="N1641" s="3"/>
    </row>
    <row r="1642" spans="14:14">
      <c r="N1642" s="3"/>
    </row>
    <row r="1643" spans="14:14">
      <c r="N1643" s="3"/>
    </row>
    <row r="1644" spans="14:14">
      <c r="N1644" s="3"/>
    </row>
    <row r="1645" spans="14:14">
      <c r="N1645" s="3"/>
    </row>
    <row r="1646" spans="14:14">
      <c r="N1646" s="3"/>
    </row>
    <row r="1647" spans="14:14">
      <c r="N1647" s="3"/>
    </row>
    <row r="1648" spans="14:14">
      <c r="N1648" s="3"/>
    </row>
    <row r="1649" spans="14:14">
      <c r="N1649" s="3"/>
    </row>
    <row r="1650" spans="14:14">
      <c r="N1650" s="3"/>
    </row>
    <row r="1651" spans="14:14">
      <c r="N1651" s="3"/>
    </row>
    <row r="1652" spans="14:14">
      <c r="N1652" s="3"/>
    </row>
    <row r="1653" spans="14:14">
      <c r="N1653" s="3"/>
    </row>
    <row r="1654" spans="14:14">
      <c r="N1654" s="3"/>
    </row>
    <row r="1655" spans="14:14">
      <c r="N1655" s="3"/>
    </row>
    <row r="1656" spans="14:14">
      <c r="N1656" s="3"/>
    </row>
    <row r="1657" spans="14:14">
      <c r="N1657" s="3"/>
    </row>
    <row r="1658" spans="14:14">
      <c r="N1658" s="3"/>
    </row>
    <row r="1659" spans="14:14">
      <c r="N1659" s="3"/>
    </row>
    <row r="1660" spans="14:14">
      <c r="N1660" s="3"/>
    </row>
    <row r="1661" spans="14:14">
      <c r="N1661" s="3"/>
    </row>
    <row r="1662" spans="14:14">
      <c r="N1662" s="3"/>
    </row>
    <row r="1663" spans="14:14">
      <c r="N1663" s="3"/>
    </row>
    <row r="1664" spans="14:14">
      <c r="N1664" s="3"/>
    </row>
    <row r="1665" spans="14:14">
      <c r="N1665" s="3"/>
    </row>
    <row r="1666" spans="14:14">
      <c r="N1666" s="3"/>
    </row>
    <row r="1667" spans="14:14">
      <c r="N1667" s="3"/>
    </row>
    <row r="1668" spans="14:14">
      <c r="N1668" s="3"/>
    </row>
    <row r="1669" spans="14:14">
      <c r="N1669" s="3"/>
    </row>
    <row r="1670" spans="14:14">
      <c r="N1670" s="3"/>
    </row>
    <row r="1671" spans="14:14">
      <c r="N1671" s="3"/>
    </row>
    <row r="1672" spans="14:14">
      <c r="N1672" s="3"/>
    </row>
    <row r="1673" spans="14:14">
      <c r="N1673" s="3"/>
    </row>
    <row r="1674" spans="14:14">
      <c r="N1674" s="3"/>
    </row>
    <row r="1675" spans="14:14">
      <c r="N1675" s="3"/>
    </row>
    <row r="1676" spans="14:14">
      <c r="N1676" s="3"/>
    </row>
    <row r="1677" spans="14:14">
      <c r="N1677" s="3"/>
    </row>
    <row r="1678" spans="14:14">
      <c r="N1678" s="3"/>
    </row>
    <row r="1679" spans="14:14">
      <c r="N1679" s="3"/>
    </row>
    <row r="1680" spans="14:14">
      <c r="N1680" s="3"/>
    </row>
    <row r="1681" spans="14:14">
      <c r="N1681" s="3"/>
    </row>
    <row r="1682" spans="14:14">
      <c r="N1682" s="3"/>
    </row>
    <row r="1683" spans="14:14">
      <c r="N1683" s="3"/>
    </row>
    <row r="1684" spans="14:14">
      <c r="N1684" s="3"/>
    </row>
    <row r="1685" spans="14:14">
      <c r="N1685" s="3"/>
    </row>
    <row r="1686" spans="14:14">
      <c r="N1686" s="3"/>
    </row>
    <row r="1687" spans="14:14">
      <c r="N1687" s="3"/>
    </row>
    <row r="1688" spans="14:14">
      <c r="N1688" s="3"/>
    </row>
    <row r="1689" spans="14:14">
      <c r="N1689" s="3"/>
    </row>
    <row r="1690" spans="14:14">
      <c r="N1690" s="3"/>
    </row>
    <row r="1691" spans="14:14">
      <c r="N1691" s="3"/>
    </row>
    <row r="1692" spans="14:14">
      <c r="N1692" s="3"/>
    </row>
    <row r="1693" spans="14:14">
      <c r="N1693" s="3"/>
    </row>
    <row r="1694" spans="14:14">
      <c r="N1694" s="3"/>
    </row>
    <row r="1695" spans="14:14">
      <c r="N1695" s="3"/>
    </row>
    <row r="1696" spans="14:14">
      <c r="N1696" s="3"/>
    </row>
    <row r="1697" spans="14:14">
      <c r="N1697" s="3"/>
    </row>
    <row r="1698" spans="14:14">
      <c r="N1698" s="3"/>
    </row>
    <row r="1699" spans="14:14">
      <c r="N1699" s="3"/>
    </row>
    <row r="1700" spans="14:14">
      <c r="N1700" s="3"/>
    </row>
    <row r="1701" spans="14:14">
      <c r="N1701" s="3"/>
    </row>
    <row r="1702" spans="14:14">
      <c r="N1702" s="3"/>
    </row>
    <row r="1703" spans="14:14">
      <c r="N1703" s="3"/>
    </row>
    <row r="1704" spans="14:14">
      <c r="N1704" s="3"/>
    </row>
    <row r="1705" spans="14:14">
      <c r="N1705" s="3"/>
    </row>
    <row r="1706" spans="14:14">
      <c r="N1706" s="3"/>
    </row>
    <row r="1707" spans="14:14">
      <c r="N1707" s="3"/>
    </row>
    <row r="1708" spans="14:14">
      <c r="N1708" s="3"/>
    </row>
    <row r="1709" spans="14:14">
      <c r="N1709" s="3"/>
    </row>
    <row r="1710" spans="14:14">
      <c r="N1710" s="3"/>
    </row>
    <row r="1711" spans="14:14">
      <c r="N1711" s="3"/>
    </row>
    <row r="1712" spans="14:14">
      <c r="N1712" s="3"/>
    </row>
    <row r="1713" spans="14:14">
      <c r="N1713" s="3"/>
    </row>
    <row r="1714" spans="14:14">
      <c r="N1714" s="3"/>
    </row>
    <row r="1715" spans="14:14">
      <c r="N1715" s="3"/>
    </row>
    <row r="1716" spans="14:14">
      <c r="N1716" s="3"/>
    </row>
    <row r="1717" spans="14:14">
      <c r="N1717" s="3"/>
    </row>
    <row r="1718" spans="14:14">
      <c r="N1718" s="3"/>
    </row>
    <row r="1719" spans="14:14">
      <c r="N1719" s="3"/>
    </row>
    <row r="1720" spans="14:14">
      <c r="N1720" s="3"/>
    </row>
    <row r="1721" spans="14:14">
      <c r="N1721" s="3"/>
    </row>
    <row r="1722" spans="14:14">
      <c r="N1722" s="3"/>
    </row>
    <row r="1723" spans="14:14">
      <c r="N1723" s="3"/>
    </row>
    <row r="1724" spans="14:14">
      <c r="N1724" s="3"/>
    </row>
    <row r="1725" spans="14:14">
      <c r="N1725" s="3"/>
    </row>
    <row r="1726" spans="14:14">
      <c r="N1726" s="3"/>
    </row>
    <row r="1727" spans="14:14">
      <c r="N1727" s="3"/>
    </row>
    <row r="1728" spans="14:14">
      <c r="N1728" s="3"/>
    </row>
    <row r="1729" spans="14:14">
      <c r="N1729" s="3"/>
    </row>
    <row r="1730" spans="14:14">
      <c r="N1730" s="3"/>
    </row>
    <row r="1731" spans="14:14">
      <c r="N1731" s="3"/>
    </row>
    <row r="1732" spans="14:14">
      <c r="N1732" s="3"/>
    </row>
    <row r="1733" spans="14:14">
      <c r="N1733" s="3"/>
    </row>
    <row r="1734" spans="14:14">
      <c r="N1734" s="3"/>
    </row>
    <row r="1735" spans="14:14">
      <c r="N1735" s="3"/>
    </row>
    <row r="1736" spans="14:14">
      <c r="N1736" s="3"/>
    </row>
    <row r="1737" spans="14:14">
      <c r="N1737" s="3"/>
    </row>
    <row r="1738" spans="14:14">
      <c r="N1738" s="3"/>
    </row>
    <row r="1739" spans="14:14">
      <c r="N1739" s="3"/>
    </row>
    <row r="1740" spans="14:14">
      <c r="N1740" s="3"/>
    </row>
    <row r="1741" spans="14:14">
      <c r="N1741" s="3"/>
    </row>
    <row r="1742" spans="14:14">
      <c r="N1742" s="3"/>
    </row>
    <row r="1743" spans="14:14">
      <c r="N1743" s="3"/>
    </row>
    <row r="1744" spans="14:14">
      <c r="N1744" s="3"/>
    </row>
    <row r="1745" spans="14:14">
      <c r="N1745" s="3"/>
    </row>
    <row r="1746" spans="14:14">
      <c r="N1746" s="3"/>
    </row>
    <row r="1747" spans="14:14">
      <c r="N1747" s="3"/>
    </row>
    <row r="1748" spans="14:14">
      <c r="N1748" s="3"/>
    </row>
    <row r="1749" spans="14:14">
      <c r="N1749" s="3"/>
    </row>
    <row r="1750" spans="14:14">
      <c r="N1750" s="3"/>
    </row>
    <row r="1751" spans="14:14">
      <c r="N1751" s="3"/>
    </row>
    <row r="1752" spans="14:14">
      <c r="N1752" s="3"/>
    </row>
    <row r="1753" spans="14:14">
      <c r="N1753" s="3"/>
    </row>
    <row r="1754" spans="14:14">
      <c r="N1754" s="3"/>
    </row>
    <row r="1755" spans="14:14">
      <c r="N1755" s="3"/>
    </row>
    <row r="1756" spans="14:14">
      <c r="N1756" s="3"/>
    </row>
    <row r="1757" spans="14:14">
      <c r="N1757" s="3"/>
    </row>
    <row r="1758" spans="14:14">
      <c r="N1758" s="3"/>
    </row>
    <row r="1759" spans="14:14">
      <c r="N1759" s="3"/>
    </row>
    <row r="1760" spans="14:14">
      <c r="N1760" s="3"/>
    </row>
    <row r="1761" spans="14:14">
      <c r="N1761" s="3"/>
    </row>
    <row r="1762" spans="14:14">
      <c r="N1762" s="3"/>
    </row>
    <row r="1763" spans="14:14">
      <c r="N1763" s="3"/>
    </row>
    <row r="1764" spans="14:14">
      <c r="N1764" s="3"/>
    </row>
    <row r="1765" spans="14:14">
      <c r="N1765" s="3"/>
    </row>
    <row r="1766" spans="14:14">
      <c r="N1766" s="3"/>
    </row>
    <row r="1767" spans="14:14">
      <c r="N1767" s="3"/>
    </row>
    <row r="1768" spans="14:14">
      <c r="N1768" s="3"/>
    </row>
    <row r="1769" spans="14:14">
      <c r="N1769" s="3"/>
    </row>
    <row r="1770" spans="14:14">
      <c r="N1770" s="3"/>
    </row>
    <row r="1771" spans="14:14">
      <c r="N1771" s="3"/>
    </row>
    <row r="1772" spans="14:14">
      <c r="N1772" s="3"/>
    </row>
    <row r="1773" spans="14:14">
      <c r="N1773" s="3"/>
    </row>
    <row r="1774" spans="14:14">
      <c r="N1774" s="3"/>
    </row>
    <row r="1775" spans="14:14">
      <c r="N1775" s="3"/>
    </row>
    <row r="1776" spans="14:14">
      <c r="N1776" s="3"/>
    </row>
    <row r="1777" spans="14:14">
      <c r="N1777" s="3"/>
    </row>
    <row r="1778" spans="14:14">
      <c r="N1778" s="3"/>
    </row>
    <row r="1779" spans="14:14">
      <c r="N1779" s="3"/>
    </row>
    <row r="1780" spans="14:14">
      <c r="N1780" s="3"/>
    </row>
    <row r="1781" spans="14:14">
      <c r="N1781" s="3"/>
    </row>
    <row r="1782" spans="14:14">
      <c r="N1782" s="3"/>
    </row>
    <row r="1783" spans="14:14">
      <c r="N1783" s="3"/>
    </row>
    <row r="1784" spans="14:14">
      <c r="N1784" s="3"/>
    </row>
    <row r="1785" spans="14:14">
      <c r="N1785" s="3"/>
    </row>
    <row r="1786" spans="14:14">
      <c r="N1786" s="3"/>
    </row>
    <row r="1787" spans="14:14">
      <c r="N1787" s="3"/>
    </row>
    <row r="1788" spans="14:14">
      <c r="N1788" s="3"/>
    </row>
    <row r="1789" spans="14:14">
      <c r="N1789" s="3"/>
    </row>
    <row r="1790" spans="14:14">
      <c r="N1790" s="3"/>
    </row>
    <row r="1791" spans="14:14">
      <c r="N1791" s="3"/>
    </row>
    <row r="1792" spans="14:14">
      <c r="N1792" s="3"/>
    </row>
    <row r="1793" spans="14:14">
      <c r="N1793" s="3"/>
    </row>
    <row r="1794" spans="14:14">
      <c r="N1794" s="3"/>
    </row>
    <row r="1795" spans="14:14">
      <c r="N1795" s="3"/>
    </row>
    <row r="1796" spans="14:14">
      <c r="N1796" s="3"/>
    </row>
    <row r="1797" spans="14:14">
      <c r="N1797" s="3"/>
    </row>
    <row r="1798" spans="14:14">
      <c r="N1798" s="3"/>
    </row>
    <row r="1799" spans="14:14">
      <c r="N1799" s="3"/>
    </row>
    <row r="1800" spans="14:14">
      <c r="N1800" s="3"/>
    </row>
    <row r="1801" spans="14:14">
      <c r="N1801" s="3"/>
    </row>
    <row r="1802" spans="14:14">
      <c r="N1802" s="3"/>
    </row>
    <row r="1803" spans="14:14">
      <c r="N1803" s="3"/>
    </row>
    <row r="1804" spans="14:14">
      <c r="N1804" s="3"/>
    </row>
    <row r="1805" spans="14:14">
      <c r="N1805" s="3"/>
    </row>
    <row r="1806" spans="14:14">
      <c r="N1806" s="3"/>
    </row>
    <row r="1807" spans="14:14">
      <c r="N1807" s="3"/>
    </row>
    <row r="1808" spans="14:14">
      <c r="N1808" s="3"/>
    </row>
    <row r="1809" spans="14:14">
      <c r="N1809" s="3"/>
    </row>
    <row r="1810" spans="14:14">
      <c r="N1810" s="3"/>
    </row>
    <row r="1811" spans="14:14">
      <c r="N1811" s="3"/>
    </row>
    <row r="1812" spans="14:14">
      <c r="N1812" s="3"/>
    </row>
    <row r="1813" spans="14:14">
      <c r="N1813" s="3"/>
    </row>
    <row r="1814" spans="14:14">
      <c r="N1814" s="3"/>
    </row>
    <row r="1815" spans="14:14">
      <c r="N1815" s="3"/>
    </row>
    <row r="1816" spans="14:14">
      <c r="N1816" s="3"/>
    </row>
    <row r="1817" spans="14:14">
      <c r="N1817" s="3"/>
    </row>
    <row r="1818" spans="14:14">
      <c r="N1818" s="3"/>
    </row>
    <row r="1819" spans="14:14">
      <c r="N1819" s="3"/>
    </row>
    <row r="1820" spans="14:14">
      <c r="N1820" s="3"/>
    </row>
    <row r="1821" spans="14:14">
      <c r="N1821" s="3"/>
    </row>
    <row r="1822" spans="14:14">
      <c r="N1822" s="3"/>
    </row>
    <row r="1823" spans="14:14">
      <c r="N1823" s="3"/>
    </row>
    <row r="1824" spans="14:14">
      <c r="N1824" s="3"/>
    </row>
    <row r="1825" spans="14:14">
      <c r="N1825" s="3"/>
    </row>
    <row r="1826" spans="14:14">
      <c r="N1826" s="3"/>
    </row>
    <row r="1827" spans="14:14">
      <c r="N1827" s="3"/>
    </row>
    <row r="1828" spans="14:14">
      <c r="N1828" s="3"/>
    </row>
    <row r="1829" spans="14:14">
      <c r="N1829" s="3"/>
    </row>
    <row r="1830" spans="14:14">
      <c r="N1830" s="3"/>
    </row>
    <row r="1831" spans="14:14">
      <c r="N1831" s="3"/>
    </row>
    <row r="1832" spans="14:14">
      <c r="N1832" s="3"/>
    </row>
    <row r="1833" spans="14:14">
      <c r="N1833" s="3"/>
    </row>
    <row r="1834" spans="14:14">
      <c r="N1834" s="3"/>
    </row>
    <row r="1835" spans="14:14">
      <c r="N1835" s="3"/>
    </row>
    <row r="1836" spans="14:14">
      <c r="N1836" s="3"/>
    </row>
    <row r="1837" spans="14:14">
      <c r="N1837" s="3"/>
    </row>
    <row r="1838" spans="14:14">
      <c r="N1838" s="3"/>
    </row>
    <row r="1839" spans="14:14">
      <c r="N1839" s="3"/>
    </row>
    <row r="1840" spans="14:14">
      <c r="N1840" s="3"/>
    </row>
    <row r="1841" spans="14:14">
      <c r="N1841" s="3"/>
    </row>
    <row r="1842" spans="14:14">
      <c r="N1842" s="3"/>
    </row>
    <row r="1843" spans="14:14">
      <c r="N1843" s="3"/>
    </row>
    <row r="1844" spans="14:14">
      <c r="N1844" s="3"/>
    </row>
    <row r="1845" spans="14:14">
      <c r="N1845" s="3"/>
    </row>
    <row r="1846" spans="14:14">
      <c r="N1846" s="3"/>
    </row>
    <row r="1847" spans="14:14">
      <c r="N1847" s="3"/>
    </row>
    <row r="1848" spans="14:14">
      <c r="N1848" s="3"/>
    </row>
    <row r="1849" spans="14:14">
      <c r="N1849" s="3"/>
    </row>
    <row r="1850" spans="14:14">
      <c r="N1850" s="3"/>
    </row>
    <row r="1851" spans="14:14">
      <c r="N1851" s="3"/>
    </row>
    <row r="1852" spans="14:14">
      <c r="N1852" s="3"/>
    </row>
    <row r="1853" spans="14:14">
      <c r="N1853" s="3"/>
    </row>
    <row r="1854" spans="14:14">
      <c r="N1854" s="3"/>
    </row>
    <row r="1855" spans="14:14">
      <c r="N1855" s="3"/>
    </row>
    <row r="1856" spans="14:14">
      <c r="N1856" s="3"/>
    </row>
    <row r="1857" spans="14:14">
      <c r="N1857" s="3"/>
    </row>
    <row r="1858" spans="14:14">
      <c r="N1858" s="3"/>
    </row>
    <row r="1859" spans="14:14">
      <c r="N1859" s="3"/>
    </row>
    <row r="1860" spans="14:14">
      <c r="N1860" s="3"/>
    </row>
    <row r="1861" spans="14:14">
      <c r="N1861" s="3"/>
    </row>
    <row r="1862" spans="14:14">
      <c r="N1862" s="3"/>
    </row>
    <row r="1863" spans="14:14">
      <c r="N1863" s="3"/>
    </row>
    <row r="1864" spans="14:14">
      <c r="N1864" s="3"/>
    </row>
    <row r="1865" spans="14:14">
      <c r="N1865" s="3"/>
    </row>
    <row r="1866" spans="14:14">
      <c r="N1866" s="3"/>
    </row>
    <row r="1867" spans="14:14">
      <c r="N1867" s="3"/>
    </row>
    <row r="1868" spans="14:14">
      <c r="N1868" s="3"/>
    </row>
    <row r="1869" spans="14:14">
      <c r="N1869" s="3"/>
    </row>
    <row r="1870" spans="14:14">
      <c r="N1870" s="3"/>
    </row>
    <row r="1871" spans="14:14">
      <c r="N1871" s="3"/>
    </row>
    <row r="1872" spans="14:14">
      <c r="N1872" s="3"/>
    </row>
    <row r="1873" spans="14:14">
      <c r="N1873" s="3"/>
    </row>
    <row r="1874" spans="14:14">
      <c r="N1874" s="3"/>
    </row>
    <row r="1875" spans="14:14">
      <c r="N1875" s="3"/>
    </row>
    <row r="1876" spans="14:14">
      <c r="N1876" s="3"/>
    </row>
    <row r="1877" spans="14:14">
      <c r="N1877" s="3"/>
    </row>
    <row r="1878" spans="14:14">
      <c r="N1878" s="3"/>
    </row>
    <row r="1879" spans="14:14">
      <c r="N1879" s="3"/>
    </row>
    <row r="1880" spans="14:14">
      <c r="N1880" s="3"/>
    </row>
    <row r="1881" spans="14:14">
      <c r="N1881" s="3"/>
    </row>
    <row r="1882" spans="14:14">
      <c r="N1882" s="3"/>
    </row>
    <row r="1883" spans="14:14">
      <c r="N1883" s="3"/>
    </row>
    <row r="1884" spans="14:14">
      <c r="N1884" s="3"/>
    </row>
    <row r="1885" spans="14:14">
      <c r="N1885" s="3"/>
    </row>
    <row r="1886" spans="14:14">
      <c r="N1886" s="3"/>
    </row>
    <row r="1887" spans="14:14">
      <c r="N1887" s="3"/>
    </row>
    <row r="1888" spans="14:14">
      <c r="N1888" s="3"/>
    </row>
    <row r="1889" spans="14:14">
      <c r="N1889" s="3"/>
    </row>
    <row r="1890" spans="14:14">
      <c r="N1890" s="3"/>
    </row>
    <row r="1891" spans="14:14">
      <c r="N1891" s="3"/>
    </row>
    <row r="1892" spans="14:14">
      <c r="N1892" s="3"/>
    </row>
    <row r="1893" spans="14:14">
      <c r="N1893" s="3"/>
    </row>
    <row r="1894" spans="14:14">
      <c r="N1894" s="3"/>
    </row>
    <row r="1895" spans="14:14">
      <c r="N1895" s="3"/>
    </row>
    <row r="1896" spans="14:14">
      <c r="N1896" s="3"/>
    </row>
    <row r="1897" spans="14:14">
      <c r="N1897" s="3"/>
    </row>
    <row r="1898" spans="14:14">
      <c r="N1898" s="3"/>
    </row>
    <row r="1899" spans="14:14">
      <c r="N1899" s="3"/>
    </row>
    <row r="1900" spans="14:14">
      <c r="N1900" s="3"/>
    </row>
    <row r="1901" spans="14:14">
      <c r="N1901" s="3"/>
    </row>
    <row r="1902" spans="14:14">
      <c r="N1902" s="3"/>
    </row>
    <row r="1903" spans="14:14">
      <c r="N1903" s="3"/>
    </row>
    <row r="1904" spans="14:14">
      <c r="N1904" s="3"/>
    </row>
    <row r="1905" spans="14:14">
      <c r="N1905" s="3"/>
    </row>
    <row r="1906" spans="14:14">
      <c r="N1906" s="3"/>
    </row>
    <row r="1907" spans="14:14">
      <c r="N1907" s="3"/>
    </row>
    <row r="1908" spans="14:14">
      <c r="N1908" s="3"/>
    </row>
    <row r="1909" spans="14:14">
      <c r="N1909" s="3"/>
    </row>
    <row r="1910" spans="14:14">
      <c r="N1910" s="3"/>
    </row>
    <row r="1911" spans="14:14">
      <c r="N1911" s="3"/>
    </row>
    <row r="1912" spans="14:14">
      <c r="N1912" s="3"/>
    </row>
    <row r="1913" spans="14:14">
      <c r="N1913" s="3"/>
    </row>
    <row r="1914" spans="14:14">
      <c r="N1914" s="3"/>
    </row>
    <row r="1915" spans="14:14">
      <c r="N1915" s="3"/>
    </row>
    <row r="1916" spans="14:14">
      <c r="N1916" s="3"/>
    </row>
    <row r="1917" spans="14:14">
      <c r="N1917" s="3"/>
    </row>
    <row r="1918" spans="14:14">
      <c r="N1918" s="3"/>
    </row>
    <row r="1919" spans="14:14">
      <c r="N1919" s="3"/>
    </row>
    <row r="1920" spans="14:14">
      <c r="N1920" s="3"/>
    </row>
    <row r="1921" spans="14:14">
      <c r="N1921" s="3"/>
    </row>
    <row r="1922" spans="14:14">
      <c r="N1922" s="3"/>
    </row>
    <row r="1923" spans="14:14">
      <c r="N1923" s="3"/>
    </row>
    <row r="1924" spans="14:14">
      <c r="N1924" s="3"/>
    </row>
    <row r="1925" spans="14:14">
      <c r="N1925" s="3"/>
    </row>
    <row r="1926" spans="14:14">
      <c r="N1926" s="3"/>
    </row>
    <row r="1927" spans="14:14">
      <c r="N1927" s="3"/>
    </row>
    <row r="1928" spans="14:14">
      <c r="N1928" s="3"/>
    </row>
    <row r="1929" spans="14:14">
      <c r="N1929" s="3"/>
    </row>
    <row r="1930" spans="14:14">
      <c r="N1930" s="3"/>
    </row>
    <row r="1931" spans="14:14">
      <c r="N1931" s="3"/>
    </row>
    <row r="1932" spans="14:14">
      <c r="N1932" s="3"/>
    </row>
    <row r="1933" spans="14:14">
      <c r="N1933" s="3"/>
    </row>
    <row r="1934" spans="14:14">
      <c r="N1934" s="3"/>
    </row>
    <row r="1935" spans="14:14">
      <c r="N1935" s="3"/>
    </row>
    <row r="1936" spans="14:14">
      <c r="N1936" s="3"/>
    </row>
    <row r="1937" spans="14:14">
      <c r="N1937" s="3"/>
    </row>
    <row r="1938" spans="14:14">
      <c r="N1938" s="3"/>
    </row>
    <row r="1939" spans="14:14">
      <c r="N1939" s="3"/>
    </row>
    <row r="1940" spans="14:14">
      <c r="N1940" s="3"/>
    </row>
    <row r="1941" spans="14:14">
      <c r="N1941" s="3"/>
    </row>
    <row r="1942" spans="14:14">
      <c r="N1942" s="3"/>
    </row>
    <row r="1943" spans="14:14">
      <c r="N1943" s="3"/>
    </row>
    <row r="1944" spans="14:14">
      <c r="N1944" s="3"/>
    </row>
    <row r="1945" spans="14:14">
      <c r="N1945" s="3"/>
    </row>
    <row r="1946" spans="14:14">
      <c r="N1946" s="3"/>
    </row>
    <row r="1947" spans="14:14">
      <c r="N1947" s="3"/>
    </row>
    <row r="1948" spans="14:14">
      <c r="N1948" s="3"/>
    </row>
    <row r="1949" spans="14:14">
      <c r="N1949" s="3"/>
    </row>
    <row r="1950" spans="14:14">
      <c r="N1950" s="3"/>
    </row>
    <row r="1951" spans="14:14">
      <c r="N1951" s="3"/>
    </row>
    <row r="1952" spans="14:14">
      <c r="N1952" s="3"/>
    </row>
    <row r="1953" spans="14:14">
      <c r="N1953" s="3"/>
    </row>
    <row r="1954" spans="14:14">
      <c r="N1954" s="3"/>
    </row>
    <row r="1955" spans="14:14">
      <c r="N1955" s="3"/>
    </row>
    <row r="1956" spans="14:14">
      <c r="N1956" s="3"/>
    </row>
    <row r="1957" spans="14:14">
      <c r="N1957" s="3"/>
    </row>
    <row r="1958" spans="14:14">
      <c r="N1958" s="3"/>
    </row>
    <row r="1959" spans="14:14">
      <c r="N1959" s="3"/>
    </row>
    <row r="1960" spans="14:14">
      <c r="N1960" s="3"/>
    </row>
    <row r="1961" spans="14:14">
      <c r="N1961" s="3"/>
    </row>
    <row r="1962" spans="14:14">
      <c r="N1962" s="3"/>
    </row>
    <row r="1963" spans="14:14">
      <c r="N1963" s="3"/>
    </row>
    <row r="1964" spans="14:14">
      <c r="N1964" s="3"/>
    </row>
    <row r="1965" spans="14:14">
      <c r="N1965" s="3"/>
    </row>
    <row r="1966" spans="14:14">
      <c r="N1966" s="3"/>
    </row>
    <row r="1967" spans="14:14">
      <c r="N1967" s="3"/>
    </row>
    <row r="1968" spans="14:14">
      <c r="N1968" s="3"/>
    </row>
    <row r="1969" spans="14:14">
      <c r="N1969" s="3"/>
    </row>
    <row r="1970" spans="14:14">
      <c r="N1970" s="3"/>
    </row>
    <row r="1971" spans="14:14">
      <c r="N1971" s="3"/>
    </row>
    <row r="1972" spans="14:14">
      <c r="N1972" s="3"/>
    </row>
    <row r="1973" spans="14:14">
      <c r="N1973" s="3"/>
    </row>
    <row r="1974" spans="14:14">
      <c r="N1974" s="3"/>
    </row>
    <row r="1975" spans="14:14">
      <c r="N1975" s="3"/>
    </row>
    <row r="1976" spans="14:14">
      <c r="N1976" s="3"/>
    </row>
    <row r="1977" spans="14:14">
      <c r="N1977" s="3"/>
    </row>
    <row r="1978" spans="14:14">
      <c r="N1978" s="3"/>
    </row>
    <row r="1979" spans="14:14">
      <c r="N1979" s="3"/>
    </row>
    <row r="1980" spans="14:14">
      <c r="N1980" s="3"/>
    </row>
    <row r="1981" spans="14:14">
      <c r="N1981" s="3"/>
    </row>
    <row r="1982" spans="14:14">
      <c r="N1982" s="3"/>
    </row>
    <row r="1983" spans="14:14">
      <c r="N1983" s="3"/>
    </row>
    <row r="1984" spans="14:14">
      <c r="N1984" s="3"/>
    </row>
    <row r="1985" spans="14:14">
      <c r="N1985" s="3"/>
    </row>
    <row r="1986" spans="14:14">
      <c r="N1986" s="3"/>
    </row>
    <row r="1987" spans="14:14">
      <c r="N1987" s="3"/>
    </row>
    <row r="1988" spans="14:14">
      <c r="N1988" s="3"/>
    </row>
    <row r="1989" spans="14:14">
      <c r="N1989" s="3"/>
    </row>
    <row r="1990" spans="14:14">
      <c r="N1990" s="3"/>
    </row>
    <row r="1991" spans="14:14">
      <c r="N1991" s="3"/>
    </row>
    <row r="1992" spans="14:14">
      <c r="N1992" s="3"/>
    </row>
    <row r="1993" spans="14:14">
      <c r="N1993" s="3"/>
    </row>
    <row r="1994" spans="14:14">
      <c r="N1994" s="3"/>
    </row>
    <row r="1995" spans="14:14">
      <c r="N1995" s="3"/>
    </row>
    <row r="1996" spans="14:14">
      <c r="N1996" s="3"/>
    </row>
    <row r="1997" spans="14:14">
      <c r="N1997" s="3"/>
    </row>
    <row r="1998" spans="14:14">
      <c r="N1998" s="3"/>
    </row>
    <row r="1999" spans="14:14">
      <c r="N1999" s="3"/>
    </row>
    <row r="2000" spans="14:14">
      <c r="N2000" s="3"/>
    </row>
    <row r="2001" spans="14:14">
      <c r="N2001" s="3"/>
    </row>
    <row r="2002" spans="14:14">
      <c r="N2002" s="3"/>
    </row>
    <row r="2003" spans="14:14">
      <c r="N2003" s="3"/>
    </row>
    <row r="2004" spans="14:14">
      <c r="N2004" s="3"/>
    </row>
    <row r="2005" spans="14:14">
      <c r="N2005" s="3"/>
    </row>
    <row r="2006" spans="14:14">
      <c r="N2006" s="3"/>
    </row>
    <row r="2007" spans="14:14">
      <c r="N2007" s="3"/>
    </row>
    <row r="2008" spans="14:14">
      <c r="N2008" s="3"/>
    </row>
    <row r="2009" spans="14:14">
      <c r="N2009" s="3"/>
    </row>
    <row r="2010" spans="14:14">
      <c r="N2010" s="3"/>
    </row>
    <row r="2011" spans="14:14">
      <c r="N2011" s="3"/>
    </row>
    <row r="2012" spans="14:14">
      <c r="N2012" s="3"/>
    </row>
    <row r="2013" spans="14:14">
      <c r="N2013" s="3"/>
    </row>
    <row r="2014" spans="14:14">
      <c r="N2014" s="3"/>
    </row>
    <row r="2015" spans="14:14">
      <c r="N2015" s="3"/>
    </row>
    <row r="2016" spans="14:14">
      <c r="N2016" s="3"/>
    </row>
    <row r="2017" spans="14:14">
      <c r="N2017" s="3"/>
    </row>
    <row r="2018" spans="14:14">
      <c r="N2018" s="3"/>
    </row>
    <row r="2019" spans="14:14">
      <c r="N2019" s="3"/>
    </row>
    <row r="2020" spans="14:14">
      <c r="N2020" s="3"/>
    </row>
    <row r="2021" spans="14:14">
      <c r="N2021" s="3"/>
    </row>
    <row r="2022" spans="14:14">
      <c r="N2022" s="3"/>
    </row>
    <row r="2023" spans="14:14">
      <c r="N2023" s="3"/>
    </row>
    <row r="2024" spans="14:14">
      <c r="N2024" s="3"/>
    </row>
    <row r="2025" spans="14:14">
      <c r="N2025" s="3"/>
    </row>
    <row r="2026" spans="14:14">
      <c r="N2026" s="3"/>
    </row>
    <row r="2027" spans="14:14">
      <c r="N2027" s="3"/>
    </row>
    <row r="2028" spans="14:14">
      <c r="N2028" s="3"/>
    </row>
    <row r="2029" spans="14:14">
      <c r="N2029" s="3"/>
    </row>
    <row r="2030" spans="14:14">
      <c r="N2030" s="3"/>
    </row>
    <row r="2031" spans="14:14">
      <c r="N2031" s="3"/>
    </row>
    <row r="2032" spans="14:14">
      <c r="N2032" s="3"/>
    </row>
    <row r="2033" spans="14:14">
      <c r="N2033" s="3"/>
    </row>
    <row r="2034" spans="14:14">
      <c r="N2034" s="3"/>
    </row>
    <row r="2035" spans="14:14">
      <c r="N2035" s="3"/>
    </row>
    <row r="2036" spans="14:14">
      <c r="N2036" s="3"/>
    </row>
    <row r="2037" spans="14:14">
      <c r="N2037" s="3"/>
    </row>
    <row r="2038" spans="14:14">
      <c r="N2038" s="3"/>
    </row>
    <row r="2039" spans="14:14">
      <c r="N2039" s="3"/>
    </row>
    <row r="2040" spans="14:14">
      <c r="N2040" s="3"/>
    </row>
    <row r="2041" spans="14:14">
      <c r="N2041" s="3"/>
    </row>
    <row r="2042" spans="14:14">
      <c r="N2042" s="3"/>
    </row>
    <row r="2043" spans="14:14">
      <c r="N2043" s="3"/>
    </row>
    <row r="2044" spans="14:14">
      <c r="N2044" s="3"/>
    </row>
    <row r="2045" spans="14:14">
      <c r="N2045" s="3"/>
    </row>
    <row r="2046" spans="14:14">
      <c r="N2046" s="3"/>
    </row>
    <row r="2047" spans="14:14">
      <c r="N2047" s="3"/>
    </row>
    <row r="2048" spans="14:14">
      <c r="N2048" s="3"/>
    </row>
    <row r="2049" spans="14:14">
      <c r="N2049" s="3"/>
    </row>
    <row r="2050" spans="14:14">
      <c r="N2050" s="3"/>
    </row>
    <row r="2051" spans="14:14">
      <c r="N2051" s="3"/>
    </row>
    <row r="2052" spans="14:14">
      <c r="N2052" s="3"/>
    </row>
    <row r="2053" spans="14:14">
      <c r="N2053" s="3"/>
    </row>
    <row r="2054" spans="14:14">
      <c r="N2054" s="3"/>
    </row>
    <row r="2055" spans="14:14">
      <c r="N2055" s="3"/>
    </row>
    <row r="2056" spans="14:14">
      <c r="N2056" s="3"/>
    </row>
    <row r="2057" spans="14:14">
      <c r="N2057" s="3"/>
    </row>
    <row r="2058" spans="14:14">
      <c r="N2058" s="3"/>
    </row>
    <row r="2059" spans="14:14">
      <c r="N2059" s="3"/>
    </row>
    <row r="2060" spans="14:14">
      <c r="N2060" s="3"/>
    </row>
    <row r="2061" spans="14:14">
      <c r="N2061" s="3"/>
    </row>
    <row r="2062" spans="14:14">
      <c r="N2062" s="3"/>
    </row>
    <row r="2063" spans="14:14">
      <c r="N2063" s="3"/>
    </row>
    <row r="2064" spans="14:14">
      <c r="N2064" s="3"/>
    </row>
    <row r="2065" spans="14:14">
      <c r="N2065" s="3"/>
    </row>
    <row r="2066" spans="14:14">
      <c r="N2066" s="3"/>
    </row>
    <row r="2067" spans="14:14">
      <c r="N2067" s="3"/>
    </row>
    <row r="2068" spans="14:14">
      <c r="N2068" s="3"/>
    </row>
    <row r="2069" spans="14:14">
      <c r="N2069" s="3"/>
    </row>
    <row r="2070" spans="14:14">
      <c r="N2070" s="3"/>
    </row>
    <row r="2071" spans="14:14">
      <c r="N2071" s="3"/>
    </row>
    <row r="2072" spans="14:14">
      <c r="N2072" s="3"/>
    </row>
    <row r="2073" spans="14:14">
      <c r="N2073" s="3"/>
    </row>
    <row r="2074" spans="14:14">
      <c r="N2074" s="3"/>
    </row>
    <row r="2075" spans="14:14">
      <c r="N2075" s="3"/>
    </row>
    <row r="2076" spans="14:14">
      <c r="N2076" s="3"/>
    </row>
    <row r="2077" spans="14:14">
      <c r="N2077" s="3"/>
    </row>
    <row r="2078" spans="14:14">
      <c r="N2078" s="3"/>
    </row>
    <row r="2079" spans="14:14">
      <c r="N2079" s="3"/>
    </row>
    <row r="2080" spans="14:14">
      <c r="N2080" s="3"/>
    </row>
    <row r="2081" spans="14:14">
      <c r="N2081" s="3"/>
    </row>
    <row r="2082" spans="14:14">
      <c r="N2082" s="3"/>
    </row>
    <row r="2083" spans="14:14">
      <c r="N2083" s="3"/>
    </row>
    <row r="2084" spans="14:14">
      <c r="N2084" s="3"/>
    </row>
    <row r="2085" spans="14:14">
      <c r="N2085" s="3"/>
    </row>
    <row r="2086" spans="14:14">
      <c r="N2086" s="3"/>
    </row>
    <row r="2087" spans="14:14">
      <c r="N2087" s="3"/>
    </row>
    <row r="2088" spans="14:14">
      <c r="N2088" s="3"/>
    </row>
    <row r="2089" spans="14:14">
      <c r="N2089" s="3"/>
    </row>
    <row r="2090" spans="14:14">
      <c r="N2090" s="3"/>
    </row>
    <row r="2091" spans="14:14">
      <c r="N2091" s="3"/>
    </row>
    <row r="2092" spans="14:14">
      <c r="N2092" s="3"/>
    </row>
    <row r="2093" spans="14:14">
      <c r="N2093" s="3"/>
    </row>
    <row r="2094" spans="14:14">
      <c r="N2094" s="3"/>
    </row>
    <row r="2095" spans="14:14">
      <c r="N2095" s="3"/>
    </row>
    <row r="2096" spans="14:14">
      <c r="N2096" s="3"/>
    </row>
    <row r="2097" spans="14:14">
      <c r="N2097" s="3"/>
    </row>
    <row r="2098" spans="14:14">
      <c r="N2098" s="3"/>
    </row>
    <row r="2099" spans="14:14">
      <c r="N2099" s="3"/>
    </row>
    <row r="2100" spans="14:14">
      <c r="N2100" s="3"/>
    </row>
    <row r="2101" spans="14:14">
      <c r="N2101" s="3"/>
    </row>
    <row r="2102" spans="14:14">
      <c r="N2102" s="3"/>
    </row>
    <row r="2103" spans="14:14">
      <c r="N2103" s="3"/>
    </row>
    <row r="2104" spans="14:14">
      <c r="N2104" s="3"/>
    </row>
    <row r="2105" spans="14:14">
      <c r="N2105" s="3"/>
    </row>
    <row r="2106" spans="14:14">
      <c r="N2106" s="3"/>
    </row>
    <row r="2107" spans="14:14">
      <c r="N2107" s="3"/>
    </row>
    <row r="2108" spans="14:14">
      <c r="N2108" s="3"/>
    </row>
    <row r="2109" spans="14:14">
      <c r="N2109" s="3"/>
    </row>
    <row r="2110" spans="14:14">
      <c r="N2110" s="3"/>
    </row>
    <row r="2111" spans="14:14">
      <c r="N2111" s="3"/>
    </row>
    <row r="2112" spans="14:14">
      <c r="N2112" s="3"/>
    </row>
    <row r="2113" spans="14:14">
      <c r="N2113" s="3"/>
    </row>
    <row r="2114" spans="14:14">
      <c r="N2114" s="3"/>
    </row>
    <row r="2115" spans="14:14">
      <c r="N2115" s="3"/>
    </row>
    <row r="2116" spans="14:14">
      <c r="N2116" s="3"/>
    </row>
    <row r="2117" spans="14:14">
      <c r="N2117" s="3"/>
    </row>
    <row r="2118" spans="14:14">
      <c r="N2118" s="3"/>
    </row>
    <row r="2119" spans="14:14">
      <c r="N2119" s="3"/>
    </row>
    <row r="2120" spans="14:14">
      <c r="N2120" s="3"/>
    </row>
    <row r="2121" spans="14:14">
      <c r="N2121" s="3"/>
    </row>
    <row r="2122" spans="14:14">
      <c r="N2122" s="3"/>
    </row>
    <row r="2123" spans="14:14">
      <c r="N2123" s="3"/>
    </row>
    <row r="2124" spans="14:14">
      <c r="N2124" s="3"/>
    </row>
    <row r="2125" spans="14:14">
      <c r="N2125" s="3"/>
    </row>
    <row r="2126" spans="14:14">
      <c r="N2126" s="3"/>
    </row>
    <row r="2127" spans="14:14">
      <c r="N2127" s="3"/>
    </row>
    <row r="2128" spans="14:14">
      <c r="N2128" s="3"/>
    </row>
    <row r="2129" spans="14:14">
      <c r="N2129" s="3"/>
    </row>
    <row r="2130" spans="14:14">
      <c r="N2130" s="3"/>
    </row>
    <row r="2131" spans="14:14">
      <c r="N2131" s="3"/>
    </row>
    <row r="2132" spans="14:14">
      <c r="N2132" s="3"/>
    </row>
    <row r="2133" spans="14:14">
      <c r="N2133" s="3"/>
    </row>
    <row r="2134" spans="14:14">
      <c r="N2134" s="3"/>
    </row>
    <row r="2135" spans="14:14">
      <c r="N2135" s="3"/>
    </row>
    <row r="2136" spans="14:14">
      <c r="N2136" s="3"/>
    </row>
    <row r="2137" spans="14:14">
      <c r="N2137" s="3"/>
    </row>
    <row r="2138" spans="14:14">
      <c r="N2138" s="3"/>
    </row>
    <row r="2139" spans="14:14">
      <c r="N2139" s="3"/>
    </row>
    <row r="2140" spans="14:14">
      <c r="N2140" s="3"/>
    </row>
    <row r="2141" spans="14:14">
      <c r="N2141" s="3"/>
    </row>
    <row r="2142" spans="14:14">
      <c r="N2142" s="3"/>
    </row>
    <row r="2143" spans="14:14">
      <c r="N2143" s="3"/>
    </row>
    <row r="2144" spans="14:14">
      <c r="N2144" s="3"/>
    </row>
    <row r="2145" spans="14:14">
      <c r="N2145" s="3"/>
    </row>
    <row r="2146" spans="14:14">
      <c r="N2146" s="3"/>
    </row>
    <row r="2147" spans="14:14">
      <c r="N2147" s="3"/>
    </row>
    <row r="2148" spans="14:14">
      <c r="N2148" s="3"/>
    </row>
    <row r="2149" spans="14:14">
      <c r="N2149" s="3"/>
    </row>
    <row r="2150" spans="14:14">
      <c r="N2150" s="3"/>
    </row>
    <row r="2151" spans="14:14">
      <c r="N2151" s="3"/>
    </row>
    <row r="2152" spans="14:14">
      <c r="N2152" s="3"/>
    </row>
    <row r="2153" spans="14:14">
      <c r="N2153" s="3"/>
    </row>
    <row r="2154" spans="14:14">
      <c r="N2154" s="3"/>
    </row>
    <row r="2155" spans="14:14">
      <c r="N2155" s="3"/>
    </row>
    <row r="2156" spans="14:14">
      <c r="N2156" s="3"/>
    </row>
    <row r="2157" spans="14:14">
      <c r="N2157" s="3"/>
    </row>
    <row r="2158" spans="14:14">
      <c r="N2158" s="3"/>
    </row>
    <row r="2159" spans="14:14">
      <c r="N2159" s="3"/>
    </row>
    <row r="2160" spans="14:14">
      <c r="N2160" s="3"/>
    </row>
    <row r="2161" spans="14:14">
      <c r="N2161" s="3"/>
    </row>
    <row r="2162" spans="14:14">
      <c r="N2162" s="3"/>
    </row>
    <row r="2163" spans="14:14">
      <c r="N2163" s="3"/>
    </row>
    <row r="2164" spans="14:14">
      <c r="N2164" s="3"/>
    </row>
    <row r="2165" spans="14:14">
      <c r="N2165" s="3"/>
    </row>
    <row r="2166" spans="14:14">
      <c r="N2166" s="3"/>
    </row>
    <row r="2167" spans="14:14">
      <c r="N2167" s="3"/>
    </row>
    <row r="2168" spans="14:14">
      <c r="N2168" s="3"/>
    </row>
    <row r="2169" spans="14:14">
      <c r="N2169" s="3"/>
    </row>
    <row r="2170" spans="14:14">
      <c r="N2170" s="3"/>
    </row>
    <row r="2171" spans="14:14">
      <c r="N2171" s="3"/>
    </row>
    <row r="2172" spans="14:14">
      <c r="N2172" s="3"/>
    </row>
    <row r="2173" spans="14:14">
      <c r="N2173" s="3"/>
    </row>
    <row r="2174" spans="14:14">
      <c r="N2174" s="3"/>
    </row>
    <row r="2175" spans="14:14">
      <c r="N2175" s="3"/>
    </row>
    <row r="2176" spans="14:14">
      <c r="N2176" s="3"/>
    </row>
    <row r="2177" spans="14:14">
      <c r="N2177" s="3"/>
    </row>
    <row r="2178" spans="14:14">
      <c r="N2178" s="3"/>
    </row>
    <row r="2179" spans="14:14">
      <c r="N2179" s="3"/>
    </row>
    <row r="2180" spans="14:14">
      <c r="N2180" s="3"/>
    </row>
    <row r="2181" spans="14:14">
      <c r="N2181" s="3"/>
    </row>
    <row r="2182" spans="14:14">
      <c r="N2182" s="3"/>
    </row>
    <row r="2183" spans="14:14">
      <c r="N2183" s="3"/>
    </row>
    <row r="2184" spans="14:14">
      <c r="N2184" s="3"/>
    </row>
    <row r="2185" spans="14:14">
      <c r="N2185" s="3"/>
    </row>
    <row r="2186" spans="14:14">
      <c r="N2186" s="3"/>
    </row>
    <row r="2187" spans="14:14">
      <c r="N2187" s="3"/>
    </row>
    <row r="2188" spans="14:14">
      <c r="N2188" s="3"/>
    </row>
    <row r="2189" spans="14:14">
      <c r="N2189" s="3"/>
    </row>
    <row r="2190" spans="14:14">
      <c r="N2190" s="3"/>
    </row>
    <row r="2191" spans="14:14">
      <c r="N2191" s="3"/>
    </row>
    <row r="2192" spans="14:14">
      <c r="N2192" s="3"/>
    </row>
    <row r="2193" spans="14:14">
      <c r="N2193" s="3"/>
    </row>
    <row r="2194" spans="14:14">
      <c r="N2194" s="3"/>
    </row>
    <row r="2195" spans="14:14">
      <c r="N2195" s="3"/>
    </row>
    <row r="2196" spans="14:14">
      <c r="N2196" s="3"/>
    </row>
    <row r="2197" spans="14:14">
      <c r="N2197" s="3"/>
    </row>
    <row r="2198" spans="14:14">
      <c r="N2198" s="3"/>
    </row>
    <row r="2199" spans="14:14">
      <c r="N2199" s="3"/>
    </row>
    <row r="2200" spans="14:14">
      <c r="N2200" s="3"/>
    </row>
    <row r="2201" spans="14:14">
      <c r="N2201" s="3"/>
    </row>
    <row r="2202" spans="14:14">
      <c r="N2202" s="3"/>
    </row>
    <row r="2203" spans="14:14">
      <c r="N2203" s="3"/>
    </row>
    <row r="2204" spans="14:14">
      <c r="N2204" s="3"/>
    </row>
    <row r="2205" spans="14:14">
      <c r="N2205" s="3"/>
    </row>
    <row r="2206" spans="14:14">
      <c r="N2206" s="3"/>
    </row>
    <row r="2207" spans="14:14">
      <c r="N2207" s="3"/>
    </row>
    <row r="2208" spans="14:14">
      <c r="N2208" s="3"/>
    </row>
    <row r="2209" spans="14:14">
      <c r="N2209" s="3"/>
    </row>
    <row r="2210" spans="14:14">
      <c r="N2210" s="3"/>
    </row>
    <row r="2211" spans="14:14">
      <c r="N2211" s="3"/>
    </row>
    <row r="2212" spans="14:14">
      <c r="N2212" s="3"/>
    </row>
    <row r="2213" spans="14:14">
      <c r="N2213" s="3"/>
    </row>
    <row r="2214" spans="14:14">
      <c r="N2214" s="3"/>
    </row>
    <row r="2215" spans="14:14">
      <c r="N2215" s="3"/>
    </row>
    <row r="2216" spans="14:14">
      <c r="N2216" s="3"/>
    </row>
    <row r="2217" spans="14:14">
      <c r="N2217" s="3"/>
    </row>
    <row r="2218" spans="14:14">
      <c r="N2218" s="3"/>
    </row>
    <row r="2219" spans="14:14">
      <c r="N2219" s="3"/>
    </row>
    <row r="2220" spans="14:14">
      <c r="N2220" s="3"/>
    </row>
    <row r="2221" spans="14:14">
      <c r="N2221" s="3"/>
    </row>
    <row r="2222" spans="14:14">
      <c r="N2222" s="3"/>
    </row>
    <row r="2223" spans="14:14">
      <c r="N2223" s="3"/>
    </row>
    <row r="2224" spans="14:14">
      <c r="N2224" s="3"/>
    </row>
    <row r="2225" spans="14:14">
      <c r="N2225" s="3"/>
    </row>
    <row r="2226" spans="14:14">
      <c r="N2226" s="3"/>
    </row>
    <row r="2227" spans="14:14">
      <c r="N2227" s="3"/>
    </row>
    <row r="2228" spans="14:14">
      <c r="N2228" s="3"/>
    </row>
    <row r="2229" spans="14:14">
      <c r="N2229" s="3"/>
    </row>
    <row r="2230" spans="14:14">
      <c r="N2230" s="3"/>
    </row>
    <row r="2231" spans="14:14">
      <c r="N2231" s="3"/>
    </row>
    <row r="2232" spans="14:14">
      <c r="N2232" s="3"/>
    </row>
    <row r="2233" spans="14:14">
      <c r="N2233" s="3"/>
    </row>
    <row r="2234" spans="14:14">
      <c r="N2234" s="3"/>
    </row>
    <row r="2235" spans="14:14">
      <c r="N2235" s="3"/>
    </row>
    <row r="2236" spans="14:14">
      <c r="N2236" s="3"/>
    </row>
    <row r="2237" spans="14:14">
      <c r="N2237" s="3"/>
    </row>
    <row r="2238" spans="14:14">
      <c r="N2238" s="3"/>
    </row>
    <row r="2239" spans="14:14">
      <c r="N2239" s="3"/>
    </row>
    <row r="2240" spans="14:14">
      <c r="N2240" s="3"/>
    </row>
    <row r="2241" spans="14:14">
      <c r="N2241" s="3"/>
    </row>
    <row r="2242" spans="14:14">
      <c r="N2242" s="3"/>
    </row>
    <row r="2243" spans="14:14">
      <c r="N2243" s="3"/>
    </row>
    <row r="2244" spans="14:14">
      <c r="N2244" s="3"/>
    </row>
    <row r="2245" spans="14:14">
      <c r="N2245" s="3"/>
    </row>
    <row r="2246" spans="14:14">
      <c r="N2246" s="3"/>
    </row>
    <row r="2247" spans="14:14">
      <c r="N2247" s="3"/>
    </row>
    <row r="2248" spans="14:14">
      <c r="N2248" s="3"/>
    </row>
    <row r="2249" spans="14:14">
      <c r="N2249" s="3"/>
    </row>
    <row r="2250" spans="14:14">
      <c r="N2250" s="3"/>
    </row>
    <row r="2251" spans="14:14">
      <c r="N2251" s="3"/>
    </row>
    <row r="2252" spans="14:14">
      <c r="N2252" s="3"/>
    </row>
    <row r="2253" spans="14:14">
      <c r="N2253" s="3"/>
    </row>
    <row r="2254" spans="14:14">
      <c r="N2254" s="3"/>
    </row>
    <row r="2255" spans="14:14">
      <c r="N2255" s="3"/>
    </row>
    <row r="2256" spans="14:14">
      <c r="N2256" s="3"/>
    </row>
    <row r="2257" spans="14:14">
      <c r="N2257" s="3"/>
    </row>
    <row r="2258" spans="14:14">
      <c r="N2258" s="3"/>
    </row>
    <row r="2259" spans="14:14">
      <c r="N2259" s="3"/>
    </row>
    <row r="2260" spans="14:14">
      <c r="N2260" s="3"/>
    </row>
    <row r="2261" spans="14:14">
      <c r="N2261" s="3"/>
    </row>
    <row r="2262" spans="14:14">
      <c r="N2262" s="3"/>
    </row>
    <row r="2263" spans="14:14">
      <c r="N2263" s="3"/>
    </row>
    <row r="2264" spans="14:14">
      <c r="N2264" s="3"/>
    </row>
    <row r="2265" spans="14:14">
      <c r="N2265" s="3"/>
    </row>
    <row r="2266" spans="14:14">
      <c r="N2266" s="3"/>
    </row>
    <row r="2267" spans="14:14">
      <c r="N2267" s="3"/>
    </row>
    <row r="2268" spans="14:14">
      <c r="N2268" s="3"/>
    </row>
    <row r="2269" spans="14:14">
      <c r="N2269" s="3"/>
    </row>
    <row r="2270" spans="14:14">
      <c r="N2270" s="3"/>
    </row>
    <row r="2271" spans="14:14">
      <c r="N2271" s="3"/>
    </row>
    <row r="2272" spans="14:14">
      <c r="N2272" s="3"/>
    </row>
    <row r="2273" spans="14:14">
      <c r="N2273" s="3"/>
    </row>
    <row r="2274" spans="14:14">
      <c r="N2274" s="3"/>
    </row>
    <row r="2275" spans="14:14">
      <c r="N2275" s="3"/>
    </row>
    <row r="2276" spans="14:14">
      <c r="N2276" s="3"/>
    </row>
    <row r="2277" spans="14:14">
      <c r="N2277" s="3"/>
    </row>
    <row r="2278" spans="14:14">
      <c r="N2278" s="3"/>
    </row>
    <row r="2279" spans="14:14">
      <c r="N2279" s="3"/>
    </row>
    <row r="2280" spans="14:14">
      <c r="N2280" s="3"/>
    </row>
    <row r="2281" spans="14:14">
      <c r="N2281" s="3"/>
    </row>
    <row r="2282" spans="14:14">
      <c r="N2282" s="3"/>
    </row>
    <row r="2283" spans="14:14">
      <c r="N2283" s="3"/>
    </row>
    <row r="2284" spans="14:14">
      <c r="N2284" s="3"/>
    </row>
    <row r="2285" spans="14:14">
      <c r="N2285" s="3"/>
    </row>
    <row r="2286" spans="14:14">
      <c r="N2286" s="3"/>
    </row>
    <row r="2287" spans="14:14">
      <c r="N2287" s="3"/>
    </row>
    <row r="2288" spans="14:14">
      <c r="N2288" s="3"/>
    </row>
    <row r="2289" spans="14:14">
      <c r="N2289" s="3"/>
    </row>
    <row r="2290" spans="14:14">
      <c r="N2290" s="3"/>
    </row>
    <row r="2291" spans="14:14">
      <c r="N2291" s="3"/>
    </row>
    <row r="2292" spans="14:14">
      <c r="N2292" s="3"/>
    </row>
    <row r="2293" spans="14:14">
      <c r="N2293" s="3"/>
    </row>
    <row r="2294" spans="14:14">
      <c r="N2294" s="3"/>
    </row>
    <row r="2295" spans="14:14">
      <c r="N2295" s="3"/>
    </row>
    <row r="2296" spans="14:14">
      <c r="N2296" s="3"/>
    </row>
    <row r="2297" spans="14:14">
      <c r="N2297" s="3"/>
    </row>
    <row r="2298" spans="14:14">
      <c r="N2298" s="3"/>
    </row>
    <row r="2299" spans="14:14">
      <c r="N2299" s="3"/>
    </row>
    <row r="2300" spans="14:14">
      <c r="N2300" s="3"/>
    </row>
    <row r="2301" spans="14:14">
      <c r="N2301" s="3"/>
    </row>
    <row r="2302" spans="14:14">
      <c r="N2302" s="3"/>
    </row>
    <row r="2303" spans="14:14">
      <c r="N2303" s="3"/>
    </row>
    <row r="2304" spans="14:14">
      <c r="N2304" s="3"/>
    </row>
    <row r="2305" spans="14:14">
      <c r="N2305" s="3"/>
    </row>
    <row r="2306" spans="14:14">
      <c r="N2306" s="3"/>
    </row>
    <row r="2307" spans="14:14">
      <c r="N2307" s="3"/>
    </row>
    <row r="2308" spans="14:14">
      <c r="N2308" s="3"/>
    </row>
    <row r="2309" spans="14:14">
      <c r="N2309" s="3"/>
    </row>
    <row r="2310" spans="14:14">
      <c r="N2310" s="3"/>
    </row>
    <row r="2311" spans="14:14">
      <c r="N2311" s="3"/>
    </row>
    <row r="2312" spans="14:14">
      <c r="N2312" s="3"/>
    </row>
    <row r="2313" spans="14:14">
      <c r="N2313" s="3"/>
    </row>
    <row r="2314" spans="14:14">
      <c r="N2314" s="3"/>
    </row>
    <row r="2315" spans="14:14">
      <c r="N2315" s="3"/>
    </row>
    <row r="2316" spans="14:14">
      <c r="N2316" s="3"/>
    </row>
    <row r="2317" spans="14:14">
      <c r="N2317" s="3"/>
    </row>
    <row r="2318" spans="14:14">
      <c r="N2318" s="3"/>
    </row>
    <row r="2319" spans="14:14">
      <c r="N2319" s="3"/>
    </row>
    <row r="2320" spans="14:14">
      <c r="N2320" s="3"/>
    </row>
    <row r="2321" spans="14:14">
      <c r="N2321" s="3"/>
    </row>
    <row r="2322" spans="14:14">
      <c r="N2322" s="3"/>
    </row>
    <row r="2323" spans="14:14">
      <c r="N2323" s="3"/>
    </row>
    <row r="2324" spans="14:14">
      <c r="N2324" s="3"/>
    </row>
    <row r="2325" spans="14:14">
      <c r="N2325" s="3"/>
    </row>
    <row r="2326" spans="14:14">
      <c r="N2326" s="3"/>
    </row>
    <row r="2327" spans="14:14">
      <c r="N2327" s="3"/>
    </row>
    <row r="2328" spans="14:14">
      <c r="N2328" s="3"/>
    </row>
    <row r="2329" spans="14:14">
      <c r="N2329" s="3"/>
    </row>
    <row r="2330" spans="14:14">
      <c r="N2330" s="3"/>
    </row>
    <row r="2331" spans="14:14">
      <c r="N2331" s="3"/>
    </row>
    <row r="2332" spans="14:14">
      <c r="N2332" s="3"/>
    </row>
    <row r="2333" spans="14:14">
      <c r="N2333" s="3"/>
    </row>
    <row r="2334" spans="14:14">
      <c r="N2334" s="3"/>
    </row>
    <row r="2335" spans="14:14">
      <c r="N2335" s="3"/>
    </row>
    <row r="2336" spans="14:14">
      <c r="N2336" s="3"/>
    </row>
    <row r="2337" spans="14:14">
      <c r="N2337" s="3"/>
    </row>
    <row r="2338" spans="14:14">
      <c r="N2338" s="3"/>
    </row>
    <row r="2339" spans="14:14">
      <c r="N2339" s="3"/>
    </row>
    <row r="2340" spans="14:14">
      <c r="N2340" s="3"/>
    </row>
    <row r="2341" spans="14:14">
      <c r="N2341" s="3"/>
    </row>
    <row r="2342" spans="14:14">
      <c r="N2342" s="3"/>
    </row>
    <row r="2343" spans="14:14">
      <c r="N2343" s="3"/>
    </row>
    <row r="2344" spans="14:14">
      <c r="N2344" s="3"/>
    </row>
    <row r="2345" spans="14:14">
      <c r="N2345" s="3"/>
    </row>
    <row r="2346" spans="14:14">
      <c r="N2346" s="3"/>
    </row>
    <row r="2347" spans="14:14">
      <c r="N2347" s="3"/>
    </row>
    <row r="2348" spans="14:14">
      <c r="N2348" s="3"/>
    </row>
    <row r="2349" spans="14:14">
      <c r="N2349" s="3"/>
    </row>
    <row r="2350" spans="14:14">
      <c r="N2350" s="3"/>
    </row>
    <row r="2351" spans="14:14">
      <c r="N2351" s="3"/>
    </row>
    <row r="2352" spans="14:14">
      <c r="N2352" s="3"/>
    </row>
    <row r="2353" spans="14:14">
      <c r="N2353" s="3"/>
    </row>
    <row r="2354" spans="14:14">
      <c r="N2354" s="3"/>
    </row>
    <row r="2355" spans="14:14">
      <c r="N2355" s="3"/>
    </row>
    <row r="2356" spans="14:14">
      <c r="N2356" s="3"/>
    </row>
    <row r="2357" spans="14:14">
      <c r="N2357" s="3"/>
    </row>
    <row r="2358" spans="14:14">
      <c r="N2358" s="3"/>
    </row>
    <row r="2359" spans="14:14">
      <c r="N2359" s="3"/>
    </row>
    <row r="2360" spans="14:14">
      <c r="N2360" s="3"/>
    </row>
    <row r="2361" spans="14:14">
      <c r="N2361" s="3"/>
    </row>
    <row r="2362" spans="14:14">
      <c r="N2362" s="3"/>
    </row>
    <row r="2363" spans="14:14">
      <c r="N2363" s="3"/>
    </row>
    <row r="2364" spans="14:14">
      <c r="N2364" s="3"/>
    </row>
    <row r="2365" spans="14:14">
      <c r="N2365" s="3"/>
    </row>
    <row r="2366" spans="14:14">
      <c r="N2366" s="3"/>
    </row>
    <row r="2367" spans="14:14">
      <c r="N2367" s="3"/>
    </row>
    <row r="2368" spans="14:14">
      <c r="N2368" s="3"/>
    </row>
    <row r="2369" spans="14:14">
      <c r="N2369" s="3"/>
    </row>
    <row r="2370" spans="14:14">
      <c r="N2370" s="3"/>
    </row>
    <row r="2371" spans="14:14">
      <c r="N2371" s="3"/>
    </row>
    <row r="2372" spans="14:14">
      <c r="N2372" s="3"/>
    </row>
    <row r="2373" spans="14:14">
      <c r="N2373" s="3"/>
    </row>
    <row r="2374" spans="14:14">
      <c r="N2374" s="3"/>
    </row>
    <row r="2375" spans="14:14">
      <c r="N2375" s="3"/>
    </row>
    <row r="2376" spans="14:14">
      <c r="N2376" s="3"/>
    </row>
    <row r="2377" spans="14:14">
      <c r="N2377" s="3"/>
    </row>
    <row r="2378" spans="14:14">
      <c r="N2378" s="3"/>
    </row>
    <row r="2379" spans="14:14">
      <c r="N2379" s="3"/>
    </row>
    <row r="2380" spans="14:14">
      <c r="N2380" s="3"/>
    </row>
    <row r="2381" spans="14:14">
      <c r="N2381" s="3"/>
    </row>
    <row r="2382" spans="14:14">
      <c r="N2382" s="3"/>
    </row>
    <row r="2383" spans="14:14">
      <c r="N2383" s="3"/>
    </row>
    <row r="2384" spans="14:14">
      <c r="N2384" s="3"/>
    </row>
    <row r="2385" spans="14:14">
      <c r="N2385" s="3"/>
    </row>
    <row r="2386" spans="14:14">
      <c r="N2386" s="3"/>
    </row>
    <row r="2387" spans="14:14">
      <c r="N2387" s="3"/>
    </row>
    <row r="2388" spans="14:14">
      <c r="N2388" s="3"/>
    </row>
    <row r="2389" spans="14:14">
      <c r="N2389" s="3"/>
    </row>
    <row r="2390" spans="14:14">
      <c r="N2390" s="3"/>
    </row>
    <row r="2391" spans="14:14">
      <c r="N2391" s="3"/>
    </row>
    <row r="2392" spans="14:14">
      <c r="N2392" s="3"/>
    </row>
    <row r="2393" spans="14:14">
      <c r="N2393" s="3"/>
    </row>
    <row r="2394" spans="14:14">
      <c r="N2394" s="3"/>
    </row>
    <row r="2395" spans="14:14">
      <c r="N2395" s="3"/>
    </row>
    <row r="2396" spans="14:14">
      <c r="N2396" s="3"/>
    </row>
    <row r="2397" spans="14:14">
      <c r="N2397" s="3"/>
    </row>
    <row r="2398" spans="14:14">
      <c r="N2398" s="3"/>
    </row>
    <row r="2399" spans="14:14">
      <c r="N2399" s="3"/>
    </row>
    <row r="2400" spans="14:14">
      <c r="N2400" s="3"/>
    </row>
    <row r="2401" spans="14:14">
      <c r="N2401" s="3"/>
    </row>
    <row r="2402" spans="14:14">
      <c r="N2402" s="3"/>
    </row>
    <row r="2403" spans="14:14">
      <c r="N2403" s="3"/>
    </row>
    <row r="2404" spans="14:14">
      <c r="N2404" s="3"/>
    </row>
    <row r="2405" spans="14:14">
      <c r="N2405" s="3"/>
    </row>
    <row r="2406" spans="14:14">
      <c r="N2406" s="3"/>
    </row>
    <row r="2407" spans="14:14">
      <c r="N2407" s="3"/>
    </row>
    <row r="2408" spans="14:14">
      <c r="N2408" s="3"/>
    </row>
    <row r="2409" spans="14:14">
      <c r="N2409" s="3"/>
    </row>
    <row r="2410" spans="14:14">
      <c r="N2410" s="3"/>
    </row>
    <row r="2411" spans="14:14">
      <c r="N2411" s="3"/>
    </row>
    <row r="2412" spans="14:14">
      <c r="N2412" s="3"/>
    </row>
    <row r="2413" spans="14:14">
      <c r="N2413" s="3"/>
    </row>
    <row r="2414" spans="14:14">
      <c r="N2414" s="3"/>
    </row>
    <row r="2415" spans="14:14">
      <c r="N2415" s="3"/>
    </row>
    <row r="2416" spans="14:14">
      <c r="N2416" s="3"/>
    </row>
    <row r="2417" spans="14:14">
      <c r="N2417" s="3"/>
    </row>
    <row r="2418" spans="14:14">
      <c r="N2418" s="3"/>
    </row>
    <row r="2419" spans="14:14">
      <c r="N2419" s="3"/>
    </row>
    <row r="2420" spans="14:14">
      <c r="N2420" s="3"/>
    </row>
    <row r="2421" spans="14:14">
      <c r="N2421" s="3"/>
    </row>
    <row r="2422" spans="14:14">
      <c r="N2422" s="3"/>
    </row>
    <row r="2423" spans="14:14">
      <c r="N2423" s="3"/>
    </row>
    <row r="2424" spans="14:14">
      <c r="N2424" s="3"/>
    </row>
    <row r="2425" spans="14:14">
      <c r="N2425" s="3"/>
    </row>
    <row r="2426" spans="14:14">
      <c r="N2426" s="3"/>
    </row>
    <row r="2427" spans="14:14">
      <c r="N2427" s="3"/>
    </row>
    <row r="2428" spans="14:14">
      <c r="N2428" s="3"/>
    </row>
    <row r="2429" spans="14:14">
      <c r="N2429" s="3"/>
    </row>
    <row r="2430" spans="14:14">
      <c r="N2430" s="3"/>
    </row>
    <row r="2431" spans="14:14">
      <c r="N2431" s="3"/>
    </row>
    <row r="2432" spans="14:14">
      <c r="N2432" s="3"/>
    </row>
    <row r="2433" spans="14:14">
      <c r="N2433" s="3"/>
    </row>
    <row r="2434" spans="14:14">
      <c r="N2434" s="3"/>
    </row>
    <row r="2435" spans="14:14">
      <c r="N2435" s="3"/>
    </row>
    <row r="2436" spans="14:14">
      <c r="N2436" s="3"/>
    </row>
    <row r="2437" spans="14:14">
      <c r="N2437" s="3"/>
    </row>
    <row r="2438" spans="14:14">
      <c r="N2438" s="3"/>
    </row>
    <row r="2439" spans="14:14">
      <c r="N2439" s="3"/>
    </row>
    <row r="2440" spans="14:14">
      <c r="N2440" s="3"/>
    </row>
    <row r="2441" spans="14:14">
      <c r="N2441" s="3"/>
    </row>
    <row r="2442" spans="14:14">
      <c r="N2442" s="3"/>
    </row>
    <row r="2443" spans="14:14">
      <c r="N2443" s="3"/>
    </row>
    <row r="2444" spans="14:14">
      <c r="N2444" s="3"/>
    </row>
    <row r="2445" spans="14:14">
      <c r="N2445" s="3"/>
    </row>
    <row r="2446" spans="14:14">
      <c r="N2446" s="3"/>
    </row>
    <row r="2447" spans="14:14">
      <c r="N2447" s="3"/>
    </row>
    <row r="2448" spans="14:14">
      <c r="N2448" s="3"/>
    </row>
    <row r="2449" spans="14:14">
      <c r="N2449" s="3"/>
    </row>
    <row r="2450" spans="14:14">
      <c r="N2450" s="3"/>
    </row>
    <row r="2451" spans="14:14">
      <c r="N2451" s="3"/>
    </row>
    <row r="2452" spans="14:14">
      <c r="N2452" s="3"/>
    </row>
    <row r="2453" spans="14:14">
      <c r="N2453" s="3"/>
    </row>
    <row r="2454" spans="14:14">
      <c r="N2454" s="3"/>
    </row>
    <row r="2455" spans="14:14">
      <c r="N2455" s="3"/>
    </row>
  </sheetData>
  <mergeCells count="11">
    <mergeCell ref="P14:P15"/>
    <mergeCell ref="B9:M9"/>
    <mergeCell ref="B10:M10"/>
    <mergeCell ref="A14:A15"/>
    <mergeCell ref="B14:B15"/>
    <mergeCell ref="C14:C15"/>
    <mergeCell ref="A92:J92"/>
    <mergeCell ref="A93:J94"/>
    <mergeCell ref="A96:L96"/>
    <mergeCell ref="A91:K91"/>
    <mergeCell ref="A95:J95"/>
  </mergeCells>
  <dataValidations count="2">
    <dataValidation allowBlank="1" showInputMessage="1" showErrorMessage="1" promptTitle="Date Format" prompt="E.g:  &quot;August 1, 2011&quot;" sqref="M7:O7"/>
    <dataValidation type="list" allowBlank="1" showInputMessage="1" showErrorMessage="1" sqref="P16:P86">
      <formula1>"Yes, No"</formula1>
    </dataValidation>
  </dataValidations>
  <printOptions horizontalCentered="1"/>
  <pageMargins left="0" right="0" top="0.13" bottom="0" header="0" footer="0"/>
  <pageSetup paperSize="17" scale="5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2020 MIFRS Rtbase  </vt:lpstr>
      <vt:lpstr>2019 MIFRS Rtbase </vt:lpstr>
      <vt:lpstr>2018 MIFRS Rtbase </vt:lpstr>
      <vt:lpstr>2017 MIFRS Rtbase  </vt:lpstr>
      <vt:lpstr>2016 MIFRS Rtbase </vt:lpstr>
      <vt:lpstr>2015 MIFRS Rtbase  </vt:lpstr>
      <vt:lpstr>2014 MIFRS Rtbase </vt:lpstr>
      <vt:lpstr>2013 MIFRS Rtbase</vt:lpstr>
      <vt:lpstr>2012 MIFRS Ratesbase</vt:lpstr>
      <vt:lpstr>'2012 MIFRS Ratesbase'!Print_Area</vt:lpstr>
      <vt:lpstr>'2013 MIFRS Rtbase'!Print_Area</vt:lpstr>
      <vt:lpstr>'2014 MIFRS Rtbase '!Print_Area</vt:lpstr>
      <vt:lpstr>'2015 MIFRS Rtbase  '!Print_Area</vt:lpstr>
      <vt:lpstr>'2016 MIFRS Rtbase '!Print_Area</vt:lpstr>
      <vt:lpstr>'2017 MIFRS Rtbase  '!Print_Area</vt:lpstr>
      <vt:lpstr>'2018 MIFRS Rtbase '!Print_Area</vt:lpstr>
      <vt:lpstr>'2019 MIFRS Rtbase '!Print_Area</vt:lpstr>
      <vt:lpstr>'2020 MIFRS Rtbase  '!Print_Area</vt:lpstr>
      <vt:lpstr>'2012 MIFRS Ratesbase'!Print_Titles</vt:lpstr>
      <vt:lpstr>'2013 MIFRS Rtbase'!Print_Titles</vt:lpstr>
      <vt:lpstr>'2014 MIFRS Rtbase '!Print_Titles</vt:lpstr>
      <vt:lpstr>'2015 MIFRS Rtbase  '!Print_Titles</vt:lpstr>
      <vt:lpstr>'2016 MIFRS Rtbase '!Print_Titles</vt:lpstr>
      <vt:lpstr>'2017 MIFRS Rtbase  '!Print_Titles</vt:lpstr>
      <vt:lpstr>'2018 MIFRS Rtbase '!Print_Titles</vt:lpstr>
      <vt:lpstr>'2019 MIFRS Rtbase '!Print_Titles</vt:lpstr>
      <vt:lpstr>'2020 MIFRS Rtbase  '!Print_Titles</vt:lpstr>
    </vt:vector>
  </TitlesOfParts>
  <Company>PowerStream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larry.iwamoto</dc:creator>
  <cp:lastModifiedBy>Larry Iwamoto</cp:lastModifiedBy>
  <cp:lastPrinted>2015-05-21T16:01:45Z</cp:lastPrinted>
  <dcterms:created xsi:type="dcterms:W3CDTF">2012-04-03T02:18:24Z</dcterms:created>
  <dcterms:modified xsi:type="dcterms:W3CDTF">2015-05-21T16:03:15Z</dcterms:modified>
</cp:coreProperties>
</file>