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7955" windowHeight="10590" tabRatio="901" activeTab="4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Calculation'!$A$1:$O$76</definedName>
    <definedName name="_xlnm.Print_Area" localSheetId="0">REGINFO!$A$1:$E$71</definedName>
    <definedName name="_xlnm.Print_Area" localSheetId="6">'Tax Rates'!$A$1:$G$61</definedName>
    <definedName name="_xlnm.Print_Area" localSheetId="3">'Tax Reserves'!$A$1:$F$64</definedName>
    <definedName name="_xlnm.Print_Area" localSheetId="1">TAXCALC!$A$1:$H$211</definedName>
    <definedName name="_xlnm.Print_Area" localSheetId="2">TAXREC!$A$1:$E$160</definedName>
    <definedName name="_xlnm.Print_Area" localSheetId="4">'TAXREC 2'!$A$1:$F$122</definedName>
    <definedName name="_xlnm.Print_Area" localSheetId="5">'TAXREC 3 No True-up'!$A$1:$F$74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/>
</workbook>
</file>

<file path=xl/calcChain.xml><?xml version="1.0" encoding="utf-8"?>
<calcChain xmlns="http://schemas.openxmlformats.org/spreadsheetml/2006/main">
  <c r="E45" i="20"/>
  <c r="E20"/>
  <c r="E19"/>
  <c r="C150" i="12"/>
  <c r="C149"/>
  <c r="E149"/>
  <c r="C11" i="20"/>
  <c r="C112" s="1"/>
  <c r="C80" i="12"/>
  <c r="E38" i="24"/>
  <c r="E37"/>
  <c r="E36"/>
  <c r="E35"/>
  <c r="C50" i="12"/>
  <c r="C53" s="1"/>
  <c r="E48" i="13"/>
  <c r="G76" i="2"/>
  <c r="G77" s="1"/>
  <c r="G79"/>
  <c r="B9"/>
  <c r="B10"/>
  <c r="C75"/>
  <c r="C76" s="1"/>
  <c r="C79"/>
  <c r="E142" i="12"/>
  <c r="E143"/>
  <c r="E144"/>
  <c r="E76"/>
  <c r="E88"/>
  <c r="E112" i="20"/>
  <c r="E43" i="12"/>
  <c r="E45"/>
  <c r="F16" i="23"/>
  <c r="G68" i="2"/>
  <c r="G72"/>
  <c r="E158" i="12"/>
  <c r="E157"/>
  <c r="E166" i="2"/>
  <c r="C66"/>
  <c r="E151" s="1"/>
  <c r="E155"/>
  <c r="C70"/>
  <c r="E70" s="1"/>
  <c r="A1" i="25"/>
  <c r="A1" i="23"/>
  <c r="A2" i="24"/>
  <c r="A2" i="20"/>
  <c r="A1" i="21"/>
  <c r="E37" i="20"/>
  <c r="C68" s="1"/>
  <c r="E38"/>
  <c r="A1" i="12"/>
  <c r="A1" i="2"/>
  <c r="E52" i="13"/>
  <c r="D76" i="20"/>
  <c r="A76"/>
  <c r="D35" i="13"/>
  <c r="D60" s="1"/>
  <c r="D62" s="1"/>
  <c r="O13" i="25"/>
  <c r="M12"/>
  <c r="O12" s="1"/>
  <c r="O4"/>
  <c r="O3"/>
  <c r="A4"/>
  <c r="A3"/>
  <c r="E47" i="13"/>
  <c r="E43"/>
  <c r="E51" i="12"/>
  <c r="G37" i="2" s="1"/>
  <c r="E62" i="12"/>
  <c r="G21" i="2" s="1"/>
  <c r="E21" s="1"/>
  <c r="E102" s="1"/>
  <c r="E99" i="12"/>
  <c r="G34" i="2" s="1"/>
  <c r="E34" s="1"/>
  <c r="E109" s="1"/>
  <c r="E36" i="20"/>
  <c r="E87"/>
  <c r="C107"/>
  <c r="E145" i="12"/>
  <c r="G58" i="2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C64"/>
  <c r="E34"/>
  <c r="E35"/>
  <c r="C66" s="1"/>
  <c r="E39"/>
  <c r="E40"/>
  <c r="E41"/>
  <c r="C72" s="1"/>
  <c r="E42"/>
  <c r="E43"/>
  <c r="C74"/>
  <c r="E44"/>
  <c r="E100" i="12"/>
  <c r="G35" i="2" s="1"/>
  <c r="E35" s="1"/>
  <c r="E110" s="1"/>
  <c r="E102" i="12"/>
  <c r="G36" i="2" s="1"/>
  <c r="E36" s="1"/>
  <c r="E111" s="1"/>
  <c r="E103" i="12"/>
  <c r="E109"/>
  <c r="G42" i="2"/>
  <c r="E42" s="1"/>
  <c r="E106" i="12"/>
  <c r="G40" i="2"/>
  <c r="E40" s="1"/>
  <c r="E115" s="1"/>
  <c r="E107" i="12"/>
  <c r="G41" i="2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C115"/>
  <c r="E97"/>
  <c r="E98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C22" i="25"/>
  <c r="E11"/>
  <c r="E22" s="1"/>
  <c r="G11" s="1"/>
  <c r="O11"/>
  <c r="O14"/>
  <c r="O16"/>
  <c r="O18"/>
  <c r="O19"/>
  <c r="O20"/>
  <c r="E61" i="24"/>
  <c r="A7"/>
  <c r="E8"/>
  <c r="A8"/>
  <c r="A11"/>
  <c r="C11" i="12"/>
  <c r="C12" i="24" s="1"/>
  <c r="E19"/>
  <c r="E20"/>
  <c r="E21"/>
  <c r="E22"/>
  <c r="E23"/>
  <c r="E24"/>
  <c r="E25"/>
  <c r="E26"/>
  <c r="E27"/>
  <c r="E28"/>
  <c r="E29"/>
  <c r="E30"/>
  <c r="E31"/>
  <c r="E32"/>
  <c r="E33"/>
  <c r="E34"/>
  <c r="E39"/>
  <c r="E40"/>
  <c r="E41"/>
  <c r="E42"/>
  <c r="E43"/>
  <c r="E44"/>
  <c r="E45"/>
  <c r="D47"/>
  <c r="D66" i="12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/>
  <c r="C50" i="21"/>
  <c r="C105" i="12"/>
  <c r="E32" i="20"/>
  <c r="E53" i="13"/>
  <c r="E51"/>
  <c r="E50"/>
  <c r="E101" i="12"/>
  <c r="C59"/>
  <c r="D59"/>
  <c r="E59" s="1"/>
  <c r="E60"/>
  <c r="E52"/>
  <c r="E138"/>
  <c r="E136"/>
  <c r="E137"/>
  <c r="D102" i="20"/>
  <c r="D104"/>
  <c r="D106"/>
  <c r="D108"/>
  <c r="D110"/>
  <c r="D112"/>
  <c r="D114"/>
  <c r="D117"/>
  <c r="D99"/>
  <c r="D120" i="12"/>
  <c r="D80"/>
  <c r="D50"/>
  <c r="D53" s="1"/>
  <c r="C120"/>
  <c r="A5" i="2"/>
  <c r="A4" i="12"/>
  <c r="A5" i="21"/>
  <c r="G91" i="2"/>
  <c r="G92"/>
  <c r="F2" i="23"/>
  <c r="A5"/>
  <c r="A4"/>
  <c r="E49" i="20"/>
  <c r="E51"/>
  <c r="E53"/>
  <c r="E55"/>
  <c r="E57"/>
  <c r="E59"/>
  <c r="E61"/>
  <c r="E63"/>
  <c r="E65"/>
  <c r="E67"/>
  <c r="E69"/>
  <c r="E71"/>
  <c r="E73"/>
  <c r="E75"/>
  <c r="F34" i="23"/>
  <c r="E55" i="21"/>
  <c r="E56"/>
  <c r="E57"/>
  <c r="E58"/>
  <c r="E59"/>
  <c r="D63"/>
  <c r="D64" i="12" s="1"/>
  <c r="E64" s="1"/>
  <c r="G23" i="2" s="1"/>
  <c r="D35" i="21"/>
  <c r="D104" i="12" s="1"/>
  <c r="C35" i="21"/>
  <c r="C104" i="12" s="1"/>
  <c r="E25" i="21"/>
  <c r="E26"/>
  <c r="E27"/>
  <c r="E28"/>
  <c r="E35" s="1"/>
  <c r="E29"/>
  <c r="E30"/>
  <c r="E31"/>
  <c r="E32"/>
  <c r="E33"/>
  <c r="E13"/>
  <c r="E22" s="1"/>
  <c r="E14"/>
  <c r="E15"/>
  <c r="E16"/>
  <c r="E17"/>
  <c r="E18"/>
  <c r="E19"/>
  <c r="E20"/>
  <c r="E21"/>
  <c r="D22"/>
  <c r="D63" i="12" s="1"/>
  <c r="C22" i="21"/>
  <c r="C63" i="12" s="1"/>
  <c r="E41" i="21"/>
  <c r="E42"/>
  <c r="E43"/>
  <c r="D45" i="13"/>
  <c r="D56"/>
  <c r="D58" s="1"/>
  <c r="E5" i="21"/>
  <c r="A8"/>
  <c r="A7"/>
  <c r="E53"/>
  <c r="E54"/>
  <c r="E60"/>
  <c r="E61"/>
  <c r="E48"/>
  <c r="E44"/>
  <c r="E45"/>
  <c r="E46"/>
  <c r="E47"/>
  <c r="E49"/>
  <c r="D50"/>
  <c r="D105" i="12"/>
  <c r="A7" i="2"/>
  <c r="E79"/>
  <c r="G5"/>
  <c r="A6"/>
  <c r="E46" i="20"/>
  <c r="E66" i="2"/>
  <c r="E5" i="12"/>
  <c r="D125"/>
  <c r="D130" s="1"/>
  <c r="D126"/>
  <c r="D127"/>
  <c r="D128"/>
  <c r="D129"/>
  <c r="C125"/>
  <c r="C130" s="1"/>
  <c r="C126"/>
  <c r="C127"/>
  <c r="C128"/>
  <c r="C129"/>
  <c r="A125"/>
  <c r="D144"/>
  <c r="D146"/>
  <c r="D156" s="1"/>
  <c r="D160" s="1"/>
  <c r="C144"/>
  <c r="C146"/>
  <c r="C156" s="1"/>
  <c r="C160" s="1"/>
  <c r="A8"/>
  <c r="D85"/>
  <c r="D92" s="1"/>
  <c r="D86"/>
  <c r="D87"/>
  <c r="D88"/>
  <c r="D89"/>
  <c r="D90"/>
  <c r="D91"/>
  <c r="C85"/>
  <c r="C92" s="1"/>
  <c r="C86"/>
  <c r="C87"/>
  <c r="C88"/>
  <c r="C89"/>
  <c r="C90"/>
  <c r="C91"/>
  <c r="A129"/>
  <c r="A127"/>
  <c r="A126"/>
  <c r="A91"/>
  <c r="A90"/>
  <c r="A89"/>
  <c r="A87"/>
  <c r="A88"/>
  <c r="A86"/>
  <c r="A85"/>
  <c r="A7"/>
  <c r="A51" i="20"/>
  <c r="A53"/>
  <c r="A55"/>
  <c r="A57"/>
  <c r="A59"/>
  <c r="A61"/>
  <c r="A63"/>
  <c r="A65"/>
  <c r="A67"/>
  <c r="A69"/>
  <c r="A71"/>
  <c r="A73"/>
  <c r="A75"/>
  <c r="A103"/>
  <c r="A105"/>
  <c r="A107"/>
  <c r="A109"/>
  <c r="A111"/>
  <c r="A113"/>
  <c r="A115"/>
  <c r="A118"/>
  <c r="E6"/>
  <c r="A9"/>
  <c r="A8"/>
  <c r="E54" i="13"/>
  <c r="E118" i="20"/>
  <c r="E110"/>
  <c r="E108"/>
  <c r="D65"/>
  <c r="D63"/>
  <c r="D61"/>
  <c r="D59"/>
  <c r="D57"/>
  <c r="D55"/>
  <c r="D53"/>
  <c r="D51"/>
  <c r="D49"/>
  <c r="E85" i="12"/>
  <c r="E92" s="1"/>
  <c r="E80"/>
  <c r="C67" i="20"/>
  <c r="C69"/>
  <c r="E115"/>
  <c r="E105"/>
  <c r="D68"/>
  <c r="D60"/>
  <c r="D52"/>
  <c r="E114"/>
  <c r="E106"/>
  <c r="E104"/>
  <c r="E102"/>
  <c r="D75"/>
  <c r="D73"/>
  <c r="D71"/>
  <c r="C50"/>
  <c r="E113"/>
  <c r="E107"/>
  <c r="D74"/>
  <c r="D66"/>
  <c r="D58"/>
  <c r="E150" i="12"/>
  <c r="F52" i="23"/>
  <c r="C151" i="12"/>
  <c r="E162" i="2"/>
  <c r="E163" s="1"/>
  <c r="E164" s="1"/>
  <c r="C67"/>
  <c r="C68" s="1"/>
  <c r="C72" s="1"/>
  <c r="G33"/>
  <c r="E33"/>
  <c r="E73" i="24"/>
  <c r="E47"/>
  <c r="E63" i="21"/>
  <c r="E50"/>
  <c r="E75" i="2"/>
  <c r="D54" i="20"/>
  <c r="D62"/>
  <c r="D70"/>
  <c r="E103"/>
  <c r="E111"/>
  <c r="E117"/>
  <c r="D50"/>
  <c r="C71"/>
  <c r="C73"/>
  <c r="C75"/>
  <c r="C102"/>
  <c r="C104"/>
  <c r="C106"/>
  <c r="C114"/>
  <c r="D56"/>
  <c r="D64"/>
  <c r="D72"/>
  <c r="E109"/>
  <c r="D69"/>
  <c r="D67"/>
  <c r="C49"/>
  <c r="C51"/>
  <c r="C53"/>
  <c r="C55"/>
  <c r="C57"/>
  <c r="C59"/>
  <c r="C61"/>
  <c r="C63"/>
  <c r="C65"/>
  <c r="C108"/>
  <c r="C110"/>
  <c r="C118"/>
  <c r="C10"/>
  <c r="A102"/>
  <c r="A117"/>
  <c r="A114"/>
  <c r="A112"/>
  <c r="A110"/>
  <c r="A108"/>
  <c r="A106"/>
  <c r="A104"/>
  <c r="A49"/>
  <c r="A74"/>
  <c r="A72"/>
  <c r="A70"/>
  <c r="A68"/>
  <c r="A66"/>
  <c r="A64"/>
  <c r="A62"/>
  <c r="A60"/>
  <c r="A58"/>
  <c r="A56"/>
  <c r="A54"/>
  <c r="A52"/>
  <c r="A50"/>
  <c r="E74"/>
  <c r="E72"/>
  <c r="E70"/>
  <c r="E68"/>
  <c r="E66"/>
  <c r="E64"/>
  <c r="E62"/>
  <c r="E60"/>
  <c r="E58"/>
  <c r="E56"/>
  <c r="E54"/>
  <c r="E52"/>
  <c r="E50"/>
  <c r="E77"/>
  <c r="E78" s="1"/>
  <c r="E79" s="1"/>
  <c r="D118"/>
  <c r="D115"/>
  <c r="D113"/>
  <c r="D111"/>
  <c r="D109"/>
  <c r="D107"/>
  <c r="D105"/>
  <c r="D103"/>
  <c r="C117"/>
  <c r="C113"/>
  <c r="C111"/>
  <c r="C103"/>
  <c r="C70"/>
  <c r="C62"/>
  <c r="C60"/>
  <c r="C58"/>
  <c r="C56"/>
  <c r="C54"/>
  <c r="C52"/>
  <c r="C76"/>
  <c r="E76"/>
  <c r="D77"/>
  <c r="D78" s="1"/>
  <c r="E151" i="12"/>
  <c r="G53" i="2" s="1"/>
  <c r="E105" i="12"/>
  <c r="G39" i="2" s="1"/>
  <c r="E39" s="1"/>
  <c r="E114" s="1"/>
  <c r="E122"/>
  <c r="E146" i="12"/>
  <c r="E156" s="1"/>
  <c r="G55" i="2"/>
  <c r="E50" i="12"/>
  <c r="G16" i="2" s="1"/>
  <c r="E16" s="1"/>
  <c r="C99" i="20"/>
  <c r="E96"/>
  <c r="G60" i="2"/>
  <c r="E99" i="20"/>
  <c r="C116"/>
  <c r="E116"/>
  <c r="E119" s="1"/>
  <c r="D116"/>
  <c r="A116"/>
  <c r="D119" l="1"/>
  <c r="D110" i="12" s="1"/>
  <c r="E201" i="2"/>
  <c r="E66" i="12"/>
  <c r="G30" i="2" s="1"/>
  <c r="E30" s="1"/>
  <c r="E120" i="20"/>
  <c r="E111" i="12" s="1"/>
  <c r="E110"/>
  <c r="G46" i="2" s="1"/>
  <c r="E46" s="1"/>
  <c r="E118" s="1"/>
  <c r="E160" i="12"/>
  <c r="G90" i="2"/>
  <c r="G95" s="1"/>
  <c r="C93" i="12"/>
  <c r="C94"/>
  <c r="C131"/>
  <c r="C132" s="1"/>
  <c r="E202" i="2"/>
  <c r="E193"/>
  <c r="D68" i="13"/>
  <c r="D66"/>
  <c r="D70"/>
  <c r="D64"/>
  <c r="E93" i="12"/>
  <c r="G27" i="2" s="1"/>
  <c r="E27" s="1"/>
  <c r="E130" i="12"/>
  <c r="E94"/>
  <c r="G26" i="2"/>
  <c r="E26" s="1"/>
  <c r="E106" s="1"/>
  <c r="D93" i="12"/>
  <c r="D94" s="1"/>
  <c r="D131"/>
  <c r="D132" s="1"/>
  <c r="E63"/>
  <c r="G22" i="2" s="1"/>
  <c r="E22" s="1"/>
  <c r="E103" s="1"/>
  <c r="E104" i="12"/>
  <c r="G38" i="2" s="1"/>
  <c r="E38" s="1"/>
  <c r="E113" s="1"/>
  <c r="E108" i="12"/>
  <c r="G48" i="2" s="1"/>
  <c r="E48" s="1"/>
  <c r="C77" i="20"/>
  <c r="E53" i="12"/>
  <c r="E120"/>
  <c r="E131" s="1"/>
  <c r="G45" i="2" s="1"/>
  <c r="E45" s="1"/>
  <c r="G81"/>
  <c r="G84" s="1"/>
  <c r="E152"/>
  <c r="E153" s="1"/>
  <c r="E157" s="1"/>
  <c r="D120" i="20"/>
  <c r="D111" i="12" s="1"/>
  <c r="D113" s="1"/>
  <c r="D122" s="1"/>
  <c r="E67" i="2"/>
  <c r="E68" s="1"/>
  <c r="E121" i="20"/>
  <c r="C119"/>
  <c r="G47" i="2"/>
  <c r="E47" s="1"/>
  <c r="E113" i="12"/>
  <c r="E122" s="1"/>
  <c r="E23" i="2"/>
  <c r="E104" s="1"/>
  <c r="C92"/>
  <c r="E72"/>
  <c r="E158"/>
  <c r="E168"/>
  <c r="E76"/>
  <c r="E77" s="1"/>
  <c r="C77"/>
  <c r="D79" i="20"/>
  <c r="D68" i="12"/>
  <c r="C67"/>
  <c r="C78" i="20"/>
  <c r="C68" i="12" s="1"/>
  <c r="E68" s="1"/>
  <c r="G29" i="2" s="1"/>
  <c r="E29" s="1"/>
  <c r="C120" i="20"/>
  <c r="C111" i="12" s="1"/>
  <c r="C110"/>
  <c r="D67"/>
  <c r="D70" l="1"/>
  <c r="D82" s="1"/>
  <c r="C121" i="20"/>
  <c r="E206" i="2"/>
  <c r="E112" s="1"/>
  <c r="E204"/>
  <c r="D134" i="12"/>
  <c r="D139" s="1"/>
  <c r="C113"/>
  <c r="C122" s="1"/>
  <c r="D121" i="20"/>
  <c r="G44" i="2"/>
  <c r="E44" s="1"/>
  <c r="E117" s="1"/>
  <c r="E132" i="12"/>
  <c r="E194" i="2"/>
  <c r="E196" s="1"/>
  <c r="C37"/>
  <c r="E159"/>
  <c r="E179" s="1"/>
  <c r="C81"/>
  <c r="C79" i="20"/>
  <c r="E67" i="12"/>
  <c r="C70"/>
  <c r="C82" s="1"/>
  <c r="C134" s="1"/>
  <c r="C139" s="1"/>
  <c r="E208" i="2" l="1"/>
  <c r="C50"/>
  <c r="E37"/>
  <c r="G28"/>
  <c r="E70" i="12"/>
  <c r="E82" s="1"/>
  <c r="E134" s="1"/>
  <c r="E139" s="1"/>
  <c r="E81" i="2"/>
  <c r="C88" l="1"/>
  <c r="C53"/>
  <c r="E53" s="1"/>
  <c r="E136"/>
  <c r="C55"/>
  <c r="E28"/>
  <c r="G50"/>
  <c r="E55" l="1"/>
  <c r="E60" s="1"/>
  <c r="C60"/>
  <c r="E107"/>
  <c r="E120" s="1"/>
  <c r="E50"/>
  <c r="E146" l="1"/>
  <c r="C90"/>
  <c r="C82"/>
  <c r="E130"/>
  <c r="E124"/>
  <c r="E128" s="1"/>
  <c r="E175"/>
  <c r="E138"/>
  <c r="E140" s="1"/>
  <c r="E144" s="1"/>
  <c r="E82" l="1"/>
  <c r="E84" s="1"/>
  <c r="C84"/>
  <c r="E132"/>
  <c r="E183" s="1"/>
  <c r="I15" i="25" s="1"/>
  <c r="O15" s="1"/>
  <c r="E148" i="2"/>
  <c r="E177" s="1"/>
  <c r="E169"/>
  <c r="E170" s="1"/>
  <c r="E172" l="1"/>
  <c r="E173" s="1"/>
  <c r="E178" s="1"/>
  <c r="E181" s="1"/>
  <c r="C91"/>
  <c r="C95" s="1"/>
  <c r="G17" i="25" l="1"/>
  <c r="E185" i="2"/>
  <c r="O17" i="25" l="1"/>
  <c r="O22" s="1"/>
  <c r="G22"/>
  <c r="I11" s="1"/>
  <c r="I22" s="1"/>
  <c r="K11" s="1"/>
  <c r="K22" s="1"/>
  <c r="M11" s="1"/>
  <c r="M22" s="1"/>
</calcChain>
</file>

<file path=xl/sharedStrings.xml><?xml version="1.0" encoding="utf-8"?>
<sst xmlns="http://schemas.openxmlformats.org/spreadsheetml/2006/main" count="881" uniqueCount="509">
  <si>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</si>
  <si>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</si>
  <si>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</si>
  <si>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</si>
  <si>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</si>
  <si>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</si>
  <si>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</si>
  <si>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</si>
  <si>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</si>
  <si>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</si>
  <si>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</si>
  <si>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</si>
  <si>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</si>
  <si>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</si>
  <si>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</si>
  <si>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</si>
  <si>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</si>
  <si>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</si>
  <si>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</si>
  <si>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</si>
  <si>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</si>
  <si>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</si>
  <si>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</si>
  <si>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</si>
  <si>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</si>
  <si>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</si>
  <si>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</si>
  <si>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</si>
  <si>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</si>
  <si>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</si>
  <si>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</si>
  <si>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</si>
  <si>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</si>
  <si>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</si>
  <si>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</si>
  <si>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</si>
  <si>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</si>
  <si>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</si>
  <si>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</si>
  <si>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</si>
  <si>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</si>
  <si>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</si>
  <si>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</si>
  <si>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</si>
  <si>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</si>
  <si>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</si>
  <si>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</si>
  <si>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</si>
  <si>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</si>
  <si>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</si>
  <si>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</si>
  <si>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</si>
  <si>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</si>
  <si>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</si>
  <si>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</si>
  <si>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</si>
  <si>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</si>
  <si>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</si>
  <si>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</si>
  <si>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</si>
  <si>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</si>
  <si>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</si>
  <si>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</si>
  <si>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</si>
  <si>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</si>
  <si>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</si>
  <si>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</si>
  <si>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</si>
  <si>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</si>
  <si>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</si>
  <si>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</si>
  <si>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</si>
  <si>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</si>
  <si>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</si>
  <si>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</si>
  <si>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</si>
  <si>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</si>
  <si>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</si>
  <si>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</si>
  <si>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</si>
  <si>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</si>
  <si>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</si>
  <si>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</si>
  <si>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</si>
  <si>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</si>
  <si>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</si>
  <si>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</si>
  <si>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</si>
  <si>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</si>
  <si>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</si>
  <si>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</si>
  <si>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</si>
  <si>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</si>
  <si>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</si>
  <si>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</si>
  <si>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</si>
  <si>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</si>
  <si>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</si>
  <si>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</si>
  <si>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</si>
  <si>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</si>
  <si>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</si>
  <si>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</si>
  <si>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</si>
  <si>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</si>
  <si>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</si>
  <si>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</si>
  <si>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</si>
  <si>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</si>
  <si>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</si>
  <si>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</si>
  <si>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</si>
  <si>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</si>
  <si>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</si>
  <si>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</si>
  <si>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</si>
  <si>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</si>
  <si>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</si>
  <si>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</si>
  <si>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</si>
  <si>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</si>
  <si>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</si>
  <si>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</si>
  <si>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</si>
  <si>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</si>
  <si>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</si>
  <si>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</si>
  <si>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</si>
  <si>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</si>
  <si>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</si>
  <si>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</si>
  <si>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</si>
  <si>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</si>
  <si>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</si>
  <si>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</si>
  <si>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</si>
  <si>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</si>
  <si>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</si>
  <si>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</si>
  <si>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</si>
  <si>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</si>
  <si>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</si>
  <si>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</si>
  <si>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</si>
  <si>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</si>
  <si>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</si>
  <si>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</si>
  <si>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</si>
  <si>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</si>
  <si>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</si>
  <si>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</si>
  <si>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</si>
  <si>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</si>
  <si>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</si>
  <si>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</si>
  <si>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</si>
  <si>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</si>
  <si>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</si>
  <si>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</si>
  <si>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</si>
  <si>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</si>
  <si>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</si>
  <si>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</si>
  <si>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</si>
  <si>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</si>
  <si>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</si>
  <si>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</si>
  <si>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</si>
  <si>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</si>
  <si>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</si>
  <si>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</si>
  <si>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</si>
  <si>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</si>
  <si>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</si>
  <si>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</si>
  <si>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</si>
  <si>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</si>
  <si>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</si>
  <si>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</si>
  <si>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</si>
  <si>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</si>
  <si>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</si>
  <si>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</si>
  <si>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</si>
  <si>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</si>
  <si>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</si>
  <si>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</si>
  <si>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</si>
  <si>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</si>
  <si>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</si>
  <si>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</si>
  <si>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</si>
  <si>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</si>
  <si>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</si>
  <si>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</si>
  <si>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</si>
  <si>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</si>
  <si>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</si>
  <si>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</si>
  <si>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</si>
  <si>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</si>
  <si>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</si>
  <si>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</si>
  <si>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</si>
  <si>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</si>
  <si>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</si>
  <si>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</si>
  <si>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</si>
  <si>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</si>
  <si>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</si>
  <si>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</si>
  <si>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</si>
  <si>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</si>
  <si>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</si>
  <si>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</si>
  <si>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</si>
  <si>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</si>
  <si>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</si>
  <si>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</si>
  <si>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</si>
  <si>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</si>
  <si>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</si>
  <si>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</si>
  <si>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</si>
  <si>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</si>
  <si>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</si>
  <si>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</si>
  <si>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</si>
  <si>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</si>
  <si>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</si>
  <si>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</si>
  <si>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</si>
  <si>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</si>
  <si>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</si>
  <si>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</si>
  <si>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</si>
  <si>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</si>
  <si>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</si>
  <si>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</si>
  <si>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</si>
  <si>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</si>
  <si>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</si>
  <si>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</si>
  <si>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</si>
  <si>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</si>
  <si>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</si>
  <si>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</si>
  <si>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</si>
  <si>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</si>
  <si>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</si>
  <si>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</si>
  <si>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</si>
  <si>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</si>
  <si>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</si>
  <si>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</si>
  <si>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</si>
  <si>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</si>
  <si>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</si>
  <si>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</si>
  <si>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</si>
  <si>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</si>
  <si>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</si>
  <si>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</si>
  <si>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</si>
  <si>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</si>
  <si>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</si>
  <si>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</si>
  <si>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</si>
  <si>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</si>
  <si>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</si>
  <si>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</si>
  <si>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</si>
  <si>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</si>
  <si>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</si>
  <si>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</si>
  <si>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</si>
  <si>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</si>
  <si>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</si>
  <si>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</si>
  <si>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</si>
  <si>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</si>
  <si>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</si>
  <si>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</si>
  <si>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</si>
  <si>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</si>
  <si>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</si>
  <si>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</si>
  <si>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</si>
  <si>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</si>
  <si>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</si>
  <si>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</si>
  <si>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</si>
  <si>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</si>
  <si>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</si>
  <si>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</si>
  <si>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</si>
  <si>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</si>
  <si>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</si>
  <si>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</si>
  <si>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</si>
  <si>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</si>
  <si>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</si>
  <si>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</si>
  <si>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</si>
  <si>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</si>
  <si>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</si>
  <si>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</si>
  <si>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</si>
  <si>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</si>
  <si>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</si>
  <si>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</si>
  <si>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</si>
  <si>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</si>
  <si>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</si>
  <si>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</si>
  <si>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</si>
  <si>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</si>
  <si>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</si>
  <si>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</si>
  <si>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</si>
  <si>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</si>
  <si>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</si>
  <si>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</si>
  <si>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</si>
  <si>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</si>
  <si>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</si>
  <si>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</si>
  <si>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</si>
  <si>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</si>
  <si>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</si>
  <si>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</si>
  <si>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</si>
  <si>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</si>
  <si>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</si>
  <si>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</si>
  <si>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</si>
  <si>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</si>
  <si>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</si>
  <si>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</si>
  <si>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</si>
  <si>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</si>
  <si>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</si>
  <si>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</si>
  <si>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</si>
  <si>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</si>
  <si>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</si>
  <si>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</si>
  <si>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</si>
  <si>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</si>
  <si>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</si>
  <si>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</si>
  <si>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</si>
  <si>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</si>
  <si>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</si>
  <si>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</si>
  <si>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</si>
  <si>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</si>
  <si>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</si>
  <si>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</si>
  <si>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</si>
  <si>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</si>
  <si>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</si>
  <si>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</si>
  <si>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</si>
  <si>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</si>
  <si>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</si>
  <si>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</si>
  <si>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</si>
  <si>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</si>
  <si>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</si>
  <si>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</si>
  <si>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</si>
  <si>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</si>
  <si>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</si>
  <si>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</si>
  <si>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</si>
  <si>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</si>
  <si>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</si>
  <si>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</si>
  <si>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</si>
  <si>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</si>
  <si>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</si>
  <si>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</si>
  <si>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</si>
  <si>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</si>
  <si>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</si>
  <si>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</si>
  <si>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</si>
  <si>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</si>
  <si>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</si>
  <si>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</si>
  <si>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</si>
  <si>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</si>
  <si>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</si>
  <si>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</si>
  <si>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</si>
  <si>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</si>
  <si>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</si>
  <si>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</si>
  <si>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</si>
  <si>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</si>
  <si>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</si>
  <si>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</si>
  <si>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</si>
  <si>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</si>
  <si>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</si>
  <si>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</si>
  <si>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</si>
  <si>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</si>
  <si>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</si>
  <si>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</si>
  <si>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</si>
  <si>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</si>
  <si>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</si>
  <si>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</si>
  <si>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</si>
  <si>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</si>
  <si>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</si>
  <si>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</si>
  <si>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</si>
  <si>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</si>
  <si>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</si>
  <si>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</si>
  <si>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</si>
  <si>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</si>
  <si>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</si>
  <si>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</si>
  <si>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</si>
  <si>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</si>
  <si>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</si>
  <si>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</si>
  <si>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</si>
  <si>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</si>
  <si>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</si>
  <si>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</si>
  <si>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</si>
  <si>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</si>
  <si>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</si>
  <si>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</si>
  <si>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</si>
  <si>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</si>
  <si>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</si>
  <si>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</si>
  <si>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</si>
  <si>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</si>
  <si>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</si>
  <si>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</si>
  <si>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</si>
  <si>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</si>
  <si>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</si>
  <si>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</si>
  <si>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</si>
  <si>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</si>
  <si>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</si>
  <si>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</si>
  <si>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</si>
  <si>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</si>
  <si>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</si>
  <si>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</si>
  <si>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</si>
  <si>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</si>
  <si>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</si>
  <si>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</si>
  <si>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</si>
  <si>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</si>
  <si>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</si>
  <si>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</si>
  <si>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</si>
  <si>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</si>
  <si>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</si>
  <si>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</si>
  <si>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</si>
  <si>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</si>
  <si>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</si>
  <si>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</si>
  <si>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Provision for bad debts</t>
  </si>
  <si>
    <t>DEPRECIATION DIFFERENCE</t>
  </si>
  <si>
    <r>
      <t xml:space="preserve">Ontario Capital Tax Exemption  </t>
    </r>
    <r>
      <rPr>
        <b/>
        <sz val="10"/>
        <color indexed="10"/>
        <rFont val="Arial"/>
        <family val="2"/>
      </rPr>
      <t>*** 2002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</si>
  <si>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2002</t>
    </r>
  </si>
  <si>
    <t xml:space="preserve">RECAP 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</si>
  <si>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</si>
  <si>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</si>
  <si>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</si>
  <si>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</si>
  <si>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</si>
  <si>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</si>
  <si>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From Statement of Adjustments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</si>
  <si>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</si>
  <si>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</si>
  <si>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</si>
  <si>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</si>
  <si>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</si>
  <si>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</si>
  <si>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>Debt financing fees- deducted for tax</t>
  </si>
  <si>
    <t>Reporting period:  2003</t>
  </si>
  <si>
    <t>12-31-2003</t>
  </si>
  <si>
    <t xml:space="preserve">     Financing expenses</t>
  </si>
  <si>
    <t>Other</t>
  </si>
  <si>
    <t>Increase in net income due to restatement</t>
  </si>
  <si>
    <t>Nondeductible penalties</t>
  </si>
  <si>
    <t>Asset retirement obligation- accretion expense</t>
  </si>
  <si>
    <t>Asset retirement obligation- cash payment deducted for tax</t>
  </si>
  <si>
    <t>Expected Income Tax Rates for 2003 and Capital Tax Exemptions for 2003</t>
  </si>
  <si>
    <t>Input Information from Utility's Actual 2003 Tax Returns</t>
  </si>
  <si>
    <t>Actual 2003</t>
  </si>
  <si>
    <r>
      <t xml:space="preserve">Income Tax Rate (excluding surtax) from </t>
    </r>
    <r>
      <rPr>
        <b/>
        <sz val="10"/>
        <color indexed="10"/>
        <rFont val="Arial"/>
        <family val="2"/>
      </rPr>
      <t>2003</t>
    </r>
    <r>
      <rPr>
        <sz val="10"/>
        <rFont val="Arial"/>
        <family val="2"/>
      </rPr>
      <t xml:space="preserve"> Utility's tax return</t>
    </r>
  </si>
  <si>
    <t>PILs TAXES - EB-2012-0064</t>
  </si>
  <si>
    <t>Reversal of environmental provision- reserve adjustment</t>
  </si>
  <si>
    <t xml:space="preserve">     OEB Staff 84 a) revision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</si>
</sst>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8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0" fillId="11" borderId="8" xfId="0" applyNumberFormat="1" applyFill="1" applyBorder="1" applyAlignment="1" applyProtection="1">
      <alignment horizontal="righ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4" fillId="0" borderId="0" xfId="0" applyFont="1" applyAlignment="1">
      <alignment vertical="center" wrapText="1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21" fillId="0" borderId="0" xfId="0" applyFont="1" applyFill="1">
      <alignment vertical="top"/>
      <protection locked="0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view="pageBreakPreview" topLeftCell="A52" zoomScale="60" zoomScaleNormal="100" workbookViewId="0">
      <selection activeCell="A100" sqref="A100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506</v>
      </c>
      <c r="C1" s="8"/>
      <c r="E1" s="2" t="s">
        <v>464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487</v>
      </c>
      <c r="C3" s="8"/>
      <c r="D3" s="455" t="s">
        <v>450</v>
      </c>
      <c r="E3" s="8"/>
      <c r="F3" s="8"/>
      <c r="G3" s="8"/>
      <c r="H3" s="8"/>
    </row>
    <row r="4" spans="1:16">
      <c r="A4" s="2" t="s">
        <v>494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>
      <c r="A10" s="3" t="s">
        <v>61</v>
      </c>
      <c r="B10" s="3"/>
      <c r="C10" s="37"/>
      <c r="D10" s="20"/>
      <c r="E10" s="3"/>
      <c r="F10" s="3"/>
      <c r="G10" s="3"/>
      <c r="H10" s="3"/>
    </row>
    <row r="11" spans="1:16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91" t="s">
        <v>489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91" t="s">
        <v>488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185</v>
      </c>
      <c r="C17" s="8" t="s">
        <v>64</v>
      </c>
      <c r="D17" s="491" t="s">
        <v>488</v>
      </c>
    </row>
    <row r="18" spans="1:8" ht="12.75" customHeight="1">
      <c r="A18" s="389" t="s">
        <v>315</v>
      </c>
      <c r="C18" s="8"/>
      <c r="D18" s="8"/>
    </row>
    <row r="19" spans="1:8" ht="12.75" customHeight="1">
      <c r="A19" s="502" t="s">
        <v>316</v>
      </c>
      <c r="B19" s="8" t="s">
        <v>313</v>
      </c>
      <c r="C19" s="8" t="s">
        <v>64</v>
      </c>
      <c r="D19" s="492" t="s">
        <v>489</v>
      </c>
    </row>
    <row r="20" spans="1:8" ht="12.75" customHeight="1" thickBot="1">
      <c r="A20" s="503"/>
      <c r="B20" s="8" t="s">
        <v>314</v>
      </c>
      <c r="C20" s="8" t="s">
        <v>64</v>
      </c>
      <c r="D20" s="491" t="s">
        <v>488</v>
      </c>
    </row>
    <row r="21" spans="1:8" ht="12.75" customHeight="1">
      <c r="A21" s="502" t="s">
        <v>312</v>
      </c>
      <c r="B21" s="8" t="s">
        <v>313</v>
      </c>
      <c r="C21" s="8"/>
      <c r="D21" s="423">
        <v>1</v>
      </c>
    </row>
    <row r="22" spans="1:8" ht="12.75" customHeight="1">
      <c r="A22" s="502"/>
      <c r="B22" s="8" t="s">
        <v>314</v>
      </c>
      <c r="C22" s="8"/>
      <c r="D22" s="423">
        <v>1</v>
      </c>
    </row>
    <row r="23" spans="1:8" ht="12.75" customHeight="1">
      <c r="A23" s="45"/>
      <c r="C23" s="8"/>
      <c r="D23" s="388"/>
    </row>
    <row r="24" spans="1:8" ht="12.75" customHeight="1">
      <c r="A24" s="45" t="s">
        <v>212</v>
      </c>
      <c r="C24" s="8" t="s">
        <v>213</v>
      </c>
      <c r="D24" s="424" t="s">
        <v>495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3" t="s">
        <v>297</v>
      </c>
    </row>
    <row r="27" spans="1:8" ht="12.75" customHeight="1">
      <c r="A27" s="256" t="s">
        <v>68</v>
      </c>
      <c r="C27" s="8"/>
      <c r="E27" s="444" t="s">
        <v>298</v>
      </c>
    </row>
    <row r="28" spans="1:8">
      <c r="A28" s="256" t="s">
        <v>69</v>
      </c>
      <c r="C28" s="38"/>
    </row>
    <row r="29" spans="1:8">
      <c r="A29" s="257" t="s">
        <v>70</v>
      </c>
    </row>
    <row r="30" spans="1:8" ht="12.75" customHeight="1">
      <c r="A30" s="35"/>
    </row>
    <row r="31" spans="1:8" ht="12.75" customHeight="1">
      <c r="A31" t="s">
        <v>287</v>
      </c>
      <c r="D31" s="421">
        <v>1810112688</v>
      </c>
      <c r="H31" s="5"/>
    </row>
    <row r="32" spans="1:8" ht="12.75" customHeight="1"/>
    <row r="33" spans="1:11" ht="12.75" customHeight="1">
      <c r="A33" t="s">
        <v>71</v>
      </c>
      <c r="D33" s="422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2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2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>
      <c r="A45" t="s">
        <v>77</v>
      </c>
      <c r="D45" s="251">
        <f>D41-D43</f>
        <v>119296677.56064001</v>
      </c>
      <c r="H45" s="40"/>
      <c r="J45" s="5"/>
      <c r="K45" s="5"/>
    </row>
    <row r="46" spans="1:11" ht="12.75" customHeight="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8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465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451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 gridLines="1"/>
  <pageMargins left="0.23622047244094491" right="0.23622047244094491" top="1.08" bottom="0.35433070866141736" header="0.19685039370078741" footer="0.11811023622047245"/>
  <pageSetup scale="76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view="pageBreakPreview" topLeftCell="A59" zoomScale="60" zoomScaleNormal="90" workbookViewId="0">
      <selection activeCell="A100" sqref="A100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2.710937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467</v>
      </c>
      <c r="H1" s="210"/>
    </row>
    <row r="2" spans="1:12">
      <c r="A2" s="211" t="s">
        <v>466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468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2003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82999233</v>
      </c>
      <c r="F16" s="3"/>
      <c r="G16" s="267">
        <f>TAXREC!E50</f>
        <v>185834351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11453140</v>
      </c>
      <c r="F20" s="6"/>
      <c r="G20" s="267">
        <f>TAXREC!E61</f>
        <v>117682140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108977216</v>
      </c>
      <c r="F23" s="6"/>
      <c r="G23" s="267">
        <f>TAXREC!E64</f>
        <v>108977216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4132505</v>
      </c>
      <c r="F28" s="6"/>
      <c r="G28" s="267">
        <f>TAXREC!E67</f>
        <v>4132505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2385415</v>
      </c>
      <c r="F29" s="6"/>
      <c r="G29" s="267">
        <f>TAXREC!E68</f>
        <v>2385415</v>
      </c>
      <c r="H29" s="151"/>
    </row>
    <row r="30" spans="1:8" ht="15.75">
      <c r="A30" s="482" t="s">
        <v>399</v>
      </c>
      <c r="B30" s="127"/>
      <c r="C30" s="259"/>
      <c r="D30" s="18"/>
      <c r="E30" s="267">
        <f>G30-C30</f>
        <v>12122319</v>
      </c>
      <c r="F30" s="6"/>
      <c r="G30" s="267">
        <f>TAXREC!E66</f>
        <v>12122319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80170009</v>
      </c>
      <c r="F33" s="6"/>
      <c r="G33" s="267">
        <f>TAXREC!E97+TAXREC!E98</f>
        <v>156862539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20689080.174917489</v>
      </c>
      <c r="F37" s="6"/>
      <c r="G37" s="267">
        <f>TAXREC!E51</f>
        <v>78385351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119132936</v>
      </c>
      <c r="F39" s="6"/>
      <c r="G39" s="267">
        <f>TAXREC!E105</f>
        <v>119132936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0</v>
      </c>
      <c r="F45" s="6"/>
      <c r="G45" s="251">
        <f>TAXREC!E131</f>
        <v>0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3628453</v>
      </c>
      <c r="F47" s="6"/>
      <c r="G47" s="251">
        <f>TAXREC!E111</f>
        <v>3628453</v>
      </c>
      <c r="H47" s="151"/>
    </row>
    <row r="48" spans="1:8" ht="15.75">
      <c r="A48" s="482" t="s">
        <v>399</v>
      </c>
      <c r="B48" s="127"/>
      <c r="C48" s="259"/>
      <c r="D48" s="132"/>
      <c r="E48" s="267">
        <f>G48-C48</f>
        <v>2233343</v>
      </c>
      <c r="F48" s="6"/>
      <c r="G48" s="251">
        <f>TAXREC!E108</f>
        <v>2233343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4">
        <f>E16+SUM(E20:E30)-SUM(E33:E48)</f>
        <v>-6901993.1749174893</v>
      </c>
      <c r="F50" s="431" t="s">
        <v>371</v>
      </c>
      <c r="G50" s="263">
        <f>G16+SUM(G20:G30)-SUM(G33:G48)</f>
        <v>70891324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-2.0000000000000018E-2</v>
      </c>
      <c r="F53" s="114"/>
      <c r="G53" s="473">
        <f>TAXREC!E151</f>
        <v>0.36619999999999997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-19346149.092953134</v>
      </c>
      <c r="F55" s="431" t="s">
        <v>372</v>
      </c>
      <c r="G55" s="264">
        <f>TAXREC!E144</f>
        <v>10697630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538238</v>
      </c>
      <c r="F58" s="431" t="s">
        <v>372</v>
      </c>
      <c r="G58" s="270">
        <f>TAXREC!E145</f>
        <v>538238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-19884387.092953134</v>
      </c>
      <c r="F60" s="431" t="s">
        <v>372</v>
      </c>
      <c r="G60" s="269">
        <f>+G55-G58</f>
        <v>10159392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258496941</v>
      </c>
      <c r="F66" s="6"/>
      <c r="G66" s="475">
        <v>2068609629</v>
      </c>
      <c r="H66" s="151"/>
      <c r="I66" s="500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-271438</v>
      </c>
      <c r="F67" s="6"/>
      <c r="G67" s="475">
        <v>4728562</v>
      </c>
      <c r="H67" s="151"/>
      <c r="I67" s="500"/>
      <c r="J67" s="501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258225503</v>
      </c>
      <c r="F68" s="114"/>
      <c r="G68" s="264">
        <f>G66-G67</f>
        <v>2063881067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776305.1370000001</v>
      </c>
      <c r="F72" s="476"/>
      <c r="G72" s="264">
        <f>IF(G68&gt;0,G68*G70,0)*REGINFO!$B$6/REGINFO!$B$7</f>
        <v>6191643.2010000004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272448650</v>
      </c>
      <c r="F75" s="6"/>
      <c r="G75" s="475">
        <v>2082561338</v>
      </c>
      <c r="H75" s="151"/>
      <c r="I75" s="500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0</v>
      </c>
      <c r="F76" s="6"/>
      <c r="G76" s="475">
        <f>'Tax Rates'!C58</f>
        <v>10000000</v>
      </c>
      <c r="H76" s="151"/>
      <c r="I76" s="500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272448650</v>
      </c>
      <c r="F77" s="114"/>
      <c r="G77" s="264">
        <f>G75-G76</f>
        <v>2072561338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0</v>
      </c>
      <c r="F79" s="6"/>
      <c r="G79" s="268">
        <f>'Tax Rates'!C55</f>
        <v>2.2499999999999998E-3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613009.46250000037</v>
      </c>
      <c r="F81" s="6"/>
      <c r="G81" s="264">
        <f>G77*G79*B9/B10</f>
        <v>4663263.0104999999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-544105.15235907584</v>
      </c>
      <c r="F82" s="6"/>
      <c r="G82" s="300">
        <v>327180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1157114.6148590762</v>
      </c>
      <c r="F84" s="103"/>
      <c r="G84" s="264">
        <f>G81-G82</f>
        <v>4336083.0104999999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504</v>
      </c>
      <c r="G90" s="270">
        <f>TAXREC!E156</f>
        <v>10159392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504</v>
      </c>
      <c r="G91" s="270">
        <f>TAXREC!E158</f>
        <v>4336083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504</v>
      </c>
      <c r="G92" s="270">
        <f>TAXREC!E157</f>
        <v>6191643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480</v>
      </c>
      <c r="B95" s="125">
        <v>25</v>
      </c>
      <c r="C95" s="269">
        <f>SUM(C90:C93)</f>
        <v>58571734.045750499</v>
      </c>
      <c r="D95" s="6"/>
      <c r="E95" s="139"/>
      <c r="F95" s="430" t="s">
        <v>504</v>
      </c>
      <c r="G95" s="413">
        <f>SUM(G90:G94)</f>
        <v>20687118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108977216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4132505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119132936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-9141215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505</v>
      </c>
      <c r="B122" s="127"/>
      <c r="C122" s="112"/>
      <c r="D122" s="3" t="s">
        <v>231</v>
      </c>
      <c r="E122" s="469">
        <f>+'Tax Rates'!F52</f>
        <v>0.36619999999999997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-3347512.9329999997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538238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-3885750.9329999997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0.35499999999999998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4">
        <f>E128/(1-E130)</f>
        <v>-6024420.0511627905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0.36619999999999997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28487912.749454781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28487912.749454781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8">
        <f>E144-E146</f>
        <v>-1555866.3434983529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1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10000000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1800112688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2.2499999999999998E-3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4050253.5479999995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3178968.3956409236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474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0.35499999999999998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-2412195.8813927951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-2412195.8813927951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-6024420.0511627905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-8436615.9325555861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4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4"/>
      <c r="H200" s="164"/>
    </row>
    <row r="201" spans="1:8">
      <c r="A201" s="155" t="s">
        <v>252</v>
      </c>
      <c r="B201" s="127"/>
      <c r="C201" s="112"/>
      <c r="D201" s="120"/>
      <c r="E201" s="308">
        <f>G37+G42</f>
        <v>78385351</v>
      </c>
      <c r="F201" s="3"/>
      <c r="G201" s="484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22310709.9845175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 gridLines="1"/>
  <pageMargins left="0.23622047244094491" right="0.23622047244094491" top="0.94488188976377963" bottom="0.35433070866141736" header="0.19685039370078741" footer="0.11811023622047245"/>
  <pageSetup scale="61"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view="pageBreakPreview" topLeftCell="A155" zoomScale="60" zoomScaleNormal="100" workbookViewId="0">
      <selection activeCell="A192" sqref="A192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2003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6">
        <v>37622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6">
        <v>37986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1736868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7" t="s">
        <v>488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7" t="s">
        <v>489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 t="s">
        <v>488</v>
      </c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7" t="s">
        <v>488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2389949000</v>
      </c>
      <c r="D32" s="286"/>
      <c r="E32" s="284">
        <f>C32-D32</f>
        <v>2389949000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22034000</v>
      </c>
      <c r="D33" s="286"/>
      <c r="E33" s="284">
        <f>C33-D33</f>
        <v>22034000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11364000</v>
      </c>
      <c r="D34" s="286"/>
      <c r="E34" s="284">
        <f>C34-D34</f>
        <v>11364000</v>
      </c>
      <c r="F34" s="11"/>
      <c r="G34" s="11"/>
      <c r="H34" s="6"/>
      <c r="I34" s="6"/>
    </row>
    <row r="35" spans="1:11" ht="13.5" thickBot="1">
      <c r="A35" s="10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1957184000</v>
      </c>
      <c r="D39" s="286"/>
      <c r="E39" s="284">
        <f>C39-D39</f>
        <v>1957184000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160995000</v>
      </c>
      <c r="D42" s="286"/>
      <c r="E42" s="284">
        <f t="shared" si="0"/>
        <v>160995000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117579000</v>
      </c>
      <c r="D43" s="286"/>
      <c r="E43" s="284">
        <f t="shared" si="0"/>
        <v>117579000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485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9" t="s">
        <v>496</v>
      </c>
      <c r="B46" s="23" t="s">
        <v>188</v>
      </c>
      <c r="C46" s="285">
        <v>3521495</v>
      </c>
      <c r="D46" s="286"/>
      <c r="E46" s="284">
        <f t="shared" si="0"/>
        <v>3521495</v>
      </c>
      <c r="F46" s="11"/>
      <c r="G46" s="84"/>
      <c r="H46" s="33"/>
      <c r="I46" s="33"/>
      <c r="J46" s="32"/>
      <c r="K46" s="32"/>
    </row>
    <row r="47" spans="1:11">
      <c r="A47" s="48" t="s">
        <v>508</v>
      </c>
      <c r="B47" s="23" t="s">
        <v>188</v>
      </c>
      <c r="C47" s="285">
        <v>-1766846</v>
      </c>
      <c r="D47" s="286"/>
      <c r="E47" s="284">
        <f t="shared" si="0"/>
        <v>-1766846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185834351</v>
      </c>
      <c r="D50" s="281">
        <f>SUM(D31:D36)-SUM(D39:D49)</f>
        <v>0</v>
      </c>
      <c r="E50" s="281">
        <f>SUM(E31:E35)-SUM(E39:E48)</f>
        <v>185834351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78385351</v>
      </c>
      <c r="D51" s="285"/>
      <c r="E51" s="282">
        <f>+C51-D51</f>
        <v>78385351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34490000</v>
      </c>
      <c r="D52" s="285"/>
      <c r="E52" s="283">
        <f>+C52-D52</f>
        <v>34490000</v>
      </c>
      <c r="F52" s="8"/>
    </row>
    <row r="53" spans="1:9">
      <c r="A53" s="2" t="s">
        <v>131</v>
      </c>
      <c r="B53" s="8" t="s">
        <v>189</v>
      </c>
      <c r="C53" s="281">
        <f>C50-C51-C52</f>
        <v>72959000</v>
      </c>
      <c r="D53" s="281">
        <f>D50-D51-D52</f>
        <v>0</v>
      </c>
      <c r="E53" s="281">
        <f>E50-E51-E52</f>
        <v>72959000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34490000</v>
      </c>
      <c r="D59" s="287">
        <f>D52</f>
        <v>0</v>
      </c>
      <c r="E59" s="272">
        <f>+C59-D59</f>
        <v>34490000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477">
        <v>117682140</v>
      </c>
      <c r="D61" s="287">
        <f>D43</f>
        <v>0</v>
      </c>
      <c r="E61" s="272">
        <f>+C61-D61</f>
        <v>117682140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108977216</v>
      </c>
      <c r="D64" s="316">
        <f>'Tax Reserves'!D63</f>
        <v>0</v>
      </c>
      <c r="E64" s="272">
        <f>+C64-D64</f>
        <v>108977216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12122319</v>
      </c>
      <c r="D66" s="446">
        <f>'TAXREC 3 No True-up'!D47</f>
        <v>0</v>
      </c>
      <c r="E66" s="272">
        <f>+C66-D66</f>
        <v>12122319</v>
      </c>
      <c r="F66" s="8"/>
    </row>
    <row r="67" spans="1:11">
      <c r="A67" t="s">
        <v>160</v>
      </c>
      <c r="B67" s="8" t="s">
        <v>187</v>
      </c>
      <c r="C67" s="251">
        <f>'TAXREC 2'!C77</f>
        <v>4132505</v>
      </c>
      <c r="D67" s="251">
        <f>'TAXREC 2'!D77</f>
        <v>0</v>
      </c>
      <c r="E67" s="272">
        <f>+C67-D67</f>
        <v>4132505</v>
      </c>
      <c r="F67" s="8"/>
    </row>
    <row r="68" spans="1:11">
      <c r="A68" t="s">
        <v>161</v>
      </c>
      <c r="B68" s="8" t="s">
        <v>187</v>
      </c>
      <c r="C68" s="251">
        <f>'TAXREC 2'!C78</f>
        <v>2385415</v>
      </c>
      <c r="D68" s="251">
        <f>'TAXREC 2'!D78</f>
        <v>0</v>
      </c>
      <c r="E68" s="272">
        <f>+C68-D68</f>
        <v>2385415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279789595</v>
      </c>
      <c r="D70" s="272">
        <f>SUM(D59:D68)</f>
        <v>0</v>
      </c>
      <c r="E70" s="272">
        <f>SUM(E59:E68)</f>
        <v>279789595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476</v>
      </c>
      <c r="B76" s="8" t="s">
        <v>187</v>
      </c>
      <c r="C76" s="478"/>
      <c r="D76" s="294"/>
      <c r="E76" s="479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279789595</v>
      </c>
      <c r="D82" s="251">
        <f>D70+D80</f>
        <v>0</v>
      </c>
      <c r="E82" s="251">
        <f>E70+E80</f>
        <v>279789595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155566254</v>
      </c>
      <c r="D97" s="294"/>
      <c r="E97" s="272">
        <f>+C97-D97</f>
        <v>155566254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1296285</v>
      </c>
      <c r="D98" s="294"/>
      <c r="E98" s="272">
        <f>+C98-D98</f>
        <v>1296285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119132936</v>
      </c>
      <c r="D105" s="318">
        <f>'Tax Reserves'!D50</f>
        <v>0</v>
      </c>
      <c r="E105" s="282">
        <f t="shared" si="5"/>
        <v>119132936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2233343</v>
      </c>
      <c r="D108" s="254">
        <f>'TAXREC 3 No True-up'!D73</f>
        <v>0</v>
      </c>
      <c r="E108" s="272">
        <f t="shared" si="5"/>
        <v>2233343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3628453</v>
      </c>
      <c r="D111" s="251">
        <f>'TAXREC 2'!D120</f>
        <v>0</v>
      </c>
      <c r="E111" s="251">
        <f>'TAXREC 2'!E120</f>
        <v>3628453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281857271</v>
      </c>
      <c r="D113" s="251">
        <f>SUM(D97:D111)</f>
        <v>0</v>
      </c>
      <c r="E113" s="251">
        <f>SUM(E97:E111)</f>
        <v>281857271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281857271</v>
      </c>
      <c r="D122" s="251">
        <f>D113+D120</f>
        <v>0</v>
      </c>
      <c r="E122" s="251">
        <f>+E113+E120</f>
        <v>281857271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70891324</v>
      </c>
      <c r="D134" s="251">
        <f>D53+D82-D122</f>
        <v>0</v>
      </c>
      <c r="E134" s="251">
        <f>E53+E82-E122</f>
        <v>70891324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>
        <v>41678475</v>
      </c>
      <c r="D136" s="294"/>
      <c r="E136" s="264">
        <f>C136-D136</f>
        <v>41678475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29212849</v>
      </c>
      <c r="D139" s="252">
        <f>D134-D136-D137-D138</f>
        <v>0</v>
      </c>
      <c r="E139" s="252">
        <f>E134-E136-E137-E138</f>
        <v>29212849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>
        <v>7046063</v>
      </c>
      <c r="D142" s="298"/>
      <c r="E142" s="252">
        <f>C142-D142</f>
        <v>7046063</v>
      </c>
      <c r="F142" s="8"/>
      <c r="G142" s="45" t="s">
        <v>486</v>
      </c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>
        <v>3651567</v>
      </c>
      <c r="D143" s="298"/>
      <c r="E143" s="292">
        <f>C143-D143</f>
        <v>3651567</v>
      </c>
      <c r="F143" s="8"/>
      <c r="G143" s="45" t="s">
        <v>486</v>
      </c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10697630</v>
      </c>
      <c r="D144" s="252">
        <f>D142+D143</f>
        <v>0</v>
      </c>
      <c r="E144" s="252">
        <f>E142+E143</f>
        <v>10697630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538238</v>
      </c>
      <c r="D145" s="298"/>
      <c r="E145" s="293">
        <f>C145-D145</f>
        <v>538238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10159392</v>
      </c>
      <c r="D146" s="252">
        <f>D144-D145</f>
        <v>0</v>
      </c>
      <c r="E146" s="252">
        <f>E144-E145</f>
        <v>10159392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0.2412</v>
      </c>
      <c r="D149" s="5"/>
      <c r="E149" s="405">
        <f>C149</f>
        <v>0.2412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0.125</v>
      </c>
      <c r="D150" s="5"/>
      <c r="E150" s="405">
        <f>C150</f>
        <v>0.125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0.36619999999999997</v>
      </c>
      <c r="D151" s="483" t="s">
        <v>481</v>
      </c>
      <c r="E151" s="405">
        <f>SUM(E149:E150)</f>
        <v>0.36619999999999997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479</v>
      </c>
      <c r="B155" s="8"/>
    </row>
    <row r="156" spans="1:11">
      <c r="A156" t="s">
        <v>219</v>
      </c>
      <c r="B156" s="86" t="s">
        <v>187</v>
      </c>
      <c r="C156" s="251">
        <f>C146</f>
        <v>10159392</v>
      </c>
      <c r="D156" s="251">
        <f>D146</f>
        <v>0</v>
      </c>
      <c r="E156" s="251">
        <f>E146</f>
        <v>10159392</v>
      </c>
    </row>
    <row r="157" spans="1:11">
      <c r="A157" t="s">
        <v>20</v>
      </c>
      <c r="B157" s="86" t="s">
        <v>187</v>
      </c>
      <c r="C157" s="480">
        <v>6191643</v>
      </c>
      <c r="D157" s="251"/>
      <c r="E157" s="251">
        <f>C157+D157</f>
        <v>6191643</v>
      </c>
    </row>
    <row r="158" spans="1:11">
      <c r="A158" t="s">
        <v>218</v>
      </c>
      <c r="B158" s="86" t="s">
        <v>187</v>
      </c>
      <c r="C158" s="480">
        <v>4336083</v>
      </c>
      <c r="D158" s="251"/>
      <c r="E158" s="251">
        <f>C158+D158</f>
        <v>4336083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20687118</v>
      </c>
      <c r="D160" s="251">
        <f>D156+D157+D158</f>
        <v>0</v>
      </c>
      <c r="E160" s="251">
        <f>E156+E157+E158</f>
        <v>20687118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 gridLines="1"/>
  <pageMargins left="0.23622047244094491" right="0.23622047244094491" top="1.32" bottom="0.35433070866141736" header="0.19685039370078741" footer="0.11811023622047245"/>
  <pageSetup scale="89"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  <rowBreaks count="3" manualBreakCount="3">
    <brk id="55" max="4" man="1"/>
    <brk id="95" max="4" man="1"/>
    <brk id="1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41" zoomScale="60" zoomScaleNormal="100" workbookViewId="0">
      <selection activeCell="C49" sqref="C49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2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2003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452</v>
      </c>
      <c r="B18" s="61"/>
      <c r="C18" s="294"/>
      <c r="D18" s="294"/>
      <c r="E18" s="251">
        <f t="shared" si="0"/>
        <v>0</v>
      </c>
    </row>
    <row r="19" spans="1:5">
      <c r="A19" s="61" t="s">
        <v>452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452</v>
      </c>
      <c r="B30" s="61"/>
      <c r="C30" s="294"/>
      <c r="D30" s="294"/>
      <c r="E30" s="251">
        <f t="shared" si="1"/>
        <v>0</v>
      </c>
    </row>
    <row r="31" spans="1:5">
      <c r="A31" s="61" t="s">
        <v>452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>
        <v>3333000</v>
      </c>
      <c r="D43" s="294"/>
      <c r="E43" s="251">
        <f t="shared" si="2"/>
        <v>3333000</v>
      </c>
    </row>
    <row r="44" spans="1:5">
      <c r="A44" s="61" t="s">
        <v>268</v>
      </c>
      <c r="B44" s="61"/>
      <c r="C44" s="294">
        <v>9000000</v>
      </c>
      <c r="D44" s="294"/>
      <c r="E44" s="251">
        <f t="shared" si="2"/>
        <v>9000000</v>
      </c>
    </row>
    <row r="45" spans="1:5">
      <c r="A45" s="61" t="s">
        <v>269</v>
      </c>
      <c r="B45" s="61"/>
      <c r="C45" s="294">
        <v>2935988</v>
      </c>
      <c r="D45" s="294"/>
      <c r="E45" s="251">
        <f t="shared" si="2"/>
        <v>2935988</v>
      </c>
    </row>
    <row r="46" spans="1:5">
      <c r="A46" s="61" t="s">
        <v>270</v>
      </c>
      <c r="B46" s="61"/>
      <c r="C46" s="294"/>
      <c r="D46" s="294"/>
      <c r="E46" s="251">
        <f t="shared" si="2"/>
        <v>0</v>
      </c>
    </row>
    <row r="47" spans="1:5">
      <c r="A47" s="488" t="s">
        <v>490</v>
      </c>
      <c r="B47" s="61"/>
      <c r="C47" s="294">
        <v>103795000</v>
      </c>
      <c r="D47" s="294"/>
      <c r="E47" s="251">
        <f t="shared" si="2"/>
        <v>103795000</v>
      </c>
    </row>
    <row r="48" spans="1:5">
      <c r="A48" s="488" t="s">
        <v>491</v>
      </c>
      <c r="B48" s="61"/>
      <c r="C48" s="294">
        <v>68948</v>
      </c>
      <c r="D48" s="294"/>
      <c r="E48" s="251">
        <f t="shared" si="2"/>
        <v>68948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119132936</v>
      </c>
      <c r="D50" s="251">
        <f>SUM(D41:D49)</f>
        <v>0</v>
      </c>
      <c r="E50" s="251">
        <f>SUM(E41:E49)</f>
        <v>119132936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/>
      <c r="D55" s="294"/>
      <c r="E55" s="251">
        <f t="shared" si="3"/>
        <v>0</v>
      </c>
    </row>
    <row r="56" spans="1:5">
      <c r="A56" s="246" t="s">
        <v>268</v>
      </c>
      <c r="B56" s="61"/>
      <c r="C56" s="294">
        <v>585360</v>
      </c>
      <c r="D56" s="294"/>
      <c r="E56" s="251">
        <f t="shared" si="3"/>
        <v>585360</v>
      </c>
    </row>
    <row r="57" spans="1:5">
      <c r="A57" s="246" t="s">
        <v>269</v>
      </c>
      <c r="B57" s="61"/>
      <c r="C57" s="294">
        <v>2668190</v>
      </c>
      <c r="D57" s="294"/>
      <c r="E57" s="251">
        <f t="shared" si="3"/>
        <v>2668190</v>
      </c>
    </row>
    <row r="58" spans="1:5">
      <c r="A58" s="246" t="s">
        <v>270</v>
      </c>
      <c r="B58" s="61"/>
      <c r="C58" s="294">
        <v>2000000</v>
      </c>
      <c r="D58" s="294"/>
      <c r="E58" s="251">
        <f t="shared" si="3"/>
        <v>2000000</v>
      </c>
    </row>
    <row r="59" spans="1:5">
      <c r="A59" s="488" t="s">
        <v>490</v>
      </c>
      <c r="B59" s="61"/>
      <c r="C59" s="294">
        <v>103677000</v>
      </c>
      <c r="D59" s="294"/>
      <c r="E59" s="251">
        <f t="shared" si="3"/>
        <v>103677000</v>
      </c>
    </row>
    <row r="60" spans="1:5">
      <c r="A60" s="488" t="s">
        <v>491</v>
      </c>
      <c r="B60" s="61"/>
      <c r="C60" s="294">
        <v>0</v>
      </c>
      <c r="D60" s="294"/>
      <c r="E60" s="251">
        <f t="shared" si="3"/>
        <v>0</v>
      </c>
    </row>
    <row r="61" spans="1:5" ht="13.5" thickBot="1">
      <c r="A61" s="62" t="s">
        <v>497</v>
      </c>
      <c r="B61" s="61"/>
      <c r="C61" s="294">
        <v>46666</v>
      </c>
      <c r="D61" s="294"/>
      <c r="E61" s="251">
        <f t="shared" si="3"/>
        <v>46666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108977216</v>
      </c>
      <c r="D63" s="251">
        <f>SUM(D53:D61)</f>
        <v>0</v>
      </c>
      <c r="E63" s="251">
        <f>SUM(E53:E61)</f>
        <v>108977216</v>
      </c>
    </row>
  </sheetData>
  <phoneticPr fontId="0" type="noConversion"/>
  <printOptions horizontalCentered="1" headings="1" gridLines="1"/>
  <pageMargins left="0.23622047244094491" right="0.23622047244094491" top="1.34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tabSelected="1" view="pageBreakPreview" zoomScale="60" zoomScaleNormal="75" workbookViewId="0">
      <pane xSplit="1" ySplit="6" topLeftCell="B83" activePane="bottomRight" state="frozen"/>
      <selection activeCell="A100" sqref="A100"/>
      <selection pane="topRight" activeCell="A100" sqref="A100"/>
      <selection pane="bottomLeft" activeCell="A100" sqref="A100"/>
      <selection pane="bottomRight" activeCell="A100" sqref="A100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3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470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469</v>
      </c>
      <c r="B5" s="8"/>
      <c r="C5" s="8" t="s">
        <v>2</v>
      </c>
      <c r="D5" s="8"/>
      <c r="E5" s="8"/>
      <c r="F5" s="8"/>
    </row>
    <row r="6" spans="1:6">
      <c r="A6" s="415" t="s">
        <v>449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2003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1736868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/>
      <c r="D19" s="295"/>
      <c r="E19" s="312">
        <f t="shared" si="0"/>
        <v>0</v>
      </c>
    </row>
    <row r="20" spans="1:5">
      <c r="A20" s="67" t="s">
        <v>453</v>
      </c>
      <c r="B20" t="s">
        <v>187</v>
      </c>
      <c r="C20" s="295">
        <v>316</v>
      </c>
      <c r="D20" s="313"/>
      <c r="E20" s="312">
        <f t="shared" si="0"/>
        <v>316</v>
      </c>
    </row>
    <row r="21" spans="1:5">
      <c r="A21" s="67" t="s">
        <v>8</v>
      </c>
      <c r="B21" t="s">
        <v>187</v>
      </c>
      <c r="C21" s="295"/>
      <c r="D21" s="295"/>
      <c r="E21" s="312">
        <f t="shared" si="0"/>
        <v>0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655621</v>
      </c>
      <c r="D24" s="295"/>
      <c r="E24" s="312">
        <f t="shared" si="0"/>
        <v>655621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1536876</v>
      </c>
      <c r="D29" s="295"/>
      <c r="E29" s="312">
        <f t="shared" si="0"/>
        <v>1536876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475</v>
      </c>
      <c r="B36" t="s">
        <v>187</v>
      </c>
      <c r="C36" s="295"/>
      <c r="D36" s="295"/>
      <c r="E36" s="312">
        <f t="shared" si="0"/>
        <v>0</v>
      </c>
    </row>
    <row r="37" spans="1:5">
      <c r="A37" s="67"/>
      <c r="B37" t="s">
        <v>187</v>
      </c>
      <c r="C37" s="295"/>
      <c r="D37" s="295"/>
      <c r="E37" s="312">
        <f t="shared" si="0"/>
        <v>0</v>
      </c>
    </row>
    <row r="38" spans="1:5">
      <c r="B38" t="s">
        <v>187</v>
      </c>
      <c r="C38" s="295"/>
      <c r="D38" s="295"/>
      <c r="E38" s="251">
        <f t="shared" si="0"/>
        <v>0</v>
      </c>
    </row>
    <row r="39" spans="1:5">
      <c r="B39" t="s">
        <v>187</v>
      </c>
      <c r="C39" s="294"/>
      <c r="D39" s="295"/>
      <c r="E39" s="251">
        <f t="shared" si="0"/>
        <v>0</v>
      </c>
    </row>
    <row r="40" spans="1:5">
      <c r="A40" s="68" t="s">
        <v>204</v>
      </c>
      <c r="B40" t="s">
        <v>187</v>
      </c>
      <c r="C40" s="294"/>
      <c r="D40" s="294"/>
      <c r="E40" s="251">
        <f t="shared" si="0"/>
        <v>0</v>
      </c>
    </row>
    <row r="41" spans="1:5">
      <c r="A41" s="490"/>
      <c r="B41" t="s">
        <v>187</v>
      </c>
      <c r="C41" s="294"/>
      <c r="D41" s="294"/>
      <c r="E41" s="251">
        <f t="shared" si="0"/>
        <v>0</v>
      </c>
    </row>
    <row r="42" spans="1:5">
      <c r="A42" s="490" t="s">
        <v>500</v>
      </c>
      <c r="B42" t="s">
        <v>187</v>
      </c>
      <c r="C42" s="294">
        <v>192602</v>
      </c>
      <c r="D42" s="294"/>
      <c r="E42" s="251">
        <f t="shared" si="0"/>
        <v>192602</v>
      </c>
    </row>
    <row r="43" spans="1:5">
      <c r="A43" s="490" t="s">
        <v>507</v>
      </c>
      <c r="B43" t="s">
        <v>187</v>
      </c>
      <c r="C43" s="294">
        <v>4132505</v>
      </c>
      <c r="D43" s="294"/>
      <c r="E43" s="251">
        <f t="shared" si="0"/>
        <v>4132505</v>
      </c>
    </row>
    <row r="44" spans="1:5">
      <c r="A44" s="490"/>
      <c r="B44" t="s">
        <v>187</v>
      </c>
      <c r="C44" s="294"/>
      <c r="D44" s="294"/>
      <c r="E44" s="251">
        <f t="shared" si="0"/>
        <v>0</v>
      </c>
    </row>
    <row r="45" spans="1:5">
      <c r="A45" s="490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6517920</v>
      </c>
      <c r="D46" s="251">
        <f>SUM(D17:D45)</f>
        <v>0</v>
      </c>
      <c r="E46" s="251">
        <f>SUM(E17:E45)</f>
        <v>6517920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 t="shared" ref="A71:A76" si="4">IF($E40&gt;$C$11,A40,"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 t="shared" si="4"/>
        <v xml:space="preserve"> </v>
      </c>
      <c r="B72" s="273"/>
      <c r="C72" s="251">
        <f t="shared" si="3"/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 t="shared" si="4"/>
        <v xml:space="preserve"> </v>
      </c>
      <c r="B73" s="273"/>
      <c r="C73" s="251">
        <f t="shared" si="3"/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>Reversal of environmental provision- reserve adjustment</v>
      </c>
      <c r="B74" s="273"/>
      <c r="C74" s="251">
        <f t="shared" si="3"/>
        <v>4132505</v>
      </c>
      <c r="D74" s="251">
        <f t="shared" si="3"/>
        <v>0</v>
      </c>
      <c r="E74" s="251">
        <f t="shared" si="3"/>
        <v>4132505</v>
      </c>
    </row>
    <row r="75" spans="1:5">
      <c r="A75" s="275" t="str">
        <f t="shared" si="4"/>
        <v xml:space="preserve"> </v>
      </c>
      <c r="B75" s="273"/>
      <c r="C75" s="251">
        <f t="shared" si="3"/>
        <v>0</v>
      </c>
      <c r="D75" s="251">
        <f t="shared" si="3"/>
        <v>0</v>
      </c>
      <c r="E75" s="251">
        <f t="shared" si="3"/>
        <v>0</v>
      </c>
    </row>
    <row r="76" spans="1:5">
      <c r="A76" s="275" t="str">
        <f t="shared" si="4"/>
        <v xml:space="preserve"> </v>
      </c>
      <c r="B76" s="274"/>
      <c r="C76" s="251">
        <f t="shared" si="3"/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4132505</v>
      </c>
      <c r="D77" s="251">
        <f>SUM(D49:D75)</f>
        <v>0</v>
      </c>
      <c r="E77" s="251">
        <f>SUM(E49:E75)</f>
        <v>4132505</v>
      </c>
    </row>
    <row r="78" spans="1:5">
      <c r="A78" s="276" t="s">
        <v>203</v>
      </c>
      <c r="B78" s="277"/>
      <c r="C78" s="314">
        <f>C46-C77</f>
        <v>2385415</v>
      </c>
      <c r="D78" s="314">
        <f>D46-D77</f>
        <v>0</v>
      </c>
      <c r="E78" s="314">
        <f>E46-E77</f>
        <v>2385415</v>
      </c>
    </row>
    <row r="79" spans="1:5">
      <c r="A79" s="276" t="s">
        <v>170</v>
      </c>
      <c r="B79" s="277"/>
      <c r="C79" s="314">
        <f>C77+C78</f>
        <v>6517920</v>
      </c>
      <c r="D79" s="314">
        <f>D77+D78</f>
        <v>0</v>
      </c>
      <c r="E79" s="314">
        <f>E77+E78</f>
        <v>6517920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>
        <v>396506</v>
      </c>
      <c r="D82" s="294"/>
      <c r="E82" s="251">
        <f>C82-D82</f>
        <v>396506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655621</v>
      </c>
      <c r="D86" s="294"/>
      <c r="E86" s="251">
        <f t="shared" si="5"/>
        <v>655621</v>
      </c>
    </row>
    <row r="87" spans="1:5">
      <c r="A87" s="67" t="s">
        <v>381</v>
      </c>
      <c r="B87" s="8" t="s">
        <v>188</v>
      </c>
      <c r="C87" s="294">
        <v>1038000</v>
      </c>
      <c r="D87" s="294"/>
      <c r="E87" s="251">
        <f t="shared" si="5"/>
        <v>1038000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B92" s="8" t="s">
        <v>188</v>
      </c>
      <c r="C92" s="294"/>
      <c r="D92" s="294"/>
      <c r="E92" s="251"/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7"/>
      <c r="B94" s="8" t="s">
        <v>188</v>
      </c>
      <c r="C94" s="294"/>
      <c r="D94" s="294"/>
      <c r="E94" s="251">
        <f t="shared" si="5"/>
        <v>0</v>
      </c>
    </row>
    <row r="95" spans="1:5">
      <c r="A95" s="68" t="s">
        <v>205</v>
      </c>
      <c r="B95" s="8" t="s">
        <v>188</v>
      </c>
      <c r="C95" s="294"/>
      <c r="D95" s="294"/>
      <c r="E95" s="251">
        <f t="shared" si="5"/>
        <v>0</v>
      </c>
    </row>
    <row r="96" spans="1:5" s="496" customFormat="1" ht="16.5" customHeight="1">
      <c r="A96" s="497" t="s">
        <v>501</v>
      </c>
      <c r="B96" s="498" t="s">
        <v>188</v>
      </c>
      <c r="C96" s="499">
        <v>511000</v>
      </c>
      <c r="D96" s="499"/>
      <c r="E96" s="495">
        <f t="shared" si="5"/>
        <v>511000</v>
      </c>
    </row>
    <row r="97" spans="1:5">
      <c r="A97" s="490" t="s">
        <v>493</v>
      </c>
      <c r="B97" s="8" t="s">
        <v>188</v>
      </c>
      <c r="C97" s="294">
        <v>1027326</v>
      </c>
      <c r="D97" s="294"/>
      <c r="E97" s="251">
        <f t="shared" si="5"/>
        <v>1027326</v>
      </c>
    </row>
    <row r="98" spans="1:5">
      <c r="A98" s="67"/>
      <c r="B98" s="8" t="s">
        <v>188</v>
      </c>
      <c r="C98" s="294"/>
      <c r="D98" s="294"/>
      <c r="E98" s="251">
        <f t="shared" si="5"/>
        <v>0</v>
      </c>
    </row>
    <row r="99" spans="1:5">
      <c r="A99" s="67" t="s">
        <v>171</v>
      </c>
      <c r="B99" s="8" t="s">
        <v>189</v>
      </c>
      <c r="C99" s="251">
        <f>SUM(C82:C98)</f>
        <v>3628453</v>
      </c>
      <c r="D99" s="251">
        <f>SUM(D82:D98)</f>
        <v>0</v>
      </c>
      <c r="E99" s="251">
        <f>SUM(E82:E98)</f>
        <v>3628453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IF($E92&gt;$C$11,A95,"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IF($E94&gt;$C$11,A94,"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IF($E95&gt;$C$11,A93,"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6" customFormat="1" ht="16.5" customHeight="1">
      <c r="A116" s="493" t="str">
        <f>IF($E96&gt;$C$11,A96," ")</f>
        <v xml:space="preserve"> </v>
      </c>
      <c r="B116" s="494"/>
      <c r="C116" s="495">
        <f t="shared" si="7"/>
        <v>0</v>
      </c>
      <c r="D116" s="495">
        <f t="shared" si="7"/>
        <v>0</v>
      </c>
      <c r="E116" s="495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3628453</v>
      </c>
      <c r="D120" s="251">
        <f>D99-D119</f>
        <v>0</v>
      </c>
      <c r="E120" s="251">
        <f>E99-E119</f>
        <v>3628453</v>
      </c>
    </row>
    <row r="121" spans="1:5">
      <c r="A121" s="278" t="s">
        <v>171</v>
      </c>
      <c r="B121" s="273"/>
      <c r="C121" s="251">
        <f>C119+C120</f>
        <v>3628453</v>
      </c>
      <c r="D121" s="251">
        <f>D119+D120</f>
        <v>0</v>
      </c>
      <c r="E121" s="251">
        <f>E119+E120</f>
        <v>3628453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 gridLines="1"/>
  <pageMargins left="0.23622047244094491" right="0.23622047244094491" top="1.22" bottom="0.35433070866141736" header="0.19685039370078741" footer="0.11811023622047245"/>
  <pageSetup scale="85"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  <rowBreaks count="1" manualBreakCount="1"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73" activePane="bottomRight" state="frozen"/>
      <selection activeCell="A100" sqref="A100"/>
      <selection pane="topRight" activeCell="A100" sqref="A100"/>
      <selection pane="bottomLeft" activeCell="A100" sqref="A100"/>
      <selection pane="bottomRight" activeCell="C80" sqref="C80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3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449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2003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26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457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458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>'TAXREC 2'!C19-D27</f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ref="E28:E34" si="1">C28-D28</f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1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1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1"/>
        <v>0</v>
      </c>
    </row>
    <row r="32" spans="1:6">
      <c r="A32" s="67" t="s">
        <v>436</v>
      </c>
      <c r="B32" t="s">
        <v>187</v>
      </c>
      <c r="C32" s="295">
        <v>58651</v>
      </c>
      <c r="D32" s="295"/>
      <c r="E32" s="312">
        <f t="shared" si="1"/>
        <v>58651</v>
      </c>
    </row>
    <row r="33" spans="1:5">
      <c r="A33" s="67" t="s">
        <v>437</v>
      </c>
      <c r="B33" t="s">
        <v>187</v>
      </c>
      <c r="C33" s="295">
        <v>49334</v>
      </c>
      <c r="D33" s="295"/>
      <c r="E33" s="312">
        <f t="shared" si="1"/>
        <v>49334</v>
      </c>
    </row>
    <row r="34" spans="1:5">
      <c r="A34" s="67" t="s">
        <v>454</v>
      </c>
      <c r="B34" t="s">
        <v>187</v>
      </c>
      <c r="C34" s="295"/>
      <c r="D34" s="295"/>
      <c r="E34" s="312">
        <f t="shared" si="1"/>
        <v>0</v>
      </c>
    </row>
    <row r="35" spans="1:5">
      <c r="A35" s="81" t="s">
        <v>455</v>
      </c>
      <c r="C35" s="295"/>
      <c r="D35" s="295"/>
      <c r="E35" s="312">
        <f>'TAXREC 2'!C20-D35</f>
        <v>316</v>
      </c>
    </row>
    <row r="36" spans="1:5">
      <c r="A36" s="67" t="s">
        <v>438</v>
      </c>
      <c r="C36" s="295"/>
      <c r="D36" s="295"/>
      <c r="E36" s="312">
        <f t="shared" ref="E36:E45" si="2">C36-D36</f>
        <v>0</v>
      </c>
    </row>
    <row r="37" spans="1:5">
      <c r="A37" s="67" t="s">
        <v>439</v>
      </c>
      <c r="C37" s="295"/>
      <c r="D37" s="295"/>
      <c r="E37" s="312">
        <f t="shared" si="2"/>
        <v>0</v>
      </c>
    </row>
    <row r="38" spans="1:5">
      <c r="A38" s="67" t="s">
        <v>461</v>
      </c>
      <c r="C38" s="295"/>
      <c r="D38" s="295"/>
      <c r="E38" s="312">
        <f t="shared" si="2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2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2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2"/>
        <v>0</v>
      </c>
    </row>
    <row r="42" spans="1:5">
      <c r="A42" s="489" t="s">
        <v>498</v>
      </c>
      <c r="B42" t="s">
        <v>187</v>
      </c>
      <c r="C42" s="295">
        <v>10061000</v>
      </c>
      <c r="D42" s="295"/>
      <c r="E42" s="312">
        <f t="shared" si="2"/>
        <v>10061000</v>
      </c>
    </row>
    <row r="43" spans="1:5">
      <c r="A43" s="489" t="s">
        <v>499</v>
      </c>
      <c r="B43" t="s">
        <v>187</v>
      </c>
      <c r="C43" s="295">
        <v>1953334</v>
      </c>
      <c r="D43" s="295"/>
      <c r="E43" s="312">
        <f t="shared" si="2"/>
        <v>1953334</v>
      </c>
    </row>
    <row r="44" spans="1:5">
      <c r="A44" s="489"/>
      <c r="B44" t="s">
        <v>187</v>
      </c>
      <c r="C44" s="294"/>
      <c r="D44" s="294"/>
      <c r="E44" s="251">
        <f t="shared" si="2"/>
        <v>0</v>
      </c>
    </row>
    <row r="45" spans="1:5">
      <c r="A45" s="489"/>
      <c r="B45" t="s">
        <v>187</v>
      </c>
      <c r="C45" s="294"/>
      <c r="D45" s="294"/>
      <c r="E45" s="251">
        <f t="shared" si="2"/>
        <v>0</v>
      </c>
    </row>
    <row r="46" spans="1:5">
      <c r="A46" s="490"/>
      <c r="B46" t="s">
        <v>187</v>
      </c>
      <c r="C46" s="294"/>
      <c r="D46" s="294"/>
      <c r="E46" s="279"/>
    </row>
    <row r="47" spans="1:5">
      <c r="A47" s="449" t="s">
        <v>401</v>
      </c>
      <c r="B47" t="s">
        <v>189</v>
      </c>
      <c r="C47" s="251">
        <f>SUM(C19:C46)</f>
        <v>12122319</v>
      </c>
      <c r="D47" s="251">
        <f>SUM(D19:D46)</f>
        <v>0</v>
      </c>
      <c r="E47" s="251">
        <f>SUM(E19:E46)</f>
        <v>12122635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3">C51-D51</f>
        <v>0</v>
      </c>
    </row>
    <row r="52" spans="1:5">
      <c r="A52" s="67" t="s">
        <v>457</v>
      </c>
      <c r="B52" s="8" t="s">
        <v>188</v>
      </c>
      <c r="C52" s="294"/>
      <c r="D52" s="294"/>
      <c r="E52" s="251">
        <f t="shared" si="3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3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3"/>
        <v>0</v>
      </c>
    </row>
    <row r="55" spans="1:5">
      <c r="A55" s="67" t="s">
        <v>448</v>
      </c>
      <c r="B55" s="8" t="s">
        <v>188</v>
      </c>
      <c r="C55" s="294"/>
      <c r="D55" s="294"/>
      <c r="E55" s="251">
        <f t="shared" si="3"/>
        <v>0</v>
      </c>
    </row>
    <row r="56" spans="1:5">
      <c r="A56" s="67" t="s">
        <v>460</v>
      </c>
      <c r="B56" s="8" t="s">
        <v>188</v>
      </c>
      <c r="C56" s="294">
        <v>2233343</v>
      </c>
      <c r="D56" s="294"/>
      <c r="E56" s="251">
        <f t="shared" si="3"/>
        <v>2233343</v>
      </c>
    </row>
    <row r="57" spans="1:5">
      <c r="A57" s="2" t="s">
        <v>456</v>
      </c>
      <c r="B57" s="8" t="s">
        <v>188</v>
      </c>
      <c r="C57" s="294"/>
      <c r="D57" s="294"/>
      <c r="E57" s="251">
        <f t="shared" si="3"/>
        <v>0</v>
      </c>
    </row>
    <row r="58" spans="1:5">
      <c r="A58" s="67" t="s">
        <v>459</v>
      </c>
      <c r="B58" s="8" t="s">
        <v>188</v>
      </c>
      <c r="C58" s="294"/>
      <c r="D58" s="294"/>
      <c r="E58" s="251">
        <f t="shared" si="3"/>
        <v>0</v>
      </c>
    </row>
    <row r="59" spans="1:5">
      <c r="A59" s="67"/>
      <c r="B59" s="8" t="s">
        <v>188</v>
      </c>
      <c r="C59" s="294"/>
      <c r="D59" s="294"/>
      <c r="E59" s="251">
        <f t="shared" si="3"/>
        <v>0</v>
      </c>
    </row>
    <row r="60" spans="1:5">
      <c r="B60" s="8" t="s">
        <v>188</v>
      </c>
      <c r="C60" s="294"/>
      <c r="D60" s="294"/>
      <c r="E60" s="251">
        <f t="shared" si="3"/>
        <v>0</v>
      </c>
    </row>
    <row r="61" spans="1:5">
      <c r="B61" s="8" t="s">
        <v>188</v>
      </c>
      <c r="C61" s="294"/>
      <c r="D61" s="294"/>
      <c r="E61" s="251">
        <f t="shared" si="3"/>
        <v>0</v>
      </c>
    </row>
    <row r="62" spans="1:5">
      <c r="B62" s="8" t="s">
        <v>188</v>
      </c>
      <c r="C62" s="294"/>
      <c r="D62" s="294"/>
      <c r="E62" s="251">
        <f t="shared" ref="E62:E72" si="4">C62-D62</f>
        <v>0</v>
      </c>
    </row>
    <row r="63" spans="1:5">
      <c r="B63" s="8" t="s">
        <v>188</v>
      </c>
      <c r="C63" s="294"/>
      <c r="D63" s="294"/>
      <c r="E63" s="251">
        <f t="shared" si="4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4"/>
        <v>0</v>
      </c>
    </row>
    <row r="65" spans="1:5">
      <c r="B65" s="8" t="s">
        <v>188</v>
      </c>
      <c r="C65" s="294"/>
      <c r="D65" s="294"/>
      <c r="E65" s="251">
        <f t="shared" si="4"/>
        <v>0</v>
      </c>
    </row>
    <row r="66" spans="1:5">
      <c r="A66" s="468" t="s">
        <v>391</v>
      </c>
      <c r="B66" s="8" t="s">
        <v>188</v>
      </c>
      <c r="C66" s="294"/>
      <c r="D66" s="294"/>
      <c r="E66" s="251">
        <f t="shared" si="4"/>
        <v>0</v>
      </c>
    </row>
    <row r="67" spans="1:5">
      <c r="A67" s="67"/>
      <c r="B67" s="8" t="s">
        <v>188</v>
      </c>
      <c r="C67" s="294"/>
      <c r="D67" s="294"/>
      <c r="E67" s="251">
        <f t="shared" si="4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4"/>
        <v>0</v>
      </c>
    </row>
    <row r="69" spans="1:5">
      <c r="A69" s="490"/>
      <c r="B69" s="8" t="s">
        <v>188</v>
      </c>
      <c r="C69" s="294"/>
      <c r="D69" s="294"/>
      <c r="E69" s="251">
        <f t="shared" si="4"/>
        <v>0</v>
      </c>
    </row>
    <row r="70" spans="1:5">
      <c r="A70" s="490"/>
      <c r="B70" s="8" t="s">
        <v>188</v>
      </c>
      <c r="C70" s="294"/>
      <c r="D70" s="294"/>
      <c r="E70" s="251">
        <f t="shared" si="4"/>
        <v>0</v>
      </c>
    </row>
    <row r="71" spans="1:5">
      <c r="A71" s="490"/>
      <c r="B71" s="8" t="s">
        <v>188</v>
      </c>
      <c r="C71" s="294"/>
      <c r="D71" s="294"/>
      <c r="E71" s="251">
        <f t="shared" si="4"/>
        <v>0</v>
      </c>
    </row>
    <row r="72" spans="1:5">
      <c r="A72" s="67"/>
      <c r="B72" s="8" t="s">
        <v>188</v>
      </c>
      <c r="C72" s="294"/>
      <c r="D72" s="294"/>
      <c r="E72" s="279">
        <f t="shared" si="4"/>
        <v>0</v>
      </c>
    </row>
    <row r="73" spans="1:5">
      <c r="A73" s="448" t="s">
        <v>400</v>
      </c>
      <c r="B73" s="8" t="s">
        <v>189</v>
      </c>
      <c r="C73" s="251">
        <f>SUM(C51:C72)</f>
        <v>2233343</v>
      </c>
      <c r="D73" s="251">
        <f>SUM(D51:D72)</f>
        <v>0</v>
      </c>
      <c r="E73" s="251">
        <f>SUM(E51:E72)</f>
        <v>2233343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 gridLines="1"/>
  <pageMargins left="0.23622047244094491" right="0.23622047244094491" top="1.24" bottom="0.35433070866141736" header="0.19685039370078741" footer="0.11811023622047245"/>
  <pageSetup scale="85"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zoomScale="60" zoomScaleNormal="100" workbookViewId="0">
      <selection activeCell="A100" sqref="A100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4.2851562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2003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0" t="s">
        <v>482</v>
      </c>
      <c r="B8" s="511"/>
      <c r="C8" s="511"/>
      <c r="D8" s="511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471</v>
      </c>
      <c r="B10" s="326"/>
      <c r="C10" s="375" t="s">
        <v>111</v>
      </c>
      <c r="D10" s="375"/>
      <c r="E10" s="375" t="s">
        <v>111</v>
      </c>
      <c r="F10" s="376" t="s">
        <v>483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473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474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4" t="s">
        <v>484</v>
      </c>
      <c r="B23" s="505"/>
      <c r="C23" s="505"/>
      <c r="D23" s="505"/>
      <c r="E23" s="505"/>
      <c r="F23" s="505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2" t="s">
        <v>502</v>
      </c>
      <c r="B26" s="513"/>
      <c r="C26" s="513"/>
      <c r="D26" s="513"/>
      <c r="E26" s="513"/>
      <c r="F26" s="513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483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2003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0.2412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0.125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0.36619999999999997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2.2499999999999998E-3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477</v>
      </c>
      <c r="B39" s="406" t="s">
        <v>473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478</v>
      </c>
      <c r="B40" s="407" t="s">
        <v>474</v>
      </c>
      <c r="C40" s="362">
        <v>10000000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6" t="s">
        <v>337</v>
      </c>
      <c r="B41" s="505"/>
      <c r="C41" s="505"/>
      <c r="D41" s="505"/>
      <c r="E41" s="505"/>
      <c r="F41" s="505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7"/>
      <c r="B42" s="507"/>
      <c r="C42" s="507"/>
      <c r="D42" s="507"/>
      <c r="E42" s="507"/>
      <c r="F42" s="507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503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483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2003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/>
      <c r="D50" s="351"/>
      <c r="E50" s="352"/>
      <c r="F50" s="352">
        <v>0.2412</v>
      </c>
      <c r="G50" s="194"/>
      <c r="H50" s="485"/>
      <c r="I50" s="485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0.125</v>
      </c>
      <c r="G51" s="194"/>
      <c r="H51" s="485"/>
      <c r="I51" s="485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/>
      <c r="D52" s="331"/>
      <c r="E52" s="332"/>
      <c r="F52" s="332">
        <f>SUM(F50:F51)</f>
        <v>0.36619999999999997</v>
      </c>
      <c r="G52" s="194"/>
      <c r="H52" s="485"/>
      <c r="I52" s="485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2.2499999999999998E-3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473</v>
      </c>
      <c r="C57" s="361">
        <v>4728562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474</v>
      </c>
      <c r="C58" s="362">
        <v>10000000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4" t="s">
        <v>355</v>
      </c>
      <c r="B59" s="508"/>
      <c r="C59" s="508"/>
      <c r="D59" s="508"/>
      <c r="E59" s="508"/>
      <c r="F59" s="508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09"/>
      <c r="B60" s="509"/>
      <c r="C60" s="509"/>
      <c r="D60" s="509"/>
      <c r="E60" s="509"/>
      <c r="F60" s="509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 gridLines="1"/>
  <pageMargins left="0.23622047244094491" right="0.23622047244094491" top="1.3" bottom="0.35433070866141736" header="0.19685039370078741" footer="0.11811023622047245"/>
  <pageSetup fitToHeight="0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view="pageBreakPreview" zoomScale="60" zoomScaleNormal="100" workbookViewId="0">
      <selection activeCell="A100" sqref="A100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462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2003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>
        <f>E22</f>
        <v>8127575</v>
      </c>
      <c r="H11" s="419"/>
      <c r="I11" s="396">
        <f>G22</f>
        <v>8284720.1186072081</v>
      </c>
      <c r="J11" s="390"/>
      <c r="K11" s="396">
        <f>I22</f>
        <v>2260300.0674444176</v>
      </c>
      <c r="L11" s="390"/>
      <c r="M11" s="396">
        <f>K22</f>
        <v>2260300.0674444176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>
        <v>60000000</v>
      </c>
      <c r="H12" s="95"/>
      <c r="I12" s="418"/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120000000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v>2156868</v>
      </c>
      <c r="H15" s="95"/>
      <c r="I15" s="395">
        <f>TAXCALC!E183</f>
        <v>-6024420.0511627905</v>
      </c>
      <c r="J15" s="391"/>
      <c r="K15" s="395"/>
      <c r="L15" s="391"/>
      <c r="M15" s="418"/>
      <c r="N15" s="391"/>
      <c r="O15" s="396">
        <f t="shared" si="0"/>
        <v>-3867552.0511627905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>
        <f>TAXCALC!E181</f>
        <v>-2412195.8813927951</v>
      </c>
      <c r="H17" s="95"/>
      <c r="I17" s="395"/>
      <c r="J17" s="391"/>
      <c r="K17" s="395"/>
      <c r="L17" s="391"/>
      <c r="M17" s="418"/>
      <c r="N17" s="391"/>
      <c r="O17" s="396">
        <f t="shared" si="0"/>
        <v>-2412195.8813927951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>
        <v>562257</v>
      </c>
      <c r="H19" s="95"/>
      <c r="I19" s="395"/>
      <c r="J19" s="391"/>
      <c r="K19" s="395"/>
      <c r="L19" s="391"/>
      <c r="M19" s="395"/>
      <c r="N19" s="391"/>
      <c r="O19" s="396">
        <f t="shared" si="0"/>
        <v>1310895</v>
      </c>
    </row>
    <row r="20" spans="1:15" ht="24.75" customHeight="1">
      <c r="A20" s="81" t="s">
        <v>472</v>
      </c>
      <c r="B20" s="66" t="s">
        <v>188</v>
      </c>
      <c r="C20" s="418">
        <v>0</v>
      </c>
      <c r="D20" s="391"/>
      <c r="E20" s="395">
        <v>-52330253</v>
      </c>
      <c r="F20" s="95"/>
      <c r="G20" s="395">
        <v>-60149784</v>
      </c>
      <c r="H20" s="95"/>
      <c r="I20" s="395"/>
      <c r="J20" s="391"/>
      <c r="K20" s="395"/>
      <c r="L20" s="391"/>
      <c r="M20" s="395"/>
      <c r="N20" s="391"/>
      <c r="O20" s="396">
        <f t="shared" si="0"/>
        <v>-112480037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>
        <f>SUM(G11:G20)</f>
        <v>8284720.1186072081</v>
      </c>
      <c r="H22" s="419"/>
      <c r="I22" s="397">
        <f>SUM(I11:I20)</f>
        <v>2260300.0674444176</v>
      </c>
      <c r="J22" s="390"/>
      <c r="K22" s="397">
        <f>SUM(K11:K20)</f>
        <v>2260300.0674444176</v>
      </c>
      <c r="L22" s="390"/>
      <c r="M22" s="397">
        <f>SUM(M11:M21)</f>
        <v>2260300.0674444176</v>
      </c>
      <c r="N22" s="390"/>
      <c r="O22" s="450">
        <f>SUM(O11:O20)</f>
        <v>2260300.0674444139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492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5" t="s">
        <v>412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420"/>
      <c r="Q33" s="420"/>
      <c r="R33" s="420"/>
      <c r="S33" s="420"/>
    </row>
    <row r="34" spans="1:19">
      <c r="A34" s="514" t="s">
        <v>413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420"/>
      <c r="Q34" s="420"/>
      <c r="R34" s="420"/>
      <c r="S34" s="420"/>
    </row>
    <row r="35" spans="1:19">
      <c r="A35" s="514" t="s">
        <v>434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420"/>
      <c r="Q35" s="420"/>
      <c r="R35" s="420"/>
      <c r="S35" s="420"/>
    </row>
    <row r="36" spans="1:19">
      <c r="A36" s="514" t="s">
        <v>414</v>
      </c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4" t="s">
        <v>463</v>
      </c>
      <c r="B74" s="514"/>
      <c r="C74" s="514"/>
      <c r="D74" s="514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 gridLines="1"/>
  <pageMargins left="0.23622047244094491" right="0.23622047244094491" top="1.02" bottom="0.28999999999999998" header="0.19685039370078741" footer="0.11811023622047245"/>
  <pageSetup scale="66" orientation="portrait" cellComments="asDisplayed" r:id="rId1"/>
  <headerFooter alignWithMargins="0">
    <oddHeader xml:space="preserve">&amp;R&amp;9Toronto Hydro-Electric System Limited
EB-2012-0064
Tab 5
Schedule E
Filed:  2012 May 10
Corrected:  2012 Oct 5
page &amp;P of &amp;N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TAXREC!Print_Area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2012-09-30T01:40:45Z</cp:lastPrinted>
  <dcterms:created xsi:type="dcterms:W3CDTF">2001-11-07T16:15:53Z</dcterms:created>
  <dcterms:modified xsi:type="dcterms:W3CDTF">2012-09-30T01:41:06Z</dcterms:modified>
</cp:coreProperties>
</file>