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-135" windowWidth="9645" windowHeight="11640" tabRatio="881" firstSheet="2" activeTab="8"/>
  </bookViews>
  <sheets>
    <sheet name="A1-T8-S1" sheetId="18" state="hidden" r:id="rId1"/>
    <sheet name="Summary" sheetId="12" state="hidden" r:id="rId2"/>
    <sheet name="Residential " sheetId="1" r:id="rId3"/>
    <sheet name="Multi Res" sheetId="21" r:id="rId4"/>
    <sheet name="GS &lt; 50 kWh" sheetId="2" r:id="rId5"/>
    <sheet name="GS &gt; 50 &lt; 1000" sheetId="3" r:id="rId6"/>
    <sheet name="GS &gt; 1000 &lt; 5000" sheetId="4" r:id="rId7"/>
    <sheet name="LU" sheetId="5" r:id="rId8"/>
    <sheet name="St Lights" sheetId="6" r:id="rId9"/>
    <sheet name="USL" sheetId="7" r:id="rId10"/>
    <sheet name="2012 - 2014 (With Dead Band)" sheetId="20" state="hidden" r:id="rId11"/>
    <sheet name="2012 Dist Rates" sheetId="8" state="hidden" r:id="rId12"/>
    <sheet name="2012 - 2014 SM" sheetId="15" state="hidden" r:id="rId13"/>
    <sheet name="2012 Transmission Rates" sheetId="9" state="hidden" r:id="rId14"/>
    <sheet name="2012 RARA" sheetId="10" state="hidden" r:id="rId15"/>
    <sheet name="2012 LRAM" sheetId="16" state="hidden" r:id="rId16"/>
    <sheet name="2012 GA Rate Rider" sheetId="17" state="hidden" r:id="rId17"/>
    <sheet name="Contact Voltage" sheetId="11" state="hidden" r:id="rId18"/>
    <sheet name="LPP Rate Riders" sheetId="13" state="hidden" r:id="rId19"/>
    <sheet name="Foregone Rev Rate Rider" sheetId="14" state="hidden" r:id="rId20"/>
    <sheet name="Green Energy Plan" sheetId="19" state="hidden" r:id="rId21"/>
  </sheets>
  <externalReferences>
    <externalReference r:id="rId22"/>
  </externalReferences>
  <definedNames>
    <definedName name="_xlnm.Print_Area" localSheetId="11">'2012 Dist Rates'!$A$1:$K$80</definedName>
    <definedName name="_xlnm.Print_Area" localSheetId="13">'2012 Transmission Rates'!$A$1:$I$62</definedName>
    <definedName name="_xlnm.Print_Area" localSheetId="17">'Contact Voltage'!$A$1:$N$26</definedName>
    <definedName name="_xlnm.Print_Area" localSheetId="5">'GS &gt; 50 &lt; 1000'!$A$1:$I$38</definedName>
    <definedName name="_xlnm.Print_Area" localSheetId="18">'LPP Rate Riders'!$A$1:$L$22</definedName>
  </definedNames>
  <calcPr calcId="145621"/>
</workbook>
</file>

<file path=xl/calcChain.xml><?xml version="1.0" encoding="utf-8"?>
<calcChain xmlns="http://schemas.openxmlformats.org/spreadsheetml/2006/main">
  <c r="F26" i="7" l="1"/>
  <c r="D22" i="21"/>
  <c r="D21" i="21"/>
  <c r="I21" i="21" s="1"/>
  <c r="D22" i="1"/>
  <c r="D21" i="1"/>
  <c r="E23" i="21"/>
  <c r="E22" i="21"/>
  <c r="G22" i="21" s="1"/>
  <c r="E20" i="21"/>
  <c r="E18" i="21"/>
  <c r="E15" i="21"/>
  <c r="B4" i="21"/>
  <c r="D4" i="21" s="1"/>
  <c r="F5" i="7"/>
  <c r="F4" i="7"/>
  <c r="F3" i="7"/>
  <c r="F4" i="6"/>
  <c r="F3" i="6"/>
  <c r="F4" i="5"/>
  <c r="F3" i="5"/>
  <c r="F4" i="4"/>
  <c r="F3" i="4"/>
  <c r="F4" i="3"/>
  <c r="F3" i="3"/>
  <c r="F4" i="2"/>
  <c r="F3" i="2"/>
  <c r="F4" i="21"/>
  <c r="F3" i="21"/>
  <c r="F4" i="1"/>
  <c r="F3" i="1"/>
  <c r="F27" i="7"/>
  <c r="F21" i="7"/>
  <c r="F20" i="7"/>
  <c r="F19" i="7"/>
  <c r="D19" i="7"/>
  <c r="I19" i="7" s="1"/>
  <c r="D20" i="7"/>
  <c r="I20" i="7" s="1"/>
  <c r="D21" i="7"/>
  <c r="I21" i="7" s="1"/>
  <c r="F16" i="6"/>
  <c r="F15" i="6"/>
  <c r="D16" i="6"/>
  <c r="I16" i="6" s="1"/>
  <c r="D15" i="6"/>
  <c r="I15" i="6" s="1"/>
  <c r="F18" i="5"/>
  <c r="G18" i="5" s="1"/>
  <c r="H18" i="5" s="1"/>
  <c r="F17" i="5"/>
  <c r="G17" i="5" s="1"/>
  <c r="H17" i="5" s="1"/>
  <c r="D18" i="5"/>
  <c r="I18" i="5" s="1"/>
  <c r="A18" i="5"/>
  <c r="A16" i="6" s="1"/>
  <c r="D17" i="5"/>
  <c r="I17" i="5" s="1"/>
  <c r="A17" i="5"/>
  <c r="A15" i="6" s="1"/>
  <c r="F18" i="3"/>
  <c r="G18" i="3" s="1"/>
  <c r="H18" i="3" s="1"/>
  <c r="F17" i="3"/>
  <c r="G17" i="3" s="1"/>
  <c r="H17" i="3" s="1"/>
  <c r="D18" i="3"/>
  <c r="I18" i="3" s="1"/>
  <c r="A18" i="3"/>
  <c r="D17" i="3"/>
  <c r="I17" i="3"/>
  <c r="A17" i="3"/>
  <c r="F18" i="4"/>
  <c r="G18" i="4" s="1"/>
  <c r="H18" i="4" s="1"/>
  <c r="F17" i="4"/>
  <c r="G17" i="4" s="1"/>
  <c r="H17" i="4" s="1"/>
  <c r="D18" i="4"/>
  <c r="I18" i="4" s="1"/>
  <c r="A18" i="4"/>
  <c r="D17" i="4"/>
  <c r="I17" i="4"/>
  <c r="A17" i="4"/>
  <c r="F18" i="2"/>
  <c r="G18" i="2" s="1"/>
  <c r="H18" i="2" s="1"/>
  <c r="F17" i="2"/>
  <c r="G17" i="2" s="1"/>
  <c r="H17" i="2" s="1"/>
  <c r="D18" i="2"/>
  <c r="I18" i="2" s="1"/>
  <c r="A18" i="2"/>
  <c r="D17" i="2"/>
  <c r="I17" i="2"/>
  <c r="A17" i="2"/>
  <c r="F18" i="21"/>
  <c r="G18" i="21" s="1"/>
  <c r="F17" i="21"/>
  <c r="G17" i="21" s="1"/>
  <c r="D18" i="21"/>
  <c r="I18" i="21" s="1"/>
  <c r="A18" i="21"/>
  <c r="D17" i="21"/>
  <c r="I17" i="21"/>
  <c r="A17" i="21"/>
  <c r="F18" i="1"/>
  <c r="G18" i="1" s="1"/>
  <c r="H18" i="1" s="1"/>
  <c r="F17" i="1"/>
  <c r="G17" i="1" s="1"/>
  <c r="H17" i="1" s="1"/>
  <c r="D17" i="1"/>
  <c r="I17" i="1"/>
  <c r="D18" i="1"/>
  <c r="I18" i="1"/>
  <c r="A18" i="1"/>
  <c r="A17" i="1"/>
  <c r="F25" i="7"/>
  <c r="D27" i="7"/>
  <c r="I27" i="7" s="1"/>
  <c r="D26" i="7"/>
  <c r="I26" i="7" s="1"/>
  <c r="D25" i="7"/>
  <c r="I25" i="7" s="1"/>
  <c r="A27" i="7"/>
  <c r="A25" i="7"/>
  <c r="F20" i="6"/>
  <c r="F19" i="6"/>
  <c r="D20" i="6"/>
  <c r="I20" i="6" s="1"/>
  <c r="D19" i="6"/>
  <c r="I19" i="6" s="1"/>
  <c r="A20" i="6"/>
  <c r="A19" i="6"/>
  <c r="F22" i="5"/>
  <c r="G22" i="5" s="1"/>
  <c r="H22" i="5" s="1"/>
  <c r="F21" i="5"/>
  <c r="G21" i="5" s="1"/>
  <c r="D22" i="5"/>
  <c r="I22" i="5" s="1"/>
  <c r="D21" i="5"/>
  <c r="I21" i="5" s="1"/>
  <c r="A22" i="5"/>
  <c r="A21" i="5"/>
  <c r="F22" i="4"/>
  <c r="G22" i="4" s="1"/>
  <c r="F21" i="4"/>
  <c r="G21" i="4" s="1"/>
  <c r="H21" i="4" s="1"/>
  <c r="D22" i="4"/>
  <c r="I22" i="4" s="1"/>
  <c r="D21" i="4"/>
  <c r="I21" i="4" s="1"/>
  <c r="A22" i="4"/>
  <c r="A21" i="4"/>
  <c r="F22" i="3"/>
  <c r="G22" i="3" s="1"/>
  <c r="F21" i="3"/>
  <c r="G21" i="3" s="1"/>
  <c r="D22" i="3"/>
  <c r="I22" i="3" s="1"/>
  <c r="D21" i="3"/>
  <c r="I21" i="3" s="1"/>
  <c r="A22" i="3"/>
  <c r="A21" i="3"/>
  <c r="D21" i="2"/>
  <c r="I21" i="2" s="1"/>
  <c r="D22" i="2"/>
  <c r="I22" i="2"/>
  <c r="F22" i="2"/>
  <c r="G22" i="2" s="1"/>
  <c r="H22" i="2" s="1"/>
  <c r="F21" i="2"/>
  <c r="G21" i="2"/>
  <c r="H21" i="2" s="1"/>
  <c r="A22" i="2"/>
  <c r="A21" i="2"/>
  <c r="I22" i="21"/>
  <c r="F22" i="21"/>
  <c r="H22" i="21"/>
  <c r="F21" i="21"/>
  <c r="G21" i="21"/>
  <c r="H21" i="21" s="1"/>
  <c r="A22" i="21"/>
  <c r="A21" i="21"/>
  <c r="I22" i="1"/>
  <c r="I21" i="1"/>
  <c r="F22" i="1"/>
  <c r="G22" i="1" s="1"/>
  <c r="H22" i="1" s="1"/>
  <c r="F21" i="1"/>
  <c r="G21" i="1"/>
  <c r="H21" i="1" s="1"/>
  <c r="A22" i="1"/>
  <c r="A21" i="1"/>
  <c r="G10" i="7"/>
  <c r="G11" i="7"/>
  <c r="D12" i="7"/>
  <c r="D13" i="7"/>
  <c r="D14" i="7"/>
  <c r="D7" i="7"/>
  <c r="D8" i="7"/>
  <c r="D9" i="7"/>
  <c r="D10" i="7"/>
  <c r="D12" i="6"/>
  <c r="D13" i="6"/>
  <c r="F5" i="5"/>
  <c r="B12" i="5"/>
  <c r="F11" i="5"/>
  <c r="G11" i="5"/>
  <c r="F11" i="4"/>
  <c r="G11" i="4"/>
  <c r="F5" i="4"/>
  <c r="G11" i="3"/>
  <c r="B12" i="3"/>
  <c r="F5" i="3"/>
  <c r="F5" i="2"/>
  <c r="F5" i="21"/>
  <c r="F5" i="1"/>
  <c r="C10" i="4"/>
  <c r="D10" i="4" s="1"/>
  <c r="C10" i="5"/>
  <c r="H22" i="4"/>
  <c r="H22" i="3"/>
  <c r="H17" i="21"/>
  <c r="F14" i="6"/>
  <c r="G7" i="7"/>
  <c r="G6" i="7"/>
  <c r="D28" i="7"/>
  <c r="D24" i="7"/>
  <c r="D23" i="7"/>
  <c r="I23" i="7" s="1"/>
  <c r="D22" i="7"/>
  <c r="D18" i="7"/>
  <c r="I18" i="7" s="1"/>
  <c r="D17" i="7"/>
  <c r="D16" i="7"/>
  <c r="H16" i="7" s="1"/>
  <c r="D15" i="7"/>
  <c r="G8" i="6"/>
  <c r="G6" i="6"/>
  <c r="G5" i="6"/>
  <c r="D21" i="6"/>
  <c r="D18" i="6"/>
  <c r="D17" i="6"/>
  <c r="D14" i="6"/>
  <c r="I14" i="6" s="1"/>
  <c r="G8" i="5"/>
  <c r="G7" i="5"/>
  <c r="G6" i="5"/>
  <c r="D23" i="5"/>
  <c r="I23" i="5" s="1"/>
  <c r="D20" i="5"/>
  <c r="D19" i="5"/>
  <c r="D16" i="5"/>
  <c r="D15" i="5"/>
  <c r="I15" i="5" s="1"/>
  <c r="D14" i="5"/>
  <c r="G8" i="4"/>
  <c r="G7" i="4"/>
  <c r="G6" i="4"/>
  <c r="D23" i="4"/>
  <c r="D20" i="4"/>
  <c r="D19" i="4"/>
  <c r="D16" i="4"/>
  <c r="I16" i="4" s="1"/>
  <c r="D15" i="4"/>
  <c r="D14" i="4"/>
  <c r="D23" i="3"/>
  <c r="D20" i="3"/>
  <c r="I20" i="3" s="1"/>
  <c r="D19" i="3"/>
  <c r="D16" i="3"/>
  <c r="D15" i="3"/>
  <c r="D14" i="3"/>
  <c r="I14" i="3" s="1"/>
  <c r="G8" i="3"/>
  <c r="G7" i="3"/>
  <c r="G6" i="3"/>
  <c r="D12" i="2"/>
  <c r="I12" i="2" s="1"/>
  <c r="D23" i="2"/>
  <c r="D20" i="2"/>
  <c r="D19" i="2"/>
  <c r="D16" i="2"/>
  <c r="I16" i="2" s="1"/>
  <c r="D15" i="2"/>
  <c r="D14" i="2"/>
  <c r="G13" i="2"/>
  <c r="G12" i="2"/>
  <c r="G7" i="2"/>
  <c r="G6" i="2"/>
  <c r="D34" i="21"/>
  <c r="D31" i="21"/>
  <c r="D23" i="21"/>
  <c r="D20" i="21"/>
  <c r="D19" i="21"/>
  <c r="D16" i="21"/>
  <c r="I16" i="21" s="1"/>
  <c r="D15" i="21"/>
  <c r="D14" i="21"/>
  <c r="D12" i="21"/>
  <c r="D10" i="21"/>
  <c r="P10" i="21" s="1"/>
  <c r="D9" i="21"/>
  <c r="D8" i="21"/>
  <c r="D7" i="21"/>
  <c r="D6" i="21"/>
  <c r="I6" i="21" s="1"/>
  <c r="D5" i="21"/>
  <c r="D3" i="21"/>
  <c r="G7" i="21"/>
  <c r="G6" i="21"/>
  <c r="H6" i="21" s="1"/>
  <c r="D23" i="1"/>
  <c r="D20" i="1"/>
  <c r="D19" i="1"/>
  <c r="D16" i="1"/>
  <c r="I16" i="1" s="1"/>
  <c r="D15" i="1"/>
  <c r="D14" i="1"/>
  <c r="G7" i="1"/>
  <c r="G6" i="1"/>
  <c r="F18" i="7"/>
  <c r="I16" i="5"/>
  <c r="F16" i="5"/>
  <c r="E16" i="5"/>
  <c r="G16" i="5" s="1"/>
  <c r="H16" i="5" s="1"/>
  <c r="F16" i="4"/>
  <c r="G16" i="4" s="1"/>
  <c r="E16" i="4"/>
  <c r="I16" i="3"/>
  <c r="F16" i="3"/>
  <c r="E16" i="3"/>
  <c r="G16" i="3" s="1"/>
  <c r="H16" i="3" s="1"/>
  <c r="F16" i="2"/>
  <c r="G16" i="2" s="1"/>
  <c r="F16" i="21"/>
  <c r="G16" i="21" s="1"/>
  <c r="H16" i="21" s="1"/>
  <c r="E16" i="21"/>
  <c r="F16" i="1"/>
  <c r="G16" i="1"/>
  <c r="F20" i="1"/>
  <c r="A21" i="6"/>
  <c r="A18" i="6"/>
  <c r="A17" i="6"/>
  <c r="A23" i="5"/>
  <c r="A20" i="5"/>
  <c r="A19" i="5"/>
  <c r="A23" i="4"/>
  <c r="A20" i="4"/>
  <c r="A19" i="4"/>
  <c r="A23" i="3"/>
  <c r="A20" i="3"/>
  <c r="A19" i="3"/>
  <c r="A23" i="2"/>
  <c r="A20" i="2"/>
  <c r="A19" i="2"/>
  <c r="A23" i="21"/>
  <c r="A20" i="21"/>
  <c r="A19" i="21"/>
  <c r="F23" i="7"/>
  <c r="E23" i="7"/>
  <c r="E26" i="7"/>
  <c r="G26" i="7" s="1"/>
  <c r="H26" i="7" s="1"/>
  <c r="F16" i="7"/>
  <c r="E16" i="7"/>
  <c r="E20" i="7"/>
  <c r="G20" i="7" s="1"/>
  <c r="H20" i="7" s="1"/>
  <c r="I28" i="7"/>
  <c r="I24" i="7"/>
  <c r="I22" i="7"/>
  <c r="I17" i="7"/>
  <c r="I15" i="7"/>
  <c r="F31" i="7"/>
  <c r="F30" i="7"/>
  <c r="F28" i="7"/>
  <c r="F24" i="7"/>
  <c r="F22" i="7"/>
  <c r="F17" i="7"/>
  <c r="F15" i="7"/>
  <c r="G15" i="7" s="1"/>
  <c r="H15" i="7" s="1"/>
  <c r="E15" i="7"/>
  <c r="A28" i="7"/>
  <c r="A24" i="7"/>
  <c r="A22" i="7"/>
  <c r="A17" i="7"/>
  <c r="I21" i="6"/>
  <c r="I18" i="6"/>
  <c r="I17" i="6"/>
  <c r="I13" i="6"/>
  <c r="I12" i="6"/>
  <c r="F24" i="6"/>
  <c r="F23" i="6"/>
  <c r="F21" i="6"/>
  <c r="F18" i="6"/>
  <c r="F17" i="6"/>
  <c r="F13" i="6"/>
  <c r="F12" i="6"/>
  <c r="I20" i="5"/>
  <c r="I19" i="5"/>
  <c r="I14" i="5"/>
  <c r="F26" i="5"/>
  <c r="F25" i="5"/>
  <c r="F23" i="5"/>
  <c r="G23" i="5"/>
  <c r="F20" i="5"/>
  <c r="G20" i="5" s="1"/>
  <c r="H20" i="5" s="1"/>
  <c r="F19" i="5"/>
  <c r="G19" i="5"/>
  <c r="H19" i="5" s="1"/>
  <c r="F15" i="5"/>
  <c r="G15" i="5" s="1"/>
  <c r="H15" i="5" s="1"/>
  <c r="F14" i="5"/>
  <c r="G14" i="5"/>
  <c r="H14" i="5" s="1"/>
  <c r="E5" i="5"/>
  <c r="I14" i="4"/>
  <c r="I15" i="4"/>
  <c r="I19" i="4"/>
  <c r="I20" i="4"/>
  <c r="I23" i="4"/>
  <c r="G13" i="4"/>
  <c r="G12" i="4"/>
  <c r="F26" i="4"/>
  <c r="F25" i="4"/>
  <c r="F23" i="4"/>
  <c r="G23" i="4" s="1"/>
  <c r="H23" i="4" s="1"/>
  <c r="F20" i="4"/>
  <c r="G20" i="4"/>
  <c r="H20" i="4" s="1"/>
  <c r="F19" i="4"/>
  <c r="G19" i="4" s="1"/>
  <c r="H19" i="4" s="1"/>
  <c r="F15" i="4"/>
  <c r="G15" i="4"/>
  <c r="H15" i="4" s="1"/>
  <c r="F14" i="4"/>
  <c r="G14" i="4" s="1"/>
  <c r="H14" i="4"/>
  <c r="E5" i="4"/>
  <c r="G5" i="4"/>
  <c r="I15" i="3"/>
  <c r="I19" i="3"/>
  <c r="I23" i="3"/>
  <c r="F26" i="3"/>
  <c r="F25" i="3"/>
  <c r="F23" i="3"/>
  <c r="G23" i="3" s="1"/>
  <c r="H23" i="3" s="1"/>
  <c r="F20" i="3"/>
  <c r="G20" i="3"/>
  <c r="F19" i="3"/>
  <c r="G19" i="3" s="1"/>
  <c r="H19" i="3" s="1"/>
  <c r="F15" i="3"/>
  <c r="G15" i="3"/>
  <c r="H15" i="3" s="1"/>
  <c r="F14" i="3"/>
  <c r="G14" i="3" s="1"/>
  <c r="H14" i="3"/>
  <c r="A23" i="1"/>
  <c r="A20" i="1"/>
  <c r="A19" i="1"/>
  <c r="I14" i="2"/>
  <c r="I15" i="2"/>
  <c r="I19" i="2"/>
  <c r="I20" i="2"/>
  <c r="I23" i="2"/>
  <c r="F26" i="2"/>
  <c r="F25" i="2"/>
  <c r="F23" i="2"/>
  <c r="G23" i="2"/>
  <c r="H23" i="2" s="1"/>
  <c r="F20" i="2"/>
  <c r="G20" i="2" s="1"/>
  <c r="H20" i="2" s="1"/>
  <c r="F19" i="2"/>
  <c r="G19" i="2"/>
  <c r="H19" i="2" s="1"/>
  <c r="F15" i="2"/>
  <c r="G15" i="2" s="1"/>
  <c r="H15" i="2" s="1"/>
  <c r="F14" i="2"/>
  <c r="G14" i="2"/>
  <c r="H14" i="2" s="1"/>
  <c r="F26" i="21"/>
  <c r="M26" i="21" s="1"/>
  <c r="F25" i="21"/>
  <c r="F23" i="21"/>
  <c r="G23" i="21" s="1"/>
  <c r="H23" i="21" s="1"/>
  <c r="F20" i="21"/>
  <c r="F19" i="21"/>
  <c r="G19" i="21" s="1"/>
  <c r="H19" i="21" s="1"/>
  <c r="F15" i="21"/>
  <c r="F14" i="21"/>
  <c r="G14" i="21" s="1"/>
  <c r="H14" i="21" s="1"/>
  <c r="G16" i="7"/>
  <c r="G23" i="7"/>
  <c r="E22" i="7"/>
  <c r="E25" i="7"/>
  <c r="G25" i="7" s="1"/>
  <c r="H25" i="7"/>
  <c r="E19" i="7"/>
  <c r="G19" i="7"/>
  <c r="H19" i="7" s="1"/>
  <c r="G22" i="7"/>
  <c r="H22" i="7" s="1"/>
  <c r="B38" i="21"/>
  <c r="B32" i="21" s="1"/>
  <c r="D32" i="21" s="1"/>
  <c r="I32" i="21" s="1"/>
  <c r="F34" i="21"/>
  <c r="M34" i="21"/>
  <c r="E34" i="21"/>
  <c r="F33" i="21"/>
  <c r="M33" i="21" s="1"/>
  <c r="M32" i="21"/>
  <c r="F31" i="21"/>
  <c r="M31" i="21" s="1"/>
  <c r="E31" i="21"/>
  <c r="L31" i="21" s="1"/>
  <c r="N31" i="21" s="1"/>
  <c r="O31" i="21" s="1"/>
  <c r="F30" i="21"/>
  <c r="M30" i="21"/>
  <c r="B30" i="21"/>
  <c r="F29" i="21"/>
  <c r="B29" i="21"/>
  <c r="F28" i="21"/>
  <c r="M28" i="21"/>
  <c r="L27" i="21"/>
  <c r="B26" i="21"/>
  <c r="M25" i="21"/>
  <c r="B25" i="21"/>
  <c r="L24" i="21"/>
  <c r="I23" i="21"/>
  <c r="I20" i="21"/>
  <c r="G20" i="21"/>
  <c r="H20" i="21" s="1"/>
  <c r="I19" i="21"/>
  <c r="I15" i="21"/>
  <c r="G15" i="21"/>
  <c r="H15" i="21" s="1"/>
  <c r="I14" i="21"/>
  <c r="M13" i="21"/>
  <c r="G13" i="21"/>
  <c r="M12" i="21"/>
  <c r="N12" i="21"/>
  <c r="O12" i="21" s="1"/>
  <c r="G12" i="21"/>
  <c r="H12" i="21" s="1"/>
  <c r="L11" i="21"/>
  <c r="M10" i="21"/>
  <c r="L10" i="21"/>
  <c r="N10" i="21" s="1"/>
  <c r="O10" i="21" s="1"/>
  <c r="G10" i="21"/>
  <c r="M9" i="21"/>
  <c r="L9" i="21"/>
  <c r="G9" i="21"/>
  <c r="B13" i="21"/>
  <c r="D13" i="21" s="1"/>
  <c r="P13" i="21" s="1"/>
  <c r="M8" i="21"/>
  <c r="L8" i="21"/>
  <c r="G8" i="21"/>
  <c r="H8" i="21" s="1"/>
  <c r="P8" i="21"/>
  <c r="M7" i="21"/>
  <c r="L7" i="21"/>
  <c r="M6" i="21"/>
  <c r="L6" i="21"/>
  <c r="N6" i="21" s="1"/>
  <c r="O6" i="21"/>
  <c r="M5" i="21"/>
  <c r="L5" i="21"/>
  <c r="G5" i="21"/>
  <c r="H5" i="21" s="1"/>
  <c r="I5" i="21" s="1"/>
  <c r="M4" i="21"/>
  <c r="E4" i="21"/>
  <c r="L3" i="21"/>
  <c r="M3" i="21"/>
  <c r="N3" i="21" s="1"/>
  <c r="I23" i="1"/>
  <c r="F23" i="1"/>
  <c r="G23" i="1" s="1"/>
  <c r="H23" i="1" s="1"/>
  <c r="I14" i="1"/>
  <c r="I15" i="1"/>
  <c r="I19" i="1"/>
  <c r="I20" i="1"/>
  <c r="G13" i="1"/>
  <c r="F15" i="1"/>
  <c r="G15" i="1" s="1"/>
  <c r="H15" i="1" s="1"/>
  <c r="F14" i="1"/>
  <c r="G14" i="1"/>
  <c r="H14" i="1" s="1"/>
  <c r="F19" i="1"/>
  <c r="G19" i="1" s="1"/>
  <c r="H19" i="1" s="1"/>
  <c r="G20" i="1"/>
  <c r="H20" i="1"/>
  <c r="F26" i="1"/>
  <c r="F25" i="1"/>
  <c r="G3" i="5"/>
  <c r="G5" i="5"/>
  <c r="G9" i="5"/>
  <c r="F10" i="5"/>
  <c r="G10" i="5" s="1"/>
  <c r="G12" i="5"/>
  <c r="H12" i="5" s="1"/>
  <c r="G13" i="5"/>
  <c r="F28" i="5"/>
  <c r="F29" i="5"/>
  <c r="F30" i="5"/>
  <c r="E31" i="5"/>
  <c r="F31" i="5"/>
  <c r="G31" i="5" s="1"/>
  <c r="E33" i="5"/>
  <c r="G33" i="5" s="1"/>
  <c r="F33" i="5"/>
  <c r="F34" i="5"/>
  <c r="N8" i="21"/>
  <c r="O8" i="21" s="1"/>
  <c r="N9" i="21"/>
  <c r="O9" i="21" s="1"/>
  <c r="E29" i="21"/>
  <c r="D29" i="21"/>
  <c r="B33" i="21"/>
  <c r="E30" i="21"/>
  <c r="L30" i="21" s="1"/>
  <c r="N30" i="21" s="1"/>
  <c r="O30" i="21" s="1"/>
  <c r="D30" i="21"/>
  <c r="E25" i="21"/>
  <c r="L25" i="21" s="1"/>
  <c r="N25" i="21" s="1"/>
  <c r="O25" i="21" s="1"/>
  <c r="P25" i="21" s="1"/>
  <c r="G25" i="21"/>
  <c r="D25" i="21"/>
  <c r="N7" i="21"/>
  <c r="O7" i="21"/>
  <c r="P7" i="21"/>
  <c r="N5" i="21"/>
  <c r="O5" i="21" s="1"/>
  <c r="P5" i="21"/>
  <c r="H7" i="21"/>
  <c r="I7" i="21"/>
  <c r="P9" i="21"/>
  <c r="I13" i="21"/>
  <c r="L29" i="21"/>
  <c r="G34" i="21"/>
  <c r="L34" i="21"/>
  <c r="N34" i="21" s="1"/>
  <c r="O34" i="21" s="1"/>
  <c r="P30" i="21"/>
  <c r="G3" i="21"/>
  <c r="I8" i="21"/>
  <c r="I12" i="21"/>
  <c r="P12" i="21"/>
  <c r="L13" i="21"/>
  <c r="N13" i="21" s="1"/>
  <c r="O13" i="21"/>
  <c r="H9" i="21"/>
  <c r="I9" i="21"/>
  <c r="G9" i="7"/>
  <c r="G12" i="7"/>
  <c r="G13" i="7"/>
  <c r="G14" i="7"/>
  <c r="H14" i="7" s="1"/>
  <c r="F8" i="7"/>
  <c r="G8" i="7"/>
  <c r="B35" i="6"/>
  <c r="G10" i="6"/>
  <c r="H10" i="6" s="1"/>
  <c r="G11" i="6"/>
  <c r="G12" i="3"/>
  <c r="G13" i="3"/>
  <c r="H12" i="2"/>
  <c r="G8" i="2"/>
  <c r="N12" i="2"/>
  <c r="M8" i="2"/>
  <c r="N8" i="2" s="1"/>
  <c r="O8" i="2" s="1"/>
  <c r="L8" i="2"/>
  <c r="L7" i="2"/>
  <c r="M7" i="2"/>
  <c r="M6" i="2"/>
  <c r="M5" i="2"/>
  <c r="G8" i="1"/>
  <c r="G9" i="1"/>
  <c r="G12" i="1"/>
  <c r="M7" i="1"/>
  <c r="I13" i="7"/>
  <c r="B11" i="7"/>
  <c r="D6" i="6"/>
  <c r="I6" i="6" s="1"/>
  <c r="D8" i="6"/>
  <c r="D10" i="6"/>
  <c r="I10" i="6"/>
  <c r="D9" i="5"/>
  <c r="D10" i="5"/>
  <c r="D12" i="5"/>
  <c r="I12" i="5"/>
  <c r="B13" i="5"/>
  <c r="D13" i="5"/>
  <c r="H13" i="5" s="1"/>
  <c r="H25" i="21"/>
  <c r="I25" i="21" s="1"/>
  <c r="D33" i="21"/>
  <c r="E33" i="21"/>
  <c r="H12" i="7"/>
  <c r="I12" i="7"/>
  <c r="I14" i="7"/>
  <c r="P34" i="21"/>
  <c r="H3" i="21"/>
  <c r="H34" i="21"/>
  <c r="I34" i="21"/>
  <c r="P32" i="21"/>
  <c r="O3" i="21"/>
  <c r="H13" i="7"/>
  <c r="D9" i="4"/>
  <c r="D12" i="4"/>
  <c r="H12" i="4"/>
  <c r="I12" i="4"/>
  <c r="D13" i="4"/>
  <c r="H13" i="4"/>
  <c r="I13" i="4"/>
  <c r="B13" i="3"/>
  <c r="D13" i="3" s="1"/>
  <c r="H13" i="3" s="1"/>
  <c r="D10" i="3"/>
  <c r="P10" i="3" s="1"/>
  <c r="D12" i="3"/>
  <c r="H12" i="3"/>
  <c r="I12" i="3"/>
  <c r="D8" i="2"/>
  <c r="P8" i="2" s="1"/>
  <c r="D9" i="2"/>
  <c r="D10" i="2"/>
  <c r="B13" i="2"/>
  <c r="D13" i="2" s="1"/>
  <c r="I13" i="2" s="1"/>
  <c r="D12" i="1"/>
  <c r="I12" i="1" s="1"/>
  <c r="D10" i="1"/>
  <c r="D8" i="1"/>
  <c r="D9" i="1"/>
  <c r="I9" i="1" s="1"/>
  <c r="B13" i="1"/>
  <c r="D13" i="1" s="1"/>
  <c r="G33" i="21"/>
  <c r="H33" i="21" s="1"/>
  <c r="I33" i="21" s="1"/>
  <c r="L33" i="21"/>
  <c r="N33" i="21" s="1"/>
  <c r="O33" i="21" s="1"/>
  <c r="P33" i="21" s="1"/>
  <c r="H13" i="2"/>
  <c r="P3" i="21"/>
  <c r="I3" i="21"/>
  <c r="H12" i="1"/>
  <c r="D9" i="3"/>
  <c r="P13" i="7"/>
  <c r="P8" i="7"/>
  <c r="I8" i="7"/>
  <c r="I10" i="5"/>
  <c r="P10" i="5"/>
  <c r="P10" i="4"/>
  <c r="I10" i="4"/>
  <c r="P8" i="1"/>
  <c r="I8" i="1"/>
  <c r="M14" i="7"/>
  <c r="M13" i="7"/>
  <c r="N13" i="7"/>
  <c r="O13" i="7" s="1"/>
  <c r="M12" i="7"/>
  <c r="M10" i="6"/>
  <c r="M11" i="6"/>
  <c r="M13" i="5"/>
  <c r="M12" i="5"/>
  <c r="M13" i="4"/>
  <c r="M12" i="4"/>
  <c r="M13" i="3"/>
  <c r="M12" i="3"/>
  <c r="M13" i="1"/>
  <c r="M12" i="1"/>
  <c r="L11" i="7"/>
  <c r="L9" i="6"/>
  <c r="L11" i="5"/>
  <c r="L11" i="4"/>
  <c r="N11" i="4" s="1"/>
  <c r="L11" i="3"/>
  <c r="N11" i="3" s="1"/>
  <c r="L11" i="2"/>
  <c r="L11" i="1"/>
  <c r="M16" i="13"/>
  <c r="K9" i="13"/>
  <c r="J9" i="13"/>
  <c r="I9" i="13"/>
  <c r="H9" i="13"/>
  <c r="G9" i="13"/>
  <c r="L9" i="13" s="1"/>
  <c r="F9" i="13"/>
  <c r="E9" i="13"/>
  <c r="K7" i="13"/>
  <c r="L7" i="13" s="1"/>
  <c r="J7" i="13"/>
  <c r="K6" i="13"/>
  <c r="I6" i="13"/>
  <c r="H6" i="13"/>
  <c r="G6" i="13"/>
  <c r="F6" i="13"/>
  <c r="E6" i="13"/>
  <c r="L6" i="13"/>
  <c r="M11" i="3"/>
  <c r="G11" i="2"/>
  <c r="M11" i="5"/>
  <c r="N11" i="5" s="1"/>
  <c r="M11" i="2"/>
  <c r="N11" i="2" s="1"/>
  <c r="M11" i="4"/>
  <c r="M11" i="7"/>
  <c r="N11" i="7" s="1"/>
  <c r="M9" i="6"/>
  <c r="N9" i="6" s="1"/>
  <c r="G9" i="6"/>
  <c r="G11" i="1"/>
  <c r="F10" i="4"/>
  <c r="G10" i="1"/>
  <c r="H10" i="1" s="1"/>
  <c r="M11" i="21"/>
  <c r="N11" i="21" s="1"/>
  <c r="G11" i="21"/>
  <c r="M11" i="1"/>
  <c r="N11" i="1"/>
  <c r="N13" i="2"/>
  <c r="O13" i="2" s="1"/>
  <c r="P13" i="2"/>
  <c r="F34" i="2"/>
  <c r="F33" i="2"/>
  <c r="F34" i="1"/>
  <c r="F33" i="1"/>
  <c r="M34" i="2"/>
  <c r="M30" i="6"/>
  <c r="M25" i="6"/>
  <c r="L25" i="6"/>
  <c r="M37" i="7"/>
  <c r="L32" i="7"/>
  <c r="L29" i="7"/>
  <c r="M10" i="7"/>
  <c r="L10" i="7"/>
  <c r="N10" i="7" s="1"/>
  <c r="L9" i="7"/>
  <c r="L14" i="7" s="1"/>
  <c r="N14" i="7" s="1"/>
  <c r="O14" i="7" s="1"/>
  <c r="P14" i="7"/>
  <c r="M8" i="7"/>
  <c r="L8" i="7"/>
  <c r="M6" i="7"/>
  <c r="L6" i="7"/>
  <c r="L4" i="7"/>
  <c r="L3" i="7"/>
  <c r="M8" i="6"/>
  <c r="L8" i="6"/>
  <c r="N8" i="6" s="1"/>
  <c r="O8" i="6" s="1"/>
  <c r="M32" i="5"/>
  <c r="L27" i="5"/>
  <c r="M10" i="5"/>
  <c r="N10" i="5" s="1"/>
  <c r="O10" i="5" s="1"/>
  <c r="L10" i="5"/>
  <c r="L9" i="5"/>
  <c r="L13" i="5" s="1"/>
  <c r="N13" i="5" s="1"/>
  <c r="O13" i="5" s="1"/>
  <c r="P13" i="5"/>
  <c r="L8" i="5"/>
  <c r="L7" i="5"/>
  <c r="M6" i="5"/>
  <c r="N6" i="5" s="1"/>
  <c r="O6" i="5" s="1"/>
  <c r="L6" i="5"/>
  <c r="L5" i="5"/>
  <c r="L3" i="5"/>
  <c r="M32" i="4"/>
  <c r="L27" i="4"/>
  <c r="L24" i="4"/>
  <c r="M10" i="4"/>
  <c r="L10" i="4"/>
  <c r="N10" i="4" s="1"/>
  <c r="O10" i="4" s="1"/>
  <c r="L9" i="4"/>
  <c r="L13" i="4" s="1"/>
  <c r="N13" i="4" s="1"/>
  <c r="O13" i="4" s="1"/>
  <c r="P13" i="4"/>
  <c r="L8" i="4"/>
  <c r="L7" i="4"/>
  <c r="M6" i="4"/>
  <c r="N6" i="4" s="1"/>
  <c r="L6" i="4"/>
  <c r="L5" i="4"/>
  <c r="L3" i="4"/>
  <c r="M32" i="3"/>
  <c r="L27" i="3"/>
  <c r="L24" i="3"/>
  <c r="M10" i="3"/>
  <c r="L10" i="3"/>
  <c r="L9" i="3"/>
  <c r="L13" i="3" s="1"/>
  <c r="N13" i="3" s="1"/>
  <c r="O13" i="3" s="1"/>
  <c r="P13" i="3"/>
  <c r="L8" i="3"/>
  <c r="L7" i="3"/>
  <c r="N7" i="3" s="1"/>
  <c r="M6" i="3"/>
  <c r="L6" i="3"/>
  <c r="L5" i="3"/>
  <c r="L3" i="3"/>
  <c r="M33" i="2"/>
  <c r="M32" i="2"/>
  <c r="L27" i="2"/>
  <c r="L24" i="2"/>
  <c r="M10" i="2"/>
  <c r="N10" i="2" s="1"/>
  <c r="O10" i="2" s="1"/>
  <c r="L10" i="2"/>
  <c r="L6" i="2"/>
  <c r="N6" i="2" s="1"/>
  <c r="L5" i="2"/>
  <c r="L3" i="2"/>
  <c r="M34" i="1"/>
  <c r="M33" i="1"/>
  <c r="M32" i="1"/>
  <c r="L27" i="1"/>
  <c r="L24" i="1"/>
  <c r="M10" i="1"/>
  <c r="L10" i="1"/>
  <c r="L9" i="1"/>
  <c r="L13" i="1" s="1"/>
  <c r="N13" i="1" s="1"/>
  <c r="M8" i="1"/>
  <c r="L8" i="1"/>
  <c r="M6" i="1"/>
  <c r="L6" i="1"/>
  <c r="N6" i="1" s="1"/>
  <c r="M5" i="1"/>
  <c r="N5" i="1" s="1"/>
  <c r="L5" i="1"/>
  <c r="L3" i="1"/>
  <c r="N6" i="7"/>
  <c r="N8" i="7"/>
  <c r="O8" i="7"/>
  <c r="N10" i="1"/>
  <c r="O10" i="1" s="1"/>
  <c r="P10" i="1"/>
  <c r="N8" i="1"/>
  <c r="O8" i="1" s="1"/>
  <c r="N6" i="3"/>
  <c r="N10" i="3"/>
  <c r="O10" i="3" s="1"/>
  <c r="O10" i="7"/>
  <c r="P10" i="7"/>
  <c r="P8" i="6"/>
  <c r="P10" i="2"/>
  <c r="M9" i="7"/>
  <c r="P9" i="7"/>
  <c r="M7" i="6"/>
  <c r="M9" i="5"/>
  <c r="N9" i="5"/>
  <c r="D8" i="4"/>
  <c r="M9" i="3"/>
  <c r="N9" i="3"/>
  <c r="N9" i="2"/>
  <c r="O9" i="2" s="1"/>
  <c r="P9" i="2"/>
  <c r="O9" i="5"/>
  <c r="P9" i="5"/>
  <c r="O9" i="3"/>
  <c r="P9" i="3"/>
  <c r="G9" i="4"/>
  <c r="H9" i="4" s="1"/>
  <c r="M9" i="4"/>
  <c r="N9" i="4" s="1"/>
  <c r="O9" i="4" s="1"/>
  <c r="G9" i="3"/>
  <c r="H9" i="7"/>
  <c r="I9" i="7"/>
  <c r="G9" i="2"/>
  <c r="H9" i="2"/>
  <c r="I9" i="2"/>
  <c r="H9" i="3"/>
  <c r="I9" i="3"/>
  <c r="I9" i="4"/>
  <c r="P9" i="4"/>
  <c r="H9" i="5"/>
  <c r="I9" i="5"/>
  <c r="M9" i="1"/>
  <c r="P9" i="1"/>
  <c r="H9" i="1"/>
  <c r="D8" i="5"/>
  <c r="D8" i="3"/>
  <c r="P8" i="3" s="1"/>
  <c r="G10" i="3"/>
  <c r="H10" i="3" s="1"/>
  <c r="H8" i="1"/>
  <c r="I10" i="1"/>
  <c r="H8" i="2"/>
  <c r="G10" i="2"/>
  <c r="H10" i="2"/>
  <c r="I10" i="2"/>
  <c r="D6" i="5"/>
  <c r="M31" i="7"/>
  <c r="M30" i="7"/>
  <c r="M23" i="6"/>
  <c r="M26" i="5"/>
  <c r="M25" i="5"/>
  <c r="M26" i="4"/>
  <c r="M25" i="4"/>
  <c r="M26" i="3"/>
  <c r="M25" i="3"/>
  <c r="M26" i="2"/>
  <c r="M25" i="2"/>
  <c r="M26" i="1"/>
  <c r="M25" i="1"/>
  <c r="D37" i="7"/>
  <c r="I37" i="7" s="1"/>
  <c r="P6" i="5"/>
  <c r="I6" i="5"/>
  <c r="P37" i="7"/>
  <c r="M24" i="6"/>
  <c r="G37" i="7"/>
  <c r="L37" i="7"/>
  <c r="N37" i="7" s="1"/>
  <c r="O37" i="7" s="1"/>
  <c r="B28" i="6"/>
  <c r="M28" i="5"/>
  <c r="B38" i="5"/>
  <c r="B43" i="7"/>
  <c r="B36" i="6"/>
  <c r="B38" i="4"/>
  <c r="B32" i="4" s="1"/>
  <c r="B38" i="3"/>
  <c r="B38" i="2"/>
  <c r="B38" i="1"/>
  <c r="D35" i="6"/>
  <c r="C37" i="5"/>
  <c r="C37" i="4"/>
  <c r="C37" i="3"/>
  <c r="M5" i="7"/>
  <c r="M4" i="6"/>
  <c r="M3" i="2"/>
  <c r="M4" i="1"/>
  <c r="M3" i="1"/>
  <c r="N3" i="1"/>
  <c r="B27" i="6"/>
  <c r="B32" i="5"/>
  <c r="B28" i="5"/>
  <c r="E28" i="5" s="1"/>
  <c r="B29" i="5"/>
  <c r="E29" i="5" s="1"/>
  <c r="G29" i="5" s="1"/>
  <c r="B34" i="5"/>
  <c r="E34" i="5"/>
  <c r="G34" i="5" s="1"/>
  <c r="B32" i="3"/>
  <c r="D32" i="3" s="1"/>
  <c r="I32" i="3" s="1"/>
  <c r="B29" i="3"/>
  <c r="B28" i="3"/>
  <c r="B34" i="3"/>
  <c r="B38" i="7"/>
  <c r="B34" i="7"/>
  <c r="B31" i="7"/>
  <c r="B33" i="7"/>
  <c r="B30" i="7"/>
  <c r="B32" i="1"/>
  <c r="B29" i="1"/>
  <c r="B26" i="1"/>
  <c r="B34" i="1"/>
  <c r="B28" i="1"/>
  <c r="B25" i="1"/>
  <c r="E35" i="6"/>
  <c r="B23" i="6"/>
  <c r="B24" i="6"/>
  <c r="B29" i="4"/>
  <c r="B34" i="4"/>
  <c r="B28" i="4"/>
  <c r="D37" i="5"/>
  <c r="B26" i="5"/>
  <c r="E26" i="5"/>
  <c r="B25" i="5"/>
  <c r="E25" i="5"/>
  <c r="D37" i="3"/>
  <c r="B25" i="3"/>
  <c r="B26" i="3"/>
  <c r="F35" i="7"/>
  <c r="M35" i="7"/>
  <c r="F27" i="6"/>
  <c r="M27" i="6"/>
  <c r="F28" i="6"/>
  <c r="M28" i="6"/>
  <c r="F29" i="6"/>
  <c r="M29" i="6"/>
  <c r="F31" i="6"/>
  <c r="M31" i="6"/>
  <c r="F32" i="6"/>
  <c r="M32" i="6"/>
  <c r="F26" i="6"/>
  <c r="M26" i="6"/>
  <c r="M6" i="6"/>
  <c r="B3" i="6"/>
  <c r="E3" i="6" s="1"/>
  <c r="E12" i="6" s="1"/>
  <c r="M5" i="6"/>
  <c r="B30" i="4"/>
  <c r="D4" i="7"/>
  <c r="E32" i="5"/>
  <c r="D32" i="5"/>
  <c r="E32" i="3"/>
  <c r="G25" i="5"/>
  <c r="L25" i="5"/>
  <c r="N25" i="5" s="1"/>
  <c r="D32" i="1"/>
  <c r="E32" i="1"/>
  <c r="D11" i="6"/>
  <c r="H11" i="6" s="1"/>
  <c r="D7" i="6"/>
  <c r="P7" i="6" s="1"/>
  <c r="L7" i="6"/>
  <c r="G7" i="6"/>
  <c r="I7" i="6"/>
  <c r="M4" i="7"/>
  <c r="N4" i="7"/>
  <c r="M3" i="6"/>
  <c r="M3" i="7"/>
  <c r="N3" i="7" s="1"/>
  <c r="M4" i="4"/>
  <c r="M4" i="5"/>
  <c r="M34" i="5"/>
  <c r="M33" i="5"/>
  <c r="M31" i="5"/>
  <c r="M30" i="5"/>
  <c r="M29" i="5"/>
  <c r="M7" i="5"/>
  <c r="N7" i="5"/>
  <c r="M5" i="5"/>
  <c r="N5" i="5"/>
  <c r="F34" i="4"/>
  <c r="M34" i="4"/>
  <c r="F33" i="4"/>
  <c r="M33" i="4"/>
  <c r="F31" i="4"/>
  <c r="M31" i="4"/>
  <c r="F30" i="4"/>
  <c r="M30" i="4"/>
  <c r="F29" i="4"/>
  <c r="M29" i="4"/>
  <c r="F28" i="4"/>
  <c r="M28" i="4"/>
  <c r="M7" i="4"/>
  <c r="N7" i="4"/>
  <c r="M5" i="4"/>
  <c r="N5" i="4"/>
  <c r="F33" i="3"/>
  <c r="M33" i="3"/>
  <c r="F31" i="3"/>
  <c r="M31" i="3"/>
  <c r="F30" i="3"/>
  <c r="M30" i="3"/>
  <c r="F29" i="3"/>
  <c r="M29" i="3"/>
  <c r="F28" i="3"/>
  <c r="M28" i="3"/>
  <c r="M7" i="3"/>
  <c r="M5" i="3"/>
  <c r="N5" i="3"/>
  <c r="G32" i="5"/>
  <c r="L32" i="5"/>
  <c r="N32" i="5" s="1"/>
  <c r="O32" i="5" s="1"/>
  <c r="P32" i="3"/>
  <c r="L32" i="1"/>
  <c r="N32" i="1"/>
  <c r="O32" i="1" s="1"/>
  <c r="G32" i="1"/>
  <c r="H32" i="1" s="1"/>
  <c r="L11" i="6"/>
  <c r="N11" i="6" s="1"/>
  <c r="O11" i="6" s="1"/>
  <c r="P11" i="6"/>
  <c r="N7" i="6"/>
  <c r="O7" i="6" s="1"/>
  <c r="I11" i="6"/>
  <c r="H8" i="5"/>
  <c r="I8" i="5"/>
  <c r="M8" i="5"/>
  <c r="N8" i="5" s="1"/>
  <c r="O8" i="5" s="1"/>
  <c r="P8" i="5"/>
  <c r="M8" i="4"/>
  <c r="N8" i="4" s="1"/>
  <c r="O8" i="4"/>
  <c r="P8" i="4"/>
  <c r="H8" i="4"/>
  <c r="I8" i="4"/>
  <c r="M8" i="3"/>
  <c r="N8" i="3" s="1"/>
  <c r="O8" i="3" s="1"/>
  <c r="H8" i="3"/>
  <c r="I8" i="3"/>
  <c r="M3" i="5"/>
  <c r="N3" i="5" s="1"/>
  <c r="O3" i="5" s="1"/>
  <c r="P3" i="5" s="1"/>
  <c r="M3" i="4"/>
  <c r="N3" i="4" s="1"/>
  <c r="O3" i="4" s="1"/>
  <c r="P3" i="4" s="1"/>
  <c r="D33" i="5"/>
  <c r="I33" i="5" s="1"/>
  <c r="D31" i="5"/>
  <c r="H31" i="5" s="1"/>
  <c r="I31" i="5" s="1"/>
  <c r="D5" i="5"/>
  <c r="I5" i="5" s="1"/>
  <c r="D3" i="5"/>
  <c r="B4" i="3"/>
  <c r="O5" i="5"/>
  <c r="P5" i="5" s="1"/>
  <c r="L31" i="5"/>
  <c r="N31" i="5" s="1"/>
  <c r="O31" i="5" s="1"/>
  <c r="P31" i="5" s="1"/>
  <c r="L33" i="5"/>
  <c r="N33" i="5" s="1"/>
  <c r="O33" i="5" s="1"/>
  <c r="P33" i="5" s="1"/>
  <c r="H10" i="5"/>
  <c r="B4" i="5"/>
  <c r="E4" i="5" s="1"/>
  <c r="E4" i="3"/>
  <c r="L4" i="3" s="1"/>
  <c r="N4" i="3" s="1"/>
  <c r="O4" i="3" s="1"/>
  <c r="P4" i="3" s="1"/>
  <c r="H33" i="5"/>
  <c r="H5" i="5"/>
  <c r="D4" i="5"/>
  <c r="C33" i="18" s="1"/>
  <c r="D7" i="5"/>
  <c r="H7" i="5" s="1"/>
  <c r="B30" i="5"/>
  <c r="E30" i="5" s="1"/>
  <c r="D34" i="18"/>
  <c r="O7" i="5"/>
  <c r="P7" i="5"/>
  <c r="M4" i="2"/>
  <c r="M3" i="3"/>
  <c r="N3" i="3" s="1"/>
  <c r="O3" i="3" s="1"/>
  <c r="M4" i="3"/>
  <c r="H6" i="5"/>
  <c r="D30" i="5"/>
  <c r="D28" i="5"/>
  <c r="D25" i="5"/>
  <c r="O25" i="5" s="1"/>
  <c r="P25" i="5" s="1"/>
  <c r="D34" i="5"/>
  <c r="D29" i="5"/>
  <c r="D26" i="5"/>
  <c r="H29" i="5"/>
  <c r="I29" i="5"/>
  <c r="L29" i="5"/>
  <c r="N29" i="5" s="1"/>
  <c r="O29" i="5" s="1"/>
  <c r="P29" i="5" s="1"/>
  <c r="L34" i="5"/>
  <c r="N34" i="5" s="1"/>
  <c r="O34" i="5" s="1"/>
  <c r="P34" i="5" s="1"/>
  <c r="H25" i="5"/>
  <c r="I25" i="5"/>
  <c r="H34" i="5"/>
  <c r="I34" i="5" s="1"/>
  <c r="G4" i="7"/>
  <c r="H4" i="7"/>
  <c r="I4" i="7"/>
  <c r="E31" i="6"/>
  <c r="D31" i="6"/>
  <c r="E29" i="6"/>
  <c r="G29" i="6" s="1"/>
  <c r="H29" i="6" s="1"/>
  <c r="D29" i="6"/>
  <c r="G3" i="6"/>
  <c r="D3" i="6"/>
  <c r="B4" i="6"/>
  <c r="E23" i="6"/>
  <c r="L23" i="6" s="1"/>
  <c r="N23" i="6" s="1"/>
  <c r="E24" i="6"/>
  <c r="E27" i="6"/>
  <c r="E28" i="6"/>
  <c r="E33" i="4"/>
  <c r="D33" i="4"/>
  <c r="E31" i="4"/>
  <c r="L31" i="4" s="1"/>
  <c r="N31" i="4" s="1"/>
  <c r="O31" i="4" s="1"/>
  <c r="P31" i="4" s="1"/>
  <c r="D31" i="4"/>
  <c r="G10" i="4"/>
  <c r="D5" i="4"/>
  <c r="H5" i="4"/>
  <c r="D3" i="4"/>
  <c r="F39" i="7"/>
  <c r="M39" i="7" s="1"/>
  <c r="N39" i="7" s="1"/>
  <c r="E39" i="7"/>
  <c r="L39" i="7"/>
  <c r="F38" i="7"/>
  <c r="M38" i="7" s="1"/>
  <c r="N38" i="7" s="1"/>
  <c r="O38" i="7" s="1"/>
  <c r="P38" i="7" s="1"/>
  <c r="E38" i="7"/>
  <c r="L38" i="7"/>
  <c r="D38" i="7"/>
  <c r="F36" i="7"/>
  <c r="M36" i="7" s="1"/>
  <c r="E36" i="7"/>
  <c r="L36" i="7" s="1"/>
  <c r="D36" i="7"/>
  <c r="B35" i="7"/>
  <c r="E35" i="7" s="1"/>
  <c r="F34" i="7"/>
  <c r="M34" i="7"/>
  <c r="E34" i="7"/>
  <c r="F33" i="7"/>
  <c r="M33" i="7"/>
  <c r="E33" i="7"/>
  <c r="E31" i="7"/>
  <c r="L31" i="7" s="1"/>
  <c r="N31" i="7" s="1"/>
  <c r="E30" i="7"/>
  <c r="L30" i="7" s="1"/>
  <c r="N30" i="7" s="1"/>
  <c r="H10" i="7"/>
  <c r="I10" i="7"/>
  <c r="M7" i="7"/>
  <c r="L7" i="7"/>
  <c r="N7" i="7" s="1"/>
  <c r="O7" i="7" s="1"/>
  <c r="D6" i="7"/>
  <c r="E5" i="7"/>
  <c r="B5" i="7"/>
  <c r="D5" i="7"/>
  <c r="G3" i="7"/>
  <c r="D3" i="7"/>
  <c r="E34" i="4"/>
  <c r="G34" i="4" s="1"/>
  <c r="D30" i="4"/>
  <c r="D29" i="4"/>
  <c r="D28" i="4"/>
  <c r="D7" i="4"/>
  <c r="D6" i="4"/>
  <c r="F34" i="3"/>
  <c r="M34" i="3" s="1"/>
  <c r="N34" i="3" s="1"/>
  <c r="O34" i="3" s="1"/>
  <c r="P34" i="3" s="1"/>
  <c r="E34" i="3"/>
  <c r="L34" i="3"/>
  <c r="E33" i="3"/>
  <c r="L33" i="3" s="1"/>
  <c r="N33" i="3" s="1"/>
  <c r="O33" i="3" s="1"/>
  <c r="P33" i="3" s="1"/>
  <c r="D33" i="3"/>
  <c r="E31" i="3"/>
  <c r="L31" i="3" s="1"/>
  <c r="N31" i="3" s="1"/>
  <c r="O31" i="3" s="1"/>
  <c r="P31" i="3" s="1"/>
  <c r="D31" i="3"/>
  <c r="B30" i="3"/>
  <c r="D30" i="3" s="1"/>
  <c r="E29" i="3"/>
  <c r="L29" i="3"/>
  <c r="N29" i="3"/>
  <c r="D28" i="3"/>
  <c r="E26" i="3"/>
  <c r="L26" i="3"/>
  <c r="N26" i="3"/>
  <c r="D25" i="3"/>
  <c r="D7" i="3"/>
  <c r="D6" i="3"/>
  <c r="I6" i="3" s="1"/>
  <c r="G5" i="3"/>
  <c r="D5" i="3"/>
  <c r="D4" i="3"/>
  <c r="D3" i="3"/>
  <c r="P3" i="3" s="1"/>
  <c r="F31" i="2"/>
  <c r="M31" i="2"/>
  <c r="E31" i="2"/>
  <c r="G31" i="2" s="1"/>
  <c r="H31" i="2" s="1"/>
  <c r="I31" i="2" s="1"/>
  <c r="D31" i="2"/>
  <c r="C21" i="18"/>
  <c r="G31" i="4"/>
  <c r="H31" i="4" s="1"/>
  <c r="I31" i="4" s="1"/>
  <c r="G33" i="4"/>
  <c r="H33" i="4" s="1"/>
  <c r="L33" i="4"/>
  <c r="N33" i="4" s="1"/>
  <c r="O33" i="4" s="1"/>
  <c r="P33" i="4" s="1"/>
  <c r="L29" i="6"/>
  <c r="N29" i="6" s="1"/>
  <c r="O29" i="6" s="1"/>
  <c r="P29" i="6" s="1"/>
  <c r="G31" i="6"/>
  <c r="L31" i="6"/>
  <c r="N31" i="6"/>
  <c r="O31" i="6" s="1"/>
  <c r="P31" i="6" s="1"/>
  <c r="E17" i="7"/>
  <c r="E18" i="7" s="1"/>
  <c r="L5" i="7"/>
  <c r="N5" i="7" s="1"/>
  <c r="O5" i="7" s="1"/>
  <c r="P5" i="7" s="1"/>
  <c r="G30" i="7"/>
  <c r="G33" i="7"/>
  <c r="L33" i="7"/>
  <c r="N33" i="7" s="1"/>
  <c r="G34" i="7"/>
  <c r="L34" i="7"/>
  <c r="N34" i="7" s="1"/>
  <c r="G36" i="7"/>
  <c r="P7" i="7"/>
  <c r="O3" i="7"/>
  <c r="P3" i="7" s="1"/>
  <c r="C45" i="18"/>
  <c r="D28" i="18"/>
  <c r="G27" i="6"/>
  <c r="L27" i="6"/>
  <c r="N27" i="6"/>
  <c r="L24" i="6"/>
  <c r="N24" i="6" s="1"/>
  <c r="O24" i="6" s="1"/>
  <c r="G24" i="6"/>
  <c r="G28" i="6"/>
  <c r="L28" i="6"/>
  <c r="N28" i="6" s="1"/>
  <c r="G23" i="6"/>
  <c r="P6" i="7"/>
  <c r="I6" i="7"/>
  <c r="O6" i="4"/>
  <c r="P6" i="4"/>
  <c r="I6" i="4"/>
  <c r="O7" i="4"/>
  <c r="P7" i="4"/>
  <c r="O5" i="4"/>
  <c r="P5" i="4" s="1"/>
  <c r="O5" i="3"/>
  <c r="P5" i="3" s="1"/>
  <c r="O7" i="3"/>
  <c r="P7" i="3"/>
  <c r="O6" i="3"/>
  <c r="P6" i="3"/>
  <c r="O6" i="7"/>
  <c r="H8" i="6"/>
  <c r="I8" i="6"/>
  <c r="H10" i="4"/>
  <c r="I5" i="4"/>
  <c r="H36" i="7"/>
  <c r="I36" i="7" s="1"/>
  <c r="G39" i="7"/>
  <c r="D33" i="7"/>
  <c r="D4" i="6"/>
  <c r="C39" i="18" s="1"/>
  <c r="E4" i="6"/>
  <c r="E13" i="6"/>
  <c r="E14" i="6" s="1"/>
  <c r="G14" i="6" s="1"/>
  <c r="D5" i="6"/>
  <c r="P5" i="6" s="1"/>
  <c r="H31" i="6"/>
  <c r="I31" i="6" s="1"/>
  <c r="D30" i="7"/>
  <c r="D35" i="7"/>
  <c r="D39" i="7"/>
  <c r="H39" i="7" s="1"/>
  <c r="D23" i="6"/>
  <c r="D24" i="6"/>
  <c r="H24" i="6" s="1"/>
  <c r="I24" i="6" s="1"/>
  <c r="D27" i="6"/>
  <c r="D28" i="6"/>
  <c r="G38" i="7"/>
  <c r="H38" i="7" s="1"/>
  <c r="I38" i="7" s="1"/>
  <c r="G31" i="7"/>
  <c r="H6" i="7"/>
  <c r="G5" i="7"/>
  <c r="D45" i="18" s="1"/>
  <c r="I33" i="4"/>
  <c r="H6" i="4"/>
  <c r="H7" i="4"/>
  <c r="I7" i="4"/>
  <c r="E28" i="4"/>
  <c r="L28" i="4" s="1"/>
  <c r="N28" i="4" s="1"/>
  <c r="O28" i="4" s="1"/>
  <c r="P28" i="4" s="1"/>
  <c r="E29" i="4"/>
  <c r="E30" i="4"/>
  <c r="L30" i="4" s="1"/>
  <c r="N30" i="4" s="1"/>
  <c r="O30" i="4" s="1"/>
  <c r="P30" i="4" s="1"/>
  <c r="D34" i="4"/>
  <c r="H3" i="6"/>
  <c r="G34" i="3"/>
  <c r="G33" i="3"/>
  <c r="H33" i="3" s="1"/>
  <c r="I33" i="3" s="1"/>
  <c r="G29" i="3"/>
  <c r="H29" i="3" s="1"/>
  <c r="I29" i="3" s="1"/>
  <c r="G26" i="3"/>
  <c r="H7" i="3"/>
  <c r="I7" i="3"/>
  <c r="H3" i="7"/>
  <c r="D31" i="7"/>
  <c r="D34" i="7"/>
  <c r="H5" i="3"/>
  <c r="I5" i="3" s="1"/>
  <c r="H6" i="3"/>
  <c r="G31" i="3"/>
  <c r="H31" i="3" s="1"/>
  <c r="I31" i="3" s="1"/>
  <c r="D34" i="3"/>
  <c r="E25" i="3"/>
  <c r="G25" i="3" s="1"/>
  <c r="H25" i="3" s="1"/>
  <c r="I25" i="3" s="1"/>
  <c r="D26" i="3"/>
  <c r="O26" i="3" s="1"/>
  <c r="P26" i="3" s="1"/>
  <c r="E28" i="3"/>
  <c r="D29" i="3"/>
  <c r="O29" i="3" s="1"/>
  <c r="P29" i="3" s="1"/>
  <c r="E30" i="3"/>
  <c r="L30" i="3" s="1"/>
  <c r="G18" i="7"/>
  <c r="H18" i="7" s="1"/>
  <c r="E21" i="7"/>
  <c r="G21" i="7" s="1"/>
  <c r="H21" i="7" s="1"/>
  <c r="O34" i="7"/>
  <c r="G30" i="3"/>
  <c r="H30" i="3"/>
  <c r="N30" i="3"/>
  <c r="O30" i="3"/>
  <c r="L25" i="3"/>
  <c r="N25" i="3" s="1"/>
  <c r="O25" i="3" s="1"/>
  <c r="P25" i="3" s="1"/>
  <c r="G30" i="4"/>
  <c r="H30" i="4" s="1"/>
  <c r="I30" i="4" s="1"/>
  <c r="G28" i="4"/>
  <c r="H28" i="4"/>
  <c r="I28" i="4" s="1"/>
  <c r="H14" i="6"/>
  <c r="E18" i="6"/>
  <c r="G18" i="6" s="1"/>
  <c r="G29" i="4"/>
  <c r="H29" i="4"/>
  <c r="I29" i="4" s="1"/>
  <c r="L29" i="4"/>
  <c r="N29" i="4"/>
  <c r="O29" i="4" s="1"/>
  <c r="P29" i="4" s="1"/>
  <c r="E24" i="7"/>
  <c r="G17" i="7"/>
  <c r="H17" i="7" s="1"/>
  <c r="E45" i="18"/>
  <c r="I3" i="7"/>
  <c r="I3" i="6"/>
  <c r="P24" i="6"/>
  <c r="D22" i="18"/>
  <c r="H7" i="7"/>
  <c r="I7" i="7"/>
  <c r="D46" i="18"/>
  <c r="P39" i="7"/>
  <c r="I39" i="7"/>
  <c r="H34" i="7"/>
  <c r="H30" i="7"/>
  <c r="I30" i="7" s="1"/>
  <c r="O30" i="7"/>
  <c r="P30" i="7" s="1"/>
  <c r="H33" i="7"/>
  <c r="I33" i="7"/>
  <c r="O33" i="7"/>
  <c r="O27" i="6"/>
  <c r="P27" i="6"/>
  <c r="H28" i="6"/>
  <c r="I28" i="6" s="1"/>
  <c r="O28" i="6"/>
  <c r="P28" i="6" s="1"/>
  <c r="H23" i="6"/>
  <c r="I23" i="6" s="1"/>
  <c r="O23" i="6"/>
  <c r="P23" i="6" s="1"/>
  <c r="H27" i="6"/>
  <c r="I27" i="6" s="1"/>
  <c r="H34" i="3"/>
  <c r="I34" i="3" s="1"/>
  <c r="L5" i="6"/>
  <c r="N5" i="6" s="1"/>
  <c r="O5" i="6" s="1"/>
  <c r="H6" i="6"/>
  <c r="L6" i="6"/>
  <c r="N6" i="6" s="1"/>
  <c r="O6" i="6" s="1"/>
  <c r="P6" i="6"/>
  <c r="G4" i="6"/>
  <c r="D39" i="18" s="1"/>
  <c r="L4" i="6"/>
  <c r="N4" i="6" s="1"/>
  <c r="O4" i="6" s="1"/>
  <c r="P4" i="6" s="1"/>
  <c r="H26" i="3"/>
  <c r="I26" i="3" s="1"/>
  <c r="O39" i="7"/>
  <c r="H31" i="7"/>
  <c r="I31" i="7" s="1"/>
  <c r="H5" i="7"/>
  <c r="E31" i="1"/>
  <c r="G31" i="1" s="1"/>
  <c r="H31" i="1" s="1"/>
  <c r="D31" i="1"/>
  <c r="F31" i="1"/>
  <c r="M31" i="1" s="1"/>
  <c r="B30" i="2"/>
  <c r="E30" i="2" s="1"/>
  <c r="B30" i="1"/>
  <c r="E30" i="1"/>
  <c r="L30" i="1" s="1"/>
  <c r="G24" i="7"/>
  <c r="H24" i="7" s="1"/>
  <c r="E27" i="7"/>
  <c r="G27" i="7"/>
  <c r="H27" i="7" s="1"/>
  <c r="E16" i="6"/>
  <c r="G16" i="6" s="1"/>
  <c r="H16" i="6" s="1"/>
  <c r="E20" i="6"/>
  <c r="G20" i="6" s="1"/>
  <c r="H20" i="6" s="1"/>
  <c r="L31" i="1"/>
  <c r="E21" i="6"/>
  <c r="G21" i="6"/>
  <c r="H21" i="6" s="1"/>
  <c r="H18" i="6"/>
  <c r="E28" i="7"/>
  <c r="G28" i="7"/>
  <c r="H28" i="7" s="1"/>
  <c r="I5" i="7"/>
  <c r="N31" i="1"/>
  <c r="O31" i="1" s="1"/>
  <c r="H4" i="6"/>
  <c r="J4" i="6" s="1"/>
  <c r="C10" i="12" s="1"/>
  <c r="H5" i="6"/>
  <c r="I5" i="6"/>
  <c r="D40" i="18"/>
  <c r="D47" i="18"/>
  <c r="P31" i="1"/>
  <c r="J5" i="7"/>
  <c r="C11" i="12"/>
  <c r="B34" i="2"/>
  <c r="E34" i="2" s="1"/>
  <c r="F30" i="2"/>
  <c r="M30" i="2"/>
  <c r="F29" i="2"/>
  <c r="M29" i="2" s="1"/>
  <c r="F28" i="2"/>
  <c r="M28" i="2" s="1"/>
  <c r="N5" i="2"/>
  <c r="N7" i="2"/>
  <c r="E33" i="2"/>
  <c r="L33" i="2" s="1"/>
  <c r="N33" i="2" s="1"/>
  <c r="O33" i="2" s="1"/>
  <c r="D30" i="2"/>
  <c r="D7" i="2"/>
  <c r="D6" i="2"/>
  <c r="P6" i="2" s="1"/>
  <c r="D5" i="2"/>
  <c r="E4" i="2"/>
  <c r="L4" i="2"/>
  <c r="N4" i="2"/>
  <c r="B4" i="2"/>
  <c r="D4" i="2" s="1"/>
  <c r="D3" i="2"/>
  <c r="D34" i="1"/>
  <c r="D33" i="1"/>
  <c r="D30" i="1"/>
  <c r="D29" i="1"/>
  <c r="D28" i="1"/>
  <c r="D26" i="1"/>
  <c r="D25" i="1"/>
  <c r="G33" i="2"/>
  <c r="O5" i="2"/>
  <c r="P5" i="2"/>
  <c r="G5" i="2"/>
  <c r="H5" i="2" s="1"/>
  <c r="I5" i="2" s="1"/>
  <c r="O6" i="2"/>
  <c r="I6" i="2"/>
  <c r="O7" i="2"/>
  <c r="P7" i="2"/>
  <c r="P10" i="6"/>
  <c r="N12" i="7"/>
  <c r="G4" i="2"/>
  <c r="H4" i="2" s="1"/>
  <c r="H7" i="2"/>
  <c r="I7" i="2"/>
  <c r="H6" i="2"/>
  <c r="D33" i="2"/>
  <c r="P33" i="2" s="1"/>
  <c r="D16" i="18"/>
  <c r="O12" i="7"/>
  <c r="P12" i="7"/>
  <c r="G3" i="2"/>
  <c r="D15" i="18" s="1"/>
  <c r="D17" i="18" s="1"/>
  <c r="G24" i="2"/>
  <c r="G3" i="4"/>
  <c r="H3" i="5"/>
  <c r="H3" i="4"/>
  <c r="I3" i="4"/>
  <c r="I3" i="5"/>
  <c r="G4" i="3"/>
  <c r="H4" i="3" s="1"/>
  <c r="I4" i="3" s="1"/>
  <c r="G3" i="3"/>
  <c r="D21" i="18" s="1"/>
  <c r="D23" i="18" s="1"/>
  <c r="F30" i="1"/>
  <c r="M30" i="1" s="1"/>
  <c r="F29" i="1"/>
  <c r="M29" i="1"/>
  <c r="F28" i="1"/>
  <c r="M28" i="1" s="1"/>
  <c r="N28" i="1" s="1"/>
  <c r="O28" i="1" s="1"/>
  <c r="P28" i="1" s="1"/>
  <c r="E34" i="1"/>
  <c r="E33" i="1"/>
  <c r="G33" i="1" s="1"/>
  <c r="H33" i="1" s="1"/>
  <c r="E29" i="1"/>
  <c r="G29" i="1" s="1"/>
  <c r="H29" i="1" s="1"/>
  <c r="I29" i="1" s="1"/>
  <c r="E28" i="1"/>
  <c r="E26" i="1"/>
  <c r="L26" i="1"/>
  <c r="N26" i="1" s="1"/>
  <c r="O26" i="1" s="1"/>
  <c r="P26" i="1" s="1"/>
  <c r="E25" i="1"/>
  <c r="L25" i="1"/>
  <c r="N25" i="1" s="1"/>
  <c r="O25" i="1" s="1"/>
  <c r="P25" i="1" s="1"/>
  <c r="D5" i="1"/>
  <c r="D3" i="1"/>
  <c r="D7" i="1"/>
  <c r="H7" i="1" s="1"/>
  <c r="D6" i="1"/>
  <c r="B4" i="1"/>
  <c r="D4" i="1" s="1"/>
  <c r="G5" i="1"/>
  <c r="G3" i="1"/>
  <c r="E4" i="1"/>
  <c r="L4" i="1" s="1"/>
  <c r="N4" i="1" s="1"/>
  <c r="G24" i="3"/>
  <c r="G27" i="3" s="1"/>
  <c r="L33" i="1"/>
  <c r="N33" i="1"/>
  <c r="O33" i="1" s="1"/>
  <c r="D10" i="18"/>
  <c r="L7" i="1"/>
  <c r="N7" i="1" s="1"/>
  <c r="P7" i="1"/>
  <c r="O4" i="1"/>
  <c r="O3" i="1"/>
  <c r="P3" i="1" s="1"/>
  <c r="G28" i="1"/>
  <c r="H28" i="1" s="1"/>
  <c r="I28" i="1" s="1"/>
  <c r="L28" i="1"/>
  <c r="G34" i="1"/>
  <c r="H34" i="1" s="1"/>
  <c r="I34" i="1" s="1"/>
  <c r="L34" i="1"/>
  <c r="N34" i="1"/>
  <c r="O34" i="1" s="1"/>
  <c r="P34" i="1" s="1"/>
  <c r="O5" i="1"/>
  <c r="P5" i="1" s="1"/>
  <c r="O6" i="1"/>
  <c r="P6" i="1"/>
  <c r="N12" i="4"/>
  <c r="N12" i="5"/>
  <c r="H3" i="3"/>
  <c r="G25" i="1"/>
  <c r="H25" i="1" s="1"/>
  <c r="I25" i="1" s="1"/>
  <c r="H5" i="1"/>
  <c r="I5" i="1"/>
  <c r="G26" i="1"/>
  <c r="H26" i="1" s="1"/>
  <c r="I26" i="1" s="1"/>
  <c r="I33" i="1"/>
  <c r="H3" i="1"/>
  <c r="I3" i="3"/>
  <c r="I7" i="1"/>
  <c r="Q4" i="1"/>
  <c r="J4" i="3"/>
  <c r="C7" i="12" s="1"/>
  <c r="O12" i="5"/>
  <c r="P12" i="5"/>
  <c r="O12" i="2"/>
  <c r="O12" i="4"/>
  <c r="P12" i="4"/>
  <c r="N12" i="1"/>
  <c r="O12" i="1" s="1"/>
  <c r="N12" i="3"/>
  <c r="N24" i="3"/>
  <c r="O12" i="3"/>
  <c r="P12" i="3"/>
  <c r="N27" i="3"/>
  <c r="O7" i="1" l="1"/>
  <c r="I3" i="1"/>
  <c r="G4" i="1"/>
  <c r="E21" i="18"/>
  <c r="P4" i="1"/>
  <c r="C9" i="18"/>
  <c r="L29" i="1"/>
  <c r="N29" i="1" s="1"/>
  <c r="O29" i="1" s="1"/>
  <c r="P29" i="1" s="1"/>
  <c r="L34" i="2"/>
  <c r="N34" i="2" s="1"/>
  <c r="O34" i="2" s="1"/>
  <c r="G34" i="2"/>
  <c r="H34" i="2" s="1"/>
  <c r="L30" i="2"/>
  <c r="N30" i="2" s="1"/>
  <c r="O30" i="2" s="1"/>
  <c r="P30" i="2" s="1"/>
  <c r="G30" i="2"/>
  <c r="H30" i="2" s="1"/>
  <c r="I30" i="2" s="1"/>
  <c r="I6" i="1"/>
  <c r="H6" i="1"/>
  <c r="O4" i="2"/>
  <c r="P4" i="2" s="1"/>
  <c r="C15" i="18"/>
  <c r="I4" i="2"/>
  <c r="D41" i="18"/>
  <c r="E39" i="18"/>
  <c r="P33" i="1"/>
  <c r="N30" i="1"/>
  <c r="O30" i="1" s="1"/>
  <c r="P30" i="1" s="1"/>
  <c r="H33" i="2"/>
  <c r="I33" i="2" s="1"/>
  <c r="D34" i="2"/>
  <c r="I30" i="3"/>
  <c r="P30" i="3"/>
  <c r="G35" i="7"/>
  <c r="H35" i="7" s="1"/>
  <c r="I35" i="7" s="1"/>
  <c r="L35" i="7"/>
  <c r="N35" i="7" s="1"/>
  <c r="O35" i="7" s="1"/>
  <c r="G30" i="1"/>
  <c r="H30" i="1" s="1"/>
  <c r="I30" i="1" s="1"/>
  <c r="H3" i="2"/>
  <c r="I4" i="6"/>
  <c r="G29" i="7"/>
  <c r="G32" i="7" s="1"/>
  <c r="L28" i="3"/>
  <c r="N28" i="3" s="1"/>
  <c r="O28" i="3" s="1"/>
  <c r="P28" i="3" s="1"/>
  <c r="G28" i="3"/>
  <c r="H28" i="3" s="1"/>
  <c r="I28" i="3" s="1"/>
  <c r="P34" i="7"/>
  <c r="I34" i="7"/>
  <c r="P33" i="7"/>
  <c r="H34" i="4"/>
  <c r="I34" i="4" s="1"/>
  <c r="O31" i="7"/>
  <c r="P31" i="7" s="1"/>
  <c r="G30" i="5"/>
  <c r="H30" i="5" s="1"/>
  <c r="I30" i="5" s="1"/>
  <c r="L30" i="5"/>
  <c r="N30" i="5" s="1"/>
  <c r="O30" i="5" s="1"/>
  <c r="P4" i="7"/>
  <c r="I31" i="1"/>
  <c r="P35" i="7"/>
  <c r="N36" i="7"/>
  <c r="O36" i="7" s="1"/>
  <c r="P36" i="7" s="1"/>
  <c r="I29" i="6"/>
  <c r="L4" i="5"/>
  <c r="N4" i="5" s="1"/>
  <c r="G4" i="5"/>
  <c r="L31" i="2"/>
  <c r="N31" i="2" s="1"/>
  <c r="O31" i="2" s="1"/>
  <c r="P31" i="2" s="1"/>
  <c r="B26" i="4"/>
  <c r="D37" i="4"/>
  <c r="B26" i="2"/>
  <c r="B25" i="2"/>
  <c r="B28" i="2"/>
  <c r="I10" i="13"/>
  <c r="I13" i="13" s="1"/>
  <c r="I16" i="13" s="1"/>
  <c r="C11" i="5" s="1"/>
  <c r="D11" i="5" s="1"/>
  <c r="J10" i="13"/>
  <c r="J13" i="13" s="1"/>
  <c r="J16" i="13" s="1"/>
  <c r="C9" i="6" s="1"/>
  <c r="D9" i="6" s="1"/>
  <c r="E10" i="13"/>
  <c r="E13" i="13" s="1"/>
  <c r="K10" i="13"/>
  <c r="K13" i="13" s="1"/>
  <c r="K16" i="13" s="1"/>
  <c r="C11" i="7" s="1"/>
  <c r="D11" i="7" s="1"/>
  <c r="O11" i="3"/>
  <c r="D22" i="6"/>
  <c r="D25" i="6" s="1"/>
  <c r="L34" i="4"/>
  <c r="N34" i="4" s="1"/>
  <c r="O34" i="4" s="1"/>
  <c r="P34" i="4" s="1"/>
  <c r="P30" i="5"/>
  <c r="I7" i="5"/>
  <c r="H32" i="5"/>
  <c r="H7" i="6"/>
  <c r="G26" i="5"/>
  <c r="H26" i="5" s="1"/>
  <c r="I26" i="5" s="1"/>
  <c r="L26" i="5"/>
  <c r="N26" i="5" s="1"/>
  <c r="O26" i="5" s="1"/>
  <c r="P26" i="5" s="1"/>
  <c r="B29" i="2"/>
  <c r="H37" i="7"/>
  <c r="H9" i="6"/>
  <c r="H10" i="13"/>
  <c r="H13" i="13" s="1"/>
  <c r="H16" i="13" s="1"/>
  <c r="C11" i="4" s="1"/>
  <c r="D11" i="4" s="1"/>
  <c r="O11" i="4" s="1"/>
  <c r="G13" i="6"/>
  <c r="H13" i="6" s="1"/>
  <c r="O4" i="7"/>
  <c r="P32" i="1"/>
  <c r="I32" i="1"/>
  <c r="L3" i="6"/>
  <c r="I32" i="5"/>
  <c r="P32" i="5"/>
  <c r="B25" i="4"/>
  <c r="B32" i="2"/>
  <c r="L28" i="5"/>
  <c r="N28" i="5" s="1"/>
  <c r="O28" i="5" s="1"/>
  <c r="P28" i="5" s="1"/>
  <c r="G28" i="5"/>
  <c r="H28" i="5" s="1"/>
  <c r="I28" i="5" s="1"/>
  <c r="D32" i="4"/>
  <c r="E32" i="4"/>
  <c r="O13" i="1"/>
  <c r="N3" i="2"/>
  <c r="O9" i="6"/>
  <c r="G32" i="3"/>
  <c r="H32" i="3" s="1"/>
  <c r="L32" i="3"/>
  <c r="N32" i="3" s="1"/>
  <c r="O32" i="3" s="1"/>
  <c r="E17" i="6"/>
  <c r="G12" i="6"/>
  <c r="B32" i="6"/>
  <c r="B30" i="6"/>
  <c r="B26" i="6"/>
  <c r="O11" i="7"/>
  <c r="F10" i="13"/>
  <c r="F13" i="13" s="1"/>
  <c r="F16" i="13" s="1"/>
  <c r="C11" i="2" s="1"/>
  <c r="D11" i="2" s="1"/>
  <c r="D24" i="2" s="1"/>
  <c r="I13" i="1"/>
  <c r="P13" i="1"/>
  <c r="H13" i="1"/>
  <c r="I10" i="3"/>
  <c r="N9" i="7"/>
  <c r="G10" i="13"/>
  <c r="G13" i="13" s="1"/>
  <c r="G16" i="13" s="1"/>
  <c r="C11" i="3" s="1"/>
  <c r="D11" i="3" s="1"/>
  <c r="P12" i="1"/>
  <c r="P12" i="2"/>
  <c r="I13" i="3"/>
  <c r="I13" i="5"/>
  <c r="E32" i="21"/>
  <c r="G31" i="21"/>
  <c r="H31" i="21" s="1"/>
  <c r="I31" i="21" s="1"/>
  <c r="P29" i="21"/>
  <c r="H20" i="3"/>
  <c r="I16" i="7"/>
  <c r="H16" i="1"/>
  <c r="H16" i="2"/>
  <c r="N9" i="1"/>
  <c r="O9" i="1" s="1"/>
  <c r="I8" i="2"/>
  <c r="H13" i="21"/>
  <c r="H23" i="5"/>
  <c r="H21" i="3"/>
  <c r="H21" i="5"/>
  <c r="H18" i="21"/>
  <c r="L4" i="21"/>
  <c r="N4" i="21" s="1"/>
  <c r="G4" i="21"/>
  <c r="P6" i="21"/>
  <c r="E26" i="21"/>
  <c r="D26" i="21"/>
  <c r="H23" i="7"/>
  <c r="H16" i="4"/>
  <c r="G29" i="21"/>
  <c r="H29" i="21" s="1"/>
  <c r="I29" i="21" s="1"/>
  <c r="M29" i="21"/>
  <c r="N29" i="21" s="1"/>
  <c r="O29" i="21" s="1"/>
  <c r="H10" i="21"/>
  <c r="I10" i="21"/>
  <c r="P31" i="21"/>
  <c r="G30" i="21"/>
  <c r="H30" i="21" s="1"/>
  <c r="I30" i="21" s="1"/>
  <c r="B28" i="21"/>
  <c r="H4" i="21" l="1"/>
  <c r="G24" i="21"/>
  <c r="E26" i="2"/>
  <c r="D26" i="2"/>
  <c r="D27" i="2" s="1"/>
  <c r="D35" i="2" s="1"/>
  <c r="C18" i="18" s="1"/>
  <c r="D30" i="6"/>
  <c r="E30" i="6"/>
  <c r="H11" i="5"/>
  <c r="I11" i="5" s="1"/>
  <c r="P11" i="5"/>
  <c r="C34" i="18"/>
  <c r="G40" i="7"/>
  <c r="C17" i="18"/>
  <c r="E17" i="18" s="1"/>
  <c r="H4" i="1"/>
  <c r="D9" i="18"/>
  <c r="O4" i="21"/>
  <c r="N24" i="21"/>
  <c r="G32" i="21"/>
  <c r="H32" i="21" s="1"/>
  <c r="L32" i="21"/>
  <c r="N32" i="21" s="1"/>
  <c r="O32" i="21" s="1"/>
  <c r="H11" i="2"/>
  <c r="H24" i="2" s="1"/>
  <c r="I24" i="2" s="1"/>
  <c r="D6" i="12" s="1"/>
  <c r="E32" i="6"/>
  <c r="D32" i="6"/>
  <c r="O3" i="2"/>
  <c r="N24" i="2"/>
  <c r="H11" i="7"/>
  <c r="H29" i="7" s="1"/>
  <c r="I29" i="7" s="1"/>
  <c r="D11" i="12" s="1"/>
  <c r="P11" i="7"/>
  <c r="D29" i="7"/>
  <c r="D32" i="7" s="1"/>
  <c r="D40" i="7" s="1"/>
  <c r="C48" i="18" s="1"/>
  <c r="C46" i="18"/>
  <c r="B4" i="4"/>
  <c r="D4" i="4" s="1"/>
  <c r="E4" i="4"/>
  <c r="O4" i="5"/>
  <c r="P4" i="5" s="1"/>
  <c r="N24" i="5"/>
  <c r="I34" i="2"/>
  <c r="P34" i="2"/>
  <c r="N24" i="1"/>
  <c r="N35" i="3"/>
  <c r="D25" i="4"/>
  <c r="E25" i="4"/>
  <c r="G24" i="5"/>
  <c r="G27" i="5" s="1"/>
  <c r="H4" i="5"/>
  <c r="D33" i="18"/>
  <c r="H11" i="3"/>
  <c r="H24" i="3" s="1"/>
  <c r="I11" i="3"/>
  <c r="P11" i="3"/>
  <c r="C22" i="18"/>
  <c r="D24" i="3"/>
  <c r="H12" i="6"/>
  <c r="O11" i="5"/>
  <c r="I11" i="4"/>
  <c r="P11" i="4"/>
  <c r="H11" i="4"/>
  <c r="C28" i="18"/>
  <c r="E28" i="18" s="1"/>
  <c r="E16" i="13"/>
  <c r="L13" i="13"/>
  <c r="D28" i="2"/>
  <c r="E28" i="2"/>
  <c r="E26" i="4"/>
  <c r="D26" i="4"/>
  <c r="G35" i="3"/>
  <c r="I11" i="2"/>
  <c r="P11" i="2"/>
  <c r="C16" i="18"/>
  <c r="E16" i="18" s="1"/>
  <c r="P32" i="4"/>
  <c r="I32" i="4"/>
  <c r="L26" i="21"/>
  <c r="N26" i="21" s="1"/>
  <c r="O26" i="21" s="1"/>
  <c r="P26" i="21" s="1"/>
  <c r="G26" i="21"/>
  <c r="H26" i="21" s="1"/>
  <c r="I26" i="21" s="1"/>
  <c r="D28" i="21"/>
  <c r="E28" i="21"/>
  <c r="O9" i="7"/>
  <c r="N29" i="7"/>
  <c r="D26" i="6"/>
  <c r="E26" i="6"/>
  <c r="G17" i="6"/>
  <c r="H17" i="6" s="1"/>
  <c r="H22" i="6" s="1"/>
  <c r="I22" i="6" s="1"/>
  <c r="D10" i="12" s="1"/>
  <c r="E19" i="6"/>
  <c r="G19" i="6" s="1"/>
  <c r="H19" i="6" s="1"/>
  <c r="E15" i="6"/>
  <c r="G15" i="6" s="1"/>
  <c r="H15" i="6" s="1"/>
  <c r="G32" i="4"/>
  <c r="H32" i="4" s="1"/>
  <c r="L32" i="4"/>
  <c r="N32" i="4" s="1"/>
  <c r="O32" i="4" s="1"/>
  <c r="E32" i="2"/>
  <c r="D32" i="2"/>
  <c r="L10" i="6"/>
  <c r="N10" i="6" s="1"/>
  <c r="O10" i="6" s="1"/>
  <c r="N3" i="6"/>
  <c r="D24" i="5"/>
  <c r="D27" i="5" s="1"/>
  <c r="D35" i="5" s="1"/>
  <c r="C36" i="18" s="1"/>
  <c r="O11" i="2"/>
  <c r="E29" i="2"/>
  <c r="D29" i="2"/>
  <c r="P9" i="6"/>
  <c r="I9" i="6"/>
  <c r="C40" i="18"/>
  <c r="D25" i="2"/>
  <c r="E25" i="2"/>
  <c r="J4" i="2"/>
  <c r="C6" i="12" s="1"/>
  <c r="I3" i="2"/>
  <c r="E15" i="18"/>
  <c r="G24" i="1"/>
  <c r="G27" i="1" s="1"/>
  <c r="G35" i="1" l="1"/>
  <c r="C41" i="18"/>
  <c r="E41" i="18" s="1"/>
  <c r="E40" i="18"/>
  <c r="G26" i="4"/>
  <c r="H26" i="4" s="1"/>
  <c r="I26" i="4" s="1"/>
  <c r="L26" i="4"/>
  <c r="N26" i="4" s="1"/>
  <c r="O26" i="4" s="1"/>
  <c r="P26" i="4" s="1"/>
  <c r="G29" i="2"/>
  <c r="H29" i="2" s="1"/>
  <c r="L29" i="2"/>
  <c r="N29" i="2" s="1"/>
  <c r="O29" i="2" s="1"/>
  <c r="G26" i="6"/>
  <c r="H26" i="6" s="1"/>
  <c r="I26" i="6" s="1"/>
  <c r="L26" i="6"/>
  <c r="N26" i="6" s="1"/>
  <c r="O26" i="6" s="1"/>
  <c r="G28" i="21"/>
  <c r="H28" i="21" s="1"/>
  <c r="L28" i="21"/>
  <c r="N28" i="21" s="1"/>
  <c r="O28" i="21" s="1"/>
  <c r="P28" i="21" s="1"/>
  <c r="L28" i="2"/>
  <c r="N28" i="2" s="1"/>
  <c r="O28" i="2" s="1"/>
  <c r="P28" i="2" s="1"/>
  <c r="G28" i="2"/>
  <c r="H28" i="2" s="1"/>
  <c r="D27" i="3"/>
  <c r="O24" i="3"/>
  <c r="P24" i="3" s="1"/>
  <c r="I24" i="3"/>
  <c r="D7" i="12" s="1"/>
  <c r="L25" i="4"/>
  <c r="N25" i="4" s="1"/>
  <c r="O25" i="4" s="1"/>
  <c r="P25" i="4" s="1"/>
  <c r="G25" i="4"/>
  <c r="H25" i="4" s="1"/>
  <c r="I25" i="4" s="1"/>
  <c r="Q4" i="21"/>
  <c r="P4" i="21"/>
  <c r="H32" i="7"/>
  <c r="I32" i="7" s="1"/>
  <c r="G25" i="2"/>
  <c r="L25" i="2"/>
  <c r="N25" i="2" s="1"/>
  <c r="O25" i="2" s="1"/>
  <c r="P25" i="2" s="1"/>
  <c r="P32" i="2"/>
  <c r="I32" i="2"/>
  <c r="P26" i="6"/>
  <c r="I28" i="21"/>
  <c r="D24" i="18"/>
  <c r="I28" i="2"/>
  <c r="E22" i="18"/>
  <c r="C23" i="18"/>
  <c r="E23" i="18" s="1"/>
  <c r="E33" i="18"/>
  <c r="D35" i="18"/>
  <c r="L4" i="4"/>
  <c r="N4" i="4" s="1"/>
  <c r="G4" i="4"/>
  <c r="P3" i="2"/>
  <c r="O24" i="2"/>
  <c r="P24" i="2" s="1"/>
  <c r="E9" i="18"/>
  <c r="D11" i="18"/>
  <c r="D48" i="18"/>
  <c r="E48" i="18" s="1"/>
  <c r="H40" i="7"/>
  <c r="I40" i="7" s="1"/>
  <c r="E11" i="12" s="1"/>
  <c r="G26" i="2"/>
  <c r="H26" i="2" s="1"/>
  <c r="I26" i="2" s="1"/>
  <c r="L26" i="2"/>
  <c r="N26" i="2" s="1"/>
  <c r="O26" i="2" s="1"/>
  <c r="P26" i="2" s="1"/>
  <c r="D33" i="6"/>
  <c r="C42" i="18" s="1"/>
  <c r="G32" i="2"/>
  <c r="H32" i="2" s="1"/>
  <c r="L32" i="2"/>
  <c r="N32" i="2" s="1"/>
  <c r="O32" i="2" s="1"/>
  <c r="O29" i="7"/>
  <c r="P29" i="7" s="1"/>
  <c r="N32" i="7"/>
  <c r="G22" i="6"/>
  <c r="G25" i="6" s="1"/>
  <c r="I4" i="5"/>
  <c r="H24" i="5"/>
  <c r="I24" i="5" s="1"/>
  <c r="D9" i="12" s="1"/>
  <c r="J4" i="5"/>
  <c r="C9" i="12" s="1"/>
  <c r="C27" i="18"/>
  <c r="C29" i="18" s="1"/>
  <c r="D24" i="4"/>
  <c r="D27" i="4" s="1"/>
  <c r="D35" i="4" s="1"/>
  <c r="C30" i="18" s="1"/>
  <c r="I11" i="7"/>
  <c r="P32" i="6"/>
  <c r="I4" i="1"/>
  <c r="J4" i="1"/>
  <c r="C4" i="12" s="1"/>
  <c r="E34" i="18"/>
  <c r="C35" i="18"/>
  <c r="G30" i="6"/>
  <c r="H30" i="6" s="1"/>
  <c r="L30" i="6"/>
  <c r="N30" i="6" s="1"/>
  <c r="O30" i="6" s="1"/>
  <c r="G27" i="21"/>
  <c r="I29" i="2"/>
  <c r="P29" i="2"/>
  <c r="O3" i="6"/>
  <c r="P3" i="6" s="1"/>
  <c r="N22" i="6"/>
  <c r="C11" i="1"/>
  <c r="D11" i="1" s="1"/>
  <c r="C11" i="21"/>
  <c r="D11" i="21" s="1"/>
  <c r="G35" i="5"/>
  <c r="H27" i="5"/>
  <c r="I27" i="5" s="1"/>
  <c r="N27" i="1"/>
  <c r="O24" i="5"/>
  <c r="P24" i="5" s="1"/>
  <c r="N27" i="5"/>
  <c r="E46" i="18"/>
  <c r="C47" i="18"/>
  <c r="E47" i="18" s="1"/>
  <c r="L32" i="6"/>
  <c r="N32" i="6" s="1"/>
  <c r="O32" i="6" s="1"/>
  <c r="G32" i="6"/>
  <c r="H32" i="6" s="1"/>
  <c r="I32" i="6" s="1"/>
  <c r="N27" i="21"/>
  <c r="P30" i="6"/>
  <c r="I30" i="6"/>
  <c r="J4" i="21"/>
  <c r="C5" i="12" s="1"/>
  <c r="I4" i="21"/>
  <c r="O27" i="5" l="1"/>
  <c r="P27" i="5" s="1"/>
  <c r="N35" i="5"/>
  <c r="O35" i="5" s="1"/>
  <c r="P35" i="5" s="1"/>
  <c r="G35" i="21"/>
  <c r="D36" i="18"/>
  <c r="E36" i="18" s="1"/>
  <c r="H35" i="5"/>
  <c r="I35" i="5" s="1"/>
  <c r="E9" i="12" s="1"/>
  <c r="H4" i="4"/>
  <c r="D27" i="18"/>
  <c r="G24" i="4"/>
  <c r="G27" i="4" s="1"/>
  <c r="D12" i="18"/>
  <c r="N35" i="1"/>
  <c r="D24" i="21"/>
  <c r="H11" i="21"/>
  <c r="H24" i="21" s="1"/>
  <c r="I24" i="21" s="1"/>
  <c r="D5" i="12" s="1"/>
  <c r="I11" i="21"/>
  <c r="P11" i="21"/>
  <c r="O11" i="21"/>
  <c r="O4" i="4"/>
  <c r="P4" i="4" s="1"/>
  <c r="N24" i="4"/>
  <c r="H25" i="2"/>
  <c r="I25" i="2" s="1"/>
  <c r="G27" i="2"/>
  <c r="N27" i="2"/>
  <c r="N35" i="21"/>
  <c r="I11" i="1"/>
  <c r="D24" i="1"/>
  <c r="H11" i="1"/>
  <c r="H24" i="1" s="1"/>
  <c r="C10" i="18"/>
  <c r="O11" i="1"/>
  <c r="P11" i="1" s="1"/>
  <c r="G33" i="6"/>
  <c r="H25" i="6"/>
  <c r="I25" i="6" s="1"/>
  <c r="E35" i="18"/>
  <c r="D35" i="3"/>
  <c r="O27" i="3"/>
  <c r="P27" i="3" s="1"/>
  <c r="H27" i="3"/>
  <c r="I27" i="3" s="1"/>
  <c r="O22" i="6"/>
  <c r="P22" i="6" s="1"/>
  <c r="N25" i="6"/>
  <c r="N40" i="7"/>
  <c r="O40" i="7" s="1"/>
  <c r="P40" i="7" s="1"/>
  <c r="O32" i="7"/>
  <c r="P32" i="7" s="1"/>
  <c r="H33" i="6" l="1"/>
  <c r="I33" i="6" s="1"/>
  <c r="E10" i="12" s="1"/>
  <c r="D42" i="18"/>
  <c r="E42" i="18" s="1"/>
  <c r="D27" i="1"/>
  <c r="O24" i="1"/>
  <c r="P24" i="1" s="1"/>
  <c r="G35" i="4"/>
  <c r="H27" i="4"/>
  <c r="I27" i="4" s="1"/>
  <c r="O25" i="6"/>
  <c r="P25" i="6" s="1"/>
  <c r="N33" i="6"/>
  <c r="O33" i="6" s="1"/>
  <c r="P33" i="6" s="1"/>
  <c r="C24" i="18"/>
  <c r="E24" i="18" s="1"/>
  <c r="O35" i="3"/>
  <c r="P35" i="3" s="1"/>
  <c r="H35" i="3"/>
  <c r="I35" i="3" s="1"/>
  <c r="E7" i="12" s="1"/>
  <c r="N35" i="2"/>
  <c r="O35" i="2" s="1"/>
  <c r="P35" i="2" s="1"/>
  <c r="O27" i="2"/>
  <c r="P27" i="2" s="1"/>
  <c r="N27" i="4"/>
  <c r="O24" i="4"/>
  <c r="P24" i="4" s="1"/>
  <c r="D29" i="18"/>
  <c r="E29" i="18" s="1"/>
  <c r="E27" i="18"/>
  <c r="E10" i="18"/>
  <c r="C11" i="18"/>
  <c r="E11" i="18" s="1"/>
  <c r="H27" i="2"/>
  <c r="I27" i="2" s="1"/>
  <c r="G35" i="2"/>
  <c r="H24" i="4"/>
  <c r="I24" i="4" s="1"/>
  <c r="D8" i="12" s="1"/>
  <c r="J4" i="4"/>
  <c r="C8" i="12" s="1"/>
  <c r="I4" i="4"/>
  <c r="I24" i="1"/>
  <c r="D4" i="12" s="1"/>
  <c r="D27" i="21"/>
  <c r="O24" i="21"/>
  <c r="P24" i="21" s="1"/>
  <c r="D18" i="18" l="1"/>
  <c r="E18" i="18" s="1"/>
  <c r="H35" i="2"/>
  <c r="I35" i="2" s="1"/>
  <c r="E6" i="12" s="1"/>
  <c r="O27" i="4"/>
  <c r="P27" i="4" s="1"/>
  <c r="N35" i="4"/>
  <c r="O35" i="4" s="1"/>
  <c r="P35" i="4" s="1"/>
  <c r="H35" i="4"/>
  <c r="I35" i="4" s="1"/>
  <c r="E8" i="12" s="1"/>
  <c r="D30" i="18"/>
  <c r="E30" i="18" s="1"/>
  <c r="D35" i="21"/>
  <c r="H27" i="21"/>
  <c r="I27" i="21" s="1"/>
  <c r="O27" i="21"/>
  <c r="P27" i="21" s="1"/>
  <c r="D35" i="1"/>
  <c r="H27" i="1"/>
  <c r="I27" i="1" s="1"/>
  <c r="O27" i="1"/>
  <c r="P27" i="1" s="1"/>
  <c r="C12" i="18" l="1"/>
  <c r="E12" i="18" s="1"/>
  <c r="H35" i="1"/>
  <c r="I35" i="1" s="1"/>
  <c r="E4" i="12" s="1"/>
  <c r="O35" i="1"/>
  <c r="P35" i="1" s="1"/>
  <c r="O35" i="21"/>
  <c r="P35" i="21" s="1"/>
  <c r="H35" i="21"/>
  <c r="I35" i="21" s="1"/>
  <c r="E5" i="12" s="1"/>
</calcChain>
</file>

<file path=xl/comments1.xml><?xml version="1.0" encoding="utf-8"?>
<comments xmlns="http://schemas.openxmlformats.org/spreadsheetml/2006/main">
  <authors>
    <author>Lam</author>
    <author>ALam</author>
    <author>alam</author>
  </authors>
  <commentList>
    <comment ref="K6" authorId="0">
      <text>
        <r>
          <rPr>
            <b/>
            <sz val="8"/>
            <color indexed="81"/>
            <rFont val="Tahoma"/>
            <family val="2"/>
          </rPr>
          <t>Lam:</t>
        </r>
        <r>
          <rPr>
            <sz val="8"/>
            <color indexed="81"/>
            <rFont val="Tahoma"/>
            <family val="2"/>
          </rPr>
          <t xml:space="preserve">
Can we round off the stats
</t>
        </r>
      </text>
    </comment>
    <comment ref="A10" authorId="1">
      <text>
        <r>
          <rPr>
            <b/>
            <sz val="8"/>
            <color indexed="81"/>
            <rFont val="Tahoma"/>
            <family val="2"/>
          </rPr>
          <t>ALam:</t>
        </r>
        <r>
          <rPr>
            <sz val="8"/>
            <color indexed="81"/>
            <rFont val="Tahoma"/>
            <family val="2"/>
          </rPr>
          <t xml:space="preserve">
Need Update for each Versiopn
</t>
        </r>
      </text>
    </comment>
    <comment ref="A15" authorId="1">
      <text>
        <r>
          <rPr>
            <b/>
            <sz val="8"/>
            <color indexed="81"/>
            <rFont val="Tahoma"/>
            <family val="2"/>
          </rPr>
          <t xml:space="preserve">ALam: 
Update with Adjusted EDR </t>
        </r>
      </text>
    </comment>
    <comment ref="F56" authorId="2">
      <text>
        <r>
          <rPr>
            <b/>
            <sz val="8"/>
            <color indexed="81"/>
            <rFont val="Tahoma"/>
            <family val="2"/>
          </rPr>
          <t>alam:</t>
        </r>
        <r>
          <rPr>
            <sz val="8"/>
            <color indexed="81"/>
            <rFont val="Tahoma"/>
            <family val="2"/>
          </rPr>
          <t xml:space="preserve">
Fix Rate increased by 
10%
</t>
        </r>
      </text>
    </comment>
    <comment ref="G56" authorId="2">
      <text>
        <r>
          <rPr>
            <b/>
            <sz val="8"/>
            <color indexed="81"/>
            <rFont val="Tahoma"/>
            <family val="2"/>
          </rPr>
          <t>alam:</t>
        </r>
        <r>
          <rPr>
            <sz val="8"/>
            <color indexed="81"/>
            <rFont val="Tahoma"/>
            <family val="2"/>
          </rPr>
          <t xml:space="preserve">
Fix Rate reducced by 10%
</t>
        </r>
      </text>
    </comment>
    <comment ref="H56" authorId="2">
      <text>
        <r>
          <rPr>
            <b/>
            <sz val="8"/>
            <color indexed="81"/>
            <rFont val="Tahoma"/>
            <family val="2"/>
          </rPr>
          <t>alam:</t>
        </r>
        <r>
          <rPr>
            <sz val="8"/>
            <color indexed="81"/>
            <rFont val="Tahoma"/>
            <family val="2"/>
          </rPr>
          <t xml:space="preserve">
Fix Rate reducced by 10%
</t>
        </r>
      </text>
    </comment>
  </commentList>
</comments>
</file>

<file path=xl/comments2.xml><?xml version="1.0" encoding="utf-8"?>
<comments xmlns="http://schemas.openxmlformats.org/spreadsheetml/2006/main">
  <authors>
    <author>alam</author>
  </authors>
  <commentList>
    <comment ref="O24" authorId="0">
      <text>
        <r>
          <rPr>
            <b/>
            <sz val="8"/>
            <color indexed="81"/>
            <rFont val="Tahoma"/>
            <family val="2"/>
          </rPr>
          <t>alam:</t>
        </r>
        <r>
          <rPr>
            <sz val="8"/>
            <color indexed="81"/>
            <rFont val="Tahoma"/>
            <family val="2"/>
          </rPr>
          <t xml:space="preserve">
Scannings cost for USL and SL in  each year
</t>
        </r>
      </text>
    </comment>
  </commentList>
</comments>
</file>

<file path=xl/comments3.xml><?xml version="1.0" encoding="utf-8"?>
<comments xmlns="http://schemas.openxmlformats.org/spreadsheetml/2006/main">
  <authors>
    <author>alam</author>
  </authors>
  <commentList>
    <comment ref="M16" authorId="0">
      <text>
        <r>
          <rPr>
            <b/>
            <sz val="8"/>
            <color indexed="81"/>
            <rFont val="Tahoma"/>
            <family val="2"/>
          </rPr>
          <t>alam:</t>
        </r>
        <r>
          <rPr>
            <sz val="8"/>
            <color indexed="81"/>
            <rFont val="Tahoma"/>
            <family val="2"/>
          </rPr>
          <t xml:space="preserve">
Scannings cost for USL and SL in  each year
</t>
        </r>
      </text>
    </comment>
  </commentList>
</comments>
</file>

<file path=xl/sharedStrings.xml><?xml version="1.0" encoding="utf-8"?>
<sst xmlns="http://schemas.openxmlformats.org/spreadsheetml/2006/main" count="1553" uniqueCount="421">
  <si>
    <t>Distribution</t>
  </si>
  <si>
    <t>Sub Total A - Distribution</t>
  </si>
  <si>
    <t>RTST - Network</t>
  </si>
  <si>
    <t>RTSR - Connection</t>
  </si>
  <si>
    <t>Sub Total B (including Sub-Total A)  - Distribution</t>
  </si>
  <si>
    <t>Wholesale Market Rate</t>
  </si>
  <si>
    <t>RRRP</t>
  </si>
  <si>
    <t>DRC</t>
  </si>
  <si>
    <t>Total Bill (including Sub-Total B)</t>
  </si>
  <si>
    <t>Impact</t>
  </si>
  <si>
    <t>Volume</t>
  </si>
  <si>
    <t>Rate $</t>
  </si>
  <si>
    <t>Charge $</t>
  </si>
  <si>
    <t>Change $</t>
  </si>
  <si>
    <t>Change %</t>
  </si>
  <si>
    <t>Contact Voltage</t>
  </si>
  <si>
    <t>LRAM Rider</t>
  </si>
  <si>
    <t xml:space="preserve">Regulatory Assets - Global Adjustment - Non RPP </t>
  </si>
  <si>
    <t xml:space="preserve"> </t>
  </si>
  <si>
    <t>Standard Supply Service Charge</t>
  </si>
  <si>
    <t>kWh</t>
  </si>
  <si>
    <t>kW</t>
  </si>
  <si>
    <t>kVA</t>
  </si>
  <si>
    <t>RESIDENTIAL</t>
  </si>
  <si>
    <t xml:space="preserve">GS &lt; 50 kW </t>
  </si>
  <si>
    <t>GS - 50 to 1000 kW   - Interval</t>
  </si>
  <si>
    <t>GS &gt; 1000 to  5000 kW</t>
  </si>
  <si>
    <t>LARGE USER</t>
  </si>
  <si>
    <t>SMALL SCATTER LOAD</t>
  </si>
  <si>
    <t>STREETLIGHT</t>
  </si>
  <si>
    <t>TOTAL</t>
  </si>
  <si>
    <t>Check s/b 0</t>
  </si>
  <si>
    <t>Test</t>
  </si>
  <si>
    <t>Diff.</t>
  </si>
  <si>
    <t>A</t>
  </si>
  <si>
    <t>B</t>
  </si>
  <si>
    <t>C</t>
  </si>
  <si>
    <t>E</t>
  </si>
  <si>
    <t>F</t>
  </si>
  <si>
    <t>G</t>
  </si>
  <si>
    <t>H</t>
  </si>
  <si>
    <t xml:space="preserve">  </t>
  </si>
  <si>
    <t>N/A</t>
  </si>
  <si>
    <t>kWh (Loss Adjusted)</t>
  </si>
  <si>
    <t>Number of Customers</t>
  </si>
  <si>
    <t>Number of Connections</t>
  </si>
  <si>
    <t>Distribution Revenue does not include Revenue Offsets (Includes Transformer Allowance only)</t>
  </si>
  <si>
    <t>Revenue Offsets</t>
  </si>
  <si>
    <t>EDR Allocator's</t>
  </si>
  <si>
    <t xml:space="preserve">Energy Consumed - kWhs </t>
  </si>
  <si>
    <t xml:space="preserve">Number of Customers </t>
  </si>
  <si>
    <t>- Fix (Customer)</t>
  </si>
  <si>
    <t>- Variable</t>
  </si>
  <si>
    <t>- Connections</t>
  </si>
  <si>
    <t>Distribution Revenue From EDR</t>
  </si>
  <si>
    <t>CAS With Revenue Offsets</t>
  </si>
  <si>
    <t>CAS - Revenue With Revenue Offsets</t>
  </si>
  <si>
    <t>CAS - Revenue Requirement (includes NI)</t>
  </si>
  <si>
    <t>CAS - Cost to Revenue Ratio Results</t>
  </si>
  <si>
    <t>Revenue ShortFall from CAS</t>
  </si>
  <si>
    <t>CAS Without Revenue Offsets</t>
  </si>
  <si>
    <t>CAS - Revenue w/o Revenue Offsets</t>
  </si>
  <si>
    <t>Calculated</t>
  </si>
  <si>
    <t>Target - Cost to Revenue Change to Residential</t>
  </si>
  <si>
    <t>Proposed Residential Total Revenue Requirement</t>
  </si>
  <si>
    <t>Residential Revenue Requirement Change</t>
  </si>
  <si>
    <t>WORK AREA</t>
  </si>
  <si>
    <t xml:space="preserve">Rev Under Recover </t>
  </si>
  <si>
    <t>Rev Over Recover</t>
  </si>
  <si>
    <t>Rev Under Recover (%)</t>
  </si>
  <si>
    <t>Rev Over Recover (%)</t>
  </si>
  <si>
    <t>Rev Mitigation - Under Recover</t>
  </si>
  <si>
    <t>Rev Mitigation - Over Recover</t>
  </si>
  <si>
    <t>Revenue Requirement Change by Class</t>
  </si>
  <si>
    <t>MANUAL ADJUSTMENTS</t>
  </si>
  <si>
    <t>Proposed Cost to Revenue Ratio Results</t>
  </si>
  <si>
    <t>CAS Allocation</t>
  </si>
  <si>
    <t>- Fix Charge with days of Service</t>
  </si>
  <si>
    <t xml:space="preserve">  (Fix Charge Annual Revenue)</t>
  </si>
  <si>
    <t>- Connection Charge</t>
  </si>
  <si>
    <t xml:space="preserve">  (Connection Charge Revenue)</t>
  </si>
  <si>
    <t>- Volumetric Charge with Days of Service</t>
  </si>
  <si>
    <t xml:space="preserve"> (Volumetric Charge Revenue)</t>
  </si>
  <si>
    <t>Total</t>
  </si>
  <si>
    <t>2009 Approved Rates</t>
  </si>
  <si>
    <t>Fix Charge with DOS</t>
  </si>
  <si>
    <t>Connection Charge</t>
  </si>
  <si>
    <t>2010 Prefile</t>
  </si>
  <si>
    <t>Volumetric Charge with DOS</t>
  </si>
  <si>
    <t>Revenue Reconciliation Check</t>
  </si>
  <si>
    <t xml:space="preserve">Fix </t>
  </si>
  <si>
    <t>Variable</t>
  </si>
  <si>
    <t>Difference from DOS</t>
  </si>
  <si>
    <t>Kwh</t>
  </si>
  <si>
    <t>Customer</t>
  </si>
  <si>
    <t>Connection</t>
  </si>
  <si>
    <t>KVA</t>
  </si>
  <si>
    <t>Connections</t>
  </si>
  <si>
    <t>Regulatory Assets - Global Adjustment - RPP</t>
  </si>
  <si>
    <t>Rates Rounded</t>
  </si>
  <si>
    <t>Hours Use</t>
  </si>
  <si>
    <t>PF</t>
  </si>
  <si>
    <t xml:space="preserve">Net/Conn </t>
  </si>
  <si>
    <t>Consumption Details</t>
  </si>
  <si>
    <t>Total Loss Factor</t>
  </si>
  <si>
    <t>Service Charge (per 30 days)</t>
  </si>
  <si>
    <t>Smart Meter Rider (per 30 days)</t>
  </si>
  <si>
    <t>SPC</t>
  </si>
  <si>
    <t>Special Purpose Charge</t>
  </si>
  <si>
    <t>Col. 1</t>
  </si>
  <si>
    <t>Col. 2</t>
  </si>
  <si>
    <t>Col. 3</t>
  </si>
  <si>
    <t>Col. 4</t>
  </si>
  <si>
    <t>Col. 5</t>
  </si>
  <si>
    <t>Col. 6</t>
  </si>
  <si>
    <t>System Network KW</t>
  </si>
  <si>
    <t>Line Connection KW</t>
  </si>
  <si>
    <t>Transformer Connection Ratio</t>
  </si>
  <si>
    <t>Transformer Connection KW</t>
  </si>
  <si>
    <t>Total Wholesale Transmission Revenue Requirement</t>
  </si>
  <si>
    <t>12 CP</t>
  </si>
  <si>
    <t>Network</t>
  </si>
  <si>
    <t>12 NCP</t>
  </si>
  <si>
    <t>Line Connection</t>
  </si>
  <si>
    <t>Transformer Connection</t>
  </si>
  <si>
    <t>Residential</t>
  </si>
  <si>
    <t>GS &lt;50</t>
  </si>
  <si>
    <t>GS 50-999KW</t>
  </si>
  <si>
    <t>GS 1000-4999KW</t>
  </si>
  <si>
    <t>Large Use</t>
  </si>
  <si>
    <t>Street Light</t>
  </si>
  <si>
    <t>Unmetered Scattered Load</t>
  </si>
  <si>
    <t>RETAIL Transmission</t>
  </si>
  <si>
    <t xml:space="preserve"> kWh/kW</t>
  </si>
  <si>
    <t>per kWh</t>
  </si>
  <si>
    <t>per kW</t>
  </si>
  <si>
    <t>Col. 7</t>
  </si>
  <si>
    <t>Col. 8</t>
  </si>
  <si>
    <t>Col. 9</t>
  </si>
  <si>
    <t>Col. 10</t>
  </si>
  <si>
    <t>Col. 11</t>
  </si>
  <si>
    <t>R. 1</t>
  </si>
  <si>
    <t>Allocation and Billing Factors</t>
  </si>
  <si>
    <t>GS - 50 to 1000                  kW  - Non Interval</t>
  </si>
  <si>
    <t xml:space="preserve">GS - 50 to 999 kW   </t>
  </si>
  <si>
    <t>GS - 1000 to  4999 kW</t>
  </si>
  <si>
    <t>Streetlighting</t>
  </si>
  <si>
    <t>R. 2</t>
  </si>
  <si>
    <t>R. 3</t>
  </si>
  <si>
    <t>2009 Approved Customer Forecast by Rate Class (Cost Allocation)</t>
  </si>
  <si>
    <t>R. 4</t>
  </si>
  <si>
    <t>R. 5</t>
  </si>
  <si>
    <t>Number of Connection</t>
  </si>
  <si>
    <t>R. 6</t>
  </si>
  <si>
    <t>R. 7</t>
  </si>
  <si>
    <t>R. 8</t>
  </si>
  <si>
    <t>2010 Customer Forecast by Rate Class (Rate Design)</t>
  </si>
  <si>
    <t>R. 9</t>
  </si>
  <si>
    <t>R. 10</t>
  </si>
  <si>
    <t>R. 11</t>
  </si>
  <si>
    <t>R. 12</t>
  </si>
  <si>
    <t>Allocators Percentages</t>
  </si>
  <si>
    <t>R. 13</t>
  </si>
  <si>
    <t>R. 14</t>
  </si>
  <si>
    <t>R. 15</t>
  </si>
  <si>
    <t>Allocation of Costs</t>
  </si>
  <si>
    <t>Recovery Amount</t>
  </si>
  <si>
    <t>Allocator</t>
  </si>
  <si>
    <t>R. 16</t>
  </si>
  <si>
    <t>Scanning</t>
  </si>
  <si>
    <t>R. 17</t>
  </si>
  <si>
    <t>Remediation</t>
  </si>
  <si>
    <t>R. 18</t>
  </si>
  <si>
    <t>Total Recovery</t>
  </si>
  <si>
    <t>R. 19</t>
  </si>
  <si>
    <t>Billing Unit</t>
  </si>
  <si>
    <t>R. 20</t>
  </si>
  <si>
    <t>2010 Customer/ Connections per 30 days</t>
  </si>
  <si>
    <t>R. 21</t>
  </si>
  <si>
    <t>R. 22</t>
  </si>
  <si>
    <t>Total Contact Voltage Rate Rider</t>
  </si>
  <si>
    <t>ALLOCATOR</t>
  </si>
  <si>
    <t>Regulatory Assets - 2011 Rate Rider</t>
  </si>
  <si>
    <t>GS &gt; 1000 to  4999 kW</t>
  </si>
  <si>
    <t>LARGE USE</t>
  </si>
  <si>
    <t xml:space="preserve">kVA </t>
  </si>
  <si>
    <t xml:space="preserve">Distribution kWh </t>
  </si>
  <si>
    <t xml:space="preserve">2010 Approved Distribution Revenue </t>
  </si>
  <si>
    <t xml:space="preserve">RSVA-WMS </t>
  </si>
  <si>
    <t>RSVA - Network</t>
  </si>
  <si>
    <t>RSVA - Connection</t>
  </si>
  <si>
    <t>Hydro ONE - LV Charges</t>
  </si>
  <si>
    <t>PILs</t>
  </si>
  <si>
    <t>BILLING UNIT</t>
  </si>
  <si>
    <t xml:space="preserve">Total </t>
  </si>
  <si>
    <t>Proposed 2011 Distribution Charges (CAS Results) with DOS</t>
  </si>
  <si>
    <t>Class</t>
  </si>
  <si>
    <t>Consumption/Demand</t>
  </si>
  <si>
    <t>Distribution + Rate Riders</t>
  </si>
  <si>
    <t>Total Bill</t>
  </si>
  <si>
    <t>800 kWh</t>
  </si>
  <si>
    <t>General Service &lt; 50 kW</t>
  </si>
  <si>
    <t>2000 kWh</t>
  </si>
  <si>
    <t>General Service 50-999 kW</t>
  </si>
  <si>
    <t>150,000 kWh / 388 kVA</t>
  </si>
  <si>
    <t>General Service 1000-4999 kW</t>
  </si>
  <si>
    <t>800,000 kWh / 1778 kVA</t>
  </si>
  <si>
    <t>4,500,000 kWh / 9,434 kVA</t>
  </si>
  <si>
    <t>Steet Lighting</t>
  </si>
  <si>
    <t>9,182,083 kWh / 25,506 kVA</t>
  </si>
  <si>
    <t>Unmetered Scattered Loads</t>
  </si>
  <si>
    <t>365 kWh</t>
  </si>
  <si>
    <t>Cost of Power Commodity - 1st Tier (May 1st 2010)</t>
  </si>
  <si>
    <t>Cost of Power Commodity - 2nd Tier (May 1st 2010)</t>
  </si>
  <si>
    <t>R/C incl Rev Offsets</t>
  </si>
  <si>
    <t>Proposed Total Revenue Requirement by Class before TOA</t>
  </si>
  <si>
    <t>Proposed Total Revenue Requirement by Class after TOA</t>
  </si>
  <si>
    <t>Foregone Revenue Rate Rider - fixed rate</t>
  </si>
  <si>
    <t>Foregone Revenue Rate Rider - variable rate</t>
  </si>
  <si>
    <t>Foregone Revenue Rate Rider - fixed rate - customer</t>
  </si>
  <si>
    <t>Foregone Revenue Rate Rider - variable rate - connection</t>
  </si>
  <si>
    <t>STREETLIGHTING</t>
  </si>
  <si>
    <t>AMOUNT FOR CLEARANCE</t>
  </si>
  <si>
    <t>Secondary Customer Base</t>
  </si>
  <si>
    <t>Scanning Allocation - Secondary Customer Base (%)</t>
  </si>
  <si>
    <t>Remediation Allocation - Secondary Customer Base (%)</t>
  </si>
  <si>
    <t>Recovery Amount With Interest (Dec 2009 to Oct 2010)</t>
  </si>
  <si>
    <t xml:space="preserve">2009 Secondary Customer Base  </t>
  </si>
  <si>
    <t>Rate Riders - 18 Months Recovery</t>
  </si>
  <si>
    <t>Late Payment Penalty</t>
  </si>
  <si>
    <t>Allocation and Billing Factors (21 Months Recovery)</t>
  </si>
  <si>
    <t>2009 - Historical Number of Customers (year-end)</t>
  </si>
  <si>
    <t>2009 -  Historical Distribution Revenue</t>
  </si>
  <si>
    <t>Total Recovery (21 Months Recovery)</t>
  </si>
  <si>
    <t>2009 Distribution Revenue</t>
  </si>
  <si>
    <t>2011/12 LPP Rate Rider</t>
  </si>
  <si>
    <t>Customer/ Connections per 30 days</t>
  </si>
  <si>
    <t>Note:</t>
  </si>
  <si>
    <t>Rate Riders - Incremental Rev Reg for May to June 2011 to be recovered in the next subsequent 9 months</t>
  </si>
  <si>
    <t>Forgone Rev. Req. Rate Rider - Fix (Customer)</t>
  </si>
  <si>
    <t>Forgone Rev. Req. Rate Rider - Fix (Connections)</t>
  </si>
  <si>
    <t>Forgone Rev. Req. Rate Rider - Variable (kWh)</t>
  </si>
  <si>
    <t>Forgone Rev. Req. Rate Rider - Variable (kVa)</t>
  </si>
  <si>
    <t>These Rate Riders reflect the decision of the Board in EB-2010-0295.</t>
  </si>
  <si>
    <t>Proposed Aug 1 Implementation</t>
  </si>
  <si>
    <t>2011 Loss Revenue Rate Rider Calculations</t>
  </si>
  <si>
    <t>Number of Customers - Jan  2011 to Dec 2011</t>
  </si>
  <si>
    <t>Number of Connections - Jan 2011 to Dec 2011</t>
  </si>
  <si>
    <t>Number of kWh - Jan 2011 to Dec 2011</t>
  </si>
  <si>
    <t>Number of kVA - Jan 2011 to Dec 2011</t>
  </si>
  <si>
    <t xml:space="preserve">Number of Customers - May to July 2011 </t>
  </si>
  <si>
    <t>Number of Connections - May to July 2011</t>
  </si>
  <si>
    <t>Number of kWh - May to July 2011</t>
  </si>
  <si>
    <t>Number of kVA - May to July 2011</t>
  </si>
  <si>
    <t>Number of Customers - Balance</t>
  </si>
  <si>
    <t>Number of Connections - Balance</t>
  </si>
  <si>
    <t>Number of kWh - Balance</t>
  </si>
  <si>
    <t>Number of kVA - Balance</t>
  </si>
  <si>
    <t>Number of Customers @ Fix Current Rates - May to July 2011</t>
  </si>
  <si>
    <t>Number of Connections @ Fix Current Rates - May to July 2011</t>
  </si>
  <si>
    <t>Number of kWh @ Fix Current Rates - May and July 2011</t>
  </si>
  <si>
    <t>Number of kVa @ Fix Current Rates - May and July 2011</t>
  </si>
  <si>
    <t>Number of Customers @ Proposed Fix Rates - May to July 2011</t>
  </si>
  <si>
    <t>Number of Connections @ Proposed Fix Rates - May to July 2011</t>
  </si>
  <si>
    <t>Number of kWh @ Proposed Fix Rates - May to July 2011</t>
  </si>
  <si>
    <t>Number of kVa @ Proposed Fix Rates - May and July 2011</t>
  </si>
  <si>
    <t>Number of Customers - Incremental Rev. Reg  for May to July 2011</t>
  </si>
  <si>
    <t>Number of Connections - Incremental Rev. Reg  for May to July 2011</t>
  </si>
  <si>
    <t>Number of kWh - Incremental Rev. Reg  for May to July 2011</t>
  </si>
  <si>
    <t>Number of kVa - Incremental Rev. Reg  for May to July 2011</t>
  </si>
  <si>
    <t>Rates for 2012 - Prefile</t>
  </si>
  <si>
    <t>2012 EDR Forecast Data by Class</t>
  </si>
  <si>
    <t>2012 Forecast</t>
  </si>
  <si>
    <t>2012 Forecast with 2011 Rev Allocation</t>
  </si>
  <si>
    <t>2012 Load with 2011 Rates</t>
  </si>
  <si>
    <t>2012 CAS</t>
  </si>
  <si>
    <t>% of Total Revenue Requirement with NI (without LU)</t>
  </si>
  <si>
    <t>TOA</t>
  </si>
  <si>
    <t>&lt;-- TOA</t>
  </si>
  <si>
    <t>Previous Year REV REQ</t>
  </si>
  <si>
    <t>2012 WHOLESALE Transmission</t>
  </si>
  <si>
    <t>Provincial Transmission Service Rates per kW (Effective Jan 2011)</t>
  </si>
  <si>
    <t>2012 RETAIL Transmission</t>
  </si>
  <si>
    <t>2012 WHOLESALE Transmission Allocation</t>
  </si>
  <si>
    <t>2011 Switch Gear Credit Used AS Proxy</t>
  </si>
  <si>
    <t>Proposed 2012 RETAIL Transmission with Switch Gear Credit (30 Days of Servcie)</t>
  </si>
  <si>
    <t>RARA - 2012</t>
  </si>
  <si>
    <t>UNMETERED  SCATTER LOAD</t>
  </si>
  <si>
    <t>2012 Forecast Load by Class</t>
  </si>
  <si>
    <t xml:space="preserve">2011 Approved Distribution Revenue </t>
  </si>
  <si>
    <t xml:space="preserve">2012 kWh </t>
  </si>
  <si>
    <t>2008 Non RPP Allocation in each Rate Class</t>
  </si>
  <si>
    <t>2011 Revenue Offsets Allocation</t>
  </si>
  <si>
    <t>2009 Reg Assets Recovery</t>
  </si>
  <si>
    <t>2012 KWh</t>
  </si>
  <si>
    <t>RSVAPower - Power Only</t>
  </si>
  <si>
    <t xml:space="preserve">Special Purpose Charge Variance Account  </t>
  </si>
  <si>
    <t xml:space="preserve">Gains on Sale Variance </t>
  </si>
  <si>
    <t>2009 RARA variances</t>
  </si>
  <si>
    <t>Rate Riders</t>
  </si>
  <si>
    <t>per kWh/kVa</t>
  </si>
  <si>
    <t>12 Months Recovery</t>
  </si>
  <si>
    <t>Regulatory Assets - 2011/12 Rate Rider</t>
  </si>
  <si>
    <t>2012 - Smart Meters Rate Rider</t>
  </si>
  <si>
    <t>UNMETERED  SCATTERED LOAD</t>
  </si>
  <si>
    <t>Total Number of Metered Customers - 2012 Forecast</t>
  </si>
  <si>
    <t>Smart Meters Installed - Cumulative to Date</t>
  </si>
  <si>
    <t>Smart Meter - Stranded Costs</t>
  </si>
  <si>
    <t>Smart Meter - Capex and Opex</t>
  </si>
  <si>
    <t>Rate Riders (36 Months Recovery)</t>
  </si>
  <si>
    <t>per Customer/30 Days</t>
  </si>
  <si>
    <t>LRAM</t>
  </si>
  <si>
    <t xml:space="preserve">GS - 50 to 1000 kW   </t>
  </si>
  <si>
    <t xml:space="preserve">2012 EDR Data by Class </t>
  </si>
  <si>
    <t xml:space="preserve">2008 - 2010 LRAM </t>
  </si>
  <si>
    <t>Decision/ALLOCATOR</t>
  </si>
  <si>
    <t>kWh or kVA</t>
  </si>
  <si>
    <t xml:space="preserve">RARA (Global Adjustment Only - 2012) </t>
  </si>
  <si>
    <t>Distribution kWh for Global Adjustment Recovery</t>
  </si>
  <si>
    <t>2008 of Non RPP KWH as a % of the total Rate Class kWh</t>
  </si>
  <si>
    <t>RSVA - Power (Global Adjustment Only)</t>
  </si>
  <si>
    <t>Table 1</t>
  </si>
  <si>
    <t>Annual Change</t>
  </si>
  <si>
    <t>Rate Class</t>
  </si>
  <si>
    <t>Residential (800 kWh)</t>
  </si>
  <si>
    <t xml:space="preserve">  Distribution</t>
  </si>
  <si>
    <t xml:space="preserve">  Rate Rider</t>
  </si>
  <si>
    <t xml:space="preserve">  Distribution and Rate Rider</t>
  </si>
  <si>
    <t xml:space="preserve">  Total Bill</t>
  </si>
  <si>
    <t>General Service &lt;50 kW (2,000 kWh)</t>
  </si>
  <si>
    <t>GS 50-999 kW (349 kW, 388 kVA and 150,000 kWh)</t>
  </si>
  <si>
    <t>GS 1000-4,999 kW (1,600 kW, 1,778 kVA, and 800,000 kWh)</t>
  </si>
  <si>
    <t>Large Use (8,491 kW, 9,434 kVA and 4,500,000 kWh)</t>
  </si>
  <si>
    <t>Streetlighting (162,353 Connections, 25,506 kW and 9,182,013 kWh)</t>
  </si>
  <si>
    <t>Unmetered Scattered Load (1 Connection, 1 kW and 365 kWh)</t>
  </si>
  <si>
    <t>Note: Rate Riders include proposed Contact Voltage Rate Rider</t>
  </si>
  <si>
    <t>2012 Summary Bill Comparisons</t>
  </si>
  <si>
    <t>Regulatory Assets - Global Adjustment -  RPP</t>
  </si>
  <si>
    <t>VERSION 1.2</t>
  </si>
  <si>
    <t>Incremental Revenue Requirement Calculation</t>
  </si>
  <si>
    <t>Net Fixed Assets</t>
  </si>
  <si>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</si>
  <si>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</si>
  <si>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</si>
  <si>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</si>
  <si>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</si>
  <si>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</si>
  <si>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</si>
  <si>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</si>
  <si>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</si>
  <si>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</si>
  <si>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</si>
  <si>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</si>
  <si>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 xml:space="preserve">Direct Benefit </t>
  </si>
  <si>
    <t>Capital</t>
  </si>
  <si>
    <t>Direct Benefit % on capital</t>
  </si>
  <si>
    <t>Direct Benefit on capital</t>
  </si>
  <si>
    <t>Total Direct Benefit</t>
  </si>
  <si>
    <t>Total # of Customers (excl connections)</t>
  </si>
  <si>
    <t>GEA Rate Rider per customer per 30 days</t>
  </si>
  <si>
    <t>Monthly Amount Paid by IESO</t>
  </si>
  <si>
    <t/>
  </si>
  <si>
    <t>Unmetered Scattered Load (connection)</t>
  </si>
  <si>
    <t>Street Lights</t>
  </si>
  <si>
    <t>Large Users &gt; 5000 kW</t>
  </si>
  <si>
    <t>GS 1000 kW t0 4999 kW</t>
  </si>
  <si>
    <t>GS 50 kW to 999 kW</t>
  </si>
  <si>
    <t>GS Less then 50 kW</t>
  </si>
  <si>
    <t>Quadlogic</t>
  </si>
  <si>
    <t>Deferral/Variance Account Rate Rider</t>
  </si>
  <si>
    <t>RTSR - Connection - DVR</t>
  </si>
  <si>
    <t>RTSR - Network - DVR</t>
  </si>
  <si>
    <t>ICM Rate Rider - DVR</t>
  </si>
  <si>
    <t>ICM Rate Rider - MFC</t>
  </si>
  <si>
    <t>2011 Unfunded Capex Rate Rider - DVR</t>
  </si>
  <si>
    <t>2011 Unfunded Capex Rate Rider - MFC</t>
  </si>
  <si>
    <t>DVR</t>
  </si>
  <si>
    <t>MFC</t>
  </si>
  <si>
    <t>Rate Classes</t>
  </si>
  <si>
    <t xml:space="preserve">Unmetered Scattered Load </t>
  </si>
  <si>
    <t xml:space="preserve">                                                                                            </t>
  </si>
  <si>
    <t>2012 (With Dead Band)</t>
  </si>
  <si>
    <t>334 kWh</t>
  </si>
  <si>
    <t>Rounded</t>
  </si>
  <si>
    <t>Shared Tax Savings Rate Rider - DVR</t>
  </si>
  <si>
    <t>Shared Tax Savings Rate ider - DVR</t>
  </si>
  <si>
    <t>GS &lt; 50 kW</t>
  </si>
  <si>
    <t>GS &gt; 50 &lt; 1000</t>
  </si>
  <si>
    <t>GS &gt; 1000 &lt; 5000</t>
  </si>
  <si>
    <t>LU</t>
  </si>
  <si>
    <t>USL</t>
  </si>
  <si>
    <t>Share Tax Saving</t>
  </si>
  <si>
    <t>2011 Unfunded Capex Rate Rider - MFC (Connection)</t>
  </si>
  <si>
    <t>Competitive Sector Multi-Unit Residential</t>
  </si>
  <si>
    <t>INPUT</t>
  </si>
  <si>
    <t>2013 (With Dead Band)</t>
  </si>
  <si>
    <t>2012 ICM Rate Rider in 2013 - MFR</t>
  </si>
  <si>
    <t>2012 ICM Rate Rider in 2013 - DVR</t>
  </si>
  <si>
    <t>2014 (With Dead Band)</t>
  </si>
  <si>
    <t>2012 ICM Rate Rider in 2014 - MFR</t>
  </si>
  <si>
    <t>2012 ICM Rate Rider in 2014 - DVR</t>
  </si>
  <si>
    <t>2013 ICM Rate Rider in 2014 - MFR</t>
  </si>
  <si>
    <t>2013 ICM Rate Rider in 2014 - DVR</t>
  </si>
  <si>
    <t>2012 ICM Rate Adder - MFC</t>
  </si>
  <si>
    <t>2012 ICM Rate Adder - DVR</t>
  </si>
  <si>
    <t>2013 ICM Rate Addder - MFC</t>
  </si>
  <si>
    <t>2013 ICM Rate Adder - DVR</t>
  </si>
  <si>
    <t>2012 ICM Rate Adder - MFC (Connection)</t>
  </si>
  <si>
    <t>2013 ICM Rate Adder - MFC (Connection)</t>
  </si>
  <si>
    <t>2013 IRM Rate - MFC</t>
  </si>
  <si>
    <t>2013 IRM Rate  - DVR</t>
  </si>
  <si>
    <t>2013 Summary Table - With Dead Band</t>
  </si>
  <si>
    <t>2012 Interim</t>
  </si>
  <si>
    <t>2012 Foregone IRM Rate Rider - MFC</t>
  </si>
  <si>
    <t>2012 Foregone IRM Rate Rider - DVR</t>
  </si>
  <si>
    <t>2012 Foregone IRM Rate Rider - MFC (Connection)</t>
  </si>
  <si>
    <t>V4.0</t>
  </si>
  <si>
    <t>2012 IRM Rate Rider - MFC</t>
  </si>
  <si>
    <t>2012 IRM Rate Rider - DVR</t>
  </si>
  <si>
    <t>Updated</t>
  </si>
  <si>
    <t>2013 ICM Rate Adder - MFC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</si>
</sst>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0.0%"/>
    <numFmt numFmtId="173" formatCode="_-* #,##0_-;\-* #,##0_-;_-* &quot;-&quot;??_-;_-@_-"/>
    <numFmt numFmtId="174" formatCode="_(* #,##0_);_(* \(#,##0\);_(* &quot;-&quot;??_);_(@_)"/>
    <numFmt numFmtId="175" formatCode="_(&quot;$&quot;* #,##0_);_(&quot;$&quot;* \(#,##0\);_(&quot;$&quot;* &quot;-&quot;??_);_(@_)"/>
    <numFmt numFmtId="176" formatCode="0.0000%"/>
    <numFmt numFmtId="177" formatCode="_(&quot;$&quot;* #,##0.00000_);_(&quot;$&quot;* \(#,##0.00000\);_(&quot;$&quot;* &quot;-&quot;??_);_(@_)"/>
    <numFmt numFmtId="178" formatCode="_(* #,##0.00000_);_(* \(#,##0.00000\);_(* &quot;-&quot;??_);_(@_)"/>
    <numFmt numFmtId="179" formatCode="_(&quot;$&quot;* #,##0.0000_);_(&quot;$&quot;* \(#,##0.0000\);_(&quot;$&quot;* &quot;-&quot;??_);_(@_)"/>
    <numFmt numFmtId="180" formatCode="0.0000"/>
    <numFmt numFmtId="181" formatCode="#,##0.00000"/>
    <numFmt numFmtId="182" formatCode="#,##0.0000"/>
    <numFmt numFmtId="183" formatCode="_(* #,##0.0000_);_(* \(#,##0.0000\);_(* &quot;-&quot;??_);_(@_)"/>
    <numFmt numFmtId="184" formatCode="_-* #,##0.0000_-;\-* #,##0.0000_-;_-* &quot;-&quot;??_-;_-@_-"/>
    <numFmt numFmtId="185" formatCode="0.00000"/>
    <numFmt numFmtId="186" formatCode="_-&quot;$&quot;\ #,##0.00_-;\-&quot;$&quot;\ #,##0.00_-;_-&quot;$&quot;\ &quot;-&quot;??_-;_-@_-"/>
    <numFmt numFmtId="187" formatCode="_-&quot;$&quot;* #,##0_-;\-&quot;$&quot;* #,##0_-;_-&quot;$&quot;* &quot;-&quot;??_-;_-@_-"/>
    <numFmt numFmtId="188" formatCode="_-&quot;$&quot;\ #,##0.00000_-;\-&quot;$&quot;\ #,##0.00000_-;_-&quot;$&quot;\ &quot;-&quot;??_-;_-@_-"/>
    <numFmt numFmtId="189" formatCode="_-&quot;$&quot;\ #,##0.0000_-;\-&quot;$&quot;\ #,##0.0000_-;_-&quot;$&quot;\ &quot;-&quot;??_-;_-@_-"/>
    <numFmt numFmtId="190" formatCode="_-&quot;$&quot;* #,##0.00000_-;\-&quot;$&quot;* #,##0.00000_-;_-&quot;$&quot;* &quot;-&quot;??_-;_-@_-"/>
    <numFmt numFmtId="191" formatCode="_-&quot;$&quot;* #,##0.0000_-;\-&quot;$&quot;* #,##0.0000_-;_-&quot;$&quot;* &quot;-&quot;??_-;_-@_-"/>
    <numFmt numFmtId="192" formatCode="&quot;$&quot;#,##0"/>
    <numFmt numFmtId="193" formatCode="_(* #,##0.00000000_);_(* \(#,##0.00000000\);_(* &quot;-&quot;??_);_(@_)"/>
    <numFmt numFmtId="194" formatCode="_(* #,##0.0_);_(* \(#,##0.0\);_(* &quot;-&quot;??_);_(@_)"/>
    <numFmt numFmtId="195" formatCode="&quot;£ &quot;#,##0.00;[Red]\-&quot;£ &quot;#,##0.00"/>
    <numFmt numFmtId="196" formatCode="#,##0.0"/>
    <numFmt numFmtId="197" formatCode="##\-#"/>
    <numFmt numFmtId="198" formatCode="0\-0"/>
    <numFmt numFmtId="199" formatCode="&quot;$&quot;#,##0.00000_);\(&quot;$&quot;#,##0.00000\)"/>
    <numFmt numFmtId="200" formatCode="&quot;$&quot;#,##0.0000_);\(&quot;$&quot;#,##0.0000\)"/>
    <numFmt numFmtId="201" formatCode="_(* #,##0.000_);_(* \(#,##0.000\);_(* &quot;-&quot;??_);_(@_)"/>
    <numFmt numFmtId="202" formatCode="_(&quot;$&quot;* #,##0.000_);_(&quot;$&quot;* \(#,##0.000\);_(&quot;$&quot;* &quot;-&quot;??_);_(@_)"/>
    <numFmt numFmtId="203" formatCode="_(&quot;$&quot;* #,##0.0000000_);_(&quot;$&quot;* \(#,##0.0000000\);_(&quot;$&quot;* &quot;-&quot;??_);_(@_)"/>
    <numFmt numFmtId="204" formatCode="_-* #,##0.00000_-;\-* #,##0.00000_-;_-* &quot;-&quot;??_-;_-@_-"/>
    <numFmt numFmtId="205" formatCode="[$-1009]d\-mmm\-yy;@"/>
    <numFmt numFmtId="206" formatCode="0.00_)"/>
    <numFmt numFmtId="207" formatCode="mm/dd/yyyy"/>
    <numFmt numFmtId="208" formatCode="_(* #,##0.000000_);_(* \(#,##0.000000\);_(* &quot;-&quot;??_);_(@_)"/>
    <numFmt numFmtId="209" formatCode="#,##0.00;\(#,##0.00\)"/>
    <numFmt numFmtId="210" formatCode="_(&quot;$&quot;* #,##0.00000_);_(&quot;$&quot;* \(#,##0.00000\);_(&quot;$&quot;* &quot;-&quot;?????_);_(@_)"/>
    <numFmt numFmtId="211" formatCode="_(&quot;$&quot;* #,##0.0000_);_(&quot;$&quot;* \(#,##0.0000\);_(&quot;$&quot;* &quot;-&quot;????_);_(@_)"/>
    <numFmt numFmtId="212" formatCode="0.000000000"/>
    <numFmt numFmtId="213" formatCode="0.0000000"/>
    <numFmt numFmtId="214" formatCode="&quot;$&quot;#,##0.0000"/>
    <numFmt numFmtId="215" formatCode="&quot;$&quot;#,##0.00"/>
    <numFmt numFmtId="216" formatCode="&quot;$&quot;#,##0.000000"/>
    <numFmt numFmtId="217" formatCode="&quot;$&quot;#,##0.00000"/>
  </numFmts>
  <fonts count="8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24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b/>
      <u/>
      <sz val="20"/>
      <color indexed="10"/>
      <name val="Times New Roman"/>
      <family val="1"/>
    </font>
    <font>
      <b/>
      <i/>
      <sz val="12"/>
      <color indexed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10"/>
      <name val="Times New Roman"/>
      <family val="1"/>
    </font>
    <font>
      <b/>
      <i/>
      <sz val="14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color indexed="20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20"/>
      <color indexed="60"/>
      <name val="Times New Roman"/>
      <family val="1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Tahoma"/>
      <family val="2"/>
    </font>
    <font>
      <b/>
      <sz val="12"/>
      <name val="Arial"/>
      <family val="2"/>
      <charset val="162"/>
    </font>
    <font>
      <sz val="7"/>
      <name val="Small Fonts"/>
      <family val="2"/>
    </font>
    <font>
      <b/>
      <i/>
      <sz val="16"/>
      <name val="Helv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name val="Times New Roman"/>
      <family val="1"/>
      <charset val="162"/>
    </font>
    <font>
      <sz val="12"/>
      <name val="Arial Cyr"/>
      <charset val="204"/>
    </font>
    <font>
      <sz val="10"/>
      <name val="Century Gothic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b/>
      <sz val="14"/>
      <color indexed="16"/>
      <name val="Arial"/>
      <family val="2"/>
    </font>
    <font>
      <b/>
      <sz val="14"/>
      <color indexed="16"/>
      <name val="Times New Roman"/>
      <family val="1"/>
    </font>
    <font>
      <b/>
      <sz val="12"/>
      <color indexed="20"/>
      <name val="Times New Roman"/>
      <family val="1"/>
    </font>
    <font>
      <b/>
      <sz val="14"/>
      <color indexed="61"/>
      <name val="Times New Roman"/>
      <family val="1"/>
    </font>
    <font>
      <b/>
      <sz val="20"/>
      <color indexed="10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56">
    <xf numFmtId="0" fontId="0" fillId="0" borderId="0"/>
    <xf numFmtId="194" fontId="31" fillId="0" borderId="0"/>
    <xf numFmtId="194" fontId="1" fillId="0" borderId="0"/>
    <xf numFmtId="196" fontId="31" fillId="0" borderId="0"/>
    <xf numFmtId="196" fontId="1" fillId="0" borderId="0"/>
    <xf numFmtId="14" fontId="31" fillId="0" borderId="0"/>
    <xf numFmtId="14" fontId="1" fillId="0" borderId="0"/>
    <xf numFmtId="207" fontId="1" fillId="0" borderId="0"/>
    <xf numFmtId="198" fontId="31" fillId="0" borderId="0"/>
    <xf numFmtId="198" fontId="1" fillId="0" borderId="0"/>
    <xf numFmtId="0" fontId="1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1" fillId="0" borderId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3" borderId="0" applyNumberFormat="0" applyBorder="0" applyAlignment="0" applyProtection="0"/>
    <xf numFmtId="0" fontId="19" fillId="0" borderId="0"/>
    <xf numFmtId="0" fontId="66" fillId="20" borderId="1" applyNumberFormat="0" applyAlignment="0" applyProtection="0"/>
    <xf numFmtId="0" fontId="37" fillId="21" borderId="2" applyNumberFormat="0" applyAlignment="0" applyProtection="0"/>
    <xf numFmtId="4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0" fontId="7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78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0" fontId="80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36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" fontId="33" fillId="0" borderId="0"/>
    <xf numFmtId="0" fontId="52" fillId="0" borderId="0"/>
    <xf numFmtId="4" fontId="33" fillId="0" borderId="0"/>
    <xf numFmtId="0" fontId="52" fillId="0" borderId="3"/>
    <xf numFmtId="14" fontId="3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67" fillId="0" borderId="0" applyNumberFormat="0" applyFill="0" applyBorder="0" applyAlignment="0" applyProtection="0"/>
    <xf numFmtId="2" fontId="3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68" fillId="4" borderId="0" applyNumberFormat="0" applyBorder="0" applyAlignment="0" applyProtection="0"/>
    <xf numFmtId="38" fontId="24" fillId="22" borderId="0" applyNumberFormat="0" applyBorder="0" applyAlignment="0" applyProtection="0"/>
    <xf numFmtId="0" fontId="44" fillId="0" borderId="4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4" fillId="0" borderId="5">
      <alignment horizontal="left" vertical="center"/>
    </xf>
    <xf numFmtId="0" fontId="23" fillId="0" borderId="0" applyNumberFormat="0" applyFont="0" applyFill="0" applyAlignment="0" applyProtection="0"/>
    <xf numFmtId="0" fontId="69" fillId="0" borderId="6" applyNumberFormat="0" applyFill="0" applyAlignment="0" applyProtection="0"/>
    <xf numFmtId="0" fontId="25" fillId="0" borderId="0" applyNumberFormat="0" applyFont="0" applyFill="0" applyAlignment="0" applyProtection="0"/>
    <xf numFmtId="0" fontId="70" fillId="0" borderId="7" applyNumberFormat="0" applyFill="0" applyAlignment="0" applyProtection="0"/>
    <xf numFmtId="0" fontId="71" fillId="0" borderId="8" applyNumberFormat="0" applyFill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10" fontId="24" fillId="23" borderId="9" applyNumberFormat="0" applyBorder="0" applyAlignment="0" applyProtection="0"/>
    <xf numFmtId="10" fontId="24" fillId="23" borderId="9" applyNumberFormat="0" applyBorder="0" applyAlignment="0" applyProtection="0"/>
    <xf numFmtId="0" fontId="72" fillId="7" borderId="1" applyNumberFormat="0" applyAlignment="0" applyProtection="0"/>
    <xf numFmtId="0" fontId="53" fillId="24" borderId="3"/>
    <xf numFmtId="0" fontId="73" fillId="0" borderId="10" applyNumberFormat="0" applyFill="0" applyAlignment="0" applyProtection="0"/>
    <xf numFmtId="197" fontId="31" fillId="0" borderId="0"/>
    <xf numFmtId="197" fontId="1" fillId="0" borderId="0"/>
    <xf numFmtId="174" fontId="31" fillId="0" borderId="0"/>
    <xf numFmtId="174" fontId="1" fillId="0" borderId="0"/>
    <xf numFmtId="0" fontId="74" fillId="25" borderId="0" applyNumberFormat="0" applyBorder="0" applyAlignment="0" applyProtection="0"/>
    <xf numFmtId="37" fontId="45" fillId="0" borderId="0"/>
    <xf numFmtId="0" fontId="19" fillId="0" borderId="0"/>
    <xf numFmtId="195" fontId="31" fillId="0" borderId="0"/>
    <xf numFmtId="206" fontId="46" fillId="0" borderId="0"/>
    <xf numFmtId="195" fontId="1" fillId="0" borderId="0"/>
    <xf numFmtId="206" fontId="46" fillId="0" borderId="0"/>
    <xf numFmtId="0" fontId="78" fillId="0" borderId="0"/>
    <xf numFmtId="0" fontId="78" fillId="0" borderId="0"/>
    <xf numFmtId="0" fontId="36" fillId="0" borderId="0">
      <alignment vertical="top"/>
    </xf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36" fillId="0" borderId="0">
      <alignment vertical="top"/>
    </xf>
    <xf numFmtId="0" fontId="36" fillId="0" borderId="0">
      <alignment vertical="top"/>
    </xf>
    <xf numFmtId="0" fontId="78" fillId="0" borderId="0"/>
    <xf numFmtId="0" fontId="36" fillId="0" borderId="0">
      <alignment vertical="top"/>
    </xf>
    <xf numFmtId="0" fontId="36" fillId="0" borderId="0">
      <alignment vertical="top"/>
    </xf>
    <xf numFmtId="0" fontId="78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205" fontId="19" fillId="0" borderId="0"/>
    <xf numFmtId="0" fontId="26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5" fontId="19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36" fillId="0" borderId="0">
      <alignment vertical="top"/>
    </xf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78" fillId="0" borderId="0"/>
    <xf numFmtId="0" fontId="39" fillId="0" borderId="0"/>
    <xf numFmtId="0" fontId="79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36" fillId="0" borderId="0">
      <alignment vertical="top"/>
    </xf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40" borderId="74" applyNumberFormat="0" applyFont="0" applyAlignment="0" applyProtection="0"/>
    <xf numFmtId="0" fontId="1" fillId="26" borderId="11" applyNumberFormat="0" applyFont="0" applyAlignment="0" applyProtection="0"/>
    <xf numFmtId="0" fontId="75" fillId="20" borderId="12" applyNumberFormat="0" applyAlignment="0" applyProtection="0"/>
    <xf numFmtId="40" fontId="36" fillId="27" borderId="0">
      <alignment horizontal="right"/>
    </xf>
    <xf numFmtId="0" fontId="42" fillId="23" borderId="0">
      <alignment horizontal="center"/>
    </xf>
    <xf numFmtId="0" fontId="41" fillId="27" borderId="0"/>
    <xf numFmtId="0" fontId="37" fillId="28" borderId="0"/>
    <xf numFmtId="0" fontId="47" fillId="0" borderId="0" applyBorder="0">
      <alignment horizontal="centerContinuous"/>
    </xf>
    <xf numFmtId="0" fontId="48" fillId="0" borderId="0" applyBorder="0">
      <alignment horizontal="centerContinuous"/>
    </xf>
    <xf numFmtId="9" fontId="78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ill="0" applyBorder="0" applyAlignment="0" applyProtection="0"/>
    <xf numFmtId="9" fontId="8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/>
    <xf numFmtId="0" fontId="49" fillId="0" borderId="0"/>
    <xf numFmtId="0" fontId="49" fillId="0" borderId="0"/>
    <xf numFmtId="0" fontId="1" fillId="0" borderId="0"/>
    <xf numFmtId="0" fontId="52" fillId="0" borderId="3"/>
    <xf numFmtId="0" fontId="54" fillId="0" borderId="0"/>
    <xf numFmtId="0" fontId="76" fillId="0" borderId="0" applyNumberFormat="0" applyFill="0" applyBorder="0" applyAlignment="0" applyProtection="0"/>
    <xf numFmtId="0" fontId="1" fillId="0" borderId="14" applyNumberFormat="0" applyFont="0" applyBorder="0" applyAlignment="0" applyProtection="0"/>
    <xf numFmtId="0" fontId="41" fillId="0" borderId="13" applyNumberFormat="0" applyFill="0" applyAlignment="0" applyProtection="0"/>
    <xf numFmtId="0" fontId="3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1" fillId="0" borderId="14" applyNumberFormat="0" applyFont="0" applyBorder="0" applyAlignment="0" applyProtection="0"/>
    <xf numFmtId="0" fontId="53" fillId="0" borderId="15"/>
    <xf numFmtId="0" fontId="53" fillId="0" borderId="3"/>
    <xf numFmtId="0" fontId="77" fillId="0" borderId="0" applyNumberFormat="0" applyFill="0" applyBorder="0" applyAlignment="0" applyProtection="0"/>
    <xf numFmtId="0" fontId="50" fillId="0" borderId="0"/>
  </cellStyleXfs>
  <cellXfs count="1145">
    <xf numFmtId="0" fontId="0" fillId="0" borderId="0" xfId="0"/>
    <xf numFmtId="0" fontId="0" fillId="0" borderId="0" xfId="0" applyAlignment="1">
      <alignment wrapText="1"/>
    </xf>
    <xf numFmtId="0" fontId="0" fillId="41" borderId="16" xfId="0" applyFill="1" applyBorder="1"/>
    <xf numFmtId="0" fontId="0" fillId="41" borderId="4" xfId="0" applyFill="1" applyBorder="1"/>
    <xf numFmtId="0" fontId="0" fillId="41" borderId="17" xfId="0" applyFill="1" applyBorder="1"/>
    <xf numFmtId="0" fontId="0" fillId="41" borderId="18" xfId="0" applyFill="1" applyBorder="1"/>
    <xf numFmtId="0" fontId="0" fillId="41" borderId="19" xfId="0" applyFill="1" applyBorder="1" applyAlignment="1">
      <alignment wrapText="1"/>
    </xf>
    <xf numFmtId="0" fontId="0" fillId="41" borderId="20" xfId="0" applyFill="1" applyBorder="1" applyAlignment="1">
      <alignment wrapText="1"/>
    </xf>
    <xf numFmtId="0" fontId="0" fillId="41" borderId="21" xfId="0" applyFill="1" applyBorder="1" applyAlignment="1">
      <alignment wrapText="1"/>
    </xf>
    <xf numFmtId="0" fontId="81" fillId="41" borderId="22" xfId="0" applyFont="1" applyFill="1" applyBorder="1" applyAlignment="1">
      <alignment wrapText="1"/>
    </xf>
    <xf numFmtId="0" fontId="0" fillId="42" borderId="19" xfId="0" applyFill="1" applyBorder="1" applyAlignment="1">
      <alignment wrapText="1"/>
    </xf>
    <xf numFmtId="0" fontId="0" fillId="41" borderId="23" xfId="0" applyFill="1" applyBorder="1" applyAlignment="1">
      <alignment horizontal="center"/>
    </xf>
    <xf numFmtId="0" fontId="0" fillId="41" borderId="24" xfId="0" applyFill="1" applyBorder="1" applyAlignment="1">
      <alignment horizontal="center"/>
    </xf>
    <xf numFmtId="172" fontId="78" fillId="42" borderId="25" xfId="698" applyNumberFormat="1" applyFont="1" applyFill="1" applyBorder="1"/>
    <xf numFmtId="172" fontId="78" fillId="42" borderId="25" xfId="698" applyNumberFormat="1" applyFont="1" applyFill="1" applyBorder="1" applyAlignment="1">
      <alignment horizontal="right"/>
    </xf>
    <xf numFmtId="172" fontId="78" fillId="41" borderId="25" xfId="698" applyNumberFormat="1" applyFont="1" applyFill="1" applyBorder="1"/>
    <xf numFmtId="172" fontId="78" fillId="41" borderId="26" xfId="698" applyNumberFormat="1" applyFont="1" applyFill="1" applyBorder="1"/>
    <xf numFmtId="0" fontId="0" fillId="27" borderId="19" xfId="0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4" fillId="0" borderId="0" xfId="0" applyFont="1" applyFill="1"/>
    <xf numFmtId="176" fontId="4" fillId="0" borderId="0" xfId="0" applyNumberFormat="1" applyFont="1" applyFill="1" applyBorder="1"/>
    <xf numFmtId="0" fontId="4" fillId="27" borderId="0" xfId="0" applyFont="1" applyFill="1" applyBorder="1"/>
    <xf numFmtId="0" fontId="16" fillId="0" borderId="0" xfId="0" applyFont="1" applyFill="1" applyBorder="1"/>
    <xf numFmtId="0" fontId="4" fillId="0" borderId="0" xfId="0" applyFont="1" applyFill="1" applyAlignment="1">
      <alignment horizontal="center" wrapText="1"/>
    </xf>
    <xf numFmtId="171" fontId="0" fillId="42" borderId="27" xfId="0" applyNumberFormat="1" applyFill="1" applyBorder="1"/>
    <xf numFmtId="171" fontId="0" fillId="42" borderId="28" xfId="0" applyNumberFormat="1" applyFill="1" applyBorder="1"/>
    <xf numFmtId="178" fontId="78" fillId="42" borderId="0" xfId="40" applyNumberFormat="1" applyFont="1" applyFill="1" applyBorder="1"/>
    <xf numFmtId="0" fontId="0" fillId="41" borderId="29" xfId="0" applyFill="1" applyBorder="1"/>
    <xf numFmtId="173" fontId="1" fillId="41" borderId="30" xfId="40" applyNumberFormat="1" applyFont="1" applyFill="1" applyBorder="1"/>
    <xf numFmtId="0" fontId="0" fillId="41" borderId="30" xfId="0" applyFill="1" applyBorder="1"/>
    <xf numFmtId="9" fontId="0" fillId="41" borderId="30" xfId="0" applyNumberFormat="1" applyFill="1" applyBorder="1"/>
    <xf numFmtId="9" fontId="0" fillId="41" borderId="31" xfId="0" applyNumberFormat="1" applyFill="1" applyBorder="1"/>
    <xf numFmtId="0" fontId="81" fillId="41" borderId="3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27" borderId="0" xfId="0" applyFont="1" applyFill="1" applyBorder="1" applyAlignment="1">
      <alignment horizontal="center"/>
    </xf>
    <xf numFmtId="0" fontId="2" fillId="27" borderId="33" xfId="0" applyFont="1" applyFill="1" applyBorder="1" applyAlignment="1">
      <alignment horizontal="center"/>
    </xf>
    <xf numFmtId="0" fontId="0" fillId="0" borderId="34" xfId="0" applyBorder="1" applyAlignment="1">
      <alignment wrapText="1"/>
    </xf>
    <xf numFmtId="0" fontId="0" fillId="42" borderId="32" xfId="0" applyFill="1" applyBorder="1"/>
    <xf numFmtId="178" fontId="0" fillId="42" borderId="0" xfId="0" applyNumberFormat="1" applyFill="1" applyBorder="1"/>
    <xf numFmtId="178" fontId="0" fillId="42" borderId="27" xfId="0" applyNumberFormat="1" applyFill="1" applyBorder="1" applyAlignment="1">
      <alignment horizontal="right"/>
    </xf>
    <xf numFmtId="178" fontId="0" fillId="41" borderId="0" xfId="0" applyNumberFormat="1" applyFill="1" applyBorder="1"/>
    <xf numFmtId="178" fontId="0" fillId="41" borderId="35" xfId="0" applyNumberFormat="1" applyFill="1" applyBorder="1"/>
    <xf numFmtId="171" fontId="0" fillId="41" borderId="28" xfId="0" applyNumberFormat="1" applyFill="1" applyBorder="1"/>
    <xf numFmtId="171" fontId="0" fillId="41" borderId="36" xfId="0" applyNumberFormat="1" applyFill="1" applyBorder="1"/>
    <xf numFmtId="174" fontId="0" fillId="42" borderId="28" xfId="0" applyNumberFormat="1" applyFill="1" applyBorder="1"/>
    <xf numFmtId="174" fontId="0" fillId="41" borderId="28" xfId="0" applyNumberFormat="1" applyFill="1" applyBorder="1"/>
    <xf numFmtId="171" fontId="78" fillId="42" borderId="0" xfId="40" applyNumberFormat="1" applyFont="1" applyFill="1" applyBorder="1"/>
    <xf numFmtId="171" fontId="0" fillId="42" borderId="0" xfId="0" applyNumberFormat="1" applyFill="1" applyBorder="1"/>
    <xf numFmtId="183" fontId="0" fillId="42" borderId="0" xfId="0" applyNumberFormat="1" applyFill="1" applyBorder="1"/>
    <xf numFmtId="183" fontId="78" fillId="42" borderId="0" xfId="40" applyNumberFormat="1" applyFont="1" applyFill="1" applyBorder="1"/>
    <xf numFmtId="171" fontId="0" fillId="41" borderId="27" xfId="0" applyNumberFormat="1" applyFill="1" applyBorder="1"/>
    <xf numFmtId="171" fontId="0" fillId="41" borderId="37" xfId="0" applyNumberFormat="1" applyFill="1" applyBorder="1"/>
    <xf numFmtId="171" fontId="0" fillId="41" borderId="35" xfId="0" applyNumberFormat="1" applyFill="1" applyBorder="1"/>
    <xf numFmtId="171" fontId="0" fillId="41" borderId="0" xfId="0" applyNumberFormat="1" applyFill="1" applyBorder="1"/>
    <xf numFmtId="43" fontId="78" fillId="42" borderId="28" xfId="40" applyFont="1" applyFill="1" applyBorder="1"/>
    <xf numFmtId="43" fontId="78" fillId="41" borderId="28" xfId="40" applyFont="1" applyFill="1" applyBorder="1"/>
    <xf numFmtId="173" fontId="78" fillId="42" borderId="28" xfId="40" applyNumberFormat="1" applyFont="1" applyFill="1" applyBorder="1"/>
    <xf numFmtId="173" fontId="78" fillId="41" borderId="28" xfId="40" applyNumberFormat="1" applyFont="1" applyFill="1" applyBorder="1"/>
    <xf numFmtId="43" fontId="78" fillId="41" borderId="23" xfId="40" applyFont="1" applyFill="1" applyBorder="1" applyAlignment="1">
      <alignment horizontal="center"/>
    </xf>
    <xf numFmtId="43" fontId="78" fillId="41" borderId="36" xfId="40" applyFont="1" applyFill="1" applyBorder="1"/>
    <xf numFmtId="43" fontId="78" fillId="0" borderId="0" xfId="40" applyFont="1" applyAlignment="1">
      <alignment horizontal="center"/>
    </xf>
    <xf numFmtId="43" fontId="1" fillId="41" borderId="30" xfId="40" applyFont="1" applyFill="1" applyBorder="1"/>
    <xf numFmtId="43" fontId="78" fillId="0" borderId="0" xfId="40" applyFont="1"/>
    <xf numFmtId="184" fontId="78" fillId="42" borderId="32" xfId="40" applyNumberFormat="1" applyFont="1" applyFill="1" applyBorder="1"/>
    <xf numFmtId="43" fontId="2" fillId="27" borderId="0" xfId="40" applyFont="1" applyFill="1" applyBorder="1" applyAlignment="1">
      <alignment horizontal="center"/>
    </xf>
    <xf numFmtId="0" fontId="0" fillId="42" borderId="28" xfId="0" applyFill="1" applyBorder="1"/>
    <xf numFmtId="43" fontId="0" fillId="42" borderId="27" xfId="0" applyNumberFormat="1" applyFill="1" applyBorder="1"/>
    <xf numFmtId="43" fontId="0" fillId="42" borderId="0" xfId="0" applyNumberFormat="1" applyFill="1" applyBorder="1"/>
    <xf numFmtId="0" fontId="24" fillId="0" borderId="0" xfId="0" applyFont="1" applyAlignment="1">
      <alignment horizontal="center"/>
    </xf>
    <xf numFmtId="0" fontId="24" fillId="27" borderId="0" xfId="0" applyFont="1" applyFill="1" applyAlignment="1">
      <alignment horizontal="center"/>
    </xf>
    <xf numFmtId="43" fontId="78" fillId="27" borderId="0" xfId="40" applyFont="1" applyFill="1" applyAlignment="1">
      <alignment wrapText="1"/>
    </xf>
    <xf numFmtId="43" fontId="78" fillId="0" borderId="0" xfId="40" applyFont="1" applyAlignment="1">
      <alignment wrapText="1"/>
    </xf>
    <xf numFmtId="0" fontId="0" fillId="0" borderId="0" xfId="0" applyAlignment="1"/>
    <xf numFmtId="0" fontId="0" fillId="27" borderId="0" xfId="0" applyFill="1" applyAlignment="1"/>
    <xf numFmtId="187" fontId="2" fillId="29" borderId="38" xfId="180" applyNumberFormat="1" applyFont="1" applyFill="1" applyBorder="1" applyAlignment="1"/>
    <xf numFmtId="43" fontId="78" fillId="27" borderId="0" xfId="40" applyFont="1" applyFill="1" applyAlignment="1"/>
    <xf numFmtId="188" fontId="0" fillId="27" borderId="0" xfId="0" applyNumberFormat="1" applyFill="1" applyAlignment="1"/>
    <xf numFmtId="43" fontId="78" fillId="0" borderId="0" xfId="40" applyFont="1" applyAlignment="1"/>
    <xf numFmtId="43" fontId="78" fillId="42" borderId="0" xfId="40" applyFont="1" applyFill="1" applyBorder="1"/>
    <xf numFmtId="0" fontId="1" fillId="42" borderId="0" xfId="0" applyFont="1" applyFill="1"/>
    <xf numFmtId="0" fontId="1" fillId="42" borderId="0" xfId="0" applyFont="1" applyFill="1" applyAlignment="1">
      <alignment horizontal="center" wrapText="1"/>
    </xf>
    <xf numFmtId="0" fontId="1" fillId="42" borderId="0" xfId="0" applyFont="1" applyFill="1" applyBorder="1" applyAlignment="1">
      <alignment horizontal="center"/>
    </xf>
    <xf numFmtId="0" fontId="1" fillId="42" borderId="0" xfId="0" applyFont="1" applyFill="1" applyBorder="1"/>
    <xf numFmtId="0" fontId="25" fillId="43" borderId="18" xfId="0" applyFont="1" applyFill="1" applyBorder="1" applyAlignment="1">
      <alignment vertical="center"/>
    </xf>
    <xf numFmtId="0" fontId="2" fillId="43" borderId="4" xfId="0" applyFont="1" applyFill="1" applyBorder="1" applyAlignment="1">
      <alignment horizontal="center" wrapText="1"/>
    </xf>
    <xf numFmtId="0" fontId="2" fillId="43" borderId="4" xfId="0" applyFont="1" applyFill="1" applyBorder="1" applyAlignment="1">
      <alignment horizontal="right" wrapText="1"/>
    </xf>
    <xf numFmtId="0" fontId="2" fillId="43" borderId="17" xfId="0" applyFont="1" applyFill="1" applyBorder="1" applyAlignment="1">
      <alignment horizontal="right" wrapText="1"/>
    </xf>
    <xf numFmtId="0" fontId="30" fillId="42" borderId="0" xfId="0" applyFont="1" applyFill="1" applyBorder="1"/>
    <xf numFmtId="0" fontId="2" fillId="43" borderId="19" xfId="0" applyFont="1" applyFill="1" applyBorder="1"/>
    <xf numFmtId="0" fontId="2" fillId="43" borderId="0" xfId="0" applyFont="1" applyFill="1" applyBorder="1"/>
    <xf numFmtId="0" fontId="2" fillId="43" borderId="0" xfId="0" applyFont="1" applyFill="1" applyBorder="1" applyAlignment="1">
      <alignment horizontal="center" wrapText="1"/>
    </xf>
    <xf numFmtId="0" fontId="2" fillId="43" borderId="0" xfId="0" applyFont="1" applyFill="1" applyBorder="1" applyAlignment="1">
      <alignment horizontal="center"/>
    </xf>
    <xf numFmtId="0" fontId="2" fillId="43" borderId="25" xfId="0" applyFont="1" applyFill="1" applyBorder="1" applyAlignment="1">
      <alignment horizontal="center"/>
    </xf>
    <xf numFmtId="172" fontId="1" fillId="42" borderId="0" xfId="698" applyNumberFormat="1" applyFont="1" applyFill="1" applyBorder="1"/>
    <xf numFmtId="0" fontId="2" fillId="42" borderId="0" xfId="0" applyFont="1" applyFill="1" applyBorder="1"/>
    <xf numFmtId="0" fontId="2" fillId="43" borderId="19" xfId="0" applyFont="1" applyFill="1" applyBorder="1" applyAlignment="1">
      <alignment vertical="center"/>
    </xf>
    <xf numFmtId="0" fontId="2" fillId="43" borderId="25" xfId="0" applyFont="1" applyFill="1" applyBorder="1"/>
    <xf numFmtId="0" fontId="2" fillId="43" borderId="19" xfId="0" applyFont="1" applyFill="1" applyBorder="1" applyAlignment="1">
      <alignment horizontal="left" indent="1"/>
    </xf>
    <xf numFmtId="174" fontId="1" fillId="43" borderId="0" xfId="40" applyNumberFormat="1" applyFont="1" applyFill="1" applyBorder="1" applyAlignment="1">
      <alignment horizontal="right"/>
    </xf>
    <xf numFmtId="174" fontId="1" fillId="43" borderId="0" xfId="40" applyNumberFormat="1" applyFont="1" applyFill="1" applyBorder="1"/>
    <xf numFmtId="174" fontId="2" fillId="43" borderId="25" xfId="40" applyNumberFormat="1" applyFont="1" applyFill="1" applyBorder="1"/>
    <xf numFmtId="0" fontId="1" fillId="43" borderId="0" xfId="0" applyFont="1" applyFill="1" applyBorder="1"/>
    <xf numFmtId="0" fontId="1" fillId="43" borderId="0" xfId="0" applyFont="1" applyFill="1" applyBorder="1" applyAlignment="1">
      <alignment horizontal="center" wrapText="1"/>
    </xf>
    <xf numFmtId="174" fontId="2" fillId="43" borderId="0" xfId="40" applyNumberFormat="1" applyFont="1" applyFill="1" applyBorder="1"/>
    <xf numFmtId="3" fontId="2" fillId="42" borderId="0" xfId="0" applyNumberFormat="1" applyFont="1" applyFill="1" applyBorder="1"/>
    <xf numFmtId="172" fontId="1" fillId="43" borderId="0" xfId="698" applyNumberFormat="1" applyFont="1" applyFill="1" applyBorder="1"/>
    <xf numFmtId="172" fontId="2" fillId="43" borderId="25" xfId="698" applyNumberFormat="1" applyFont="1" applyFill="1" applyBorder="1"/>
    <xf numFmtId="0" fontId="2" fillId="43" borderId="20" xfId="0" applyFont="1" applyFill="1" applyBorder="1" applyAlignment="1">
      <alignment horizontal="left" indent="1"/>
    </xf>
    <xf numFmtId="0" fontId="1" fillId="43" borderId="35" xfId="0" applyFont="1" applyFill="1" applyBorder="1"/>
    <xf numFmtId="0" fontId="1" fillId="43" borderId="35" xfId="0" applyFont="1" applyFill="1" applyBorder="1" applyAlignment="1">
      <alignment horizontal="center" wrapText="1"/>
    </xf>
    <xf numFmtId="172" fontId="1" fillId="43" borderId="35" xfId="0" applyNumberFormat="1" applyFont="1" applyFill="1" applyBorder="1"/>
    <xf numFmtId="172" fontId="2" fillId="43" borderId="26" xfId="698" applyNumberFormat="1" applyFont="1" applyFill="1" applyBorder="1"/>
    <xf numFmtId="0" fontId="30" fillId="42" borderId="4" xfId="0" applyFont="1" applyFill="1" applyBorder="1"/>
    <xf numFmtId="3" fontId="1" fillId="42" borderId="0" xfId="40" applyNumberFormat="1" applyFont="1" applyFill="1" applyBorder="1"/>
    <xf numFmtId="0" fontId="2" fillId="42" borderId="0" xfId="0" applyFont="1" applyFill="1" applyBorder="1" applyAlignment="1">
      <alignment horizontal="center" wrapText="1"/>
    </xf>
    <xf numFmtId="10" fontId="1" fillId="42" borderId="0" xfId="0" applyNumberFormat="1" applyFont="1" applyFill="1" applyBorder="1"/>
    <xf numFmtId="10" fontId="1" fillId="42" borderId="4" xfId="0" applyNumberFormat="1" applyFont="1" applyFill="1" applyBorder="1"/>
    <xf numFmtId="176" fontId="1" fillId="42" borderId="0" xfId="0" applyNumberFormat="1" applyFont="1" applyFill="1" applyBorder="1"/>
    <xf numFmtId="0" fontId="25" fillId="43" borderId="18" xfId="0" applyFont="1" applyFill="1" applyBorder="1"/>
    <xf numFmtId="164" fontId="1" fillId="43" borderId="0" xfId="0" applyNumberFormat="1" applyFont="1" applyFill="1" applyBorder="1"/>
    <xf numFmtId="164" fontId="1" fillId="43" borderId="0" xfId="0" applyNumberFormat="1" applyFont="1" applyFill="1" applyBorder="1" applyAlignment="1">
      <alignment horizontal="center" wrapText="1"/>
    </xf>
    <xf numFmtId="164" fontId="2" fillId="43" borderId="25" xfId="0" applyNumberFormat="1" applyFont="1" applyFill="1" applyBorder="1"/>
    <xf numFmtId="192" fontId="1" fillId="42" borderId="0" xfId="0" applyNumberFormat="1" applyFont="1" applyFill="1" applyBorder="1"/>
    <xf numFmtId="164" fontId="1" fillId="42" borderId="0" xfId="0" applyNumberFormat="1" applyFont="1" applyFill="1" applyBorder="1"/>
    <xf numFmtId="0" fontId="2" fillId="43" borderId="18" xfId="0" applyFont="1" applyFill="1" applyBorder="1"/>
    <xf numFmtId="164" fontId="1" fillId="43" borderId="4" xfId="0" applyNumberFormat="1" applyFont="1" applyFill="1" applyBorder="1"/>
    <xf numFmtId="164" fontId="1" fillId="43" borderId="4" xfId="0" applyNumberFormat="1" applyFont="1" applyFill="1" applyBorder="1" applyAlignment="1">
      <alignment horizontal="center" wrapText="1"/>
    </xf>
    <xf numFmtId="164" fontId="2" fillId="43" borderId="17" xfId="0" applyNumberFormat="1" applyFont="1" applyFill="1" applyBorder="1"/>
    <xf numFmtId="164" fontId="1" fillId="42" borderId="0" xfId="0" applyNumberFormat="1" applyFont="1" applyFill="1" applyAlignment="1">
      <alignment horizontal="center" wrapText="1"/>
    </xf>
    <xf numFmtId="166" fontId="1" fillId="42" borderId="0" xfId="0" applyNumberFormat="1" applyFont="1" applyFill="1"/>
    <xf numFmtId="170" fontId="1" fillId="42" borderId="0" xfId="180" applyFont="1" applyFill="1"/>
    <xf numFmtId="0" fontId="25" fillId="42" borderId="18" xfId="0" applyFont="1" applyFill="1" applyBorder="1"/>
    <xf numFmtId="0" fontId="2" fillId="42" borderId="4" xfId="0" applyFont="1" applyFill="1" applyBorder="1" applyAlignment="1">
      <alignment horizontal="right" wrapText="1"/>
    </xf>
    <xf numFmtId="0" fontId="2" fillId="42" borderId="4" xfId="0" applyFont="1" applyFill="1" applyBorder="1" applyAlignment="1">
      <alignment horizontal="center" wrapText="1"/>
    </xf>
    <xf numFmtId="0" fontId="2" fillId="42" borderId="17" xfId="0" applyFont="1" applyFill="1" applyBorder="1" applyAlignment="1">
      <alignment horizontal="right" wrapText="1"/>
    </xf>
    <xf numFmtId="0" fontId="2" fillId="42" borderId="39" xfId="0" applyFont="1" applyFill="1" applyBorder="1"/>
    <xf numFmtId="164" fontId="24" fillId="42" borderId="40" xfId="0" applyNumberFormat="1" applyFont="1" applyFill="1" applyBorder="1" applyAlignment="1">
      <alignment horizontal="center" wrapText="1"/>
    </xf>
    <xf numFmtId="166" fontId="1" fillId="42" borderId="0" xfId="0" applyNumberFormat="1" applyFont="1" applyFill="1" applyBorder="1"/>
    <xf numFmtId="164" fontId="2" fillId="42" borderId="41" xfId="0" applyNumberFormat="1" applyFont="1" applyFill="1" applyBorder="1"/>
    <xf numFmtId="164" fontId="2" fillId="42" borderId="40" xfId="0" applyNumberFormat="1" applyFont="1" applyFill="1" applyBorder="1"/>
    <xf numFmtId="0" fontId="2" fillId="42" borderId="42" xfId="0" applyFont="1" applyFill="1" applyBorder="1"/>
    <xf numFmtId="164" fontId="1" fillId="42" borderId="43" xfId="0" applyNumberFormat="1" applyFont="1" applyFill="1" applyBorder="1"/>
    <xf numFmtId="164" fontId="24" fillId="42" borderId="43" xfId="0" applyNumberFormat="1" applyFont="1" applyFill="1" applyBorder="1" applyAlignment="1">
      <alignment horizontal="center" wrapText="1"/>
    </xf>
    <xf numFmtId="166" fontId="1" fillId="42" borderId="43" xfId="0" applyNumberFormat="1" applyFont="1" applyFill="1" applyBorder="1"/>
    <xf numFmtId="164" fontId="2" fillId="42" borderId="44" xfId="0" applyNumberFormat="1" applyFont="1" applyFill="1" applyBorder="1"/>
    <xf numFmtId="0" fontId="2" fillId="42" borderId="20" xfId="0" applyFont="1" applyFill="1" applyBorder="1"/>
    <xf numFmtId="164" fontId="1" fillId="42" borderId="35" xfId="0" applyNumberFormat="1" applyFont="1" applyFill="1" applyBorder="1"/>
    <xf numFmtId="164" fontId="24" fillId="42" borderId="35" xfId="0" applyNumberFormat="1" applyFont="1" applyFill="1" applyBorder="1" applyAlignment="1">
      <alignment horizontal="center" wrapText="1"/>
    </xf>
    <xf numFmtId="166" fontId="1" fillId="42" borderId="35" xfId="0" applyNumberFormat="1" applyFont="1" applyFill="1" applyBorder="1"/>
    <xf numFmtId="166" fontId="1" fillId="42" borderId="35" xfId="180" applyNumberFormat="1" applyFont="1" applyFill="1" applyBorder="1"/>
    <xf numFmtId="164" fontId="2" fillId="42" borderId="26" xfId="0" applyNumberFormat="1" applyFont="1" applyFill="1" applyBorder="1"/>
    <xf numFmtId="164" fontId="1" fillId="42" borderId="0" xfId="0" applyNumberFormat="1" applyFont="1" applyFill="1"/>
    <xf numFmtId="0" fontId="2" fillId="42" borderId="19" xfId="0" applyFont="1" applyFill="1" applyBorder="1" applyAlignment="1">
      <alignment horizontal="left" indent="1"/>
    </xf>
    <xf numFmtId="192" fontId="4" fillId="0" borderId="0" xfId="0" applyNumberFormat="1" applyFont="1" applyFill="1" applyBorder="1"/>
    <xf numFmtId="0" fontId="4" fillId="0" borderId="0" xfId="0" applyFont="1"/>
    <xf numFmtId="192" fontId="4" fillId="0" borderId="0" xfId="0" applyNumberFormat="1" applyFont="1" applyFill="1"/>
    <xf numFmtId="172" fontId="4" fillId="0" borderId="0" xfId="875" applyNumberFormat="1" applyFont="1" applyFill="1" applyBorder="1"/>
    <xf numFmtId="171" fontId="0" fillId="0" borderId="0" xfId="0" applyNumberFormat="1"/>
    <xf numFmtId="0" fontId="15" fillId="30" borderId="18" xfId="0" applyFont="1" applyFill="1" applyBorder="1" applyAlignment="1">
      <alignment horizontal="left" indent="1"/>
    </xf>
    <xf numFmtId="0" fontId="15" fillId="30" borderId="4" xfId="0" applyFont="1" applyFill="1" applyBorder="1"/>
    <xf numFmtId="0" fontId="15" fillId="31" borderId="39" xfId="0" applyFont="1" applyFill="1" applyBorder="1" applyAlignment="1">
      <alignment horizontal="left" wrapText="1" indent="1"/>
    </xf>
    <xf numFmtId="0" fontId="15" fillId="31" borderId="41" xfId="0" applyFont="1" applyFill="1" applyBorder="1"/>
    <xf numFmtId="0" fontId="15" fillId="31" borderId="19" xfId="0" applyFont="1" applyFill="1" applyBorder="1" applyAlignment="1">
      <alignment horizontal="left" indent="1"/>
    </xf>
    <xf numFmtId="0" fontId="15" fillId="31" borderId="25" xfId="0" quotePrefix="1" applyFont="1" applyFill="1" applyBorder="1"/>
    <xf numFmtId="0" fontId="17" fillId="31" borderId="19" xfId="0" applyFont="1" applyFill="1" applyBorder="1" applyAlignment="1">
      <alignment horizontal="center"/>
    </xf>
    <xf numFmtId="0" fontId="17" fillId="31" borderId="19" xfId="0" applyFont="1" applyFill="1" applyBorder="1" applyAlignment="1">
      <alignment horizontal="right"/>
    </xf>
    <xf numFmtId="0" fontId="0" fillId="0" borderId="45" xfId="0" applyBorder="1"/>
    <xf numFmtId="0" fontId="0" fillId="0" borderId="46" xfId="0" applyBorder="1"/>
    <xf numFmtId="0" fontId="0" fillId="0" borderId="38" xfId="0" applyBorder="1" applyAlignment="1">
      <alignment wrapText="1"/>
    </xf>
    <xf numFmtId="0" fontId="0" fillId="0" borderId="47" xfId="0" applyFont="1" applyBorder="1" applyAlignment="1">
      <alignment wrapText="1"/>
    </xf>
    <xf numFmtId="0" fontId="0" fillId="0" borderId="19" xfId="0" applyBorder="1"/>
    <xf numFmtId="0" fontId="82" fillId="0" borderId="33" xfId="0" applyFont="1" applyBorder="1"/>
    <xf numFmtId="0" fontId="0" fillId="0" borderId="20" xfId="0" applyBorder="1"/>
    <xf numFmtId="0" fontId="82" fillId="0" borderId="48" xfId="0" applyFont="1" applyBorder="1"/>
    <xf numFmtId="172" fontId="78" fillId="0" borderId="0" xfId="698" applyNumberFormat="1" applyFont="1"/>
    <xf numFmtId="171" fontId="0" fillId="42" borderId="27" xfId="0" applyNumberFormat="1" applyFont="1" applyFill="1" applyBorder="1"/>
    <xf numFmtId="43" fontId="0" fillId="42" borderId="27" xfId="0" applyNumberFormat="1" applyFont="1" applyFill="1" applyBorder="1"/>
    <xf numFmtId="0" fontId="81" fillId="0" borderId="0" xfId="0" applyFont="1" applyAlignment="1">
      <alignment wrapText="1"/>
    </xf>
    <xf numFmtId="0" fontId="81" fillId="0" borderId="0" xfId="0" applyFont="1"/>
    <xf numFmtId="0" fontId="81" fillId="0" borderId="0" xfId="0" applyFont="1" applyAlignment="1"/>
    <xf numFmtId="171" fontId="0" fillId="42" borderId="27" xfId="0" applyNumberFormat="1" applyFill="1" applyBorder="1" applyAlignment="1">
      <alignment horizontal="right"/>
    </xf>
    <xf numFmtId="0" fontId="0" fillId="43" borderId="49" xfId="0" applyFill="1" applyBorder="1" applyAlignment="1">
      <alignment horizontal="right" wrapText="1"/>
    </xf>
    <xf numFmtId="0" fontId="0" fillId="43" borderId="5" xfId="0" applyFill="1" applyBorder="1" applyAlignment="1">
      <alignment horizontal="right" wrapText="1"/>
    </xf>
    <xf numFmtId="0" fontId="0" fillId="43" borderId="50" xfId="0" applyFill="1" applyBorder="1" applyAlignment="1">
      <alignment horizontal="right" wrapText="1"/>
    </xf>
    <xf numFmtId="172" fontId="78" fillId="43" borderId="51" xfId="698" applyNumberFormat="1" applyFont="1" applyFill="1" applyBorder="1"/>
    <xf numFmtId="172" fontId="78" fillId="43" borderId="52" xfId="698" applyNumberFormat="1" applyFont="1" applyFill="1" applyBorder="1"/>
    <xf numFmtId="172" fontId="78" fillId="43" borderId="53" xfId="698" applyNumberFormat="1" applyFont="1" applyFill="1" applyBorder="1"/>
    <xf numFmtId="172" fontId="78" fillId="43" borderId="54" xfId="698" applyNumberFormat="1" applyFont="1" applyFill="1" applyBorder="1"/>
    <xf numFmtId="172" fontId="78" fillId="43" borderId="0" xfId="698" applyNumberFormat="1" applyFont="1" applyFill="1" applyBorder="1"/>
    <xf numFmtId="172" fontId="78" fillId="43" borderId="25" xfId="698" applyNumberFormat="1" applyFont="1" applyFill="1" applyBorder="1"/>
    <xf numFmtId="172" fontId="78" fillId="43" borderId="55" xfId="698" applyNumberFormat="1" applyFont="1" applyFill="1" applyBorder="1"/>
    <xf numFmtId="172" fontId="78" fillId="43" borderId="35" xfId="698" applyNumberFormat="1" applyFont="1" applyFill="1" applyBorder="1"/>
    <xf numFmtId="172" fontId="78" fillId="43" borderId="26" xfId="698" applyNumberFormat="1" applyFont="1" applyFill="1" applyBorder="1"/>
    <xf numFmtId="0" fontId="25" fillId="42" borderId="18" xfId="0" applyFont="1" applyFill="1" applyBorder="1" applyAlignment="1">
      <alignment vertical="center"/>
    </xf>
    <xf numFmtId="0" fontId="2" fillId="42" borderId="19" xfId="0" applyFont="1" applyFill="1" applyBorder="1"/>
    <xf numFmtId="0" fontId="2" fillId="42" borderId="0" xfId="0" applyFont="1" applyFill="1" applyBorder="1" applyAlignment="1">
      <alignment horizontal="center"/>
    </xf>
    <xf numFmtId="0" fontId="2" fillId="42" borderId="25" xfId="0" applyFont="1" applyFill="1" applyBorder="1" applyAlignment="1">
      <alignment horizontal="center"/>
    </xf>
    <xf numFmtId="0" fontId="2" fillId="42" borderId="19" xfId="0" applyFont="1" applyFill="1" applyBorder="1" applyAlignment="1">
      <alignment vertical="center"/>
    </xf>
    <xf numFmtId="174" fontId="2" fillId="42" borderId="0" xfId="138" applyNumberFormat="1" applyFont="1" applyFill="1" applyBorder="1"/>
    <xf numFmtId="0" fontId="2" fillId="42" borderId="25" xfId="0" applyFont="1" applyFill="1" applyBorder="1"/>
    <xf numFmtId="174" fontId="1" fillId="42" borderId="0" xfId="138" applyNumberFormat="1" applyFont="1" applyFill="1" applyBorder="1" applyAlignment="1">
      <alignment horizontal="right"/>
    </xf>
    <xf numFmtId="174" fontId="1" fillId="42" borderId="0" xfId="138" applyNumberFormat="1" applyFont="1" applyFill="1" applyBorder="1"/>
    <xf numFmtId="174" fontId="2" fillId="42" borderId="25" xfId="138" applyNumberFormat="1" applyFont="1" applyFill="1" applyBorder="1"/>
    <xf numFmtId="0" fontId="1" fillId="42" borderId="0" xfId="0" applyFont="1" applyFill="1" applyBorder="1" applyAlignment="1">
      <alignment horizontal="center" wrapText="1"/>
    </xf>
    <xf numFmtId="0" fontId="2" fillId="42" borderId="19" xfId="0" applyFont="1" applyFill="1" applyBorder="1" applyAlignment="1"/>
    <xf numFmtId="192" fontId="1" fillId="42" borderId="0" xfId="180" applyNumberFormat="1" applyFont="1" applyFill="1" applyBorder="1"/>
    <xf numFmtId="192" fontId="2" fillId="42" borderId="25" xfId="180" applyNumberFormat="1" applyFont="1" applyFill="1" applyBorder="1"/>
    <xf numFmtId="0" fontId="2" fillId="42" borderId="20" xfId="0" applyFont="1" applyFill="1" applyBorder="1" applyAlignment="1"/>
    <xf numFmtId="0" fontId="1" fillId="42" borderId="35" xfId="0" applyFont="1" applyFill="1" applyBorder="1"/>
    <xf numFmtId="0" fontId="1" fillId="42" borderId="35" xfId="0" applyFont="1" applyFill="1" applyBorder="1" applyAlignment="1">
      <alignment horizontal="center" wrapText="1"/>
    </xf>
    <xf numFmtId="172" fontId="1" fillId="42" borderId="35" xfId="698" applyNumberFormat="1" applyFont="1" applyFill="1" applyBorder="1"/>
    <xf numFmtId="175" fontId="2" fillId="42" borderId="26" xfId="180" applyNumberFormat="1" applyFont="1" applyFill="1" applyBorder="1"/>
    <xf numFmtId="0" fontId="30" fillId="42" borderId="35" xfId="0" applyFont="1" applyFill="1" applyBorder="1"/>
    <xf numFmtId="3" fontId="1" fillId="42" borderId="0" xfId="138" applyNumberFormat="1" applyFont="1" applyFill="1" applyBorder="1"/>
    <xf numFmtId="10" fontId="1" fillId="42" borderId="35" xfId="0" applyNumberFormat="1" applyFont="1" applyFill="1" applyBorder="1"/>
    <xf numFmtId="0" fontId="2" fillId="42" borderId="18" xfId="0" applyFont="1" applyFill="1" applyBorder="1"/>
    <xf numFmtId="166" fontId="1" fillId="42" borderId="4" xfId="0" applyNumberFormat="1" applyFont="1" applyFill="1" applyBorder="1"/>
    <xf numFmtId="164" fontId="1" fillId="42" borderId="4" xfId="0" applyNumberFormat="1" applyFont="1" applyFill="1" applyBorder="1" applyAlignment="1">
      <alignment horizontal="center" wrapText="1"/>
    </xf>
    <xf numFmtId="166" fontId="2" fillId="42" borderId="17" xfId="0" applyNumberFormat="1" applyFont="1" applyFill="1" applyBorder="1"/>
    <xf numFmtId="164" fontId="24" fillId="42" borderId="4" xfId="0" applyNumberFormat="1" applyFont="1" applyFill="1" applyBorder="1" applyAlignment="1">
      <alignment horizontal="center" wrapText="1"/>
    </xf>
    <xf numFmtId="164" fontId="2" fillId="42" borderId="17" xfId="0" applyNumberFormat="1" applyFont="1" applyFill="1" applyBorder="1"/>
    <xf numFmtId="171" fontId="1" fillId="42" borderId="0" xfId="0" applyNumberFormat="1" applyFont="1" applyFill="1"/>
    <xf numFmtId="0" fontId="27" fillId="42" borderId="0" xfId="0" applyFont="1" applyFill="1"/>
    <xf numFmtId="0" fontId="27" fillId="42" borderId="0" xfId="0" applyFont="1" applyFill="1" applyAlignment="1">
      <alignment horizontal="center" wrapText="1"/>
    </xf>
    <xf numFmtId="171" fontId="27" fillId="42" borderId="0" xfId="0" applyNumberFormat="1" applyFont="1" applyFill="1"/>
    <xf numFmtId="173" fontId="0" fillId="42" borderId="28" xfId="0" applyNumberFormat="1" applyFill="1" applyBorder="1"/>
    <xf numFmtId="0" fontId="83" fillId="0" borderId="24" xfId="0" applyFont="1" applyBorder="1" applyAlignment="1">
      <alignment wrapText="1"/>
    </xf>
    <xf numFmtId="0" fontId="81" fillId="0" borderId="4" xfId="0" applyFont="1" applyBorder="1" applyAlignment="1">
      <alignment wrapText="1"/>
    </xf>
    <xf numFmtId="0" fontId="81" fillId="0" borderId="18" xfId="0" applyFont="1" applyBorder="1" applyAlignment="1">
      <alignment wrapText="1"/>
    </xf>
    <xf numFmtId="0" fontId="81" fillId="0" borderId="17" xfId="0" applyFont="1" applyBorder="1" applyAlignment="1">
      <alignment wrapText="1"/>
    </xf>
    <xf numFmtId="0" fontId="0" fillId="0" borderId="56" xfId="0" applyBorder="1"/>
    <xf numFmtId="0" fontId="0" fillId="0" borderId="40" xfId="0" applyBorder="1"/>
    <xf numFmtId="0" fontId="0" fillId="0" borderId="39" xfId="0" applyBorder="1"/>
    <xf numFmtId="0" fontId="0" fillId="0" borderId="41" xfId="0" applyBorder="1"/>
    <xf numFmtId="0" fontId="0" fillId="0" borderId="57" xfId="0" applyBorder="1"/>
    <xf numFmtId="0" fontId="0" fillId="0" borderId="0" xfId="0" applyBorder="1"/>
    <xf numFmtId="0" fontId="0" fillId="0" borderId="25" xfId="0" applyBorder="1"/>
    <xf numFmtId="0" fontId="0" fillId="0" borderId="58" xfId="0" applyBorder="1"/>
    <xf numFmtId="0" fontId="0" fillId="0" borderId="35" xfId="0" applyBorder="1"/>
    <xf numFmtId="0" fontId="0" fillId="0" borderId="26" xfId="0" applyBorder="1"/>
    <xf numFmtId="172" fontId="78" fillId="41" borderId="25" xfId="698" applyNumberFormat="1" applyFont="1" applyFill="1" applyBorder="1" applyAlignment="1">
      <alignment horizontal="right"/>
    </xf>
    <xf numFmtId="201" fontId="0" fillId="42" borderId="0" xfId="0" applyNumberFormat="1" applyFill="1" applyBorder="1"/>
    <xf numFmtId="0" fontId="0" fillId="0" borderId="59" xfId="0" applyBorder="1" applyAlignment="1">
      <alignment wrapText="1"/>
    </xf>
    <xf numFmtId="0" fontId="0" fillId="42" borderId="60" xfId="0" applyFill="1" applyBorder="1"/>
    <xf numFmtId="173" fontId="1" fillId="41" borderId="4" xfId="40" applyNumberFormat="1" applyFont="1" applyFill="1" applyBorder="1"/>
    <xf numFmtId="173" fontId="1" fillId="41" borderId="17" xfId="40" applyNumberFormat="1" applyFont="1" applyFill="1" applyBorder="1"/>
    <xf numFmtId="184" fontId="78" fillId="42" borderId="60" xfId="40" applyNumberFormat="1" applyFont="1" applyFill="1" applyBorder="1"/>
    <xf numFmtId="43" fontId="1" fillId="41" borderId="4" xfId="40" applyFont="1" applyFill="1" applyBorder="1"/>
    <xf numFmtId="0" fontId="0" fillId="41" borderId="17" xfId="0" applyFill="1" applyBorder="1" applyAlignment="1">
      <alignment horizontal="center"/>
    </xf>
    <xf numFmtId="174" fontId="0" fillId="42" borderId="19" xfId="0" applyNumberFormat="1" applyFill="1" applyBorder="1"/>
    <xf numFmtId="171" fontId="0" fillId="42" borderId="25" xfId="0" applyNumberFormat="1" applyFill="1" applyBorder="1"/>
    <xf numFmtId="171" fontId="0" fillId="42" borderId="25" xfId="0" applyNumberFormat="1" applyFill="1" applyBorder="1" applyAlignment="1">
      <alignment horizontal="right"/>
    </xf>
    <xf numFmtId="43" fontId="0" fillId="42" borderId="25" xfId="0" applyNumberFormat="1" applyFill="1" applyBorder="1"/>
    <xf numFmtId="174" fontId="0" fillId="41" borderId="19" xfId="0" applyNumberFormat="1" applyFill="1" applyBorder="1"/>
    <xf numFmtId="171" fontId="0" fillId="41" borderId="25" xfId="0" applyNumberFormat="1" applyFill="1" applyBorder="1"/>
    <xf numFmtId="171" fontId="0" fillId="41" borderId="19" xfId="0" applyNumberFormat="1" applyFill="1" applyBorder="1"/>
    <xf numFmtId="171" fontId="0" fillId="42" borderId="25" xfId="0" applyNumberFormat="1" applyFont="1" applyFill="1" applyBorder="1"/>
    <xf numFmtId="43" fontId="0" fillId="42" borderId="25" xfId="0" applyNumberFormat="1" applyFont="1" applyFill="1" applyBorder="1"/>
    <xf numFmtId="171" fontId="0" fillId="41" borderId="20" xfId="0" applyNumberFormat="1" applyFill="1" applyBorder="1"/>
    <xf numFmtId="171" fontId="0" fillId="41" borderId="26" xfId="0" applyNumberFormat="1" applyFill="1" applyBorder="1"/>
    <xf numFmtId="0" fontId="1" fillId="0" borderId="0" xfId="553"/>
    <xf numFmtId="43" fontId="1" fillId="27" borderId="0" xfId="41" applyFont="1" applyFill="1" applyBorder="1"/>
    <xf numFmtId="43" fontId="1" fillId="27" borderId="25" xfId="41" applyFont="1" applyFill="1" applyBorder="1"/>
    <xf numFmtId="0" fontId="1" fillId="27" borderId="0" xfId="553" applyFill="1"/>
    <xf numFmtId="43" fontId="1" fillId="27" borderId="0" xfId="41" applyFont="1" applyFill="1" applyAlignment="1">
      <alignment wrapText="1"/>
    </xf>
    <xf numFmtId="43" fontId="1" fillId="27" borderId="0" xfId="41" applyFont="1" applyFill="1"/>
    <xf numFmtId="43" fontId="1" fillId="27" borderId="0" xfId="41" applyFont="1" applyFill="1" applyBorder="1" applyAlignment="1">
      <alignment wrapText="1"/>
    </xf>
    <xf numFmtId="0" fontId="29" fillId="27" borderId="19" xfId="553" applyFont="1" applyFill="1" applyBorder="1"/>
    <xf numFmtId="43" fontId="27" fillId="27" borderId="0" xfId="41" applyFont="1" applyFill="1" applyBorder="1" applyAlignment="1">
      <alignment wrapText="1"/>
    </xf>
    <xf numFmtId="43" fontId="27" fillId="27" borderId="0" xfId="41" applyFont="1" applyFill="1" applyBorder="1"/>
    <xf numFmtId="0" fontId="1" fillId="27" borderId="0" xfId="553" applyFill="1" applyBorder="1"/>
    <xf numFmtId="0" fontId="25" fillId="27" borderId="19" xfId="553" applyFont="1" applyFill="1" applyBorder="1"/>
    <xf numFmtId="173" fontId="29" fillId="27" borderId="0" xfId="41" applyNumberFormat="1" applyFont="1" applyFill="1" applyBorder="1"/>
    <xf numFmtId="191" fontId="27" fillId="27" borderId="0" xfId="181" applyNumberFormat="1" applyFont="1" applyFill="1" applyBorder="1"/>
    <xf numFmtId="190" fontId="27" fillId="27" borderId="0" xfId="181" applyNumberFormat="1" applyFont="1" applyFill="1" applyBorder="1"/>
    <xf numFmtId="44" fontId="27" fillId="27" borderId="0" xfId="181" applyNumberFormat="1" applyFont="1" applyFill="1" applyBorder="1"/>
    <xf numFmtId="44" fontId="27" fillId="27" borderId="0" xfId="41" applyNumberFormat="1" applyFont="1" applyFill="1" applyBorder="1"/>
    <xf numFmtId="43" fontId="26" fillId="27" borderId="0" xfId="41" applyFont="1" applyFill="1" applyBorder="1" applyAlignment="1">
      <alignment wrapText="1"/>
    </xf>
    <xf numFmtId="43" fontId="26" fillId="27" borderId="0" xfId="41" applyFont="1" applyFill="1" applyBorder="1"/>
    <xf numFmtId="44" fontId="25" fillId="27" borderId="0" xfId="181" applyFont="1" applyFill="1" applyBorder="1"/>
    <xf numFmtId="187" fontId="25" fillId="27" borderId="0" xfId="181" applyNumberFormat="1" applyFont="1" applyFill="1" applyBorder="1"/>
    <xf numFmtId="187" fontId="26" fillId="27" borderId="0" xfId="41" applyNumberFormat="1" applyFont="1" applyFill="1" applyBorder="1"/>
    <xf numFmtId="0" fontId="26" fillId="27" borderId="0" xfId="553" applyFont="1" applyFill="1" applyBorder="1"/>
    <xf numFmtId="172" fontId="25" fillId="27" borderId="0" xfId="41" applyNumberFormat="1" applyFont="1" applyFill="1" applyBorder="1"/>
    <xf numFmtId="17" fontId="1" fillId="27" borderId="19" xfId="553" applyNumberFormat="1" applyFont="1" applyFill="1" applyBorder="1" applyAlignment="1">
      <alignment horizontal="center"/>
    </xf>
    <xf numFmtId="43" fontId="1" fillId="27" borderId="35" xfId="41" applyFont="1" applyFill="1" applyBorder="1" applyAlignment="1">
      <alignment wrapText="1"/>
    </xf>
    <xf numFmtId="43" fontId="1" fillId="27" borderId="35" xfId="41" applyFont="1" applyFill="1" applyBorder="1"/>
    <xf numFmtId="0" fontId="25" fillId="27" borderId="20" xfId="553" applyFont="1" applyFill="1" applyBorder="1"/>
    <xf numFmtId="187" fontId="25" fillId="27" borderId="35" xfId="181" applyNumberFormat="1" applyFont="1" applyFill="1" applyBorder="1"/>
    <xf numFmtId="187" fontId="26" fillId="27" borderId="35" xfId="41" applyNumberFormat="1" applyFont="1" applyFill="1" applyBorder="1"/>
    <xf numFmtId="187" fontId="25" fillId="27" borderId="26" xfId="181" applyNumberFormat="1" applyFont="1" applyFill="1" applyBorder="1"/>
    <xf numFmtId="43" fontId="26" fillId="27" borderId="35" xfId="41" applyFont="1" applyFill="1" applyBorder="1" applyAlignment="1">
      <alignment wrapText="1"/>
    </xf>
    <xf numFmtId="0" fontId="26" fillId="27" borderId="20" xfId="553" applyFont="1" applyFill="1" applyBorder="1"/>
    <xf numFmtId="43" fontId="28" fillId="27" borderId="4" xfId="41" applyFont="1" applyFill="1" applyBorder="1" applyAlignment="1">
      <alignment horizontal="center"/>
    </xf>
    <xf numFmtId="43" fontId="28" fillId="27" borderId="4" xfId="41" applyFont="1" applyFill="1" applyBorder="1" applyAlignment="1">
      <alignment horizontal="center" wrapText="1"/>
    </xf>
    <xf numFmtId="43" fontId="28" fillId="27" borderId="17" xfId="41" applyFont="1" applyFill="1" applyBorder="1" applyAlignment="1">
      <alignment horizontal="center" wrapText="1"/>
    </xf>
    <xf numFmtId="190" fontId="27" fillId="27" borderId="25" xfId="181" applyNumberFormat="1" applyFont="1" applyFill="1" applyBorder="1"/>
    <xf numFmtId="44" fontId="27" fillId="27" borderId="25" xfId="181" applyNumberFormat="1" applyFont="1" applyFill="1" applyBorder="1"/>
    <xf numFmtId="0" fontId="29" fillId="27" borderId="20" xfId="553" applyFont="1" applyFill="1" applyBorder="1"/>
    <xf numFmtId="43" fontId="27" fillId="27" borderId="35" xfId="41" applyFont="1" applyFill="1" applyBorder="1" applyAlignment="1">
      <alignment wrapText="1"/>
    </xf>
    <xf numFmtId="187" fontId="26" fillId="27" borderId="61" xfId="41" applyNumberFormat="1" applyFont="1" applyFill="1" applyBorder="1"/>
    <xf numFmtId="0" fontId="25" fillId="27" borderId="18" xfId="553" applyFont="1" applyFill="1" applyBorder="1" applyAlignment="1">
      <alignment horizontal="center" wrapText="1"/>
    </xf>
    <xf numFmtId="43" fontId="25" fillId="27" borderId="4" xfId="41" applyFont="1" applyFill="1" applyBorder="1" applyAlignment="1">
      <alignment horizontal="center" textRotation="45" wrapText="1"/>
    </xf>
    <xf numFmtId="43" fontId="25" fillId="27" borderId="4" xfId="41" applyFont="1" applyFill="1" applyBorder="1" applyAlignment="1">
      <alignment horizontal="center" wrapText="1"/>
    </xf>
    <xf numFmtId="43" fontId="25" fillId="27" borderId="17" xfId="41" applyFont="1" applyFill="1" applyBorder="1" applyAlignment="1">
      <alignment horizontal="center" wrapText="1"/>
    </xf>
    <xf numFmtId="43" fontId="25" fillId="27" borderId="40" xfId="41" applyFont="1" applyFill="1" applyBorder="1" applyAlignment="1">
      <alignment wrapText="1"/>
    </xf>
    <xf numFmtId="43" fontId="25" fillId="27" borderId="40" xfId="41" applyFont="1" applyFill="1" applyBorder="1"/>
    <xf numFmtId="0" fontId="25" fillId="27" borderId="39" xfId="553" applyFont="1" applyFill="1" applyBorder="1" applyAlignment="1">
      <alignment horizontal="left"/>
    </xf>
    <xf numFmtId="43" fontId="27" fillId="27" borderId="40" xfId="41" applyFont="1" applyFill="1" applyBorder="1" applyAlignment="1">
      <alignment wrapText="1"/>
    </xf>
    <xf numFmtId="0" fontId="24" fillId="0" borderId="0" xfId="553" applyFont="1" applyAlignment="1">
      <alignment horizontal="center"/>
    </xf>
    <xf numFmtId="0" fontId="24" fillId="27" borderId="0" xfId="553" applyFont="1" applyFill="1" applyBorder="1" applyAlignment="1">
      <alignment horizontal="center"/>
    </xf>
    <xf numFmtId="43" fontId="24" fillId="27" borderId="0" xfId="41" applyFont="1" applyFill="1" applyBorder="1" applyAlignment="1">
      <alignment horizontal="center" wrapText="1"/>
    </xf>
    <xf numFmtId="43" fontId="24" fillId="27" borderId="0" xfId="41" applyFont="1" applyFill="1" applyBorder="1" applyAlignment="1">
      <alignment horizontal="center"/>
    </xf>
    <xf numFmtId="0" fontId="28" fillId="27" borderId="4" xfId="553" applyFont="1" applyFill="1" applyBorder="1" applyAlignment="1">
      <alignment horizontal="right"/>
    </xf>
    <xf numFmtId="0" fontId="28" fillId="27" borderId="40" xfId="553" applyFont="1" applyFill="1" applyBorder="1" applyAlignment="1">
      <alignment horizontal="right"/>
    </xf>
    <xf numFmtId="0" fontId="29" fillId="27" borderId="0" xfId="553" applyFont="1" applyFill="1" applyBorder="1"/>
    <xf numFmtId="43" fontId="26" fillId="27" borderId="40" xfId="41" applyFont="1" applyFill="1" applyBorder="1"/>
    <xf numFmtId="173" fontId="26" fillId="27" borderId="40" xfId="41" applyNumberFormat="1" applyFont="1" applyFill="1" applyBorder="1"/>
    <xf numFmtId="173" fontId="26" fillId="27" borderId="41" xfId="41" applyNumberFormat="1" applyFont="1" applyFill="1" applyBorder="1"/>
    <xf numFmtId="172" fontId="27" fillId="27" borderId="0" xfId="924" applyNumberFormat="1" applyFont="1" applyFill="1" applyBorder="1"/>
    <xf numFmtId="172" fontId="26" fillId="27" borderId="61" xfId="41" applyNumberFormat="1" applyFont="1" applyFill="1" applyBorder="1"/>
    <xf numFmtId="173" fontId="27" fillId="27" borderId="40" xfId="41" applyNumberFormat="1" applyFont="1" applyFill="1" applyBorder="1"/>
    <xf numFmtId="173" fontId="27" fillId="27" borderId="0" xfId="41" applyNumberFormat="1" applyFont="1" applyFill="1" applyBorder="1"/>
    <xf numFmtId="173" fontId="27" fillId="27" borderId="35" xfId="41" applyNumberFormat="1" applyFont="1" applyFill="1" applyBorder="1"/>
    <xf numFmtId="44" fontId="26" fillId="27" borderId="35" xfId="181" applyFont="1" applyFill="1" applyBorder="1"/>
    <xf numFmtId="186" fontId="27" fillId="27" borderId="0" xfId="181" applyNumberFormat="1" applyFont="1" applyFill="1" applyBorder="1"/>
    <xf numFmtId="186" fontId="27" fillId="27" borderId="43" xfId="181" applyNumberFormat="1" applyFont="1" applyFill="1" applyBorder="1"/>
    <xf numFmtId="186" fontId="27" fillId="27" borderId="61" xfId="181" applyNumberFormat="1" applyFont="1" applyFill="1" applyBorder="1"/>
    <xf numFmtId="186" fontId="27" fillId="27" borderId="25" xfId="181" applyNumberFormat="1" applyFont="1" applyFill="1" applyBorder="1"/>
    <xf numFmtId="186" fontId="27" fillId="27" borderId="44" xfId="181" applyNumberFormat="1" applyFont="1" applyFill="1" applyBorder="1"/>
    <xf numFmtId="186" fontId="27" fillId="27" borderId="62" xfId="181" applyNumberFormat="1" applyFont="1" applyFill="1" applyBorder="1"/>
    <xf numFmtId="189" fontId="27" fillId="27" borderId="0" xfId="181" applyNumberFormat="1" applyFont="1" applyFill="1" applyBorder="1"/>
    <xf numFmtId="189" fontId="27" fillId="27" borderId="25" xfId="181" applyNumberFormat="1" applyFont="1" applyFill="1" applyBorder="1"/>
    <xf numFmtId="0" fontId="28" fillId="27" borderId="4" xfId="553" applyFont="1" applyFill="1" applyBorder="1" applyAlignment="1">
      <alignment horizontal="center"/>
    </xf>
    <xf numFmtId="0" fontId="23" fillId="27" borderId="0" xfId="553" applyFont="1" applyFill="1" applyBorder="1"/>
    <xf numFmtId="186" fontId="26" fillId="27" borderId="43" xfId="181" applyNumberFormat="1" applyFont="1" applyFill="1" applyBorder="1"/>
    <xf numFmtId="44" fontId="26" fillId="27" borderId="0" xfId="181" applyFont="1" applyFill="1" applyBorder="1"/>
    <xf numFmtId="186" fontId="26" fillId="27" borderId="44" xfId="181" applyNumberFormat="1" applyFont="1" applyFill="1" applyBorder="1"/>
    <xf numFmtId="188" fontId="27" fillId="27" borderId="0" xfId="181" applyNumberFormat="1" applyFont="1" applyFill="1" applyBorder="1"/>
    <xf numFmtId="188" fontId="27" fillId="27" borderId="0" xfId="41" applyNumberFormat="1" applyFont="1" applyFill="1" applyBorder="1"/>
    <xf numFmtId="188" fontId="27" fillId="27" borderId="25" xfId="181" applyNumberFormat="1" applyFont="1" applyFill="1" applyBorder="1"/>
    <xf numFmtId="189" fontId="27" fillId="27" borderId="0" xfId="41" applyNumberFormat="1" applyFont="1" applyFill="1" applyBorder="1"/>
    <xf numFmtId="188" fontId="27" fillId="27" borderId="35" xfId="181" applyNumberFormat="1" applyFont="1" applyFill="1" applyBorder="1"/>
    <xf numFmtId="188" fontId="27" fillId="27" borderId="35" xfId="41" applyNumberFormat="1" applyFont="1" applyFill="1" applyBorder="1"/>
    <xf numFmtId="188" fontId="27" fillId="27" borderId="26" xfId="181" applyNumberFormat="1" applyFont="1" applyFill="1" applyBorder="1"/>
    <xf numFmtId="0" fontId="29" fillId="27" borderId="39" xfId="553" applyFont="1" applyFill="1" applyBorder="1"/>
    <xf numFmtId="188" fontId="27" fillId="27" borderId="40" xfId="181" applyNumberFormat="1" applyFont="1" applyFill="1" applyBorder="1"/>
    <xf numFmtId="188" fontId="27" fillId="27" borderId="40" xfId="41" applyNumberFormat="1" applyFont="1" applyFill="1" applyBorder="1"/>
    <xf numFmtId="188" fontId="27" fillId="27" borderId="41" xfId="181" applyNumberFormat="1" applyFont="1" applyFill="1" applyBorder="1"/>
    <xf numFmtId="0" fontId="84" fillId="0" borderId="35" xfId="0" applyFont="1" applyBorder="1" applyAlignment="1">
      <alignment horizontal="left"/>
    </xf>
    <xf numFmtId="0" fontId="1" fillId="0" borderId="0" xfId="555"/>
    <xf numFmtId="0" fontId="2" fillId="0" borderId="0" xfId="555" applyFont="1" applyFill="1" applyBorder="1"/>
    <xf numFmtId="0" fontId="1" fillId="0" borderId="0" xfId="555" applyFont="1" applyFill="1" applyBorder="1"/>
    <xf numFmtId="0" fontId="1" fillId="0" borderId="0" xfId="555" applyFont="1" applyFill="1" applyBorder="1" applyAlignment="1">
      <alignment horizontal="center" wrapText="1"/>
    </xf>
    <xf numFmtId="0" fontId="2" fillId="0" borderId="19" xfId="555" applyFont="1" applyFill="1" applyBorder="1"/>
    <xf numFmtId="0" fontId="2" fillId="0" borderId="0" xfId="555" applyFont="1" applyFill="1" applyBorder="1" applyAlignment="1">
      <alignment horizontal="center" wrapText="1"/>
    </xf>
    <xf numFmtId="174" fontId="2" fillId="0" borderId="0" xfId="53" applyNumberFormat="1" applyFont="1" applyFill="1" applyBorder="1"/>
    <xf numFmtId="0" fontId="2" fillId="0" borderId="25" xfId="555" applyFont="1" applyFill="1" applyBorder="1"/>
    <xf numFmtId="0" fontId="2" fillId="0" borderId="19" xfId="555" applyFont="1" applyFill="1" applyBorder="1" applyAlignment="1">
      <alignment horizontal="left" indent="1"/>
    </xf>
    <xf numFmtId="174" fontId="2" fillId="0" borderId="25" xfId="53" applyNumberFormat="1" applyFont="1" applyFill="1" applyBorder="1"/>
    <xf numFmtId="192" fontId="1" fillId="0" borderId="0" xfId="875" applyNumberFormat="1" applyFont="1" applyFill="1" applyBorder="1"/>
    <xf numFmtId="0" fontId="30" fillId="0" borderId="19" xfId="555" applyFont="1" applyFill="1" applyBorder="1"/>
    <xf numFmtId="3" fontId="1" fillId="0" borderId="0" xfId="53" applyNumberFormat="1" applyFont="1" applyFill="1" applyBorder="1"/>
    <xf numFmtId="10" fontId="1" fillId="0" borderId="0" xfId="555" applyNumberFormat="1" applyFont="1" applyFill="1" applyBorder="1"/>
    <xf numFmtId="10" fontId="1" fillId="0" borderId="25" xfId="555" applyNumberFormat="1" applyFont="1" applyFill="1" applyBorder="1"/>
    <xf numFmtId="164" fontId="1" fillId="0" borderId="0" xfId="555" applyNumberFormat="1" applyFont="1" applyFill="1" applyBorder="1"/>
    <xf numFmtId="9" fontId="1" fillId="0" borderId="0" xfId="875" applyFont="1" applyFill="1" applyBorder="1"/>
    <xf numFmtId="164" fontId="2" fillId="0" borderId="25" xfId="555" applyNumberFormat="1" applyFont="1" applyFill="1" applyBorder="1"/>
    <xf numFmtId="164" fontId="1" fillId="0" borderId="0" xfId="555" applyNumberFormat="1" applyFont="1" applyFill="1" applyBorder="1" applyAlignment="1">
      <alignment horizontal="center" wrapText="1"/>
    </xf>
    <xf numFmtId="175" fontId="1" fillId="0" borderId="0" xfId="555" applyNumberFormat="1" applyFont="1" applyFill="1" applyBorder="1"/>
    <xf numFmtId="164" fontId="2" fillId="0" borderId="0" xfId="555" applyNumberFormat="1" applyFont="1" applyFill="1" applyBorder="1"/>
    <xf numFmtId="0" fontId="2" fillId="0" borderId="4" xfId="555" applyFont="1" applyFill="1" applyBorder="1" applyAlignment="1">
      <alignment horizontal="center" wrapText="1"/>
    </xf>
    <xf numFmtId="0" fontId="2" fillId="0" borderId="17" xfId="555" applyFont="1" applyFill="1" applyBorder="1" applyAlignment="1">
      <alignment horizontal="center" wrapText="1"/>
    </xf>
    <xf numFmtId="0" fontId="30" fillId="0" borderId="18" xfId="555" applyFont="1" applyFill="1" applyBorder="1"/>
    <xf numFmtId="164" fontId="2" fillId="0" borderId="0" xfId="555" applyNumberFormat="1" applyFont="1" applyFill="1" applyBorder="1" applyAlignment="1">
      <alignment horizontal="center" wrapText="1"/>
    </xf>
    <xf numFmtId="0" fontId="1" fillId="0" borderId="39" xfId="555" applyFont="1" applyFill="1" applyBorder="1"/>
    <xf numFmtId="0" fontId="2" fillId="0" borderId="40" xfId="555" applyFont="1" applyFill="1" applyBorder="1"/>
    <xf numFmtId="0" fontId="2" fillId="0" borderId="40" xfId="555" applyFont="1" applyFill="1" applyBorder="1" applyAlignment="1">
      <alignment horizontal="center" wrapText="1"/>
    </xf>
    <xf numFmtId="0" fontId="2" fillId="0" borderId="40" xfId="555" applyFont="1" applyFill="1" applyBorder="1" applyAlignment="1">
      <alignment horizontal="center"/>
    </xf>
    <xf numFmtId="0" fontId="2" fillId="0" borderId="41" xfId="555" applyFont="1" applyFill="1" applyBorder="1"/>
    <xf numFmtId="164" fontId="1" fillId="0" borderId="0" xfId="192" applyNumberFormat="1" applyFont="1" applyFill="1" applyBorder="1"/>
    <xf numFmtId="0" fontId="2" fillId="0" borderId="19" xfId="555" applyFont="1" applyFill="1" applyBorder="1" applyAlignment="1">
      <alignment vertical="center"/>
    </xf>
    <xf numFmtId="0" fontId="29" fillId="0" borderId="18" xfId="555" applyFont="1" applyFill="1" applyBorder="1" applyAlignment="1">
      <alignment vertical="center" wrapText="1"/>
    </xf>
    <xf numFmtId="172" fontId="1" fillId="0" borderId="0" xfId="927" applyNumberFormat="1" applyFont="1" applyFill="1" applyBorder="1"/>
    <xf numFmtId="166" fontId="2" fillId="0" borderId="0" xfId="192" applyNumberFormat="1" applyFont="1" applyFill="1" applyBorder="1"/>
    <xf numFmtId="170" fontId="34" fillId="0" borderId="0" xfId="192" applyFont="1" applyFill="1" applyBorder="1" applyAlignment="1">
      <alignment horizontal="center" wrapText="1"/>
    </xf>
    <xf numFmtId="164" fontId="2" fillId="0" borderId="0" xfId="192" applyNumberFormat="1" applyFont="1" applyFill="1" applyBorder="1"/>
    <xf numFmtId="0" fontId="29" fillId="0" borderId="20" xfId="555" applyFont="1" applyFill="1" applyBorder="1"/>
    <xf numFmtId="0" fontId="2" fillId="0" borderId="35" xfId="555" applyFont="1" applyFill="1" applyBorder="1" applyAlignment="1">
      <alignment horizontal="right"/>
    </xf>
    <xf numFmtId="0" fontId="2" fillId="0" borderId="35" xfId="555" applyFont="1" applyFill="1" applyBorder="1" applyAlignment="1">
      <alignment horizontal="center" wrapText="1"/>
    </xf>
    <xf numFmtId="177" fontId="2" fillId="0" borderId="26" xfId="192" applyNumberFormat="1" applyFont="1" applyFill="1" applyBorder="1"/>
    <xf numFmtId="0" fontId="2" fillId="0" borderId="20" xfId="555" applyFont="1" applyFill="1" applyBorder="1"/>
    <xf numFmtId="199" fontId="2" fillId="0" borderId="35" xfId="192" applyNumberFormat="1" applyFont="1" applyFill="1" applyBorder="1" applyAlignment="1">
      <alignment vertical="top"/>
    </xf>
    <xf numFmtId="200" fontId="2" fillId="0" borderId="35" xfId="192" applyNumberFormat="1" applyFont="1" applyFill="1" applyBorder="1" applyAlignment="1">
      <alignment vertical="top"/>
    </xf>
    <xf numFmtId="0" fontId="24" fillId="0" borderId="0" xfId="555" applyFont="1" applyFill="1" applyBorder="1"/>
    <xf numFmtId="0" fontId="24" fillId="0" borderId="0" xfId="555" applyFont="1" applyFill="1"/>
    <xf numFmtId="0" fontId="24" fillId="0" borderId="0" xfId="555" applyFont="1" applyFill="1" applyBorder="1" applyAlignment="1">
      <alignment horizontal="center"/>
    </xf>
    <xf numFmtId="9" fontId="2" fillId="0" borderId="25" xfId="927" applyFont="1" applyFill="1" applyBorder="1"/>
    <xf numFmtId="0" fontId="2" fillId="0" borderId="19" xfId="555" applyFont="1" applyFill="1" applyBorder="1" applyAlignment="1"/>
    <xf numFmtId="174" fontId="1" fillId="0" borderId="0" xfId="53" applyNumberFormat="1" applyFont="1" applyFill="1" applyBorder="1"/>
    <xf numFmtId="166" fontId="1" fillId="0" borderId="25" xfId="192" applyNumberFormat="1" applyFont="1" applyFill="1" applyBorder="1"/>
    <xf numFmtId="0" fontId="25" fillId="0" borderId="18" xfId="555" applyFont="1" applyFill="1" applyBorder="1" applyAlignment="1">
      <alignment vertical="center"/>
    </xf>
    <xf numFmtId="166" fontId="2" fillId="0" borderId="35" xfId="192" applyNumberFormat="1" applyFont="1" applyFill="1" applyBorder="1"/>
    <xf numFmtId="170" fontId="34" fillId="0" borderId="35" xfId="192" applyFont="1" applyFill="1" applyBorder="1" applyAlignment="1">
      <alignment horizontal="center" wrapText="1"/>
    </xf>
    <xf numFmtId="164" fontId="2" fillId="0" borderId="35" xfId="192" applyNumberFormat="1" applyFont="1" applyFill="1" applyBorder="1"/>
    <xf numFmtId="164" fontId="2" fillId="0" borderId="26" xfId="192" applyNumberFormat="1" applyFont="1" applyFill="1" applyBorder="1"/>
    <xf numFmtId="10" fontId="1" fillId="0" borderId="0" xfId="927" applyNumberFormat="1" applyFont="1" applyFill="1" applyBorder="1"/>
    <xf numFmtId="0" fontId="1" fillId="0" borderId="0" xfId="555" applyNumberFormat="1" applyFont="1" applyFill="1" applyBorder="1"/>
    <xf numFmtId="202" fontId="1" fillId="0" borderId="0" xfId="555" applyNumberFormat="1" applyFont="1" applyFill="1" applyBorder="1"/>
    <xf numFmtId="169" fontId="1" fillId="0" borderId="0" xfId="192" applyNumberFormat="1" applyFont="1" applyFill="1" applyBorder="1"/>
    <xf numFmtId="166" fontId="1" fillId="0" borderId="0" xfId="192" applyNumberFormat="1" applyFont="1" applyFill="1" applyBorder="1" applyAlignment="1">
      <alignment horizontal="right"/>
    </xf>
    <xf numFmtId="166" fontId="29" fillId="0" borderId="0" xfId="192" applyNumberFormat="1" applyFont="1" applyFill="1" applyBorder="1" applyAlignment="1">
      <alignment horizontal="right"/>
    </xf>
    <xf numFmtId="0" fontId="6" fillId="0" borderId="0" xfId="556" applyFont="1" applyFill="1" applyBorder="1"/>
    <xf numFmtId="0" fontId="4" fillId="0" borderId="0" xfId="556" applyFont="1" applyFill="1" applyBorder="1"/>
    <xf numFmtId="172" fontId="4" fillId="0" borderId="0" xfId="928" applyNumberFormat="1" applyFont="1" applyFill="1" applyBorder="1"/>
    <xf numFmtId="10" fontId="4" fillId="0" borderId="0" xfId="556" applyNumberFormat="1" applyFont="1" applyFill="1" applyBorder="1"/>
    <xf numFmtId="3" fontId="4" fillId="0" borderId="0" xfId="53" applyNumberFormat="1" applyFont="1" applyFill="1" applyBorder="1"/>
    <xf numFmtId="164" fontId="4" fillId="0" borderId="0" xfId="556" applyNumberFormat="1" applyFont="1" applyFill="1" applyBorder="1"/>
    <xf numFmtId="0" fontId="4" fillId="0" borderId="0" xfId="556" applyFont="1"/>
    <xf numFmtId="174" fontId="4" fillId="0" borderId="0" xfId="53" applyNumberFormat="1" applyFont="1" applyFill="1" applyBorder="1"/>
    <xf numFmtId="174" fontId="4" fillId="0" borderId="0" xfId="53" applyNumberFormat="1" applyFont="1" applyFill="1" applyBorder="1" applyAlignment="1">
      <alignment horizontal="right"/>
    </xf>
    <xf numFmtId="0" fontId="6" fillId="0" borderId="0" xfId="556" applyFont="1" applyFill="1" applyBorder="1" applyAlignment="1">
      <alignment horizontal="center"/>
    </xf>
    <xf numFmtId="0" fontId="6" fillId="32" borderId="4" xfId="556" applyFont="1" applyFill="1" applyBorder="1" applyAlignment="1">
      <alignment horizontal="center" wrapText="1"/>
    </xf>
    <xf numFmtId="0" fontId="6" fillId="32" borderId="17" xfId="556" applyFont="1" applyFill="1" applyBorder="1" applyAlignment="1">
      <alignment horizontal="center" wrapText="1"/>
    </xf>
    <xf numFmtId="0" fontId="7" fillId="32" borderId="18" xfId="556" applyFont="1" applyFill="1" applyBorder="1"/>
    <xf numFmtId="0" fontId="15" fillId="0" borderId="40" xfId="556" applyFont="1" applyBorder="1"/>
    <xf numFmtId="0" fontId="15" fillId="0" borderId="40" xfId="556" applyFont="1" applyBorder="1" applyAlignment="1">
      <alignment horizontal="center"/>
    </xf>
    <xf numFmtId="0" fontId="15" fillId="0" borderId="41" xfId="556" applyFont="1" applyBorder="1"/>
    <xf numFmtId="0" fontId="15" fillId="0" borderId="0" xfId="556" applyFont="1" applyBorder="1" applyAlignment="1">
      <alignment horizontal="center" wrapText="1"/>
    </xf>
    <xf numFmtId="0" fontId="15" fillId="0" borderId="25" xfId="556" applyFont="1" applyBorder="1"/>
    <xf numFmtId="0" fontId="15" fillId="0" borderId="20" xfId="556" applyFont="1" applyFill="1" applyBorder="1"/>
    <xf numFmtId="0" fontId="15" fillId="0" borderId="35" xfId="556" applyFont="1" applyFill="1" applyBorder="1"/>
    <xf numFmtId="0" fontId="15" fillId="0" borderId="26" xfId="556" applyFont="1" applyFill="1" applyBorder="1"/>
    <xf numFmtId="0" fontId="56" fillId="0" borderId="19" xfId="556" applyFont="1" applyBorder="1"/>
    <xf numFmtId="183" fontId="15" fillId="0" borderId="35" xfId="556" applyNumberFormat="1" applyFont="1" applyFill="1" applyBorder="1"/>
    <xf numFmtId="178" fontId="15" fillId="0" borderId="35" xfId="556" applyNumberFormat="1" applyFont="1" applyFill="1" applyBorder="1"/>
    <xf numFmtId="193" fontId="15" fillId="0" borderId="35" xfId="556" applyNumberFormat="1" applyFont="1" applyFill="1" applyBorder="1"/>
    <xf numFmtId="0" fontId="4" fillId="0" borderId="0" xfId="556" applyFont="1" applyFill="1" applyBorder="1" applyAlignment="1">
      <alignment horizontal="center" wrapText="1"/>
    </xf>
    <xf numFmtId="0" fontId="6" fillId="0" borderId="0" xfId="556" applyFont="1" applyFill="1" applyBorder="1" applyAlignment="1">
      <alignment horizontal="center" wrapText="1"/>
    </xf>
    <xf numFmtId="37" fontId="6" fillId="0" borderId="0" xfId="556" applyNumberFormat="1" applyFont="1" applyFill="1" applyBorder="1" applyAlignment="1">
      <alignment horizontal="center" wrapText="1"/>
    </xf>
    <xf numFmtId="0" fontId="15" fillId="0" borderId="40" xfId="556" applyFont="1" applyBorder="1" applyAlignment="1">
      <alignment horizontal="center" wrapText="1"/>
    </xf>
    <xf numFmtId="0" fontId="15" fillId="0" borderId="35" xfId="556" applyFont="1" applyFill="1" applyBorder="1" applyAlignment="1">
      <alignment horizontal="center" wrapText="1"/>
    </xf>
    <xf numFmtId="164" fontId="6" fillId="0" borderId="25" xfId="556" applyNumberFormat="1" applyFont="1" applyFill="1" applyBorder="1"/>
    <xf numFmtId="0" fontId="58" fillId="0" borderId="19" xfId="556" applyFont="1" applyFill="1" applyBorder="1"/>
    <xf numFmtId="164" fontId="57" fillId="0" borderId="0" xfId="556" applyNumberFormat="1" applyFont="1" applyBorder="1" applyAlignment="1">
      <alignment horizontal="center" wrapText="1"/>
    </xf>
    <xf numFmtId="0" fontId="6" fillId="0" borderId="19" xfId="556" applyFont="1" applyFill="1" applyBorder="1"/>
    <xf numFmtId="164" fontId="4" fillId="0" borderId="35" xfId="556" applyNumberFormat="1" applyFont="1" applyFill="1" applyBorder="1" applyAlignment="1">
      <alignment horizontal="center" wrapText="1"/>
    </xf>
    <xf numFmtId="0" fontId="6" fillId="0" borderId="25" xfId="556" applyFont="1" applyFill="1" applyBorder="1" applyAlignment="1">
      <alignment horizontal="center"/>
    </xf>
    <xf numFmtId="0" fontId="6" fillId="0" borderId="19" xfId="556" applyFont="1" applyFill="1" applyBorder="1" applyAlignment="1">
      <alignment vertical="center"/>
    </xf>
    <xf numFmtId="0" fontId="6" fillId="0" borderId="25" xfId="556" applyFont="1" applyFill="1" applyBorder="1"/>
    <xf numFmtId="0" fontId="6" fillId="0" borderId="19" xfId="556" applyFont="1" applyFill="1" applyBorder="1" applyAlignment="1">
      <alignment horizontal="left" indent="1"/>
    </xf>
    <xf numFmtId="174" fontId="6" fillId="0" borderId="25" xfId="53" applyNumberFormat="1" applyFont="1" applyFill="1" applyBorder="1"/>
    <xf numFmtId="0" fontId="7" fillId="0" borderId="19" xfId="556" applyFont="1" applyFill="1" applyBorder="1"/>
    <xf numFmtId="10" fontId="4" fillId="0" borderId="25" xfId="556" applyNumberFormat="1" applyFont="1" applyFill="1" applyBorder="1"/>
    <xf numFmtId="0" fontId="4" fillId="0" borderId="19" xfId="556" applyFont="1" applyBorder="1"/>
    <xf numFmtId="0" fontId="4" fillId="0" borderId="0" xfId="556" applyFont="1" applyBorder="1"/>
    <xf numFmtId="177" fontId="15" fillId="0" borderId="0" xfId="192" applyNumberFormat="1" applyFont="1" applyBorder="1" applyAlignment="1">
      <alignment horizontal="center"/>
    </xf>
    <xf numFmtId="202" fontId="15" fillId="0" borderId="0" xfId="192" applyNumberFormat="1" applyFont="1" applyBorder="1" applyAlignment="1">
      <alignment horizontal="center"/>
    </xf>
    <xf numFmtId="0" fontId="59" fillId="32" borderId="18" xfId="556" applyFont="1" applyFill="1" applyBorder="1" applyAlignment="1">
      <alignment vertical="center"/>
    </xf>
    <xf numFmtId="0" fontId="56" fillId="0" borderId="39" xfId="556" applyFont="1" applyBorder="1"/>
    <xf numFmtId="164" fontId="4" fillId="0" borderId="40" xfId="556" applyNumberFormat="1" applyFont="1" applyFill="1" applyBorder="1"/>
    <xf numFmtId="164" fontId="6" fillId="0" borderId="40" xfId="556" applyNumberFormat="1" applyFont="1" applyBorder="1" applyAlignment="1">
      <alignment horizontal="center" wrapText="1"/>
    </xf>
    <xf numFmtId="9" fontId="4" fillId="0" borderId="40" xfId="928" applyFont="1" applyFill="1" applyBorder="1"/>
    <xf numFmtId="164" fontId="6" fillId="0" borderId="41" xfId="556" applyNumberFormat="1" applyFont="1" applyFill="1" applyBorder="1"/>
    <xf numFmtId="0" fontId="6" fillId="0" borderId="20" xfId="556" applyFont="1" applyFill="1" applyBorder="1"/>
    <xf numFmtId="164" fontId="4" fillId="0" borderId="35" xfId="556" applyNumberFormat="1" applyFont="1" applyFill="1" applyBorder="1"/>
    <xf numFmtId="164" fontId="4" fillId="0" borderId="26" xfId="556" applyNumberFormat="1" applyFont="1" applyFill="1" applyBorder="1"/>
    <xf numFmtId="172" fontId="4" fillId="0" borderId="0" xfId="928" applyNumberFormat="1" applyFont="1" applyFill="1" applyBorder="1" applyAlignment="1">
      <alignment horizontal="right"/>
    </xf>
    <xf numFmtId="172" fontId="6" fillId="0" borderId="25" xfId="928" applyNumberFormat="1" applyFont="1" applyFill="1" applyBorder="1"/>
    <xf numFmtId="208" fontId="78" fillId="42" borderId="0" xfId="40" applyNumberFormat="1" applyFont="1" applyFill="1" applyBorder="1"/>
    <xf numFmtId="166" fontId="78" fillId="42" borderId="0" xfId="40" applyNumberFormat="1" applyFont="1" applyFill="1" applyBorder="1"/>
    <xf numFmtId="0" fontId="1" fillId="0" borderId="0" xfId="558"/>
    <xf numFmtId="0" fontId="29" fillId="0" borderId="20" xfId="558" applyFont="1" applyFill="1" applyBorder="1"/>
    <xf numFmtId="0" fontId="24" fillId="0" borderId="0" xfId="558" applyFont="1" applyFill="1" applyBorder="1"/>
    <xf numFmtId="0" fontId="24" fillId="0" borderId="0" xfId="558" applyFont="1" applyFill="1" applyBorder="1" applyAlignment="1">
      <alignment vertical="center"/>
    </xf>
    <xf numFmtId="0" fontId="25" fillId="0" borderId="18" xfId="558" applyFont="1" applyFill="1" applyBorder="1" applyAlignment="1">
      <alignment vertical="center"/>
    </xf>
    <xf numFmtId="0" fontId="26" fillId="0" borderId="0" xfId="469" applyFont="1" applyFill="1" applyBorder="1"/>
    <xf numFmtId="0" fontId="25" fillId="0" borderId="0" xfId="469" applyFont="1" applyFill="1" applyBorder="1"/>
    <xf numFmtId="0" fontId="26" fillId="0" borderId="0" xfId="469" applyFont="1" applyFill="1" applyBorder="1" applyAlignment="1">
      <alignment horizontal="center" wrapText="1"/>
    </xf>
    <xf numFmtId="0" fontId="25" fillId="0" borderId="4" xfId="469" applyFont="1" applyFill="1" applyBorder="1" applyAlignment="1">
      <alignment horizontal="center" wrapText="1"/>
    </xf>
    <xf numFmtId="0" fontId="25" fillId="0" borderId="19" xfId="469" applyFont="1" applyFill="1" applyBorder="1"/>
    <xf numFmtId="0" fontId="25" fillId="0" borderId="0" xfId="469" applyFont="1" applyFill="1" applyBorder="1" applyAlignment="1">
      <alignment horizontal="center" wrapText="1"/>
    </xf>
    <xf numFmtId="0" fontId="25" fillId="0" borderId="0" xfId="469" applyFont="1" applyFill="1" applyBorder="1" applyAlignment="1">
      <alignment horizontal="center"/>
    </xf>
    <xf numFmtId="0" fontId="25" fillId="0" borderId="25" xfId="469" applyFont="1" applyFill="1" applyBorder="1" applyAlignment="1">
      <alignment horizontal="center"/>
    </xf>
    <xf numFmtId="0" fontId="25" fillId="0" borderId="19" xfId="469" applyFont="1" applyFill="1" applyBorder="1" applyAlignment="1">
      <alignment vertical="center"/>
    </xf>
    <xf numFmtId="174" fontId="25" fillId="0" borderId="0" xfId="53" applyNumberFormat="1" applyFont="1" applyFill="1" applyBorder="1"/>
    <xf numFmtId="0" fontId="25" fillId="0" borderId="25" xfId="469" applyFont="1" applyFill="1" applyBorder="1"/>
    <xf numFmtId="174" fontId="26" fillId="0" borderId="0" xfId="72" applyNumberFormat="1" applyFont="1" applyFill="1" applyBorder="1"/>
    <xf numFmtId="174" fontId="25" fillId="0" borderId="25" xfId="72" applyNumberFormat="1" applyFont="1" applyFill="1" applyBorder="1"/>
    <xf numFmtId="0" fontId="26" fillId="0" borderId="0" xfId="469" applyFont="1" applyFill="1"/>
    <xf numFmtId="10" fontId="26" fillId="0" borderId="0" xfId="930" applyNumberFormat="1" applyFont="1" applyFill="1"/>
    <xf numFmtId="10" fontId="25" fillId="0" borderId="25" xfId="930" applyNumberFormat="1" applyFont="1" applyFill="1" applyBorder="1"/>
    <xf numFmtId="0" fontId="35" fillId="0" borderId="19" xfId="469" applyFont="1" applyFill="1" applyBorder="1"/>
    <xf numFmtId="3" fontId="26" fillId="0" borderId="0" xfId="72" applyNumberFormat="1" applyFont="1" applyFill="1" applyBorder="1"/>
    <xf numFmtId="10" fontId="26" fillId="0" borderId="0" xfId="469" applyNumberFormat="1" applyFont="1" applyFill="1" applyBorder="1"/>
    <xf numFmtId="10" fontId="26" fillId="0" borderId="25" xfId="469" applyNumberFormat="1" applyFont="1" applyFill="1" applyBorder="1"/>
    <xf numFmtId="0" fontId="35" fillId="0" borderId="18" xfId="469" applyFont="1" applyFill="1" applyBorder="1"/>
    <xf numFmtId="0" fontId="55" fillId="0" borderId="39" xfId="469" applyFont="1" applyFill="1" applyBorder="1"/>
    <xf numFmtId="164" fontId="26" fillId="0" borderId="40" xfId="469" applyNumberFormat="1" applyFont="1" applyFill="1" applyBorder="1"/>
    <xf numFmtId="164" fontId="25" fillId="0" borderId="40" xfId="469" applyNumberFormat="1" applyFont="1" applyFill="1" applyBorder="1" applyAlignment="1">
      <alignment horizontal="center" wrapText="1"/>
    </xf>
    <xf numFmtId="9" fontId="26" fillId="0" borderId="40" xfId="883" applyFont="1" applyFill="1" applyBorder="1"/>
    <xf numFmtId="164" fontId="25" fillId="0" borderId="41" xfId="469" applyNumberFormat="1" applyFont="1" applyFill="1" applyBorder="1"/>
    <xf numFmtId="164" fontId="26" fillId="0" borderId="0" xfId="469" applyNumberFormat="1" applyFont="1" applyFill="1" applyBorder="1" applyAlignment="1">
      <alignment horizontal="center" wrapText="1"/>
    </xf>
    <xf numFmtId="175" fontId="26" fillId="0" borderId="0" xfId="469" applyNumberFormat="1" applyFont="1" applyFill="1" applyBorder="1"/>
    <xf numFmtId="164" fontId="25" fillId="0" borderId="0" xfId="469" applyNumberFormat="1" applyFont="1" applyFill="1" applyBorder="1"/>
    <xf numFmtId="0" fontId="26" fillId="0" borderId="39" xfId="469" applyFont="1" applyFill="1" applyBorder="1"/>
    <xf numFmtId="0" fontId="28" fillId="0" borderId="40" xfId="469" applyFont="1" applyFill="1" applyBorder="1"/>
    <xf numFmtId="0" fontId="28" fillId="0" borderId="40" xfId="469" applyFont="1" applyFill="1" applyBorder="1" applyAlignment="1">
      <alignment horizontal="center" wrapText="1"/>
    </xf>
    <xf numFmtId="0" fontId="28" fillId="0" borderId="40" xfId="469" applyFont="1" applyFill="1" applyBorder="1" applyAlignment="1">
      <alignment horizontal="center"/>
    </xf>
    <xf numFmtId="0" fontId="28" fillId="0" borderId="41" xfId="469" applyFont="1" applyFill="1" applyBorder="1"/>
    <xf numFmtId="0" fontId="1" fillId="0" borderId="19" xfId="469" applyFont="1" applyFill="1" applyBorder="1" applyAlignment="1">
      <alignment horizontal="left" indent="1"/>
    </xf>
    <xf numFmtId="0" fontId="2" fillId="0" borderId="4" xfId="469" applyFont="1" applyFill="1" applyBorder="1" applyAlignment="1">
      <alignment horizontal="center" wrapText="1"/>
    </xf>
    <xf numFmtId="0" fontId="2" fillId="0" borderId="17" xfId="469" applyFont="1" applyFill="1" applyBorder="1" applyAlignment="1">
      <alignment horizontal="center" wrapText="1"/>
    </xf>
    <xf numFmtId="0" fontId="2" fillId="0" borderId="20" xfId="469" applyFont="1" applyFill="1" applyBorder="1" applyAlignment="1">
      <alignment horizontal="left" vertical="center"/>
    </xf>
    <xf numFmtId="170" fontId="26" fillId="0" borderId="35" xfId="192" applyFont="1" applyFill="1" applyBorder="1" applyAlignment="1">
      <alignment vertical="center"/>
    </xf>
    <xf numFmtId="0" fontId="26" fillId="0" borderId="35" xfId="469" applyFont="1" applyFill="1" applyBorder="1" applyAlignment="1">
      <alignment horizontal="center" vertical="center" wrapText="1"/>
    </xf>
    <xf numFmtId="174" fontId="25" fillId="0" borderId="26" xfId="72" applyNumberFormat="1" applyFont="1" applyFill="1" applyBorder="1" applyAlignment="1">
      <alignment vertical="center"/>
    </xf>
    <xf numFmtId="0" fontId="28" fillId="0" borderId="35" xfId="469" applyFont="1" applyFill="1" applyBorder="1" applyAlignment="1">
      <alignment vertical="center"/>
    </xf>
    <xf numFmtId="0" fontId="25" fillId="0" borderId="35" xfId="469" applyFont="1" applyFill="1" applyBorder="1" applyAlignment="1">
      <alignment horizontal="center" vertical="center" wrapText="1"/>
    </xf>
    <xf numFmtId="177" fontId="28" fillId="0" borderId="35" xfId="192" applyNumberFormat="1" applyFont="1" applyFill="1" applyBorder="1" applyAlignment="1">
      <alignment horizontal="center" vertical="center"/>
    </xf>
    <xf numFmtId="0" fontId="28" fillId="0" borderId="26" xfId="469" applyFont="1" applyFill="1" applyBorder="1" applyAlignment="1">
      <alignment vertical="center"/>
    </xf>
    <xf numFmtId="0" fontId="25" fillId="0" borderId="18" xfId="469" applyFont="1" applyFill="1" applyBorder="1"/>
    <xf numFmtId="1" fontId="0" fillId="42" borderId="28" xfId="0" applyNumberFormat="1" applyFill="1" applyBorder="1"/>
    <xf numFmtId="0" fontId="1" fillId="0" borderId="0" xfId="560"/>
    <xf numFmtId="0" fontId="2" fillId="0" borderId="0" xfId="560" applyFont="1" applyFill="1" applyBorder="1"/>
    <xf numFmtId="0" fontId="1" fillId="0" borderId="0" xfId="560" applyFont="1" applyFill="1" applyBorder="1"/>
    <xf numFmtId="0" fontId="1" fillId="0" borderId="0" xfId="560" applyFont="1" applyFill="1" applyBorder="1" applyAlignment="1">
      <alignment horizontal="center" wrapText="1"/>
    </xf>
    <xf numFmtId="0" fontId="2" fillId="0" borderId="19" xfId="560" applyFont="1" applyFill="1" applyBorder="1"/>
    <xf numFmtId="0" fontId="2" fillId="0" borderId="0" xfId="560" applyFont="1" applyFill="1" applyBorder="1" applyAlignment="1">
      <alignment horizontal="center" wrapText="1"/>
    </xf>
    <xf numFmtId="0" fontId="2" fillId="0" borderId="25" xfId="560" applyFont="1" applyFill="1" applyBorder="1"/>
    <xf numFmtId="37" fontId="2" fillId="0" borderId="0" xfId="560" applyNumberFormat="1" applyFont="1" applyFill="1" applyBorder="1" applyAlignment="1">
      <alignment horizontal="center" wrapText="1"/>
    </xf>
    <xf numFmtId="192" fontId="2" fillId="0" borderId="25" xfId="875" applyNumberFormat="1" applyFont="1" applyFill="1" applyBorder="1"/>
    <xf numFmtId="10" fontId="2" fillId="0" borderId="25" xfId="932" applyNumberFormat="1" applyFont="1" applyFill="1" applyBorder="1"/>
    <xf numFmtId="0" fontId="30" fillId="0" borderId="19" xfId="560" applyFont="1" applyFill="1" applyBorder="1"/>
    <xf numFmtId="10" fontId="1" fillId="0" borderId="0" xfId="560" applyNumberFormat="1" applyFont="1" applyFill="1" applyBorder="1"/>
    <xf numFmtId="10" fontId="1" fillId="0" borderId="25" xfId="560" applyNumberFormat="1" applyFont="1" applyFill="1" applyBorder="1"/>
    <xf numFmtId="164" fontId="1" fillId="0" borderId="0" xfId="560" applyNumberFormat="1" applyFont="1" applyFill="1" applyBorder="1"/>
    <xf numFmtId="164" fontId="1" fillId="0" borderId="0" xfId="560" applyNumberFormat="1" applyFont="1" applyFill="1" applyBorder="1" applyAlignment="1">
      <alignment horizontal="center" wrapText="1"/>
    </xf>
    <xf numFmtId="175" fontId="1" fillId="0" borderId="0" xfId="560" applyNumberFormat="1" applyFont="1" applyFill="1" applyBorder="1"/>
    <xf numFmtId="164" fontId="2" fillId="0" borderId="0" xfId="560" applyNumberFormat="1" applyFont="1" applyFill="1" applyBorder="1"/>
    <xf numFmtId="193" fontId="2" fillId="0" borderId="0" xfId="560" applyNumberFormat="1" applyFont="1" applyFill="1" applyBorder="1"/>
    <xf numFmtId="178" fontId="2" fillId="0" borderId="0" xfId="560" applyNumberFormat="1" applyFont="1" applyFill="1" applyBorder="1"/>
    <xf numFmtId="183" fontId="2" fillId="0" borderId="0" xfId="560" applyNumberFormat="1" applyFont="1" applyFill="1" applyBorder="1"/>
    <xf numFmtId="0" fontId="2" fillId="0" borderId="4" xfId="560" applyFont="1" applyFill="1" applyBorder="1" applyAlignment="1">
      <alignment horizontal="center" wrapText="1"/>
    </xf>
    <xf numFmtId="0" fontId="2" fillId="0" borderId="17" xfId="560" applyFont="1" applyFill="1" applyBorder="1" applyAlignment="1">
      <alignment horizontal="center" wrapText="1"/>
    </xf>
    <xf numFmtId="0" fontId="30" fillId="0" borderId="18" xfId="560" applyFont="1" applyFill="1" applyBorder="1"/>
    <xf numFmtId="164" fontId="2" fillId="0" borderId="0" xfId="560" applyNumberFormat="1" applyFont="1" applyFill="1" applyBorder="1" applyAlignment="1">
      <alignment horizontal="center" wrapText="1"/>
    </xf>
    <xf numFmtId="0" fontId="2" fillId="0" borderId="63" xfId="560" applyFont="1" applyFill="1" applyBorder="1"/>
    <xf numFmtId="170" fontId="34" fillId="0" borderId="61" xfId="192" applyFont="1" applyFill="1" applyBorder="1" applyAlignment="1">
      <alignment horizontal="center" wrapText="1"/>
    </xf>
    <xf numFmtId="0" fontId="1" fillId="0" borderId="39" xfId="560" applyFont="1" applyFill="1" applyBorder="1"/>
    <xf numFmtId="0" fontId="2" fillId="0" borderId="40" xfId="560" applyFont="1" applyFill="1" applyBorder="1"/>
    <xf numFmtId="0" fontId="2" fillId="0" borderId="40" xfId="560" applyFont="1" applyFill="1" applyBorder="1" applyAlignment="1">
      <alignment horizontal="center" wrapText="1"/>
    </xf>
    <xf numFmtId="0" fontId="2" fillId="0" borderId="40" xfId="560" applyFont="1" applyFill="1" applyBorder="1" applyAlignment="1">
      <alignment horizontal="center"/>
    </xf>
    <xf numFmtId="0" fontId="2" fillId="0" borderId="41" xfId="560" applyFont="1" applyFill="1" applyBorder="1"/>
    <xf numFmtId="174" fontId="1" fillId="0" borderId="0" xfId="53" applyNumberFormat="1" applyFont="1" applyFill="1" applyBorder="1" applyAlignment="1">
      <alignment horizontal="right"/>
    </xf>
    <xf numFmtId="166" fontId="2" fillId="0" borderId="61" xfId="192" applyNumberFormat="1" applyFont="1" applyFill="1" applyBorder="1"/>
    <xf numFmtId="164" fontId="2" fillId="0" borderId="61" xfId="192" applyNumberFormat="1" applyFont="1" applyFill="1" applyBorder="1"/>
    <xf numFmtId="0" fontId="2" fillId="0" borderId="19" xfId="560" applyFont="1" applyFill="1" applyBorder="1" applyAlignment="1">
      <alignment vertical="center"/>
    </xf>
    <xf numFmtId="0" fontId="29" fillId="0" borderId="18" xfId="560" applyFont="1" applyFill="1" applyBorder="1" applyAlignment="1">
      <alignment vertical="center" wrapText="1"/>
    </xf>
    <xf numFmtId="172" fontId="1" fillId="0" borderId="0" xfId="932" applyNumberFormat="1" applyFont="1" applyFill="1" applyBorder="1"/>
    <xf numFmtId="164" fontId="2" fillId="0" borderId="62" xfId="192" applyNumberFormat="1" applyFont="1" applyFill="1" applyBorder="1"/>
    <xf numFmtId="200" fontId="1" fillId="0" borderId="0" xfId="192" applyNumberFormat="1" applyFont="1" applyFill="1" applyBorder="1" applyAlignment="1">
      <alignment vertical="top"/>
    </xf>
    <xf numFmtId="199" fontId="1" fillId="0" borderId="0" xfId="192" applyNumberFormat="1" applyFont="1" applyFill="1" applyBorder="1" applyAlignment="1">
      <alignment vertical="top"/>
    </xf>
    <xf numFmtId="0" fontId="24" fillId="0" borderId="0" xfId="560" applyFont="1" applyFill="1" applyBorder="1"/>
    <xf numFmtId="0" fontId="24" fillId="0" borderId="0" xfId="560" applyFont="1" applyFill="1"/>
    <xf numFmtId="0" fontId="24" fillId="0" borderId="0" xfId="560" applyFont="1" applyFill="1" applyBorder="1" applyAlignment="1">
      <alignment horizontal="center"/>
    </xf>
    <xf numFmtId="169" fontId="1" fillId="0" borderId="0" xfId="192" applyNumberFormat="1" applyFont="1" applyFill="1" applyBorder="1" applyAlignment="1">
      <alignment vertical="top"/>
    </xf>
    <xf numFmtId="171" fontId="1" fillId="0" borderId="0" xfId="192" applyNumberFormat="1" applyFont="1" applyFill="1" applyBorder="1" applyAlignment="1">
      <alignment vertical="top"/>
    </xf>
    <xf numFmtId="164" fontId="1" fillId="0" borderId="0" xfId="560" applyNumberFormat="1" applyFont="1" applyFill="1" applyBorder="1" applyAlignment="1">
      <alignment horizontal="right" vertical="center"/>
    </xf>
    <xf numFmtId="9" fontId="1" fillId="0" borderId="0" xfId="875" applyFont="1" applyFill="1" applyBorder="1" applyAlignment="1">
      <alignment horizontal="right" vertical="center"/>
    </xf>
    <xf numFmtId="164" fontId="2" fillId="0" borderId="25" xfId="560" applyNumberFormat="1" applyFont="1" applyFill="1" applyBorder="1" applyAlignment="1">
      <alignment horizontal="right" vertical="center"/>
    </xf>
    <xf numFmtId="164" fontId="1" fillId="0" borderId="0" xfId="192" applyNumberFormat="1" applyFont="1" applyFill="1" applyBorder="1" applyAlignment="1">
      <alignment horizontal="right" vertical="center"/>
    </xf>
    <xf numFmtId="164" fontId="1" fillId="0" borderId="25" xfId="192" applyNumberFormat="1" applyFont="1" applyFill="1" applyBorder="1" applyAlignment="1">
      <alignment horizontal="right" vertical="center"/>
    </xf>
    <xf numFmtId="170" fontId="1" fillId="0" borderId="0" xfId="192" applyFont="1" applyFill="1" applyBorder="1" applyAlignment="1">
      <alignment horizontal="right" vertical="center"/>
    </xf>
    <xf numFmtId="170" fontId="2" fillId="0" borderId="25" xfId="192" applyFont="1" applyFill="1" applyBorder="1"/>
    <xf numFmtId="0" fontId="29" fillId="0" borderId="18" xfId="560" applyFont="1" applyFill="1" applyBorder="1"/>
    <xf numFmtId="0" fontId="2" fillId="0" borderId="4" xfId="560" applyFont="1" applyFill="1" applyBorder="1" applyAlignment="1">
      <alignment horizontal="right"/>
    </xf>
    <xf numFmtId="0" fontId="1" fillId="0" borderId="4" xfId="560" applyFont="1" applyFill="1" applyBorder="1" applyAlignment="1">
      <alignment horizontal="center" wrapText="1"/>
    </xf>
    <xf numFmtId="199" fontId="2" fillId="0" borderId="4" xfId="192" applyNumberFormat="1" applyFont="1" applyFill="1" applyBorder="1" applyAlignment="1">
      <alignment vertical="top"/>
    </xf>
    <xf numFmtId="177" fontId="2" fillId="0" borderId="17" xfId="192" applyNumberFormat="1" applyFont="1" applyFill="1" applyBorder="1"/>
    <xf numFmtId="0" fontId="25" fillId="0" borderId="18" xfId="560" applyFont="1" applyFill="1" applyBorder="1" applyAlignment="1">
      <alignment vertical="center"/>
    </xf>
    <xf numFmtId="0" fontId="25" fillId="0" borderId="19" xfId="560" applyFont="1" applyFill="1" applyBorder="1" applyAlignment="1">
      <alignment vertical="center"/>
    </xf>
    <xf numFmtId="0" fontId="1" fillId="0" borderId="19" xfId="560" applyFont="1" applyFill="1" applyBorder="1" applyAlignment="1">
      <alignment horizontal="left" indent="1"/>
    </xf>
    <xf numFmtId="172" fontId="1" fillId="0" borderId="0" xfId="932" applyNumberFormat="1" applyFont="1" applyFill="1"/>
    <xf numFmtId="209" fontId="19" fillId="0" borderId="44" xfId="561" applyNumberFormat="1" applyFont="1" applyBorder="1" applyAlignment="1"/>
    <xf numFmtId="209" fontId="19" fillId="0" borderId="25" xfId="561" applyNumberFormat="1" applyFont="1" applyBorder="1" applyAlignment="1"/>
    <xf numFmtId="0" fontId="1" fillId="0" borderId="0" xfId="561"/>
    <xf numFmtId="0" fontId="60" fillId="0" borderId="0" xfId="561" applyFont="1" applyAlignment="1">
      <alignment horizontal="center"/>
    </xf>
    <xf numFmtId="0" fontId="61" fillId="0" borderId="0" xfId="561" applyFont="1" applyAlignment="1">
      <alignment horizontal="center"/>
    </xf>
    <xf numFmtId="0" fontId="62" fillId="0" borderId="0" xfId="561" applyFont="1" applyAlignment="1">
      <alignment horizontal="center"/>
    </xf>
    <xf numFmtId="0" fontId="20" fillId="0" borderId="17" xfId="561" applyFont="1" applyBorder="1" applyAlignment="1">
      <alignment horizontal="center"/>
    </xf>
    <xf numFmtId="0" fontId="60" fillId="0" borderId="0" xfId="561" applyFont="1" applyAlignment="1">
      <alignment horizontal="left"/>
    </xf>
    <xf numFmtId="0" fontId="19" fillId="0" borderId="18" xfId="561" applyFont="1" applyBorder="1" applyAlignment="1"/>
    <xf numFmtId="0" fontId="20" fillId="0" borderId="41" xfId="561" applyFont="1" applyBorder="1" applyAlignment="1"/>
    <xf numFmtId="0" fontId="19" fillId="0" borderId="0" xfId="561" applyFont="1" applyAlignment="1"/>
    <xf numFmtId="0" fontId="20" fillId="0" borderId="39" xfId="561" applyFont="1" applyBorder="1" applyAlignment="1"/>
    <xf numFmtId="0" fontId="20" fillId="0" borderId="25" xfId="561" applyFont="1" applyBorder="1" applyAlignment="1"/>
    <xf numFmtId="0" fontId="20" fillId="0" borderId="19" xfId="561" applyFont="1" applyBorder="1" applyAlignment="1"/>
    <xf numFmtId="0" fontId="19" fillId="0" borderId="25" xfId="561" applyFont="1" applyBorder="1" applyAlignment="1"/>
    <xf numFmtId="0" fontId="19" fillId="0" borderId="19" xfId="561" applyFont="1" applyBorder="1" applyAlignment="1"/>
    <xf numFmtId="209" fontId="19" fillId="0" borderId="25" xfId="561" quotePrefix="1" applyNumberFormat="1" applyFont="1" applyBorder="1" applyAlignment="1"/>
    <xf numFmtId="209" fontId="19" fillId="0" borderId="44" xfId="561" quotePrefix="1" applyNumberFormat="1" applyFont="1" applyBorder="1" applyAlignment="1"/>
    <xf numFmtId="209" fontId="19" fillId="0" borderId="25" xfId="181" applyNumberFormat="1" applyFont="1" applyBorder="1" applyAlignment="1"/>
    <xf numFmtId="209" fontId="19" fillId="0" borderId="26" xfId="181" applyNumberFormat="1" applyFont="1" applyBorder="1" applyAlignment="1"/>
    <xf numFmtId="0" fontId="19" fillId="0" borderId="20" xfId="561" applyFont="1" applyBorder="1" applyAlignment="1"/>
    <xf numFmtId="0" fontId="1" fillId="0" borderId="0" xfId="561" applyAlignment="1"/>
    <xf numFmtId="0" fontId="20" fillId="0" borderId="24" xfId="561" applyFont="1" applyBorder="1" applyAlignment="1">
      <alignment horizontal="center" vertical="center" wrapText="1"/>
    </xf>
    <xf numFmtId="0" fontId="20" fillId="0" borderId="56" xfId="561" applyFont="1" applyBorder="1" applyAlignment="1">
      <alignment horizontal="right"/>
    </xf>
    <xf numFmtId="0" fontId="20" fillId="0" borderId="57" xfId="561" applyFont="1" applyBorder="1" applyAlignment="1">
      <alignment horizontal="right"/>
    </xf>
    <xf numFmtId="0" fontId="19" fillId="0" borderId="57" xfId="561" applyFont="1" applyBorder="1" applyAlignment="1"/>
    <xf numFmtId="172" fontId="19" fillId="0" borderId="57" xfId="933" applyNumberFormat="1" applyFont="1" applyBorder="1" applyAlignment="1"/>
    <xf numFmtId="172" fontId="19" fillId="0" borderId="64" xfId="933" applyNumberFormat="1" applyFont="1" applyBorder="1" applyAlignment="1"/>
    <xf numFmtId="172" fontId="19" fillId="0" borderId="58" xfId="933" applyNumberFormat="1" applyFont="1" applyBorder="1" applyAlignment="1"/>
    <xf numFmtId="175" fontId="6" fillId="32" borderId="25" xfId="192" applyNumberFormat="1" applyFont="1" applyFill="1" applyBorder="1"/>
    <xf numFmtId="175" fontId="6" fillId="0" borderId="0" xfId="192" applyNumberFormat="1" applyFont="1" applyFill="1" applyBorder="1"/>
    <xf numFmtId="175" fontId="4" fillId="32" borderId="0" xfId="192" applyNumberFormat="1" applyFont="1" applyFill="1" applyBorder="1"/>
    <xf numFmtId="170" fontId="6" fillId="32" borderId="25" xfId="192" applyNumberFormat="1" applyFont="1" applyFill="1" applyBorder="1"/>
    <xf numFmtId="175" fontId="15" fillId="30" borderId="4" xfId="192" applyNumberFormat="1" applyFont="1" applyFill="1" applyBorder="1"/>
    <xf numFmtId="175" fontId="15" fillId="30" borderId="17" xfId="192" applyNumberFormat="1" applyFont="1" applyFill="1" applyBorder="1"/>
    <xf numFmtId="170" fontId="16" fillId="31" borderId="0" xfId="192" applyNumberFormat="1" applyFont="1" applyFill="1" applyBorder="1"/>
    <xf numFmtId="175" fontId="15" fillId="31" borderId="25" xfId="192" applyNumberFormat="1" applyFont="1" applyFill="1" applyBorder="1"/>
    <xf numFmtId="177" fontId="16" fillId="31" borderId="0" xfId="192" applyNumberFormat="1" applyFont="1" applyFill="1" applyBorder="1"/>
    <xf numFmtId="175" fontId="4" fillId="32" borderId="35" xfId="192" applyNumberFormat="1" applyFont="1" applyFill="1" applyBorder="1"/>
    <xf numFmtId="170" fontId="6" fillId="32" borderId="26" xfId="192" applyNumberFormat="1" applyFont="1" applyFill="1" applyBorder="1"/>
    <xf numFmtId="175" fontId="4" fillId="32" borderId="25" xfId="192" applyNumberFormat="1" applyFont="1" applyFill="1" applyBorder="1"/>
    <xf numFmtId="175" fontId="6" fillId="30" borderId="25" xfId="192" applyNumberFormat="1" applyFont="1" applyFill="1" applyBorder="1"/>
    <xf numFmtId="174" fontId="4" fillId="33" borderId="0" xfId="53" applyNumberFormat="1" applyFont="1" applyFill="1" applyBorder="1"/>
    <xf numFmtId="174" fontId="6" fillId="33" borderId="25" xfId="53" applyNumberFormat="1" applyFont="1" applyFill="1" applyBorder="1"/>
    <xf numFmtId="174" fontId="4" fillId="33" borderId="0" xfId="53" applyNumberFormat="1" applyFont="1" applyFill="1" applyBorder="1" applyAlignment="1">
      <alignment horizontal="right"/>
    </xf>
    <xf numFmtId="174" fontId="10" fillId="33" borderId="0" xfId="53" applyNumberFormat="1" applyFont="1" applyFill="1" applyBorder="1"/>
    <xf numFmtId="174" fontId="11" fillId="33" borderId="0" xfId="53" applyNumberFormat="1" applyFont="1" applyFill="1" applyBorder="1" applyAlignment="1">
      <alignment horizontal="right"/>
    </xf>
    <xf numFmtId="174" fontId="11" fillId="33" borderId="0" xfId="53" applyNumberFormat="1" applyFont="1" applyFill="1" applyBorder="1"/>
    <xf numFmtId="175" fontId="6" fillId="31" borderId="41" xfId="192" applyNumberFormat="1" applyFont="1" applyFill="1" applyBorder="1"/>
    <xf numFmtId="175" fontId="15" fillId="27" borderId="25" xfId="192" applyNumberFormat="1" applyFont="1" applyFill="1" applyBorder="1"/>
    <xf numFmtId="175" fontId="4" fillId="27" borderId="0" xfId="192" applyNumberFormat="1" applyFont="1" applyFill="1" applyBorder="1"/>
    <xf numFmtId="175" fontId="6" fillId="27" borderId="25" xfId="192" applyNumberFormat="1" applyFont="1" applyFill="1" applyBorder="1"/>
    <xf numFmtId="175" fontId="4" fillId="22" borderId="40" xfId="192" applyNumberFormat="1" applyFont="1" applyFill="1" applyBorder="1"/>
    <xf numFmtId="175" fontId="6" fillId="22" borderId="41" xfId="192" applyNumberFormat="1" applyFont="1" applyFill="1" applyBorder="1"/>
    <xf numFmtId="175" fontId="4" fillId="22" borderId="0" xfId="192" applyNumberFormat="1" applyFont="1" applyFill="1" applyBorder="1"/>
    <xf numFmtId="175" fontId="6" fillId="22" borderId="25" xfId="192" applyNumberFormat="1" applyFont="1" applyFill="1" applyBorder="1"/>
    <xf numFmtId="175" fontId="4" fillId="22" borderId="35" xfId="192" applyNumberFormat="1" applyFont="1" applyFill="1" applyBorder="1"/>
    <xf numFmtId="175" fontId="6" fillId="22" borderId="26" xfId="192" applyNumberFormat="1" applyFont="1" applyFill="1" applyBorder="1"/>
    <xf numFmtId="174" fontId="16" fillId="31" borderId="0" xfId="53" applyNumberFormat="1" applyFont="1" applyFill="1" applyBorder="1"/>
    <xf numFmtId="175" fontId="16" fillId="31" borderId="0" xfId="192" applyNumberFormat="1" applyFont="1" applyFill="1" applyBorder="1"/>
    <xf numFmtId="177" fontId="15" fillId="31" borderId="0" xfId="192" applyNumberFormat="1" applyFont="1" applyFill="1" applyBorder="1"/>
    <xf numFmtId="175" fontId="4" fillId="31" borderId="39" xfId="192" applyNumberFormat="1" applyFont="1" applyFill="1" applyBorder="1"/>
    <xf numFmtId="175" fontId="16" fillId="31" borderId="19" xfId="192" applyNumberFormat="1" applyFont="1" applyFill="1" applyBorder="1"/>
    <xf numFmtId="177" fontId="15" fillId="31" borderId="19" xfId="192" applyNumberFormat="1" applyFont="1" applyFill="1" applyBorder="1"/>
    <xf numFmtId="174" fontId="16" fillId="31" borderId="19" xfId="53" applyNumberFormat="1" applyFont="1" applyFill="1" applyBorder="1"/>
    <xf numFmtId="175" fontId="15" fillId="34" borderId="4" xfId="192" applyNumberFormat="1" applyFont="1" applyFill="1" applyBorder="1"/>
    <xf numFmtId="175" fontId="15" fillId="34" borderId="17" xfId="192" applyNumberFormat="1" applyFont="1" applyFill="1" applyBorder="1"/>
    <xf numFmtId="175" fontId="4" fillId="35" borderId="40" xfId="192" applyNumberFormat="1" applyFont="1" applyFill="1" applyBorder="1"/>
    <xf numFmtId="175" fontId="4" fillId="35" borderId="0" xfId="192" applyNumberFormat="1" applyFont="1" applyFill="1" applyBorder="1"/>
    <xf numFmtId="175" fontId="6" fillId="35" borderId="0" xfId="192" applyNumberFormat="1" applyFont="1" applyFill="1" applyBorder="1"/>
    <xf numFmtId="175" fontId="6" fillId="35" borderId="65" xfId="192" applyNumberFormat="1" applyFont="1" applyFill="1" applyBorder="1"/>
    <xf numFmtId="175" fontId="4" fillId="35" borderId="65" xfId="192" applyNumberFormat="1" applyFont="1" applyFill="1" applyBorder="1"/>
    <xf numFmtId="179" fontId="15" fillId="31" borderId="0" xfId="192" applyNumberFormat="1" applyFont="1" applyFill="1" applyBorder="1"/>
    <xf numFmtId="178" fontId="16" fillId="31" borderId="19" xfId="53" applyNumberFormat="1" applyFont="1" applyFill="1" applyBorder="1"/>
    <xf numFmtId="178" fontId="16" fillId="31" borderId="0" xfId="53" applyNumberFormat="1" applyFont="1" applyFill="1" applyBorder="1"/>
    <xf numFmtId="175" fontId="16" fillId="31" borderId="18" xfId="192" applyNumberFormat="1" applyFont="1" applyFill="1" applyBorder="1"/>
    <xf numFmtId="175" fontId="15" fillId="31" borderId="17" xfId="192" applyNumberFormat="1" applyFont="1" applyFill="1" applyBorder="1"/>
    <xf numFmtId="4" fontId="19" fillId="0" borderId="0" xfId="261" applyNumberFormat="1" applyFont="1" applyFill="1" applyBorder="1"/>
    <xf numFmtId="181" fontId="19" fillId="0" borderId="0" xfId="261" applyNumberFormat="1" applyFont="1" applyFill="1" applyBorder="1"/>
    <xf numFmtId="182" fontId="19" fillId="0" borderId="0" xfId="261" applyNumberFormat="1" applyFont="1" applyFill="1" applyBorder="1"/>
    <xf numFmtId="175" fontId="16" fillId="31" borderId="35" xfId="192" applyNumberFormat="1" applyFont="1" applyFill="1" applyBorder="1"/>
    <xf numFmtId="174" fontId="4" fillId="30" borderId="0" xfId="53" applyNumberFormat="1" applyFont="1" applyFill="1" applyBorder="1"/>
    <xf numFmtId="174" fontId="4" fillId="30" borderId="20" xfId="53" applyNumberFormat="1" applyFont="1" applyFill="1" applyBorder="1"/>
    <xf numFmtId="174" fontId="4" fillId="30" borderId="35" xfId="53" applyNumberFormat="1" applyFont="1" applyFill="1" applyBorder="1"/>
    <xf numFmtId="175" fontId="6" fillId="32" borderId="35" xfId="192" applyNumberFormat="1" applyFont="1" applyFill="1" applyBorder="1"/>
    <xf numFmtId="175" fontId="4" fillId="32" borderId="40" xfId="192" applyNumberFormat="1" applyFont="1" applyFill="1" applyBorder="1"/>
    <xf numFmtId="175" fontId="6" fillId="32" borderId="40" xfId="192" applyNumberFormat="1" applyFont="1" applyFill="1" applyBorder="1"/>
    <xf numFmtId="175" fontId="6" fillId="32" borderId="0" xfId="192" applyNumberFormat="1" applyFont="1" applyFill="1" applyBorder="1"/>
    <xf numFmtId="175" fontId="15" fillId="32" borderId="0" xfId="192" applyNumberFormat="1" applyFont="1" applyFill="1" applyBorder="1"/>
    <xf numFmtId="175" fontId="15" fillId="32" borderId="35" xfId="192" applyNumberFormat="1" applyFont="1" applyFill="1" applyBorder="1"/>
    <xf numFmtId="175" fontId="4" fillId="0" borderId="0" xfId="192" applyNumberFormat="1" applyFont="1" applyFill="1"/>
    <xf numFmtId="44" fontId="4" fillId="0" borderId="0" xfId="192" applyNumberFormat="1" applyFont="1" applyFill="1" applyAlignment="1">
      <alignment wrapText="1"/>
    </xf>
    <xf numFmtId="179" fontId="15" fillId="36" borderId="39" xfId="192" applyNumberFormat="1" applyFont="1" applyFill="1" applyBorder="1"/>
    <xf numFmtId="179" fontId="15" fillId="36" borderId="40" xfId="192" applyNumberFormat="1" applyFont="1" applyFill="1" applyBorder="1"/>
    <xf numFmtId="179" fontId="6" fillId="36" borderId="40" xfId="192" applyNumberFormat="1" applyFont="1" applyFill="1" applyBorder="1"/>
    <xf numFmtId="179" fontId="6" fillId="36" borderId="0" xfId="192" applyNumberFormat="1" applyFont="1" applyFill="1" applyBorder="1"/>
    <xf numFmtId="202" fontId="6" fillId="36" borderId="0" xfId="192" applyNumberFormat="1" applyFont="1" applyFill="1" applyBorder="1"/>
    <xf numFmtId="179" fontId="15" fillId="36" borderId="19" xfId="192" applyNumberFormat="1" applyFont="1" applyFill="1" applyBorder="1"/>
    <xf numFmtId="174" fontId="11" fillId="33" borderId="66" xfId="53" applyNumberFormat="1" applyFont="1" applyFill="1" applyBorder="1" applyAlignment="1">
      <alignment horizontal="right"/>
    </xf>
    <xf numFmtId="174" fontId="11" fillId="33" borderId="66" xfId="53" applyNumberFormat="1" applyFont="1" applyFill="1" applyBorder="1"/>
    <xf numFmtId="174" fontId="6" fillId="33" borderId="67" xfId="53" applyNumberFormat="1" applyFont="1" applyFill="1" applyBorder="1"/>
    <xf numFmtId="175" fontId="15" fillId="37" borderId="4" xfId="192" applyNumberFormat="1" applyFont="1" applyFill="1" applyBorder="1"/>
    <xf numFmtId="175" fontId="15" fillId="37" borderId="17" xfId="192" applyNumberFormat="1" applyFont="1" applyFill="1" applyBorder="1"/>
    <xf numFmtId="175" fontId="15" fillId="27" borderId="0" xfId="192" applyNumberFormat="1" applyFont="1" applyFill="1" applyBorder="1"/>
    <xf numFmtId="175" fontId="15" fillId="34" borderId="0" xfId="192" applyNumberFormat="1" applyFont="1" applyFill="1" applyBorder="1"/>
    <xf numFmtId="175" fontId="15" fillId="38" borderId="25" xfId="192" applyNumberFormat="1" applyFont="1" applyFill="1" applyBorder="1"/>
    <xf numFmtId="175" fontId="15" fillId="38" borderId="0" xfId="192" applyNumberFormat="1" applyFont="1" applyFill="1" applyBorder="1"/>
    <xf numFmtId="172" fontId="6" fillId="32" borderId="25" xfId="192" applyNumberFormat="1" applyFont="1" applyFill="1" applyBorder="1"/>
    <xf numFmtId="4" fontId="19" fillId="39" borderId="0" xfId="261" applyNumberFormat="1" applyFont="1" applyFill="1" applyBorder="1"/>
    <xf numFmtId="4" fontId="19" fillId="39" borderId="35" xfId="261" applyNumberFormat="1" applyFont="1" applyFill="1" applyBorder="1"/>
    <xf numFmtId="174" fontId="4" fillId="39" borderId="0" xfId="53" applyNumberFormat="1" applyFont="1" applyFill="1" applyBorder="1"/>
    <xf numFmtId="174" fontId="4" fillId="39" borderId="20" xfId="53" applyNumberFormat="1" applyFont="1" applyFill="1" applyBorder="1" applyAlignment="1">
      <alignment horizontal="center" wrapText="1"/>
    </xf>
    <xf numFmtId="174" fontId="4" fillId="39" borderId="35" xfId="53" applyNumberFormat="1" applyFont="1" applyFill="1" applyBorder="1"/>
    <xf numFmtId="175" fontId="4" fillId="39" borderId="0" xfId="192" applyNumberFormat="1" applyFont="1" applyFill="1" applyBorder="1"/>
    <xf numFmtId="170" fontId="4" fillId="39" borderId="0" xfId="192" applyNumberFormat="1" applyFont="1" applyFill="1" applyBorder="1"/>
    <xf numFmtId="175" fontId="4" fillId="39" borderId="25" xfId="192" applyNumberFormat="1" applyFont="1" applyFill="1" applyBorder="1"/>
    <xf numFmtId="175" fontId="4" fillId="39" borderId="35" xfId="192" applyNumberFormat="1" applyFont="1" applyFill="1" applyBorder="1"/>
    <xf numFmtId="175" fontId="4" fillId="39" borderId="26" xfId="192" applyNumberFormat="1" applyFont="1" applyFill="1" applyBorder="1"/>
    <xf numFmtId="175" fontId="4" fillId="39" borderId="40" xfId="192" applyNumberFormat="1" applyFont="1" applyFill="1" applyBorder="1"/>
    <xf numFmtId="175" fontId="4" fillId="39" borderId="41" xfId="192" applyNumberFormat="1" applyFont="1" applyFill="1" applyBorder="1"/>
    <xf numFmtId="175" fontId="15" fillId="39" borderId="35" xfId="192" applyNumberFormat="1" applyFont="1" applyFill="1" applyBorder="1"/>
    <xf numFmtId="175" fontId="15" fillId="39" borderId="26" xfId="192" applyNumberFormat="1" applyFont="1" applyFill="1" applyBorder="1"/>
    <xf numFmtId="179" fontId="6" fillId="39" borderId="39" xfId="192" applyNumberFormat="1" applyFont="1" applyFill="1" applyBorder="1" applyAlignment="1">
      <alignment horizontal="center" wrapText="1"/>
    </xf>
    <xf numFmtId="179" fontId="6" fillId="39" borderId="40" xfId="192" applyNumberFormat="1" applyFont="1" applyFill="1" applyBorder="1"/>
    <xf numFmtId="170" fontId="6" fillId="39" borderId="40" xfId="192" applyNumberFormat="1" applyFont="1" applyFill="1" applyBorder="1"/>
    <xf numFmtId="179" fontId="6" fillId="39" borderId="41" xfId="192" applyNumberFormat="1" applyFont="1" applyFill="1" applyBorder="1"/>
    <xf numFmtId="203" fontId="6" fillId="39" borderId="0" xfId="192" applyNumberFormat="1" applyFont="1" applyFill="1" applyBorder="1"/>
    <xf numFmtId="170" fontId="6" fillId="39" borderId="0" xfId="192" applyNumberFormat="1" applyFont="1" applyFill="1" applyBorder="1"/>
    <xf numFmtId="179" fontId="6" fillId="39" borderId="25" xfId="192" applyNumberFormat="1" applyFont="1" applyFill="1" applyBorder="1"/>
    <xf numFmtId="179" fontId="6" fillId="39" borderId="19" xfId="192" applyNumberFormat="1" applyFont="1" applyFill="1" applyBorder="1" applyAlignment="1">
      <alignment horizontal="center" wrapText="1"/>
    </xf>
    <xf numFmtId="177" fontId="6" fillId="39" borderId="0" xfId="192" applyNumberFormat="1" applyFont="1" applyFill="1" applyBorder="1"/>
    <xf numFmtId="179" fontId="6" fillId="39" borderId="0" xfId="192" applyNumberFormat="1" applyFont="1" applyFill="1" applyBorder="1"/>
    <xf numFmtId="202" fontId="6" fillId="39" borderId="0" xfId="192" applyNumberFormat="1" applyFont="1" applyFill="1" applyBorder="1"/>
    <xf numFmtId="170" fontId="15" fillId="23" borderId="0" xfId="192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5" fillId="32" borderId="39" xfId="0" applyFont="1" applyFill="1" applyBorder="1" applyAlignment="1">
      <alignment vertical="center"/>
    </xf>
    <xf numFmtId="0" fontId="6" fillId="32" borderId="40" xfId="0" applyFont="1" applyFill="1" applyBorder="1" applyAlignment="1">
      <alignment horizontal="center" wrapText="1"/>
    </xf>
    <xf numFmtId="0" fontId="6" fillId="32" borderId="4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6" fillId="0" borderId="39" xfId="0" applyFont="1" applyFill="1" applyBorder="1"/>
    <xf numFmtId="0" fontId="6" fillId="0" borderId="40" xfId="0" applyFont="1" applyFill="1" applyBorder="1"/>
    <xf numFmtId="0" fontId="6" fillId="0" borderId="40" xfId="0" applyFont="1" applyFill="1" applyBorder="1" applyAlignment="1">
      <alignment horizontal="center" wrapText="1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172" fontId="4" fillId="0" borderId="0" xfId="702" applyNumberFormat="1" applyFont="1" applyFill="1" applyBorder="1"/>
    <xf numFmtId="0" fontId="8" fillId="38" borderId="39" xfId="0" applyFont="1" applyFill="1" applyBorder="1" applyAlignment="1">
      <alignment horizontal="left" indent="1"/>
    </xf>
    <xf numFmtId="0" fontId="9" fillId="38" borderId="40" xfId="0" applyFont="1" applyFill="1" applyBorder="1"/>
    <xf numFmtId="0" fontId="9" fillId="38" borderId="40" xfId="0" applyFont="1" applyFill="1" applyBorder="1" applyAlignment="1">
      <alignment horizontal="center" wrapText="1"/>
    </xf>
    <xf numFmtId="10" fontId="9" fillId="38" borderId="40" xfId="0" applyNumberFormat="1" applyFont="1" applyFill="1" applyBorder="1"/>
    <xf numFmtId="172" fontId="9" fillId="38" borderId="41" xfId="702" applyNumberFormat="1" applyFont="1" applyFill="1" applyBorder="1"/>
    <xf numFmtId="0" fontId="6" fillId="33" borderId="19" xfId="0" applyFont="1" applyFill="1" applyBorder="1" applyAlignment="1">
      <alignment horizontal="left" indent="1"/>
    </xf>
    <xf numFmtId="0" fontId="6" fillId="33" borderId="0" xfId="0" applyFont="1" applyFill="1" applyBorder="1"/>
    <xf numFmtId="0" fontId="7" fillId="27" borderId="0" xfId="0" applyFont="1" applyFill="1" applyBorder="1" applyAlignment="1">
      <alignment horizontal="left" wrapText="1"/>
    </xf>
    <xf numFmtId="174" fontId="6" fillId="0" borderId="0" xfId="0" applyNumberFormat="1" applyFont="1" applyFill="1" applyBorder="1"/>
    <xf numFmtId="0" fontId="6" fillId="33" borderId="19" xfId="0" applyFont="1" applyFill="1" applyBorder="1" applyAlignment="1">
      <alignment horizontal="left" wrapText="1" indent="1"/>
    </xf>
    <xf numFmtId="175" fontId="6" fillId="0" borderId="0" xfId="0" applyNumberFormat="1" applyFont="1" applyFill="1" applyBorder="1"/>
    <xf numFmtId="0" fontId="6" fillId="33" borderId="68" xfId="0" applyFont="1" applyFill="1" applyBorder="1" applyAlignment="1">
      <alignment horizontal="left" vertical="top" wrapText="1" indent="1"/>
    </xf>
    <xf numFmtId="0" fontId="6" fillId="33" borderId="66" xfId="0" applyFont="1" applyFill="1" applyBorder="1"/>
    <xf numFmtId="0" fontId="7" fillId="27" borderId="66" xfId="0" applyFont="1" applyFill="1" applyBorder="1" applyAlignment="1">
      <alignment horizontal="left" wrapText="1"/>
    </xf>
    <xf numFmtId="0" fontId="4" fillId="0" borderId="19" xfId="0" applyFont="1" applyFill="1" applyBorder="1"/>
    <xf numFmtId="174" fontId="6" fillId="0" borderId="25" xfId="0" applyNumberFormat="1" applyFont="1" applyFill="1" applyBorder="1"/>
    <xf numFmtId="175" fontId="6" fillId="0" borderId="24" xfId="0" applyNumberFormat="1" applyFont="1" applyFill="1" applyBorder="1"/>
    <xf numFmtId="164" fontId="6" fillId="36" borderId="19" xfId="0" applyNumberFormat="1" applyFont="1" applyFill="1" applyBorder="1" applyAlignment="1">
      <alignment horizontal="left" indent="1"/>
    </xf>
    <xf numFmtId="0" fontId="4" fillId="36" borderId="0" xfId="0" applyFont="1" applyFill="1" applyBorder="1"/>
    <xf numFmtId="10" fontId="4" fillId="36" borderId="0" xfId="702" applyNumberFormat="1" applyFont="1" applyFill="1" applyBorder="1"/>
    <xf numFmtId="172" fontId="6" fillId="36" borderId="25" xfId="702" applyNumberFormat="1" applyFont="1" applyFill="1" applyBorder="1"/>
    <xf numFmtId="0" fontId="6" fillId="36" borderId="19" xfId="0" applyFont="1" applyFill="1" applyBorder="1" applyAlignment="1">
      <alignment horizontal="left" indent="1"/>
    </xf>
    <xf numFmtId="0" fontId="3" fillId="34" borderId="19" xfId="0" applyFont="1" applyFill="1" applyBorder="1" applyAlignment="1">
      <alignment horizontal="left" indent="1"/>
    </xf>
    <xf numFmtId="0" fontId="3" fillId="34" borderId="0" xfId="0" quotePrefix="1" applyFont="1" applyFill="1" applyBorder="1"/>
    <xf numFmtId="37" fontId="4" fillId="0" borderId="0" xfId="0" applyNumberFormat="1" applyFont="1" applyFill="1"/>
    <xf numFmtId="172" fontId="4" fillId="0" borderId="0" xfId="702" applyNumberFormat="1" applyFont="1" applyFill="1"/>
    <xf numFmtId="0" fontId="6" fillId="36" borderId="20" xfId="0" applyFont="1" applyFill="1" applyBorder="1" applyAlignment="1">
      <alignment horizontal="left" indent="1"/>
    </xf>
    <xf numFmtId="0" fontId="4" fillId="36" borderId="35" xfId="0" applyFont="1" applyFill="1" applyBorder="1"/>
    <xf numFmtId="10" fontId="4" fillId="36" borderId="35" xfId="0" applyNumberFormat="1" applyFont="1" applyFill="1" applyBorder="1"/>
    <xf numFmtId="172" fontId="6" fillId="36" borderId="26" xfId="702" applyNumberFormat="1" applyFont="1" applyFill="1" applyBorder="1"/>
    <xf numFmtId="0" fontId="6" fillId="27" borderId="19" xfId="0" applyFont="1" applyFill="1" applyBorder="1" applyAlignment="1">
      <alignment horizontal="left" indent="1"/>
    </xf>
    <xf numFmtId="0" fontId="6" fillId="27" borderId="0" xfId="0" applyFont="1" applyFill="1" applyBorder="1" applyAlignment="1">
      <alignment horizontal="center" wrapText="1"/>
    </xf>
    <xf numFmtId="10" fontId="4" fillId="27" borderId="0" xfId="0" applyNumberFormat="1" applyFont="1" applyFill="1" applyBorder="1"/>
    <xf numFmtId="172" fontId="6" fillId="27" borderId="25" xfId="702" applyNumberFormat="1" applyFont="1" applyFill="1" applyBorder="1"/>
    <xf numFmtId="176" fontId="4" fillId="27" borderId="0" xfId="0" applyNumberFormat="1" applyFont="1" applyFill="1" applyBorder="1"/>
    <xf numFmtId="0" fontId="6" fillId="32" borderId="19" xfId="0" applyFont="1" applyFill="1" applyBorder="1" applyAlignment="1">
      <alignment horizontal="left" indent="1"/>
    </xf>
    <xf numFmtId="0" fontId="4" fillId="32" borderId="0" xfId="0" applyFont="1" applyFill="1" applyBorder="1"/>
    <xf numFmtId="175" fontId="4" fillId="0" borderId="0" xfId="0" applyNumberFormat="1" applyFont="1" applyFill="1" applyBorder="1"/>
    <xf numFmtId="10" fontId="6" fillId="32" borderId="0" xfId="702" applyNumberFormat="1" applyFont="1" applyFill="1" applyBorder="1"/>
    <xf numFmtId="10" fontId="6" fillId="32" borderId="25" xfId="702" applyNumberFormat="1" applyFont="1" applyFill="1" applyBorder="1"/>
    <xf numFmtId="172" fontId="4" fillId="32" borderId="0" xfId="702" applyNumberFormat="1" applyFont="1" applyFill="1" applyBorder="1"/>
    <xf numFmtId="0" fontId="4" fillId="38" borderId="40" xfId="0" applyFont="1" applyFill="1" applyBorder="1"/>
    <xf numFmtId="0" fontId="6" fillId="38" borderId="40" xfId="0" applyFont="1" applyFill="1" applyBorder="1" applyAlignment="1">
      <alignment horizontal="center" wrapText="1"/>
    </xf>
    <xf numFmtId="10" fontId="4" fillId="38" borderId="40" xfId="0" applyNumberFormat="1" applyFont="1" applyFill="1" applyBorder="1"/>
    <xf numFmtId="172" fontId="6" fillId="38" borderId="41" xfId="702" applyNumberFormat="1" applyFont="1" applyFill="1" applyBorder="1"/>
    <xf numFmtId="0" fontId="6" fillId="32" borderId="20" xfId="0" applyFont="1" applyFill="1" applyBorder="1" applyAlignment="1">
      <alignment horizontal="left" indent="1"/>
    </xf>
    <xf numFmtId="0" fontId="4" fillId="32" borderId="35" xfId="0" applyFont="1" applyFill="1" applyBorder="1"/>
    <xf numFmtId="0" fontId="6" fillId="27" borderId="35" xfId="0" applyFont="1" applyFill="1" applyBorder="1" applyAlignment="1">
      <alignment horizontal="center" wrapText="1"/>
    </xf>
    <xf numFmtId="0" fontId="3" fillId="34" borderId="39" xfId="0" applyFont="1" applyFill="1" applyBorder="1" applyAlignment="1">
      <alignment horizontal="left" indent="1"/>
    </xf>
    <xf numFmtId="0" fontId="12" fillId="34" borderId="40" xfId="0" applyFont="1" applyFill="1" applyBorder="1"/>
    <xf numFmtId="0" fontId="3" fillId="34" borderId="40" xfId="0" applyFont="1" applyFill="1" applyBorder="1" applyAlignment="1">
      <alignment horizontal="center" wrapText="1"/>
    </xf>
    <xf numFmtId="10" fontId="3" fillId="34" borderId="41" xfId="702" applyNumberFormat="1" applyFont="1" applyFill="1" applyBorder="1"/>
    <xf numFmtId="10" fontId="4" fillId="27" borderId="0" xfId="702" applyNumberFormat="1" applyFont="1" applyFill="1" applyBorder="1"/>
    <xf numFmtId="10" fontId="6" fillId="27" borderId="25" xfId="702" applyNumberFormat="1" applyFont="1" applyFill="1" applyBorder="1"/>
    <xf numFmtId="0" fontId="6" fillId="30" borderId="19" xfId="0" applyFont="1" applyFill="1" applyBorder="1" applyAlignment="1">
      <alignment horizontal="left" indent="1"/>
    </xf>
    <xf numFmtId="0" fontId="4" fillId="30" borderId="0" xfId="0" applyFont="1" applyFill="1" applyBorder="1"/>
    <xf numFmtId="175" fontId="4" fillId="30" borderId="25" xfId="0" applyNumberFormat="1" applyFont="1" applyFill="1" applyBorder="1"/>
    <xf numFmtId="0" fontId="6" fillId="30" borderId="20" xfId="0" applyFont="1" applyFill="1" applyBorder="1" applyAlignment="1">
      <alignment horizontal="left" indent="1"/>
    </xf>
    <xf numFmtId="0" fontId="4" fillId="30" borderId="35" xfId="0" applyFont="1" applyFill="1" applyBorder="1"/>
    <xf numFmtId="172" fontId="6" fillId="30" borderId="26" xfId="702" applyNumberFormat="1" applyFont="1" applyFill="1" applyBorder="1"/>
    <xf numFmtId="10" fontId="6" fillId="27" borderId="0" xfId="702" applyNumberFormat="1" applyFont="1" applyFill="1" applyBorder="1"/>
    <xf numFmtId="0" fontId="13" fillId="22" borderId="39" xfId="0" applyFont="1" applyFill="1" applyBorder="1" applyAlignment="1">
      <alignment horizontal="left" indent="1"/>
    </xf>
    <xf numFmtId="0" fontId="14" fillId="22" borderId="40" xfId="0" applyFont="1" applyFill="1" applyBorder="1" applyAlignment="1">
      <alignment wrapText="1"/>
    </xf>
    <xf numFmtId="0" fontId="6" fillId="22" borderId="40" xfId="0" applyFont="1" applyFill="1" applyBorder="1" applyAlignment="1">
      <alignment horizontal="center" wrapText="1"/>
    </xf>
    <xf numFmtId="176" fontId="4" fillId="22" borderId="0" xfId="0" applyNumberFormat="1" applyFont="1" applyFill="1" applyBorder="1"/>
    <xf numFmtId="0" fontId="4" fillId="22" borderId="0" xfId="0" applyFont="1" applyFill="1" applyBorder="1"/>
    <xf numFmtId="0" fontId="6" fillId="22" borderId="19" xfId="0" applyFont="1" applyFill="1" applyBorder="1" applyAlignment="1">
      <alignment horizontal="left" indent="1"/>
    </xf>
    <xf numFmtId="0" fontId="14" fillId="22" borderId="0" xfId="0" applyFont="1" applyFill="1" applyBorder="1" applyAlignment="1">
      <alignment wrapText="1"/>
    </xf>
    <xf numFmtId="0" fontId="6" fillId="22" borderId="0" xfId="0" applyFont="1" applyFill="1" applyBorder="1" applyAlignment="1">
      <alignment horizontal="center" wrapText="1"/>
    </xf>
    <xf numFmtId="9" fontId="4" fillId="22" borderId="0" xfId="702" applyFont="1" applyFill="1" applyBorder="1"/>
    <xf numFmtId="9" fontId="6" fillId="22" borderId="25" xfId="702" applyFont="1" applyFill="1" applyBorder="1"/>
    <xf numFmtId="0" fontId="1" fillId="0" borderId="0" xfId="0" applyFont="1" applyFill="1" applyBorder="1"/>
    <xf numFmtId="10" fontId="4" fillId="22" borderId="0" xfId="0" applyNumberFormat="1" applyFont="1" applyFill="1" applyBorder="1"/>
    <xf numFmtId="172" fontId="6" fillId="22" borderId="25" xfId="702" applyNumberFormat="1" applyFont="1" applyFill="1" applyBorder="1"/>
    <xf numFmtId="0" fontId="6" fillId="22" borderId="20" xfId="0" applyFont="1" applyFill="1" applyBorder="1" applyAlignment="1">
      <alignment horizontal="left" indent="1"/>
    </xf>
    <xf numFmtId="0" fontId="14" fillId="22" borderId="35" xfId="0" applyFont="1" applyFill="1" applyBorder="1" applyAlignment="1">
      <alignment wrapText="1"/>
    </xf>
    <xf numFmtId="0" fontId="6" fillId="22" borderId="35" xfId="0" applyFont="1" applyFill="1" applyBorder="1" applyAlignment="1">
      <alignment horizontal="center" wrapText="1"/>
    </xf>
    <xf numFmtId="0" fontId="4" fillId="27" borderId="19" xfId="0" applyFont="1" applyFill="1" applyBorder="1"/>
    <xf numFmtId="9" fontId="4" fillId="27" borderId="0" xfId="702" applyFont="1" applyFill="1" applyBorder="1"/>
    <xf numFmtId="172" fontId="4" fillId="27" borderId="0" xfId="702" applyNumberFormat="1" applyFont="1" applyFill="1" applyBorder="1"/>
    <xf numFmtId="0" fontId="15" fillId="27" borderId="4" xfId="0" applyFont="1" applyFill="1" applyBorder="1" applyAlignment="1">
      <alignment horizontal="center" wrapText="1"/>
    </xf>
    <xf numFmtId="0" fontId="15" fillId="34" borderId="18" xfId="0" applyFont="1" applyFill="1" applyBorder="1" applyAlignment="1">
      <alignment horizontal="left" indent="1"/>
    </xf>
    <xf numFmtId="0" fontId="15" fillId="34" borderId="4" xfId="0" applyFont="1" applyFill="1" applyBorder="1"/>
    <xf numFmtId="0" fontId="15" fillId="34" borderId="4" xfId="0" applyFont="1" applyFill="1" applyBorder="1" applyAlignment="1">
      <alignment horizontal="center" wrapText="1"/>
    </xf>
    <xf numFmtId="176" fontId="4" fillId="34" borderId="0" xfId="0" applyNumberFormat="1" applyFont="1" applyFill="1" applyBorder="1"/>
    <xf numFmtId="0" fontId="4" fillId="34" borderId="0" xfId="0" applyFont="1" applyFill="1" applyBorder="1"/>
    <xf numFmtId="172" fontId="15" fillId="30" borderId="4" xfId="702" applyNumberFormat="1" applyFont="1" applyFill="1" applyBorder="1"/>
    <xf numFmtId="0" fontId="15" fillId="27" borderId="19" xfId="0" applyFont="1" applyFill="1" applyBorder="1" applyAlignment="1">
      <alignment horizontal="left" indent="1"/>
    </xf>
    <xf numFmtId="0" fontId="15" fillId="27" borderId="0" xfId="0" applyFont="1" applyFill="1" applyBorder="1"/>
    <xf numFmtId="0" fontId="15" fillId="27" borderId="0" xfId="0" applyFont="1" applyFill="1" applyBorder="1" applyAlignment="1">
      <alignment horizontal="center" wrapText="1"/>
    </xf>
    <xf numFmtId="10" fontId="15" fillId="27" borderId="0" xfId="702" applyNumberFormat="1" applyFont="1" applyFill="1" applyBorder="1"/>
    <xf numFmtId="0" fontId="15" fillId="37" borderId="18" xfId="0" applyFont="1" applyFill="1" applyBorder="1" applyAlignment="1">
      <alignment horizontal="left" indent="1"/>
    </xf>
    <xf numFmtId="0" fontId="15" fillId="37" borderId="4" xfId="0" applyFont="1" applyFill="1" applyBorder="1"/>
    <xf numFmtId="0" fontId="18" fillId="37" borderId="4" xfId="0" applyFont="1" applyFill="1" applyBorder="1" applyAlignment="1">
      <alignment horizontal="left" wrapText="1"/>
    </xf>
    <xf numFmtId="0" fontId="15" fillId="27" borderId="0" xfId="0" applyFont="1" applyFill="1" applyBorder="1" applyAlignment="1">
      <alignment horizontal="left" indent="1"/>
    </xf>
    <xf numFmtId="0" fontId="18" fillId="27" borderId="0" xfId="0" applyFont="1" applyFill="1" applyBorder="1" applyAlignment="1">
      <alignment horizontal="left" wrapText="1"/>
    </xf>
    <xf numFmtId="0" fontId="16" fillId="27" borderId="0" xfId="0" applyFont="1" applyFill="1" applyBorder="1"/>
    <xf numFmtId="0" fontId="15" fillId="38" borderId="19" xfId="0" applyFont="1" applyFill="1" applyBorder="1" applyAlignment="1">
      <alignment horizontal="left" indent="1"/>
    </xf>
    <xf numFmtId="0" fontId="15" fillId="38" borderId="0" xfId="0" applyFont="1" applyFill="1" applyBorder="1"/>
    <xf numFmtId="0" fontId="18" fillId="38" borderId="0" xfId="0" applyFont="1" applyFill="1" applyBorder="1" applyAlignment="1">
      <alignment horizontal="left" wrapText="1"/>
    </xf>
    <xf numFmtId="0" fontId="15" fillId="34" borderId="19" xfId="0" applyFont="1" applyFill="1" applyBorder="1" applyAlignment="1">
      <alignment horizontal="left" indent="1"/>
    </xf>
    <xf numFmtId="0" fontId="15" fillId="34" borderId="0" xfId="0" applyFont="1" applyFill="1" applyBorder="1"/>
    <xf numFmtId="0" fontId="15" fillId="34" borderId="0" xfId="0" applyFont="1" applyFill="1" applyBorder="1" applyAlignment="1">
      <alignment horizontal="center" wrapText="1"/>
    </xf>
    <xf numFmtId="176" fontId="15" fillId="34" borderId="0" xfId="0" applyNumberFormat="1" applyFont="1" applyFill="1" applyBorder="1"/>
    <xf numFmtId="175" fontId="15" fillId="34" borderId="0" xfId="0" applyNumberFormat="1" applyFont="1" applyFill="1" applyBorder="1"/>
    <xf numFmtId="0" fontId="6" fillId="27" borderId="40" xfId="0" applyFont="1" applyFill="1" applyBorder="1" applyAlignment="1">
      <alignment horizontal="center" wrapText="1"/>
    </xf>
    <xf numFmtId="10" fontId="4" fillId="31" borderId="40" xfId="0" applyNumberFormat="1" applyFont="1" applyFill="1" applyBorder="1"/>
    <xf numFmtId="202" fontId="4" fillId="31" borderId="40" xfId="0" applyNumberFormat="1" applyFont="1" applyFill="1" applyBorder="1"/>
    <xf numFmtId="170" fontId="4" fillId="31" borderId="40" xfId="0" applyNumberFormat="1" applyFont="1" applyFill="1" applyBorder="1"/>
    <xf numFmtId="176" fontId="4" fillId="0" borderId="40" xfId="0" applyNumberFormat="1" applyFont="1" applyFill="1" applyBorder="1"/>
    <xf numFmtId="0" fontId="4" fillId="0" borderId="40" xfId="0" applyFont="1" applyFill="1" applyBorder="1"/>
    <xf numFmtId="176" fontId="16" fillId="0" borderId="0" xfId="0" applyNumberFormat="1" applyFont="1" applyFill="1" applyBorder="1"/>
    <xf numFmtId="0" fontId="15" fillId="31" borderId="25" xfId="0" quotePrefix="1" applyFont="1" applyFill="1" applyBorder="1" applyAlignment="1">
      <alignment wrapText="1"/>
    </xf>
    <xf numFmtId="0" fontId="18" fillId="31" borderId="25" xfId="0" applyFont="1" applyFill="1" applyBorder="1" applyAlignment="1">
      <alignment wrapText="1"/>
    </xf>
    <xf numFmtId="43" fontId="15" fillId="27" borderId="0" xfId="0" applyNumberFormat="1" applyFont="1" applyFill="1" applyBorder="1" applyAlignment="1">
      <alignment horizontal="center" wrapText="1"/>
    </xf>
    <xf numFmtId="9" fontId="16" fillId="31" borderId="0" xfId="702" applyFont="1" applyFill="1" applyBorder="1"/>
    <xf numFmtId="178" fontId="16" fillId="0" borderId="0" xfId="0" applyNumberFormat="1" applyFont="1" applyFill="1" applyBorder="1"/>
    <xf numFmtId="0" fontId="18" fillId="31" borderId="25" xfId="0" quotePrefix="1" applyFont="1" applyFill="1" applyBorder="1" applyAlignment="1">
      <alignment wrapText="1"/>
    </xf>
    <xf numFmtId="0" fontId="15" fillId="31" borderId="25" xfId="0" applyFont="1" applyFill="1" applyBorder="1" applyAlignment="1">
      <alignment horizontal="right" wrapText="1"/>
    </xf>
    <xf numFmtId="175" fontId="16" fillId="31" borderId="4" xfId="0" applyNumberFormat="1" applyFont="1" applyFill="1" applyBorder="1"/>
    <xf numFmtId="176" fontId="16" fillId="0" borderId="4" xfId="0" applyNumberFormat="1" applyFont="1" applyFill="1" applyBorder="1"/>
    <xf numFmtId="0" fontId="16" fillId="0" borderId="4" xfId="0" applyFont="1" applyFill="1" applyBorder="1"/>
    <xf numFmtId="0" fontId="6" fillId="0" borderId="51" xfId="0" applyFont="1" applyFill="1" applyBorder="1" applyAlignment="1">
      <alignment horizontal="left" indent="1"/>
    </xf>
    <xf numFmtId="0" fontId="4" fillId="0" borderId="52" xfId="0" applyFont="1" applyFill="1" applyBorder="1" applyAlignment="1">
      <alignment horizontal="center" wrapText="1"/>
    </xf>
    <xf numFmtId="170" fontId="4" fillId="0" borderId="0" xfId="0" applyNumberFormat="1" applyFont="1" applyFill="1" applyBorder="1"/>
    <xf numFmtId="0" fontId="4" fillId="0" borderId="33" xfId="0" applyFont="1" applyFill="1" applyBorder="1"/>
    <xf numFmtId="0" fontId="6" fillId="0" borderId="54" xfId="0" applyFont="1" applyFill="1" applyBorder="1" applyAlignment="1">
      <alignment horizontal="left" indent="1"/>
    </xf>
    <xf numFmtId="180" fontId="4" fillId="0" borderId="0" xfId="0" applyNumberFormat="1" applyFont="1" applyFill="1" applyBorder="1"/>
    <xf numFmtId="0" fontId="4" fillId="0" borderId="43" xfId="0" applyFont="1" applyFill="1" applyBorder="1"/>
    <xf numFmtId="0" fontId="4" fillId="0" borderId="69" xfId="0" applyFont="1" applyFill="1" applyBorder="1"/>
    <xf numFmtId="0" fontId="4" fillId="0" borderId="70" xfId="0" applyFont="1" applyFill="1" applyBorder="1"/>
    <xf numFmtId="0" fontId="4" fillId="0" borderId="43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left" indent="1"/>
    </xf>
    <xf numFmtId="43" fontId="4" fillId="0" borderId="0" xfId="0" applyNumberFormat="1" applyFont="1" applyFill="1"/>
    <xf numFmtId="0" fontId="15" fillId="35" borderId="39" xfId="0" applyFont="1" applyFill="1" applyBorder="1" applyAlignment="1">
      <alignment horizontal="left" indent="1"/>
    </xf>
    <xf numFmtId="0" fontId="6" fillId="35" borderId="40" xfId="0" applyFont="1" applyFill="1" applyBorder="1"/>
    <xf numFmtId="0" fontId="4" fillId="35" borderId="40" xfId="0" applyFont="1" applyFill="1" applyBorder="1" applyAlignment="1">
      <alignment horizontal="center" wrapText="1"/>
    </xf>
    <xf numFmtId="0" fontId="4" fillId="35" borderId="40" xfId="0" applyFont="1" applyFill="1" applyBorder="1"/>
    <xf numFmtId="0" fontId="6" fillId="35" borderId="19" xfId="0" applyFont="1" applyFill="1" applyBorder="1" applyAlignment="1">
      <alignment horizontal="left" indent="1"/>
    </xf>
    <xf numFmtId="0" fontId="6" fillId="35" borderId="0" xfId="0" applyFont="1" applyFill="1" applyBorder="1"/>
    <xf numFmtId="0" fontId="4" fillId="35" borderId="0" xfId="0" applyFont="1" applyFill="1" applyBorder="1" applyAlignment="1">
      <alignment horizontal="center" wrapText="1"/>
    </xf>
    <xf numFmtId="0" fontId="4" fillId="35" borderId="0" xfId="0" applyFont="1" applyFill="1" applyBorder="1"/>
    <xf numFmtId="170" fontId="4" fillId="35" borderId="0" xfId="0" applyNumberFormat="1" applyFont="1" applyFill="1" applyBorder="1"/>
    <xf numFmtId="176" fontId="4" fillId="35" borderId="0" xfId="0" applyNumberFormat="1" applyFont="1" applyFill="1" applyBorder="1"/>
    <xf numFmtId="0" fontId="4" fillId="35" borderId="20" xfId="0" applyFont="1" applyFill="1" applyBorder="1"/>
    <xf numFmtId="0" fontId="4" fillId="35" borderId="35" xfId="0" applyFont="1" applyFill="1" applyBorder="1"/>
    <xf numFmtId="0" fontId="4" fillId="35" borderId="35" xfId="0" applyFont="1" applyFill="1" applyBorder="1" applyAlignment="1">
      <alignment horizontal="center" wrapText="1"/>
    </xf>
    <xf numFmtId="10" fontId="4" fillId="35" borderId="35" xfId="702" applyNumberFormat="1" applyFont="1" applyFill="1" applyBorder="1"/>
    <xf numFmtId="171" fontId="4" fillId="0" borderId="0" xfId="0" applyNumberFormat="1" applyFont="1" applyFill="1"/>
    <xf numFmtId="0" fontId="15" fillId="33" borderId="24" xfId="0" applyFont="1" applyFill="1" applyBorder="1" applyAlignment="1">
      <alignment horizontal="center" wrapText="1"/>
    </xf>
    <xf numFmtId="170" fontId="4" fillId="0" borderId="0" xfId="0" applyNumberFormat="1" applyFont="1" applyFill="1"/>
    <xf numFmtId="177" fontId="4" fillId="0" borderId="0" xfId="0" applyNumberFormat="1" applyFont="1" applyFill="1"/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0" fontId="4" fillId="39" borderId="39" xfId="0" applyFont="1" applyFill="1" applyBorder="1" applyAlignment="1">
      <alignment horizontal="center" wrapText="1"/>
    </xf>
    <xf numFmtId="165" fontId="4" fillId="39" borderId="40" xfId="0" applyNumberFormat="1" applyFont="1" applyFill="1" applyBorder="1"/>
    <xf numFmtId="165" fontId="4" fillId="39" borderId="41" xfId="0" applyNumberFormat="1" applyFont="1" applyFill="1" applyBorder="1"/>
    <xf numFmtId="0" fontId="4" fillId="39" borderId="19" xfId="0" applyFont="1" applyFill="1" applyBorder="1" applyAlignment="1">
      <alignment horizontal="center" wrapText="1"/>
    </xf>
    <xf numFmtId="170" fontId="4" fillId="39" borderId="0" xfId="0" applyNumberFormat="1" applyFont="1" applyFill="1" applyBorder="1"/>
    <xf numFmtId="0" fontId="4" fillId="39" borderId="0" xfId="0" applyFont="1" applyFill="1" applyBorder="1"/>
    <xf numFmtId="0" fontId="4" fillId="39" borderId="25" xfId="0" applyFont="1" applyFill="1" applyBorder="1"/>
    <xf numFmtId="177" fontId="4" fillId="39" borderId="0" xfId="0" applyNumberFormat="1" applyFont="1" applyFill="1" applyBorder="1"/>
    <xf numFmtId="175" fontId="4" fillId="39" borderId="19" xfId="0" applyNumberFormat="1" applyFont="1" applyFill="1" applyBorder="1" applyAlignment="1">
      <alignment horizontal="center" wrapText="1"/>
    </xf>
    <xf numFmtId="175" fontId="4" fillId="39" borderId="0" xfId="0" applyNumberFormat="1" applyFont="1" applyFill="1" applyBorder="1"/>
    <xf numFmtId="4" fontId="19" fillId="39" borderId="0" xfId="0" applyNumberFormat="1" applyFont="1" applyFill="1" applyBorder="1"/>
    <xf numFmtId="174" fontId="4" fillId="39" borderId="39" xfId="0" applyNumberFormat="1" applyFont="1" applyFill="1" applyBorder="1"/>
    <xf numFmtId="174" fontId="4" fillId="39" borderId="40" xfId="0" applyNumberFormat="1" applyFont="1" applyFill="1" applyBorder="1"/>
    <xf numFmtId="174" fontId="4" fillId="39" borderId="41" xfId="0" applyNumberFormat="1" applyFont="1" applyFill="1" applyBorder="1"/>
    <xf numFmtId="174" fontId="4" fillId="39" borderId="19" xfId="0" applyNumberFormat="1" applyFont="1" applyFill="1" applyBorder="1"/>
    <xf numFmtId="174" fontId="19" fillId="39" borderId="0" xfId="0" applyNumberFormat="1" applyFont="1" applyFill="1" applyBorder="1"/>
    <xf numFmtId="174" fontId="4" fillId="39" borderId="0" xfId="0" applyNumberFormat="1" applyFont="1" applyFill="1" applyBorder="1"/>
    <xf numFmtId="174" fontId="4" fillId="39" borderId="25" xfId="0" applyNumberFormat="1" applyFont="1" applyFill="1" applyBorder="1"/>
    <xf numFmtId="174" fontId="4" fillId="39" borderId="20" xfId="0" applyNumberFormat="1" applyFont="1" applyFill="1" applyBorder="1"/>
    <xf numFmtId="174" fontId="4" fillId="39" borderId="35" xfId="0" applyNumberFormat="1" applyFont="1" applyFill="1" applyBorder="1"/>
    <xf numFmtId="174" fontId="4" fillId="39" borderId="26" xfId="0" applyNumberFormat="1" applyFont="1" applyFill="1" applyBorder="1"/>
    <xf numFmtId="175" fontId="4" fillId="39" borderId="25" xfId="0" applyNumberFormat="1" applyFont="1" applyFill="1" applyBorder="1"/>
    <xf numFmtId="0" fontId="40" fillId="0" borderId="0" xfId="0" applyFont="1" applyFill="1"/>
    <xf numFmtId="0" fontId="4" fillId="30" borderId="39" xfId="0" applyFont="1" applyFill="1" applyBorder="1"/>
    <xf numFmtId="0" fontId="4" fillId="30" borderId="40" xfId="0" applyFont="1" applyFill="1" applyBorder="1"/>
    <xf numFmtId="174" fontId="4" fillId="30" borderId="40" xfId="0" applyNumberFormat="1" applyFont="1" applyFill="1" applyBorder="1"/>
    <xf numFmtId="0" fontId="4" fillId="30" borderId="19" xfId="0" applyFont="1" applyFill="1" applyBorder="1"/>
    <xf numFmtId="174" fontId="4" fillId="30" borderId="0" xfId="0" applyNumberFormat="1" applyFont="1" applyFill="1" applyBorder="1"/>
    <xf numFmtId="0" fontId="4" fillId="30" borderId="20" xfId="0" applyFont="1" applyFill="1" applyBorder="1"/>
    <xf numFmtId="0" fontId="4" fillId="39" borderId="20" xfId="0" applyFont="1" applyFill="1" applyBorder="1" applyAlignment="1">
      <alignment horizontal="center" wrapText="1"/>
    </xf>
    <xf numFmtId="174" fontId="4" fillId="39" borderId="35" xfId="0" applyNumberFormat="1" applyFont="1" applyFill="1" applyBorder="1" applyAlignment="1">
      <alignment horizontal="center"/>
    </xf>
    <xf numFmtId="174" fontId="4" fillId="39" borderId="26" xfId="0" applyNumberFormat="1" applyFont="1" applyFill="1" applyBorder="1" applyAlignment="1">
      <alignment horizontal="center"/>
    </xf>
    <xf numFmtId="174" fontId="4" fillId="30" borderId="35" xfId="0" applyNumberFormat="1" applyFont="1" applyFill="1" applyBorder="1"/>
    <xf numFmtId="0" fontId="4" fillId="39" borderId="40" xfId="0" applyFont="1" applyFill="1" applyBorder="1"/>
    <xf numFmtId="0" fontId="4" fillId="39" borderId="35" xfId="0" applyFont="1" applyFill="1" applyBorder="1"/>
    <xf numFmtId="0" fontId="4" fillId="39" borderId="26" xfId="0" applyFont="1" applyFill="1" applyBorder="1"/>
    <xf numFmtId="171" fontId="4" fillId="39" borderId="0" xfId="0" applyNumberFormat="1" applyFont="1" applyFill="1" applyBorder="1"/>
    <xf numFmtId="171" fontId="4" fillId="39" borderId="25" xfId="0" applyNumberFormat="1" applyFont="1" applyFill="1" applyBorder="1"/>
    <xf numFmtId="0" fontId="4" fillId="32" borderId="39" xfId="0" applyFont="1" applyFill="1" applyBorder="1"/>
    <xf numFmtId="0" fontId="4" fillId="32" borderId="40" xfId="0" applyFont="1" applyFill="1" applyBorder="1"/>
    <xf numFmtId="0" fontId="4" fillId="39" borderId="41" xfId="0" applyFont="1" applyFill="1" applyBorder="1"/>
    <xf numFmtId="0" fontId="4" fillId="32" borderId="19" xfId="0" applyFont="1" applyFill="1" applyBorder="1"/>
    <xf numFmtId="0" fontId="4" fillId="32" borderId="20" xfId="0" applyFont="1" applyFill="1" applyBorder="1"/>
    <xf numFmtId="0" fontId="4" fillId="33" borderId="19" xfId="0" applyFont="1" applyFill="1" applyBorder="1"/>
    <xf numFmtId="0" fontId="4" fillId="33" borderId="0" xfId="0" applyFont="1" applyFill="1" applyBorder="1"/>
    <xf numFmtId="0" fontId="15" fillId="33" borderId="0" xfId="0" applyFont="1" applyFill="1" applyBorder="1"/>
    <xf numFmtId="0" fontId="15" fillId="39" borderId="19" xfId="0" applyFont="1" applyFill="1" applyBorder="1" applyAlignment="1">
      <alignment horizontal="center" wrapText="1"/>
    </xf>
    <xf numFmtId="0" fontId="15" fillId="32" borderId="0" xfId="0" applyFont="1" applyFill="1" applyBorder="1"/>
    <xf numFmtId="0" fontId="4" fillId="33" borderId="20" xfId="0" applyFont="1" applyFill="1" applyBorder="1"/>
    <xf numFmtId="0" fontId="15" fillId="33" borderId="35" xfId="0" applyFont="1" applyFill="1" applyBorder="1" applyAlignment="1">
      <alignment horizontal="right"/>
    </xf>
    <xf numFmtId="0" fontId="15" fillId="39" borderId="20" xfId="0" applyFont="1" applyFill="1" applyBorder="1" applyAlignment="1">
      <alignment horizontal="center" wrapText="1"/>
    </xf>
    <xf numFmtId="0" fontId="15" fillId="32" borderId="35" xfId="0" applyFont="1" applyFill="1" applyBorder="1"/>
    <xf numFmtId="0" fontId="17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39" borderId="40" xfId="0" applyFont="1" applyFill="1" applyBorder="1" applyAlignment="1">
      <alignment horizontal="center" wrapText="1"/>
    </xf>
    <xf numFmtId="0" fontId="6" fillId="39" borderId="41" xfId="0" applyFont="1" applyFill="1" applyBorder="1" applyAlignment="1">
      <alignment horizontal="center" wrapText="1"/>
    </xf>
    <xf numFmtId="0" fontId="15" fillId="36" borderId="0" xfId="0" applyFont="1" applyFill="1" applyBorder="1"/>
    <xf numFmtId="0" fontId="6" fillId="39" borderId="19" xfId="0" applyFont="1" applyFill="1" applyBorder="1" applyAlignment="1">
      <alignment horizontal="center" wrapText="1"/>
    </xf>
    <xf numFmtId="0" fontId="6" fillId="39" borderId="0" xfId="0" applyFont="1" applyFill="1" applyBorder="1"/>
    <xf numFmtId="0" fontId="6" fillId="36" borderId="0" xfId="0" applyFont="1" applyFill="1" applyBorder="1"/>
    <xf numFmtId="0" fontId="15" fillId="36" borderId="20" xfId="0" applyFont="1" applyFill="1" applyBorder="1"/>
    <xf numFmtId="0" fontId="15" fillId="36" borderId="35" xfId="0" applyFont="1" applyFill="1" applyBorder="1"/>
    <xf numFmtId="0" fontId="6" fillId="39" borderId="20" xfId="0" applyFont="1" applyFill="1" applyBorder="1" applyAlignment="1">
      <alignment horizontal="center" wrapText="1"/>
    </xf>
    <xf numFmtId="0" fontId="6" fillId="39" borderId="35" xfId="0" applyFont="1" applyFill="1" applyBorder="1"/>
    <xf numFmtId="0" fontId="6" fillId="39" borderId="26" xfId="0" applyFont="1" applyFill="1" applyBorder="1"/>
    <xf numFmtId="0" fontId="6" fillId="36" borderId="35" xfId="0" applyFont="1" applyFill="1" applyBorder="1"/>
    <xf numFmtId="0" fontId="6" fillId="36" borderId="26" xfId="0" applyFont="1" applyFill="1" applyBorder="1"/>
    <xf numFmtId="204" fontId="4" fillId="39" borderId="0" xfId="0" applyNumberFormat="1" applyFont="1" applyFill="1" applyBorder="1"/>
    <xf numFmtId="170" fontId="4" fillId="39" borderId="25" xfId="0" applyNumberFormat="1" applyFont="1" applyFill="1" applyBorder="1"/>
    <xf numFmtId="9" fontId="4" fillId="39" borderId="35" xfId="702" applyFont="1" applyFill="1" applyBorder="1"/>
    <xf numFmtId="9" fontId="4" fillId="39" borderId="26" xfId="702" applyFont="1" applyFill="1" applyBorder="1"/>
    <xf numFmtId="0" fontId="63" fillId="0" borderId="0" xfId="564"/>
    <xf numFmtId="44" fontId="63" fillId="0" borderId="0" xfId="247" applyFont="1"/>
    <xf numFmtId="187" fontId="63" fillId="0" borderId="0" xfId="247" applyNumberFormat="1" applyFont="1"/>
    <xf numFmtId="187" fontId="63" fillId="0" borderId="0" xfId="564" applyNumberFormat="1"/>
    <xf numFmtId="187" fontId="63" fillId="0" borderId="61" xfId="564" applyNumberFormat="1" applyBorder="1"/>
    <xf numFmtId="10" fontId="63" fillId="0" borderId="0" xfId="935" applyNumberFormat="1" applyFont="1"/>
    <xf numFmtId="9" fontId="63" fillId="0" borderId="0" xfId="564" applyNumberFormat="1" applyAlignment="1">
      <alignment horizontal="center"/>
    </xf>
    <xf numFmtId="9" fontId="63" fillId="0" borderId="0" xfId="935" applyFont="1" applyBorder="1" applyAlignment="1">
      <alignment horizontal="center"/>
    </xf>
    <xf numFmtId="9" fontId="63" fillId="0" borderId="0" xfId="935" applyFont="1" applyAlignment="1">
      <alignment horizontal="center"/>
    </xf>
    <xf numFmtId="10" fontId="63" fillId="0" borderId="0" xfId="935" applyNumberFormat="1" applyFont="1" applyAlignment="1">
      <alignment horizontal="center"/>
    </xf>
    <xf numFmtId="187" fontId="63" fillId="0" borderId="5" xfId="564" applyNumberFormat="1" applyBorder="1"/>
    <xf numFmtId="187" fontId="63" fillId="0" borderId="43" xfId="564" applyNumberFormat="1" applyBorder="1"/>
    <xf numFmtId="10" fontId="63" fillId="0" borderId="0" xfId="564" applyNumberFormat="1"/>
    <xf numFmtId="187" fontId="26" fillId="0" borderId="0" xfId="564" applyNumberFormat="1" applyFont="1"/>
    <xf numFmtId="0" fontId="63" fillId="0" borderId="0" xfId="564" applyFill="1"/>
    <xf numFmtId="187" fontId="25" fillId="36" borderId="0" xfId="564" applyNumberFormat="1" applyFont="1" applyFill="1"/>
    <xf numFmtId="42" fontId="63" fillId="0" borderId="0" xfId="564" applyNumberFormat="1" applyAlignment="1">
      <alignment horizontal="center"/>
    </xf>
    <xf numFmtId="9" fontId="63" fillId="36" borderId="0" xfId="564" applyNumberFormat="1" applyFill="1" applyAlignment="1">
      <alignment horizontal="center"/>
    </xf>
    <xf numFmtId="9" fontId="63" fillId="36" borderId="0" xfId="935" applyFont="1" applyFill="1" applyBorder="1" applyAlignment="1">
      <alignment horizontal="center"/>
    </xf>
    <xf numFmtId="9" fontId="63" fillId="36" borderId="0" xfId="935" applyFont="1" applyFill="1" applyAlignment="1">
      <alignment horizontal="center"/>
    </xf>
    <xf numFmtId="10" fontId="63" fillId="36" borderId="0" xfId="935" applyNumberFormat="1" applyFont="1" applyFill="1" applyAlignment="1">
      <alignment horizontal="center"/>
    </xf>
    <xf numFmtId="0" fontId="63" fillId="0" borderId="0" xfId="564" applyAlignment="1">
      <alignment wrapText="1"/>
    </xf>
    <xf numFmtId="0" fontId="25" fillId="0" borderId="18" xfId="564" applyFont="1" applyBorder="1" applyAlignment="1"/>
    <xf numFmtId="0" fontId="25" fillId="0" borderId="4" xfId="564" applyFont="1" applyBorder="1" applyAlignment="1"/>
    <xf numFmtId="0" fontId="25" fillId="0" borderId="17" xfId="564" applyFont="1" applyBorder="1" applyAlignment="1"/>
    <xf numFmtId="172" fontId="63" fillId="0" borderId="0" xfId="564" applyNumberFormat="1" applyAlignment="1">
      <alignment horizontal="center"/>
    </xf>
    <xf numFmtId="191" fontId="63" fillId="0" borderId="0" xfId="247" applyNumberFormat="1" applyFont="1"/>
    <xf numFmtId="0" fontId="26" fillId="0" borderId="0" xfId="564" applyFont="1"/>
    <xf numFmtId="0" fontId="26" fillId="44" borderId="0" xfId="564" applyFont="1" applyFill="1"/>
    <xf numFmtId="0" fontId="63" fillId="44" borderId="0" xfId="564" applyFill="1"/>
    <xf numFmtId="187" fontId="63" fillId="44" borderId="0" xfId="564" applyNumberFormat="1" applyFill="1"/>
    <xf numFmtId="10" fontId="63" fillId="44" borderId="0" xfId="564" applyNumberFormat="1" applyFill="1"/>
    <xf numFmtId="191" fontId="26" fillId="44" borderId="0" xfId="247" applyNumberFormat="1" applyFont="1" applyFill="1"/>
    <xf numFmtId="44" fontId="26" fillId="44" borderId="0" xfId="247" applyFont="1" applyFill="1"/>
    <xf numFmtId="173" fontId="26" fillId="36" borderId="0" xfId="137" applyNumberFormat="1" applyFont="1" applyFill="1"/>
    <xf numFmtId="172" fontId="63" fillId="36" borderId="0" xfId="564" applyNumberFormat="1" applyFill="1" applyAlignment="1">
      <alignment horizontal="center"/>
    </xf>
    <xf numFmtId="44" fontId="26" fillId="44" borderId="0" xfId="247" applyNumberFormat="1" applyFont="1" applyFill="1"/>
    <xf numFmtId="0" fontId="2" fillId="0" borderId="18" xfId="688" applyFont="1" applyFill="1" applyBorder="1" applyAlignment="1" applyProtection="1">
      <alignment horizontal="center"/>
    </xf>
    <xf numFmtId="0" fontId="2" fillId="0" borderId="17" xfId="688" applyFont="1" applyFill="1" applyBorder="1" applyAlignment="1" applyProtection="1">
      <alignment horizontal="center"/>
    </xf>
    <xf numFmtId="0" fontId="81" fillId="42" borderId="19" xfId="0" applyFont="1" applyFill="1" applyBorder="1" applyAlignment="1">
      <alignment wrapText="1"/>
    </xf>
    <xf numFmtId="0" fontId="0" fillId="0" borderId="0" xfId="0"/>
    <xf numFmtId="0" fontId="0" fillId="42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35" xfId="0" applyBorder="1"/>
    <xf numFmtId="0" fontId="0" fillId="0" borderId="26" xfId="0" applyBorder="1"/>
    <xf numFmtId="0" fontId="0" fillId="0" borderId="20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18" xfId="0" applyBorder="1"/>
    <xf numFmtId="0" fontId="0" fillId="0" borderId="4" xfId="0" applyBorder="1"/>
    <xf numFmtId="0" fontId="0" fillId="0" borderId="17" xfId="0" applyBorder="1"/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77" fontId="78" fillId="0" borderId="19" xfId="180" applyNumberFormat="1" applyFont="1" applyBorder="1"/>
    <xf numFmtId="179" fontId="78" fillId="0" borderId="25" xfId="180" applyNumberFormat="1" applyFont="1" applyBorder="1"/>
    <xf numFmtId="185" fontId="0" fillId="0" borderId="0" xfId="0" applyNumberFormat="1" applyBorder="1"/>
    <xf numFmtId="180" fontId="0" fillId="0" borderId="0" xfId="0" applyNumberFormat="1" applyBorder="1"/>
    <xf numFmtId="2" fontId="0" fillId="0" borderId="0" xfId="0" applyNumberFormat="1" applyBorder="1"/>
    <xf numFmtId="170" fontId="0" fillId="0" borderId="0" xfId="0" applyNumberFormat="1" applyBorder="1"/>
    <xf numFmtId="170" fontId="0" fillId="0" borderId="39" xfId="0" applyNumberFormat="1" applyBorder="1"/>
    <xf numFmtId="170" fontId="0" fillId="0" borderId="19" xfId="0" applyNumberFormat="1" applyBorder="1"/>
    <xf numFmtId="170" fontId="0" fillId="0" borderId="25" xfId="0" applyNumberFormat="1" applyBorder="1"/>
    <xf numFmtId="170" fontId="0" fillId="0" borderId="35" xfId="0" applyNumberFormat="1" applyBorder="1"/>
    <xf numFmtId="170" fontId="0" fillId="0" borderId="20" xfId="0" applyNumberFormat="1" applyBorder="1"/>
    <xf numFmtId="170" fontId="0" fillId="0" borderId="26" xfId="0" applyNumberFormat="1" applyBorder="1"/>
    <xf numFmtId="210" fontId="0" fillId="0" borderId="56" xfId="0" applyNumberFormat="1" applyBorder="1"/>
    <xf numFmtId="210" fontId="0" fillId="0" borderId="57" xfId="0" applyNumberFormat="1" applyBorder="1"/>
    <xf numFmtId="210" fontId="0" fillId="0" borderId="41" xfId="0" applyNumberFormat="1" applyBorder="1"/>
    <xf numFmtId="210" fontId="0" fillId="0" borderId="0" xfId="0" applyNumberFormat="1" applyBorder="1"/>
    <xf numFmtId="210" fontId="0" fillId="0" borderId="25" xfId="0" applyNumberFormat="1" applyBorder="1"/>
    <xf numFmtId="211" fontId="0" fillId="0" borderId="25" xfId="0" applyNumberFormat="1" applyBorder="1"/>
    <xf numFmtId="211" fontId="0" fillId="0" borderId="0" xfId="0" applyNumberFormat="1" applyBorder="1"/>
    <xf numFmtId="211" fontId="0" fillId="0" borderId="57" xfId="0" applyNumberFormat="1" applyBorder="1"/>
    <xf numFmtId="0" fontId="85" fillId="0" borderId="0" xfId="0" applyFont="1"/>
    <xf numFmtId="177" fontId="78" fillId="45" borderId="25" xfId="180" applyNumberFormat="1" applyFont="1" applyFill="1" applyBorder="1"/>
    <xf numFmtId="0" fontId="0" fillId="45" borderId="26" xfId="0" applyFill="1" applyBorder="1"/>
    <xf numFmtId="0" fontId="0" fillId="45" borderId="18" xfId="0" applyFill="1" applyBorder="1" applyAlignment="1">
      <alignment horizontal="center" wrapText="1"/>
    </xf>
    <xf numFmtId="0" fontId="0" fillId="45" borderId="17" xfId="0" applyFill="1" applyBorder="1" applyAlignment="1">
      <alignment horizontal="center" wrapText="1"/>
    </xf>
    <xf numFmtId="177" fontId="78" fillId="45" borderId="19" xfId="180" applyNumberFormat="1" applyFont="1" applyFill="1" applyBorder="1"/>
    <xf numFmtId="179" fontId="78" fillId="45" borderId="25" xfId="180" applyNumberFormat="1" applyFont="1" applyFill="1" applyBorder="1"/>
    <xf numFmtId="0" fontId="0" fillId="45" borderId="20" xfId="0" applyFill="1" applyBorder="1"/>
    <xf numFmtId="0" fontId="0" fillId="42" borderId="0" xfId="0" applyFill="1"/>
    <xf numFmtId="0" fontId="0" fillId="42" borderId="0" xfId="0" applyFill="1" applyBorder="1"/>
    <xf numFmtId="0" fontId="0" fillId="42" borderId="0" xfId="0" applyFill="1" applyBorder="1" applyAlignment="1">
      <alignment horizontal="center" wrapText="1"/>
    </xf>
    <xf numFmtId="177" fontId="78" fillId="42" borderId="0" xfId="180" applyNumberFormat="1" applyFont="1" applyFill="1" applyBorder="1"/>
    <xf numFmtId="177" fontId="78" fillId="42" borderId="25" xfId="180" applyNumberFormat="1" applyFont="1" applyFill="1" applyBorder="1"/>
    <xf numFmtId="0" fontId="0" fillId="42" borderId="20" xfId="0" applyFill="1" applyBorder="1"/>
    <xf numFmtId="0" fontId="0" fillId="42" borderId="26" xfId="0" applyFill="1" applyBorder="1"/>
    <xf numFmtId="0" fontId="0" fillId="42" borderId="18" xfId="0" applyFill="1" applyBorder="1" applyAlignment="1">
      <alignment horizontal="center" wrapText="1"/>
    </xf>
    <xf numFmtId="0" fontId="0" fillId="42" borderId="17" xfId="0" applyFill="1" applyBorder="1" applyAlignment="1">
      <alignment horizontal="center" wrapText="1"/>
    </xf>
    <xf numFmtId="0" fontId="0" fillId="42" borderId="4" xfId="0" applyFill="1" applyBorder="1"/>
    <xf numFmtId="0" fontId="0" fillId="42" borderId="17" xfId="0" applyFill="1" applyBorder="1"/>
    <xf numFmtId="0" fontId="0" fillId="42" borderId="35" xfId="0" applyFill="1" applyBorder="1" applyAlignment="1">
      <alignment horizontal="center" wrapText="1"/>
    </xf>
    <xf numFmtId="0" fontId="0" fillId="42" borderId="26" xfId="0" applyFill="1" applyBorder="1" applyAlignment="1">
      <alignment horizontal="center" wrapText="1"/>
    </xf>
    <xf numFmtId="185" fontId="0" fillId="42" borderId="0" xfId="0" applyNumberFormat="1" applyFill="1" applyBorder="1"/>
    <xf numFmtId="170" fontId="78" fillId="42" borderId="0" xfId="180" applyFont="1" applyFill="1" applyBorder="1"/>
    <xf numFmtId="0" fontId="0" fillId="42" borderId="35" xfId="0" applyFill="1" applyBorder="1"/>
    <xf numFmtId="212" fontId="0" fillId="42" borderId="0" xfId="0" applyNumberFormat="1" applyFill="1" applyBorder="1"/>
    <xf numFmtId="213" fontId="0" fillId="42" borderId="0" xfId="0" applyNumberFormat="1" applyFill="1" applyBorder="1"/>
    <xf numFmtId="170" fontId="0" fillId="42" borderId="0" xfId="0" applyNumberFormat="1" applyFill="1" applyBorder="1"/>
    <xf numFmtId="210" fontId="0" fillId="42" borderId="0" xfId="0" applyNumberFormat="1" applyFill="1" applyBorder="1"/>
    <xf numFmtId="211" fontId="0" fillId="42" borderId="0" xfId="0" applyNumberFormat="1" applyFill="1" applyBorder="1"/>
    <xf numFmtId="210" fontId="0" fillId="42" borderId="56" xfId="0" applyNumberFormat="1" applyFill="1" applyBorder="1"/>
    <xf numFmtId="210" fontId="0" fillId="42" borderId="57" xfId="0" applyNumberFormat="1" applyFill="1" applyBorder="1"/>
    <xf numFmtId="211" fontId="0" fillId="42" borderId="57" xfId="0" applyNumberFormat="1" applyFill="1" applyBorder="1"/>
    <xf numFmtId="210" fontId="0" fillId="46" borderId="41" xfId="0" applyNumberFormat="1" applyFill="1" applyBorder="1"/>
    <xf numFmtId="210" fontId="0" fillId="46" borderId="25" xfId="0" applyNumberFormat="1" applyFill="1" applyBorder="1"/>
    <xf numFmtId="211" fontId="0" fillId="46" borderId="25" xfId="0" applyNumberFormat="1" applyFill="1" applyBorder="1"/>
    <xf numFmtId="170" fontId="0" fillId="46" borderId="25" xfId="0" applyNumberFormat="1" applyFill="1" applyBorder="1"/>
    <xf numFmtId="170" fontId="0" fillId="46" borderId="0" xfId="0" applyNumberFormat="1" applyFill="1" applyBorder="1"/>
    <xf numFmtId="177" fontId="78" fillId="46" borderId="19" xfId="180" applyNumberFormat="1" applyFont="1" applyFill="1" applyBorder="1"/>
    <xf numFmtId="177" fontId="78" fillId="46" borderId="25" xfId="180" applyNumberFormat="1" applyFont="1" applyFill="1" applyBorder="1"/>
    <xf numFmtId="179" fontId="78" fillId="46" borderId="25" xfId="180" applyNumberFormat="1" applyFont="1" applyFill="1" applyBorder="1"/>
    <xf numFmtId="177" fontId="78" fillId="47" borderId="19" xfId="180" applyNumberFormat="1" applyFont="1" applyFill="1" applyBorder="1"/>
    <xf numFmtId="179" fontId="78" fillId="47" borderId="25" xfId="180" applyNumberFormat="1" applyFont="1" applyFill="1" applyBorder="1"/>
    <xf numFmtId="177" fontId="78" fillId="47" borderId="25" xfId="180" applyNumberFormat="1" applyFont="1" applyFill="1" applyBorder="1"/>
    <xf numFmtId="170" fontId="0" fillId="47" borderId="39" xfId="0" applyNumberFormat="1" applyFill="1" applyBorder="1"/>
    <xf numFmtId="210" fontId="0" fillId="47" borderId="41" xfId="0" applyNumberFormat="1" applyFill="1" applyBorder="1"/>
    <xf numFmtId="170" fontId="0" fillId="47" borderId="19" xfId="0" applyNumberFormat="1" applyFill="1" applyBorder="1"/>
    <xf numFmtId="210" fontId="0" fillId="47" borderId="25" xfId="0" applyNumberFormat="1" applyFill="1" applyBorder="1"/>
    <xf numFmtId="211" fontId="0" fillId="47" borderId="25" xfId="0" applyNumberFormat="1" applyFill="1" applyBorder="1"/>
    <xf numFmtId="170" fontId="0" fillId="47" borderId="25" xfId="0" applyNumberFormat="1" applyFill="1" applyBorder="1"/>
    <xf numFmtId="210" fontId="0" fillId="46" borderId="0" xfId="0" applyNumberFormat="1" applyFill="1" applyBorder="1"/>
    <xf numFmtId="211" fontId="0" fillId="46" borderId="0" xfId="0" applyNumberFormat="1" applyFill="1" applyBorder="1"/>
    <xf numFmtId="0" fontId="79" fillId="0" borderId="0" xfId="0" applyFont="1"/>
    <xf numFmtId="170" fontId="0" fillId="48" borderId="39" xfId="0" applyNumberFormat="1" applyFill="1" applyBorder="1"/>
    <xf numFmtId="170" fontId="0" fillId="48" borderId="19" xfId="0" applyNumberFormat="1" applyFill="1" applyBorder="1"/>
    <xf numFmtId="0" fontId="83" fillId="0" borderId="0" xfId="0" applyFont="1"/>
    <xf numFmtId="170" fontId="78" fillId="41" borderId="0" xfId="180" applyFont="1" applyFill="1" applyBorder="1"/>
    <xf numFmtId="177" fontId="78" fillId="41" borderId="0" xfId="180" applyNumberFormat="1" applyFont="1" applyFill="1" applyBorder="1"/>
    <xf numFmtId="177" fontId="78" fillId="48" borderId="0" xfId="180" applyNumberFormat="1" applyFont="1" applyFill="1" applyBorder="1"/>
    <xf numFmtId="177" fontId="78" fillId="49" borderId="25" xfId="180" applyNumberFormat="1" applyFont="1" applyFill="1" applyBorder="1"/>
    <xf numFmtId="177" fontId="78" fillId="50" borderId="19" xfId="180" applyNumberFormat="1" applyFont="1" applyFill="1" applyBorder="1"/>
    <xf numFmtId="177" fontId="78" fillId="50" borderId="25" xfId="180" applyNumberFormat="1" applyFont="1" applyFill="1" applyBorder="1"/>
    <xf numFmtId="179" fontId="78" fillId="50" borderId="25" xfId="180" applyNumberFormat="1" applyFont="1" applyFill="1" applyBorder="1"/>
    <xf numFmtId="0" fontId="0" fillId="51" borderId="18" xfId="0" applyFill="1" applyBorder="1" applyAlignment="1">
      <alignment horizontal="center" wrapText="1"/>
    </xf>
    <xf numFmtId="0" fontId="0" fillId="51" borderId="17" xfId="0" applyFill="1" applyBorder="1" applyAlignment="1">
      <alignment horizontal="center" wrapText="1"/>
    </xf>
    <xf numFmtId="170" fontId="78" fillId="51" borderId="19" xfId="180" applyNumberFormat="1" applyFont="1" applyFill="1" applyBorder="1"/>
    <xf numFmtId="177" fontId="78" fillId="51" borderId="25" xfId="180" applyNumberFormat="1" applyFont="1" applyFill="1" applyBorder="1"/>
    <xf numFmtId="179" fontId="78" fillId="51" borderId="25" xfId="180" applyNumberFormat="1" applyFont="1" applyFill="1" applyBorder="1"/>
    <xf numFmtId="0" fontId="0" fillId="51" borderId="20" xfId="0" applyFill="1" applyBorder="1"/>
    <xf numFmtId="0" fontId="0" fillId="51" borderId="26" xfId="0" applyFill="1" applyBorder="1"/>
    <xf numFmtId="0" fontId="0" fillId="49" borderId="18" xfId="0" applyFill="1" applyBorder="1" applyAlignment="1">
      <alignment horizontal="center" wrapText="1"/>
    </xf>
    <xf numFmtId="0" fontId="0" fillId="49" borderId="17" xfId="0" applyFill="1" applyBorder="1" applyAlignment="1">
      <alignment horizontal="center" wrapText="1"/>
    </xf>
    <xf numFmtId="177" fontId="78" fillId="49" borderId="39" xfId="180" applyNumberFormat="1" applyFont="1" applyFill="1" applyBorder="1"/>
    <xf numFmtId="177" fontId="78" fillId="49" borderId="41" xfId="180" applyNumberFormat="1" applyFont="1" applyFill="1" applyBorder="1"/>
    <xf numFmtId="177" fontId="78" fillId="49" borderId="19" xfId="180" applyNumberFormat="1" applyFont="1" applyFill="1" applyBorder="1"/>
    <xf numFmtId="179" fontId="78" fillId="49" borderId="19" xfId="180" applyNumberFormat="1" applyFont="1" applyFill="1" applyBorder="1"/>
    <xf numFmtId="179" fontId="78" fillId="49" borderId="25" xfId="180" applyNumberFormat="1" applyFont="1" applyFill="1" applyBorder="1"/>
    <xf numFmtId="0" fontId="0" fillId="49" borderId="20" xfId="0" applyFill="1" applyBorder="1"/>
    <xf numFmtId="0" fontId="0" fillId="49" borderId="26" xfId="0" applyFill="1" applyBorder="1"/>
    <xf numFmtId="0" fontId="0" fillId="0" borderId="24" xfId="0" applyBorder="1" applyAlignment="1">
      <alignment wrapText="1"/>
    </xf>
    <xf numFmtId="0" fontId="0" fillId="0" borderId="57" xfId="0" applyBorder="1"/>
    <xf numFmtId="0" fontId="79" fillId="0" borderId="57" xfId="0" applyFont="1" applyBorder="1"/>
    <xf numFmtId="0" fontId="0" fillId="0" borderId="58" xfId="0" applyBorder="1"/>
    <xf numFmtId="0" fontId="0" fillId="0" borderId="56" xfId="0" applyBorder="1"/>
    <xf numFmtId="170" fontId="0" fillId="42" borderId="0" xfId="0" applyNumberFormat="1" applyFill="1"/>
    <xf numFmtId="215" fontId="81" fillId="45" borderId="0" xfId="600" applyNumberFormat="1" applyFont="1" applyFill="1" applyProtection="1"/>
    <xf numFmtId="216" fontId="81" fillId="45" borderId="0" xfId="600" applyNumberFormat="1" applyFont="1" applyFill="1" applyProtection="1"/>
    <xf numFmtId="217" fontId="81" fillId="45" borderId="0" xfId="600" applyNumberFormat="1" applyFont="1" applyFill="1" applyProtection="1"/>
    <xf numFmtId="214" fontId="81" fillId="45" borderId="0" xfId="600" applyNumberFormat="1" applyFont="1" applyFill="1" applyProtection="1"/>
    <xf numFmtId="214" fontId="81" fillId="45" borderId="0" xfId="0" applyNumberFormat="1" applyFont="1" applyFill="1" applyProtection="1"/>
    <xf numFmtId="217" fontId="81" fillId="45" borderId="0" xfId="0" applyNumberFormat="1" applyFont="1" applyFill="1" applyProtection="1"/>
    <xf numFmtId="216" fontId="81" fillId="45" borderId="0" xfId="0" applyNumberFormat="1" applyFont="1" applyFill="1" applyProtection="1"/>
    <xf numFmtId="173" fontId="81" fillId="41" borderId="32" xfId="40" applyNumberFormat="1" applyFont="1" applyFill="1" applyBorder="1" applyAlignment="1">
      <alignment wrapText="1"/>
    </xf>
    <xf numFmtId="0" fontId="0" fillId="51" borderId="20" xfId="0" applyFill="1" applyBorder="1"/>
    <xf numFmtId="0" fontId="0" fillId="51" borderId="26" xfId="0" applyFill="1" applyBorder="1"/>
    <xf numFmtId="215" fontId="81" fillId="46" borderId="39" xfId="0" quotePrefix="1" applyNumberFormat="1" applyFont="1" applyFill="1" applyBorder="1" applyProtection="1"/>
    <xf numFmtId="215" fontId="81" fillId="46" borderId="19" xfId="0" quotePrefix="1" applyNumberFormat="1" applyFont="1" applyFill="1" applyBorder="1" applyProtection="1"/>
    <xf numFmtId="177" fontId="81" fillId="46" borderId="40" xfId="0" applyNumberFormat="1" applyFont="1" applyFill="1" applyBorder="1"/>
    <xf numFmtId="177" fontId="81" fillId="46" borderId="0" xfId="0" applyNumberFormat="1" applyFont="1" applyFill="1" applyBorder="1"/>
    <xf numFmtId="214" fontId="81" fillId="46" borderId="25" xfId="0" quotePrefix="1" applyNumberFormat="1" applyFont="1" applyFill="1" applyBorder="1" applyProtection="1"/>
    <xf numFmtId="0" fontId="0" fillId="43" borderId="71" xfId="0" applyFill="1" applyBorder="1" applyAlignment="1">
      <alignment horizontal="center"/>
    </xf>
    <xf numFmtId="0" fontId="0" fillId="43" borderId="72" xfId="0" applyFill="1" applyBorder="1" applyAlignment="1">
      <alignment horizontal="center"/>
    </xf>
    <xf numFmtId="0" fontId="0" fillId="43" borderId="73" xfId="0" applyFill="1" applyBorder="1" applyAlignment="1">
      <alignment horizontal="center"/>
    </xf>
    <xf numFmtId="41" fontId="28" fillId="27" borderId="18" xfId="553" applyNumberFormat="1" applyFont="1" applyFill="1" applyBorder="1" applyAlignment="1">
      <alignment horizontal="left"/>
    </xf>
    <xf numFmtId="41" fontId="28" fillId="27" borderId="4" xfId="553" applyNumberFormat="1" applyFont="1" applyFill="1" applyBorder="1" applyAlignment="1">
      <alignment horizontal="left"/>
    </xf>
    <xf numFmtId="41" fontId="28" fillId="27" borderId="39" xfId="553" applyNumberFormat="1" applyFont="1" applyFill="1" applyBorder="1" applyAlignment="1">
      <alignment horizontal="left"/>
    </xf>
    <xf numFmtId="41" fontId="28" fillId="27" borderId="40" xfId="553" applyNumberFormat="1" applyFont="1" applyFill="1" applyBorder="1" applyAlignment="1">
      <alignment horizontal="left"/>
    </xf>
    <xf numFmtId="41" fontId="28" fillId="27" borderId="18" xfId="553" applyNumberFormat="1" applyFont="1" applyFill="1" applyBorder="1" applyAlignment="1">
      <alignment horizontal="left" wrapText="1"/>
    </xf>
    <xf numFmtId="41" fontId="28" fillId="27" borderId="4" xfId="553" applyNumberFormat="1" applyFont="1" applyFill="1" applyBorder="1" applyAlignment="1">
      <alignment horizontal="left" wrapText="1"/>
    </xf>
    <xf numFmtId="0" fontId="27" fillId="42" borderId="0" xfId="0" applyFont="1" applyFill="1" applyAlignment="1">
      <alignment horizontal="left" wrapText="1"/>
    </xf>
  </cellXfs>
  <cellStyles count="1056">
    <cellStyle name="$" xfId="1"/>
    <cellStyle name="$ 2" xfId="2"/>
    <cellStyle name="$.00" xfId="3"/>
    <cellStyle name="$.00 2" xfId="4"/>
    <cellStyle name="$M" xfId="5"/>
    <cellStyle name="$M 2" xfId="6"/>
    <cellStyle name="$M 3" xfId="7"/>
    <cellStyle name="$M.00" xfId="8"/>
    <cellStyle name="$M.00 2" xfId="9"/>
    <cellStyle name="%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99-4,5M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2" xfId="37"/>
    <cellStyle name="Calculation 2" xfId="38"/>
    <cellStyle name="Check Cell 2" xfId="39"/>
    <cellStyle name="Comma" xfId="40" builtinId="3"/>
    <cellStyle name="Comma 10" xfId="41"/>
    <cellStyle name="Comma 10 2" xfId="42"/>
    <cellStyle name="Comma 11" xfId="43"/>
    <cellStyle name="Comma 11 2" xfId="44"/>
    <cellStyle name="Comma 12" xfId="45"/>
    <cellStyle name="Comma 13" xfId="46"/>
    <cellStyle name="Comma 14" xfId="47"/>
    <cellStyle name="Comma 15" xfId="48"/>
    <cellStyle name="Comma 16" xfId="49"/>
    <cellStyle name="Comma 17" xfId="50"/>
    <cellStyle name="Comma 18" xfId="51"/>
    <cellStyle name="Comma 19" xfId="52"/>
    <cellStyle name="Comma 2" xfId="53"/>
    <cellStyle name="Comma 2 10" xfId="54"/>
    <cellStyle name="Comma 2 10 2" xfId="55"/>
    <cellStyle name="Comma 2 11" xfId="56"/>
    <cellStyle name="Comma 2 11 2" xfId="57"/>
    <cellStyle name="Comma 2 11 2 2" xfId="58"/>
    <cellStyle name="Comma 2 11 3" xfId="59"/>
    <cellStyle name="Comma 2 11 3 2" xfId="60"/>
    <cellStyle name="Comma 2 11 4" xfId="61"/>
    <cellStyle name="Comma 2 12" xfId="62"/>
    <cellStyle name="Comma 2 12 2" xfId="63"/>
    <cellStyle name="Comma 2 13" xfId="64"/>
    <cellStyle name="Comma 2 13 2" xfId="65"/>
    <cellStyle name="Comma 2 14" xfId="66"/>
    <cellStyle name="Comma 2 14 2" xfId="67"/>
    <cellStyle name="Comma 2 15" xfId="68"/>
    <cellStyle name="Comma 2 16" xfId="69"/>
    <cellStyle name="Comma 2 17" xfId="70"/>
    <cellStyle name="Comma 2 2" xfId="71"/>
    <cellStyle name="Comma 2 2 10" xfId="72"/>
    <cellStyle name="Comma 2 2 11" xfId="73"/>
    <cellStyle name="Comma 2 2 12" xfId="74"/>
    <cellStyle name="Comma 2 2 13" xfId="75"/>
    <cellStyle name="Comma 2 2 2" xfId="76"/>
    <cellStyle name="Comma 2 2 3" xfId="77"/>
    <cellStyle name="Comma 2 2 4" xfId="78"/>
    <cellStyle name="Comma 2 2 5" xfId="79"/>
    <cellStyle name="Comma 2 2 6" xfId="80"/>
    <cellStyle name="Comma 2 2 7" xfId="81"/>
    <cellStyle name="Comma 2 2 8" xfId="82"/>
    <cellStyle name="Comma 2 2 9" xfId="83"/>
    <cellStyle name="Comma 2 3" xfId="84"/>
    <cellStyle name="Comma 2 3 2" xfId="85"/>
    <cellStyle name="Comma 2 4" xfId="86"/>
    <cellStyle name="Comma 2 4 2" xfId="87"/>
    <cellStyle name="Comma 2 5" xfId="88"/>
    <cellStyle name="Comma 2 5 2" xfId="89"/>
    <cellStyle name="Comma 2 6" xfId="90"/>
    <cellStyle name="Comma 2 6 2" xfId="91"/>
    <cellStyle name="Comma 2 7" xfId="92"/>
    <cellStyle name="Comma 2 7 2" xfId="93"/>
    <cellStyle name="Comma 2 8" xfId="94"/>
    <cellStyle name="Comma 2 8 2" xfId="95"/>
    <cellStyle name="Comma 2 9" xfId="96"/>
    <cellStyle name="Comma 2 9 2" xfId="97"/>
    <cellStyle name="Comma 20" xfId="98"/>
    <cellStyle name="Comma 21" xfId="99"/>
    <cellStyle name="Comma 22" xfId="100"/>
    <cellStyle name="Comma 23" xfId="101"/>
    <cellStyle name="Comma 24" xfId="102"/>
    <cellStyle name="Comma 25" xfId="103"/>
    <cellStyle name="Comma 25 2" xfId="104"/>
    <cellStyle name="Comma 25 3" xfId="105"/>
    <cellStyle name="Comma 25 3 2" xfId="106"/>
    <cellStyle name="Comma 25 4" xfId="107"/>
    <cellStyle name="Comma 26" xfId="108"/>
    <cellStyle name="Comma 26 2" xfId="109"/>
    <cellStyle name="Comma 27" xfId="110"/>
    <cellStyle name="Comma 27 2" xfId="111"/>
    <cellStyle name="Comma 28" xfId="112"/>
    <cellStyle name="Comma 29" xfId="113"/>
    <cellStyle name="Comma 3" xfId="114"/>
    <cellStyle name="Comma 3 2" xfId="115"/>
    <cellStyle name="Comma 3 2 2" xfId="116"/>
    <cellStyle name="Comma 3 2 2 2" xfId="117"/>
    <cellStyle name="Comma 3 2 2 3" xfId="118"/>
    <cellStyle name="Comma 3 2 2 4" xfId="119"/>
    <cellStyle name="Comma 3 2 3" xfId="120"/>
    <cellStyle name="Comma 3 2 4" xfId="121"/>
    <cellStyle name="Comma 3 2 5" xfId="122"/>
    <cellStyle name="Comma 3 2 5 2" xfId="123"/>
    <cellStyle name="Comma 3 2 6" xfId="124"/>
    <cellStyle name="Comma 3 3" xfId="125"/>
    <cellStyle name="Comma 3 3 2" xfId="126"/>
    <cellStyle name="Comma 3 3 2 2" xfId="127"/>
    <cellStyle name="Comma 3 3 3" xfId="128"/>
    <cellStyle name="Comma 3 3 3 2" xfId="129"/>
    <cellStyle name="Comma 3 4" xfId="130"/>
    <cellStyle name="Comma 3 4 2" xfId="131"/>
    <cellStyle name="Comma 3 5" xfId="132"/>
    <cellStyle name="Comma 3 6" xfId="133"/>
    <cellStyle name="Comma 3 7" xfId="134"/>
    <cellStyle name="Comma 3 8" xfId="135"/>
    <cellStyle name="Comma 30" xfId="136"/>
    <cellStyle name="Comma 31" xfId="137"/>
    <cellStyle name="Comma 4" xfId="138"/>
    <cellStyle name="Comma 4 2" xfId="139"/>
    <cellStyle name="Comma 4 3" xfId="140"/>
    <cellStyle name="Comma 4 4" xfId="141"/>
    <cellStyle name="Comma 4 5" xfId="142"/>
    <cellStyle name="Comma 4 6" xfId="143"/>
    <cellStyle name="Comma 4 7" xfId="144"/>
    <cellStyle name="Comma 5" xfId="145"/>
    <cellStyle name="Comma 5 2" xfId="146"/>
    <cellStyle name="Comma 5 3" xfId="147"/>
    <cellStyle name="Comma 6" xfId="148"/>
    <cellStyle name="Comma 6 2" xfId="149"/>
    <cellStyle name="Comma 6 2 2" xfId="150"/>
    <cellStyle name="Comma 6 3" xfId="151"/>
    <cellStyle name="Comma 6 4" xfId="152"/>
    <cellStyle name="Comma 7" xfId="153"/>
    <cellStyle name="Comma 7 2" xfId="154"/>
    <cellStyle name="Comma 7 2 2" xfId="155"/>
    <cellStyle name="Comma 7 3" xfId="156"/>
    <cellStyle name="Comma 8" xfId="157"/>
    <cellStyle name="Comma 8 2" xfId="158"/>
    <cellStyle name="Comma 8 3" xfId="159"/>
    <cellStyle name="Comma 9" xfId="160"/>
    <cellStyle name="Comma 9 2" xfId="161"/>
    <cellStyle name="Comma 9 3" xfId="162"/>
    <cellStyle name="Comma0" xfId="163"/>
    <cellStyle name="Comma0 10" xfId="164"/>
    <cellStyle name="Comma0 2" xfId="165"/>
    <cellStyle name="Comma0 3" xfId="166"/>
    <cellStyle name="Comma0 4" xfId="167"/>
    <cellStyle name="Comma0 4 2" xfId="168"/>
    <cellStyle name="Comma0 4 3" xfId="169"/>
    <cellStyle name="Comma0 4 3 2" xfId="170"/>
    <cellStyle name="Comma0 4 4" xfId="171"/>
    <cellStyle name="Comma0 5" xfId="172"/>
    <cellStyle name="Comma0 5 2" xfId="173"/>
    <cellStyle name="Comma0 6" xfId="174"/>
    <cellStyle name="Comma0 6 2" xfId="175"/>
    <cellStyle name="Comma0 7" xfId="176"/>
    <cellStyle name="Comma0 7 2" xfId="177"/>
    <cellStyle name="Comma0 8" xfId="178"/>
    <cellStyle name="Comma0 9" xfId="179"/>
    <cellStyle name="Currency" xfId="180" builtinId="4"/>
    <cellStyle name="Currency 10" xfId="181"/>
    <cellStyle name="Currency 11" xfId="182"/>
    <cellStyle name="Currency 12" xfId="183"/>
    <cellStyle name="Currency 13" xfId="184"/>
    <cellStyle name="Currency 14" xfId="185"/>
    <cellStyle name="Currency 15" xfId="186"/>
    <cellStyle name="Currency 16" xfId="187"/>
    <cellStyle name="Currency 17" xfId="188"/>
    <cellStyle name="Currency 18" xfId="189"/>
    <cellStyle name="Currency 19" xfId="190"/>
    <cellStyle name="Currency 2" xfId="191"/>
    <cellStyle name="Currency 2 10" xfId="192"/>
    <cellStyle name="Currency 2 11" xfId="193"/>
    <cellStyle name="Currency 2 2" xfId="194"/>
    <cellStyle name="Currency 2 2 2" xfId="195"/>
    <cellStyle name="Currency 2 2 2 2" xfId="196"/>
    <cellStyle name="Currency 2 2 2 3" xfId="197"/>
    <cellStyle name="Currency 2 2 3" xfId="198"/>
    <cellStyle name="Currency 2 2 4" xfId="199"/>
    <cellStyle name="Currency 2 2 5" xfId="200"/>
    <cellStyle name="Currency 2 2 6" xfId="201"/>
    <cellStyle name="Currency 2 2 7" xfId="202"/>
    <cellStyle name="Currency 2 2 8" xfId="203"/>
    <cellStyle name="Currency 2 2 9" xfId="204"/>
    <cellStyle name="Currency 2 3" xfId="205"/>
    <cellStyle name="Currency 2 4" xfId="206"/>
    <cellStyle name="Currency 2 5" xfId="207"/>
    <cellStyle name="Currency 2 6" xfId="208"/>
    <cellStyle name="Currency 2 7" xfId="209"/>
    <cellStyle name="Currency 2 8" xfId="210"/>
    <cellStyle name="Currency 2 9" xfId="211"/>
    <cellStyle name="Currency 20" xfId="212"/>
    <cellStyle name="Currency 21" xfId="213"/>
    <cellStyle name="Currency 22" xfId="214"/>
    <cellStyle name="Currency 23" xfId="215"/>
    <cellStyle name="Currency 24" xfId="216"/>
    <cellStyle name="Currency 24 2" xfId="217"/>
    <cellStyle name="Currency 24 3" xfId="218"/>
    <cellStyle name="Currency 24 3 2" xfId="219"/>
    <cellStyle name="Currency 24 4" xfId="220"/>
    <cellStyle name="Currency 25" xfId="221"/>
    <cellStyle name="Currency 25 2" xfId="222"/>
    <cellStyle name="Currency 26" xfId="223"/>
    <cellStyle name="Currency 26 2" xfId="224"/>
    <cellStyle name="Currency 27" xfId="225"/>
    <cellStyle name="Currency 27 2" xfId="226"/>
    <cellStyle name="Currency 28" xfId="227"/>
    <cellStyle name="Currency 29" xfId="228"/>
    <cellStyle name="Currency 3" xfId="229"/>
    <cellStyle name="Currency 3 2" xfId="230"/>
    <cellStyle name="Currency 3 2 2" xfId="231"/>
    <cellStyle name="Currency 3 2 2 2" xfId="232"/>
    <cellStyle name="Currency 3 2 2 3" xfId="233"/>
    <cellStyle name="Currency 3 2 3" xfId="234"/>
    <cellStyle name="Currency 3 2 4" xfId="235"/>
    <cellStyle name="Currency 3 2 5" xfId="236"/>
    <cellStyle name="Currency 3 3" xfId="237"/>
    <cellStyle name="Currency 3 3 2" xfId="238"/>
    <cellStyle name="Currency 3 3 3" xfId="239"/>
    <cellStyle name="Currency 3 4" xfId="240"/>
    <cellStyle name="Currency 3 5" xfId="241"/>
    <cellStyle name="Currency 3 6" xfId="242"/>
    <cellStyle name="Currency 3 7" xfId="243"/>
    <cellStyle name="Currency 3 8" xfId="244"/>
    <cellStyle name="Currency 3 9" xfId="245"/>
    <cellStyle name="Currency 30" xfId="246"/>
    <cellStyle name="Currency 31" xfId="247"/>
    <cellStyle name="Currency 4" xfId="248"/>
    <cellStyle name="Currency 4 2" xfId="249"/>
    <cellStyle name="Currency 4 3" xfId="250"/>
    <cellStyle name="Currency 5" xfId="251"/>
    <cellStyle name="Currency 5 2" xfId="252"/>
    <cellStyle name="Currency 6" xfId="253"/>
    <cellStyle name="Currency 6 2" xfId="254"/>
    <cellStyle name="Currency 6 2 2" xfId="255"/>
    <cellStyle name="Currency 7" xfId="256"/>
    <cellStyle name="Currency 7 2" xfId="257"/>
    <cellStyle name="Currency 7 3" xfId="258"/>
    <cellStyle name="Currency 8" xfId="259"/>
    <cellStyle name="Currency 9" xfId="260"/>
    <cellStyle name="Currency_2008-2010 RATE ADJUSTMENT SUMMARY v8.3 consol" xfId="261"/>
    <cellStyle name="Currency0" xfId="262"/>
    <cellStyle name="Currency0 10" xfId="263"/>
    <cellStyle name="Currency0 2" xfId="264"/>
    <cellStyle name="Currency0 3" xfId="265"/>
    <cellStyle name="Currency0 4" xfId="266"/>
    <cellStyle name="Currency0 4 2" xfId="267"/>
    <cellStyle name="Currency0 4 3" xfId="268"/>
    <cellStyle name="Currency0 4 3 2" xfId="269"/>
    <cellStyle name="Currency0 4 4" xfId="270"/>
    <cellStyle name="Currency0 5" xfId="271"/>
    <cellStyle name="Currency0 5 2" xfId="272"/>
    <cellStyle name="Currency0 6" xfId="273"/>
    <cellStyle name="Currency0 6 2" xfId="274"/>
    <cellStyle name="Currency0 7" xfId="275"/>
    <cellStyle name="Currency0 7 2" xfId="276"/>
    <cellStyle name="Currency0 8" xfId="277"/>
    <cellStyle name="Currency0 9" xfId="278"/>
    <cellStyle name="Currʬncy" xfId="279"/>
    <cellStyle name="custom" xfId="280"/>
    <cellStyle name="Custom - Style1" xfId="281"/>
    <cellStyle name="custom 2" xfId="282"/>
    <cellStyle name="Data   - Style2" xfId="283"/>
    <cellStyle name="Date" xfId="284"/>
    <cellStyle name="Date 10" xfId="285"/>
    <cellStyle name="Date 2" xfId="286"/>
    <cellStyle name="Date 3" xfId="287"/>
    <cellStyle name="Date 4" xfId="288"/>
    <cellStyle name="Date 4 2" xfId="289"/>
    <cellStyle name="Date 4 3" xfId="290"/>
    <cellStyle name="Date 4 3 2" xfId="291"/>
    <cellStyle name="Date 4 4" xfId="292"/>
    <cellStyle name="Date 5" xfId="293"/>
    <cellStyle name="Date 5 2" xfId="294"/>
    <cellStyle name="Date 6" xfId="295"/>
    <cellStyle name="Date 6 2" xfId="296"/>
    <cellStyle name="Date 7" xfId="297"/>
    <cellStyle name="Date 7 2" xfId="298"/>
    <cellStyle name="Date 8" xfId="299"/>
    <cellStyle name="Date 9" xfId="300"/>
    <cellStyle name="Explanatory Text 2" xfId="301"/>
    <cellStyle name="Fixed" xfId="302"/>
    <cellStyle name="Fixed 10" xfId="303"/>
    <cellStyle name="Fixed 2" xfId="304"/>
    <cellStyle name="Fixed 3" xfId="305"/>
    <cellStyle name="Fixed 4" xfId="306"/>
    <cellStyle name="Fixed 4 2" xfId="307"/>
    <cellStyle name="Fixed 4 3" xfId="308"/>
    <cellStyle name="Fixed 4 3 2" xfId="309"/>
    <cellStyle name="Fixed 4 4" xfId="310"/>
    <cellStyle name="Fixed 5" xfId="311"/>
    <cellStyle name="Fixed 5 2" xfId="312"/>
    <cellStyle name="Fixed 6" xfId="313"/>
    <cellStyle name="Fixed 6 2" xfId="314"/>
    <cellStyle name="Fixed 7" xfId="315"/>
    <cellStyle name="Fixed 7 2" xfId="316"/>
    <cellStyle name="Fixed 8" xfId="317"/>
    <cellStyle name="Fixed 9" xfId="318"/>
    <cellStyle name="Good 2" xfId="319"/>
    <cellStyle name="Grey" xfId="320"/>
    <cellStyle name="Header1" xfId="321"/>
    <cellStyle name="Header2" xfId="322"/>
    <cellStyle name="Header2 2" xfId="323"/>
    <cellStyle name="Heading 1 2" xfId="324"/>
    <cellStyle name="Heading 1 3" xfId="325"/>
    <cellStyle name="Heading 2 2" xfId="326"/>
    <cellStyle name="Heading 2 3" xfId="327"/>
    <cellStyle name="Heading 3 2" xfId="328"/>
    <cellStyle name="Heading 4 2" xfId="329"/>
    <cellStyle name="Hyperlink 2" xfId="330"/>
    <cellStyle name="Input [yellow]" xfId="331"/>
    <cellStyle name="Input [yellow] 2" xfId="332"/>
    <cellStyle name="Input 2" xfId="333"/>
    <cellStyle name="Labels - Style3" xfId="334"/>
    <cellStyle name="Linked Cell 2" xfId="335"/>
    <cellStyle name="M" xfId="336"/>
    <cellStyle name="M 2" xfId="337"/>
    <cellStyle name="M.00" xfId="338"/>
    <cellStyle name="M.00 2" xfId="339"/>
    <cellStyle name="Neutral 2" xfId="340"/>
    <cellStyle name="no dec" xfId="341"/>
    <cellStyle name="NorALL-HC" xfId="342"/>
    <cellStyle name="Normal" xfId="0" builtinId="0"/>
    <cellStyle name="Normal - Style1" xfId="343"/>
    <cellStyle name="Normal - Style1 2" xfId="344"/>
    <cellStyle name="Normal - Style1 3" xfId="345"/>
    <cellStyle name="Normal - Style1_v1.1 Prefile" xfId="346"/>
    <cellStyle name="Normal 10" xfId="347"/>
    <cellStyle name="Normal 10 2" xfId="348"/>
    <cellStyle name="Normal 10 2 2" xfId="349"/>
    <cellStyle name="Normal 10 3" xfId="350"/>
    <cellStyle name="Normal 100" xfId="351"/>
    <cellStyle name="Normal 101" xfId="352"/>
    <cellStyle name="Normal 102" xfId="353"/>
    <cellStyle name="Normal 103" xfId="354"/>
    <cellStyle name="Normal 104" xfId="355"/>
    <cellStyle name="Normal 105" xfId="356"/>
    <cellStyle name="Normal 106" xfId="357"/>
    <cellStyle name="Normal 107" xfId="358"/>
    <cellStyle name="Normal 108" xfId="359"/>
    <cellStyle name="Normal 109" xfId="360"/>
    <cellStyle name="Normal 11" xfId="361"/>
    <cellStyle name="Normal 11 2" xfId="362"/>
    <cellStyle name="Normal 11 2 2" xfId="363"/>
    <cellStyle name="Normal 11 3" xfId="364"/>
    <cellStyle name="Normal 11 4" xfId="365"/>
    <cellStyle name="Normal 11 5" xfId="366"/>
    <cellStyle name="Normal 110" xfId="367"/>
    <cellStyle name="Normal 111" xfId="368"/>
    <cellStyle name="Normal 112" xfId="369"/>
    <cellStyle name="Normal 113" xfId="370"/>
    <cellStyle name="Normal 114" xfId="371"/>
    <cellStyle name="Normal 115" xfId="372"/>
    <cellStyle name="Normal 116" xfId="373"/>
    <cellStyle name="Normal 117" xfId="374"/>
    <cellStyle name="Normal 118" xfId="375"/>
    <cellStyle name="Normal 119" xfId="376"/>
    <cellStyle name="Normal 12" xfId="377"/>
    <cellStyle name="Normal 12 2" xfId="378"/>
    <cellStyle name="Normal 120" xfId="379"/>
    <cellStyle name="Normal 121" xfId="380"/>
    <cellStyle name="Normal 122" xfId="381"/>
    <cellStyle name="Normal 123" xfId="382"/>
    <cellStyle name="Normal 124" xfId="383"/>
    <cellStyle name="Normal 125" xfId="384"/>
    <cellStyle name="Normal 126" xfId="385"/>
    <cellStyle name="Normal 127" xfId="386"/>
    <cellStyle name="Normal 128" xfId="387"/>
    <cellStyle name="Normal 129" xfId="388"/>
    <cellStyle name="Normal 13" xfId="389"/>
    <cellStyle name="Normal 13 2" xfId="390"/>
    <cellStyle name="Normal 130" xfId="391"/>
    <cellStyle name="Normal 131" xfId="392"/>
    <cellStyle name="Normal 132" xfId="393"/>
    <cellStyle name="Normal 133" xfId="394"/>
    <cellStyle name="Normal 134" xfId="395"/>
    <cellStyle name="Normal 135" xfId="396"/>
    <cellStyle name="Normal 136" xfId="397"/>
    <cellStyle name="Normal 137" xfId="398"/>
    <cellStyle name="Normal 138" xfId="399"/>
    <cellStyle name="Normal 139" xfId="400"/>
    <cellStyle name="Normal 14" xfId="401"/>
    <cellStyle name="Normal 14 2" xfId="402"/>
    <cellStyle name="Normal 140" xfId="403"/>
    <cellStyle name="Normal 141" xfId="404"/>
    <cellStyle name="Normal 142" xfId="405"/>
    <cellStyle name="Normal 143" xfId="406"/>
    <cellStyle name="Normal 144" xfId="407"/>
    <cellStyle name="Normal 145" xfId="408"/>
    <cellStyle name="Normal 146" xfId="409"/>
    <cellStyle name="Normal 147" xfId="410"/>
    <cellStyle name="Normal 148" xfId="411"/>
    <cellStyle name="Normal 149" xfId="412"/>
    <cellStyle name="Normal 15" xfId="413"/>
    <cellStyle name="Normal 15 2" xfId="414"/>
    <cellStyle name="Normal 150" xfId="415"/>
    <cellStyle name="Normal 151" xfId="416"/>
    <cellStyle name="Normal 152" xfId="417"/>
    <cellStyle name="Normal 153" xfId="418"/>
    <cellStyle name="Normal 154" xfId="419"/>
    <cellStyle name="Normal 155" xfId="420"/>
    <cellStyle name="Normal 156" xfId="421"/>
    <cellStyle name="Normal 157" xfId="422"/>
    <cellStyle name="Normal 158" xfId="423"/>
    <cellStyle name="Normal 159" xfId="424"/>
    <cellStyle name="Normal 16" xfId="425"/>
    <cellStyle name="Normal 160" xfId="426"/>
    <cellStyle name="Normal 161" xfId="427"/>
    <cellStyle name="Normal 162" xfId="428"/>
    <cellStyle name="Normal 163" xfId="429"/>
    <cellStyle name="Normal 164" xfId="430"/>
    <cellStyle name="Normal 165" xfId="431"/>
    <cellStyle name="Normal 166" xfId="432"/>
    <cellStyle name="Normal 167" xfId="433"/>
    <cellStyle name="Normal 168" xfId="434"/>
    <cellStyle name="Normal 169" xfId="435"/>
    <cellStyle name="Normal 17" xfId="436"/>
    <cellStyle name="Normal 170" xfId="437"/>
    <cellStyle name="Normal 171" xfId="438"/>
    <cellStyle name="Normal 172" xfId="439"/>
    <cellStyle name="Normal 173" xfId="440"/>
    <cellStyle name="Normal 174" xfId="441"/>
    <cellStyle name="Normal 175" xfId="442"/>
    <cellStyle name="Normal 176" xfId="443"/>
    <cellStyle name="Normal 177" xfId="444"/>
    <cellStyle name="Normal 178" xfId="445"/>
    <cellStyle name="Normal 179" xfId="446"/>
    <cellStyle name="Normal 18" xfId="447"/>
    <cellStyle name="Normal 180" xfId="448"/>
    <cellStyle name="Normal 181" xfId="449"/>
    <cellStyle name="Normal 182" xfId="450"/>
    <cellStyle name="Normal 183" xfId="451"/>
    <cellStyle name="Normal 184" xfId="452"/>
    <cellStyle name="Normal 185" xfId="453"/>
    <cellStyle name="Normal 186" xfId="454"/>
    <cellStyle name="Normal 187" xfId="455"/>
    <cellStyle name="Normal 188" xfId="456"/>
    <cellStyle name="Normal 189" xfId="457"/>
    <cellStyle name="Normal 19" xfId="458"/>
    <cellStyle name="Normal 190" xfId="459"/>
    <cellStyle name="Normal 191" xfId="460"/>
    <cellStyle name="Normal 192" xfId="461"/>
    <cellStyle name="Normal 193" xfId="462"/>
    <cellStyle name="Normal 194" xfId="463"/>
    <cellStyle name="Normal 195" xfId="464"/>
    <cellStyle name="Normal 196" xfId="465"/>
    <cellStyle name="Normal 197" xfId="466"/>
    <cellStyle name="Normal 198" xfId="467"/>
    <cellStyle name="Normal 199" xfId="468"/>
    <cellStyle name="Normal 2" xfId="469"/>
    <cellStyle name="Normal 2 10" xfId="470"/>
    <cellStyle name="Normal 2 10 2" xfId="471"/>
    <cellStyle name="Normal 2 11" xfId="472"/>
    <cellStyle name="Normal 2 11 2" xfId="473"/>
    <cellStyle name="Normal 2 11 3" xfId="474"/>
    <cellStyle name="Normal 2 11 4" xfId="475"/>
    <cellStyle name="Normal 2 12" xfId="476"/>
    <cellStyle name="Normal 2 13" xfId="477"/>
    <cellStyle name="Normal 2 14" xfId="478"/>
    <cellStyle name="Normal 2 14 2" xfId="479"/>
    <cellStyle name="Normal 2 15" xfId="480"/>
    <cellStyle name="Normal 2 2" xfId="481"/>
    <cellStyle name="Normal 2 2 10" xfId="482"/>
    <cellStyle name="Normal 2 2 11" xfId="483"/>
    <cellStyle name="Normal 2 2 12" xfId="484"/>
    <cellStyle name="Normal 2 2 13" xfId="485"/>
    <cellStyle name="Normal 2 2 13 2" xfId="486"/>
    <cellStyle name="Normal 2 2 13 3" xfId="487"/>
    <cellStyle name="Normal 2 2 13 4" xfId="488"/>
    <cellStyle name="Normal 2 2 14" xfId="489"/>
    <cellStyle name="Normal 2 2 15" xfId="490"/>
    <cellStyle name="Normal 2 2 16" xfId="491"/>
    <cellStyle name="Normal 2 2 16 2" xfId="492"/>
    <cellStyle name="Normal 2 2 17" xfId="493"/>
    <cellStyle name="Normal 2 2 18" xfId="494"/>
    <cellStyle name="Normal 2 2 2" xfId="495"/>
    <cellStyle name="Normal 2 2 2 2" xfId="496"/>
    <cellStyle name="Normal 2 2 2 2 2" xfId="497"/>
    <cellStyle name="Normal 2 2 2 2 2 2" xfId="498"/>
    <cellStyle name="Normal 2 2 2 2 2 3" xfId="499"/>
    <cellStyle name="Normal 2 2 2 2 2 4" xfId="500"/>
    <cellStyle name="Normal 2 2 2 2 3" xfId="501"/>
    <cellStyle name="Normal 2 2 2 2 4" xfId="502"/>
    <cellStyle name="Normal 2 2 2 2 5" xfId="503"/>
    <cellStyle name="Normal 2 2 2 2 5 2" xfId="504"/>
    <cellStyle name="Normal 2 2 2 3" xfId="505"/>
    <cellStyle name="Normal 2 2 2 3 2" xfId="506"/>
    <cellStyle name="Normal 2 2 2 3 2 2" xfId="507"/>
    <cellStyle name="Normal 2 2 2 3 3" xfId="508"/>
    <cellStyle name="Normal 2 2 2 3 3 2" xfId="509"/>
    <cellStyle name="Normal 2 2 2 4" xfId="510"/>
    <cellStyle name="Normal 2 2 2 4 2" xfId="511"/>
    <cellStyle name="Normal 2 2 2 5" xfId="512"/>
    <cellStyle name="Normal 2 2 2 6" xfId="513"/>
    <cellStyle name="Normal 2 2 3" xfId="514"/>
    <cellStyle name="Normal 2 2 4" xfId="515"/>
    <cellStyle name="Normal 2 2 5" xfId="516"/>
    <cellStyle name="Normal 2 2 6" xfId="517"/>
    <cellStyle name="Normal 2 2 7" xfId="518"/>
    <cellStyle name="Normal 2 2 8" xfId="519"/>
    <cellStyle name="Normal 2 2 9" xfId="520"/>
    <cellStyle name="Normal 2 3" xfId="521"/>
    <cellStyle name="Normal 2 3 2" xfId="522"/>
    <cellStyle name="Normal 2 3 2 2" xfId="523"/>
    <cellStyle name="Normal 2 3 2 2 2" xfId="524"/>
    <cellStyle name="Normal 2 3 2 2 3" xfId="525"/>
    <cellStyle name="Normal 2 3 2 2 4" xfId="526"/>
    <cellStyle name="Normal 2 3 2 3" xfId="527"/>
    <cellStyle name="Normal 2 3 2 4" xfId="528"/>
    <cellStyle name="Normal 2 3 2 5" xfId="529"/>
    <cellStyle name="Normal 2 3 2 5 2" xfId="530"/>
    <cellStyle name="Normal 2 3 3" xfId="531"/>
    <cellStyle name="Normal 2 3 3 2" xfId="532"/>
    <cellStyle name="Normal 2 3 3 2 2" xfId="533"/>
    <cellStyle name="Normal 2 3 3 3" xfId="534"/>
    <cellStyle name="Normal 2 3 3 3 2" xfId="535"/>
    <cellStyle name="Normal 2 3 4" xfId="536"/>
    <cellStyle name="Normal 2 3 4 2" xfId="537"/>
    <cellStyle name="Normal 2 3 5" xfId="538"/>
    <cellStyle name="Normal 2 3 6" xfId="539"/>
    <cellStyle name="Normal 2 4" xfId="540"/>
    <cellStyle name="Normal 2 4 2" xfId="541"/>
    <cellStyle name="Normal 2 5" xfId="542"/>
    <cellStyle name="Normal 2 5 2" xfId="543"/>
    <cellStyle name="Normal 2 6" xfId="544"/>
    <cellStyle name="Normal 2 6 2" xfId="545"/>
    <cellStyle name="Normal 2 7" xfId="546"/>
    <cellStyle name="Normal 2 7 2" xfId="547"/>
    <cellStyle name="Normal 2 8" xfId="548"/>
    <cellStyle name="Normal 2 8 2" xfId="549"/>
    <cellStyle name="Normal 2 9" xfId="550"/>
    <cellStyle name="Normal 2 9 2" xfId="551"/>
    <cellStyle name="Normal 20" xfId="552"/>
    <cellStyle name="Normal 200" xfId="553"/>
    <cellStyle name="Normal 201" xfId="554"/>
    <cellStyle name="Normal 202" xfId="555"/>
    <cellStyle name="Normal 203" xfId="556"/>
    <cellStyle name="Normal 204" xfId="557"/>
    <cellStyle name="Normal 205" xfId="558"/>
    <cellStyle name="Normal 206" xfId="559"/>
    <cellStyle name="Normal 207" xfId="560"/>
    <cellStyle name="Normal 208" xfId="561"/>
    <cellStyle name="Normal 209" xfId="562"/>
    <cellStyle name="Normal 21" xfId="563"/>
    <cellStyle name="Normal 210" xfId="564"/>
    <cellStyle name="Normal 22" xfId="565"/>
    <cellStyle name="Normal 23" xfId="566"/>
    <cellStyle name="Normal 24" xfId="567"/>
    <cellStyle name="Normal 25" xfId="568"/>
    <cellStyle name="Normal 26" xfId="569"/>
    <cellStyle name="Normal 27" xfId="570"/>
    <cellStyle name="Normal 28" xfId="571"/>
    <cellStyle name="Normal 29" xfId="572"/>
    <cellStyle name="Normal 3" xfId="573"/>
    <cellStyle name="Normal 3 2" xfId="574"/>
    <cellStyle name="Normal 3 3" xfId="575"/>
    <cellStyle name="Normal 3 3 2" xfId="576"/>
    <cellStyle name="Normal 3 4" xfId="577"/>
    <cellStyle name="Normal 3 4 2" xfId="578"/>
    <cellStyle name="Normal 3 5" xfId="579"/>
    <cellStyle name="Normal 3 5 2" xfId="580"/>
    <cellStyle name="Normal 3 6" xfId="581"/>
    <cellStyle name="Normal 3 7" xfId="582"/>
    <cellStyle name="Normal 3 8" xfId="583"/>
    <cellStyle name="Normal 30" xfId="584"/>
    <cellStyle name="Normal 31" xfId="585"/>
    <cellStyle name="Normal 32" xfId="586"/>
    <cellStyle name="Normal 33" xfId="587"/>
    <cellStyle name="Normal 34" xfId="588"/>
    <cellStyle name="Normal 35" xfId="589"/>
    <cellStyle name="Normal 36" xfId="590"/>
    <cellStyle name="Normal 37" xfId="591"/>
    <cellStyle name="Normal 38" xfId="592"/>
    <cellStyle name="Normal 39" xfId="593"/>
    <cellStyle name="Normal 4" xfId="594"/>
    <cellStyle name="Normal 4 2" xfId="595"/>
    <cellStyle name="Normal 4 2 2" xfId="596"/>
    <cellStyle name="Normal 4 3" xfId="597"/>
    <cellStyle name="Normal 4 4" xfId="598"/>
    <cellStyle name="Normal 4 5" xfId="599"/>
    <cellStyle name="Normal 4 6" xfId="600"/>
    <cellStyle name="Normal 40" xfId="601"/>
    <cellStyle name="Normal 41" xfId="602"/>
    <cellStyle name="Normal 42" xfId="603"/>
    <cellStyle name="Normal 43" xfId="604"/>
    <cellStyle name="Normal 44" xfId="605"/>
    <cellStyle name="Normal 45" xfId="606"/>
    <cellStyle name="Normal 46" xfId="607"/>
    <cellStyle name="Normal 47" xfId="608"/>
    <cellStyle name="Normal 48" xfId="609"/>
    <cellStyle name="Normal 49" xfId="610"/>
    <cellStyle name="Normal 5" xfId="611"/>
    <cellStyle name="Normal 5 2" xfId="612"/>
    <cellStyle name="Normal 5 2 2" xfId="613"/>
    <cellStyle name="Normal 5 3" xfId="614"/>
    <cellStyle name="Normal 5 3 2" xfId="615"/>
    <cellStyle name="Normal 5 4" xfId="616"/>
    <cellStyle name="Normal 5 4 2" xfId="617"/>
    <cellStyle name="Normal 5 5" xfId="618"/>
    <cellStyle name="Normal 50" xfId="619"/>
    <cellStyle name="Normal 51" xfId="620"/>
    <cellStyle name="Normal 52" xfId="621"/>
    <cellStyle name="Normal 53" xfId="622"/>
    <cellStyle name="Normal 54" xfId="623"/>
    <cellStyle name="Normal 55" xfId="624"/>
    <cellStyle name="Normal 56" xfId="625"/>
    <cellStyle name="Normal 57" xfId="626"/>
    <cellStyle name="Normal 58" xfId="627"/>
    <cellStyle name="Normal 59" xfId="628"/>
    <cellStyle name="Normal 6" xfId="629"/>
    <cellStyle name="Normal 6 2" xfId="630"/>
    <cellStyle name="Normal 6 2 2" xfId="631"/>
    <cellStyle name="Normal 6 3" xfId="632"/>
    <cellStyle name="Normal 60" xfId="633"/>
    <cellStyle name="Normal 61" xfId="634"/>
    <cellStyle name="Normal 62" xfId="635"/>
    <cellStyle name="Normal 63" xfId="636"/>
    <cellStyle name="Normal 64" xfId="637"/>
    <cellStyle name="Normal 65" xfId="638"/>
    <cellStyle name="Normal 66" xfId="639"/>
    <cellStyle name="Normal 67" xfId="640"/>
    <cellStyle name="Normal 68" xfId="641"/>
    <cellStyle name="Normal 69" xfId="642"/>
    <cellStyle name="Normal 7" xfId="643"/>
    <cellStyle name="Normal 7 2" xfId="644"/>
    <cellStyle name="Normal 7 3" xfId="645"/>
    <cellStyle name="Normal 7 4" xfId="646"/>
    <cellStyle name="Normal 7 5" xfId="647"/>
    <cellStyle name="Normal 70" xfId="648"/>
    <cellStyle name="Normal 71" xfId="649"/>
    <cellStyle name="Normal 72" xfId="650"/>
    <cellStyle name="Normal 73" xfId="651"/>
    <cellStyle name="Normal 74" xfId="652"/>
    <cellStyle name="Normal 75" xfId="653"/>
    <cellStyle name="Normal 76" xfId="654"/>
    <cellStyle name="Normal 77" xfId="655"/>
    <cellStyle name="Normal 78" xfId="656"/>
    <cellStyle name="Normal 79" xfId="657"/>
    <cellStyle name="Normal 8" xfId="658"/>
    <cellStyle name="Normal 8 2" xfId="659"/>
    <cellStyle name="Normal 8 3" xfId="660"/>
    <cellStyle name="Normal 8 4" xfId="661"/>
    <cellStyle name="Normal 8 5" xfId="662"/>
    <cellStyle name="Normal 80" xfId="663"/>
    <cellStyle name="Normal 81" xfId="664"/>
    <cellStyle name="Normal 82" xfId="665"/>
    <cellStyle name="Normal 83" xfId="666"/>
    <cellStyle name="Normal 84" xfId="667"/>
    <cellStyle name="Normal 85" xfId="668"/>
    <cellStyle name="Normal 86" xfId="669"/>
    <cellStyle name="Normal 87" xfId="670"/>
    <cellStyle name="Normal 88" xfId="671"/>
    <cellStyle name="Normal 89" xfId="672"/>
    <cellStyle name="Normal 9" xfId="673"/>
    <cellStyle name="Normal 9 2" xfId="674"/>
    <cellStyle name="Normal 9 3" xfId="675"/>
    <cellStyle name="Normal 9 4" xfId="676"/>
    <cellStyle name="Normal 9 5" xfId="677"/>
    <cellStyle name="Normal 90" xfId="678"/>
    <cellStyle name="Normal 91" xfId="679"/>
    <cellStyle name="Normal 92" xfId="680"/>
    <cellStyle name="Normal 93" xfId="681"/>
    <cellStyle name="Normal 94" xfId="682"/>
    <cellStyle name="Normal 95" xfId="683"/>
    <cellStyle name="Normal 96" xfId="684"/>
    <cellStyle name="Normal 97" xfId="685"/>
    <cellStyle name="Normal 98" xfId="686"/>
    <cellStyle name="Normal 99" xfId="687"/>
    <cellStyle name="Normal_Sheet2" xfId="688"/>
    <cellStyle name="Note 2" xfId="689"/>
    <cellStyle name="Note 3" xfId="690"/>
    <cellStyle name="Output 2" xfId="691"/>
    <cellStyle name="Output Amounts" xfId="692"/>
    <cellStyle name="Output Column Headings" xfId="693"/>
    <cellStyle name="Output Line Items" xfId="694"/>
    <cellStyle name="Output Line Items 2" xfId="695"/>
    <cellStyle name="Output Report Heading" xfId="696"/>
    <cellStyle name="Output Report Title" xfId="697"/>
    <cellStyle name="Percent" xfId="698" builtinId="5"/>
    <cellStyle name="Percent [2]" xfId="699"/>
    <cellStyle name="Percent [2] 2" xfId="700"/>
    <cellStyle name="Percent [2] 3" xfId="701"/>
    <cellStyle name="Percent 10" xfId="702"/>
    <cellStyle name="Percent 100" xfId="703"/>
    <cellStyle name="Percent 101" xfId="704"/>
    <cellStyle name="Percent 102" xfId="705"/>
    <cellStyle name="Percent 103" xfId="706"/>
    <cellStyle name="Percent 104" xfId="707"/>
    <cellStyle name="Percent 105" xfId="708"/>
    <cellStyle name="Percent 106" xfId="709"/>
    <cellStyle name="Percent 107" xfId="710"/>
    <cellStyle name="Percent 108" xfId="711"/>
    <cellStyle name="Percent 109" xfId="712"/>
    <cellStyle name="Percent 11" xfId="713"/>
    <cellStyle name="Percent 110" xfId="714"/>
    <cellStyle name="Percent 111" xfId="715"/>
    <cellStyle name="Percent 112" xfId="716"/>
    <cellStyle name="Percent 113" xfId="717"/>
    <cellStyle name="Percent 114" xfId="718"/>
    <cellStyle name="Percent 115" xfId="719"/>
    <cellStyle name="Percent 116" xfId="720"/>
    <cellStyle name="Percent 117" xfId="721"/>
    <cellStyle name="Percent 118" xfId="722"/>
    <cellStyle name="Percent 119" xfId="723"/>
    <cellStyle name="Percent 12" xfId="724"/>
    <cellStyle name="Percent 120" xfId="725"/>
    <cellStyle name="Percent 121" xfId="726"/>
    <cellStyle name="Percent 122" xfId="727"/>
    <cellStyle name="Percent 123" xfId="728"/>
    <cellStyle name="Percent 124" xfId="729"/>
    <cellStyle name="Percent 125" xfId="730"/>
    <cellStyle name="Percent 126" xfId="731"/>
    <cellStyle name="Percent 127" xfId="732"/>
    <cellStyle name="Percent 128" xfId="733"/>
    <cellStyle name="Percent 129" xfId="734"/>
    <cellStyle name="Percent 13" xfId="735"/>
    <cellStyle name="Percent 130" xfId="736"/>
    <cellStyle name="Percent 131" xfId="737"/>
    <cellStyle name="Percent 132" xfId="738"/>
    <cellStyle name="Percent 133" xfId="739"/>
    <cellStyle name="Percent 134" xfId="740"/>
    <cellStyle name="Percent 135" xfId="741"/>
    <cellStyle name="Percent 136" xfId="742"/>
    <cellStyle name="Percent 137" xfId="743"/>
    <cellStyle name="Percent 138" xfId="744"/>
    <cellStyle name="Percent 139" xfId="745"/>
    <cellStyle name="Percent 14" xfId="746"/>
    <cellStyle name="Percent 140" xfId="747"/>
    <cellStyle name="Percent 141" xfId="748"/>
    <cellStyle name="Percent 142" xfId="749"/>
    <cellStyle name="Percent 143" xfId="750"/>
    <cellStyle name="Percent 144" xfId="751"/>
    <cellStyle name="Percent 145" xfId="752"/>
    <cellStyle name="Percent 146" xfId="753"/>
    <cellStyle name="Percent 147" xfId="754"/>
    <cellStyle name="Percent 148" xfId="755"/>
    <cellStyle name="Percent 149" xfId="756"/>
    <cellStyle name="Percent 15" xfId="757"/>
    <cellStyle name="Percent 150" xfId="758"/>
    <cellStyle name="Percent 151" xfId="759"/>
    <cellStyle name="Percent 152" xfId="760"/>
    <cellStyle name="Percent 153" xfId="761"/>
    <cellStyle name="Percent 154" xfId="762"/>
    <cellStyle name="Percent 155" xfId="763"/>
    <cellStyle name="Percent 156" xfId="764"/>
    <cellStyle name="Percent 156 2" xfId="765"/>
    <cellStyle name="Percent 156 3" xfId="766"/>
    <cellStyle name="Percent 156 3 2" xfId="767"/>
    <cellStyle name="Percent 156 4" xfId="768"/>
    <cellStyle name="Percent 157" xfId="769"/>
    <cellStyle name="Percent 157 2" xfId="770"/>
    <cellStyle name="Percent 157 3" xfId="771"/>
    <cellStyle name="Percent 157 3 2" xfId="772"/>
    <cellStyle name="Percent 157 4" xfId="773"/>
    <cellStyle name="Percent 158" xfId="774"/>
    <cellStyle name="Percent 158 2" xfId="775"/>
    <cellStyle name="Percent 158 3" xfId="776"/>
    <cellStyle name="Percent 158 3 2" xfId="777"/>
    <cellStyle name="Percent 158 4" xfId="778"/>
    <cellStyle name="Percent 159" xfId="779"/>
    <cellStyle name="Percent 159 2" xfId="780"/>
    <cellStyle name="Percent 159 3" xfId="781"/>
    <cellStyle name="Percent 159 3 2" xfId="782"/>
    <cellStyle name="Percent 159 4" xfId="783"/>
    <cellStyle name="Percent 16" xfId="784"/>
    <cellStyle name="Percent 160" xfId="785"/>
    <cellStyle name="Percent 160 2" xfId="786"/>
    <cellStyle name="Percent 160 3" xfId="787"/>
    <cellStyle name="Percent 160 3 2" xfId="788"/>
    <cellStyle name="Percent 160 4" xfId="789"/>
    <cellStyle name="Percent 161" xfId="790"/>
    <cellStyle name="Percent 161 2" xfId="791"/>
    <cellStyle name="Percent 161 3" xfId="792"/>
    <cellStyle name="Percent 161 3 2" xfId="793"/>
    <cellStyle name="Percent 161 4" xfId="794"/>
    <cellStyle name="Percent 162" xfId="795"/>
    <cellStyle name="Percent 162 2" xfId="796"/>
    <cellStyle name="Percent 162 3" xfId="797"/>
    <cellStyle name="Percent 162 3 2" xfId="798"/>
    <cellStyle name="Percent 162 4" xfId="799"/>
    <cellStyle name="Percent 163" xfId="800"/>
    <cellStyle name="Percent 163 2" xfId="801"/>
    <cellStyle name="Percent 163 3" xfId="802"/>
    <cellStyle name="Percent 163 3 2" xfId="803"/>
    <cellStyle name="Percent 163 4" xfId="804"/>
    <cellStyle name="Percent 164" xfId="805"/>
    <cellStyle name="Percent 164 2" xfId="806"/>
    <cellStyle name="Percent 164 3" xfId="807"/>
    <cellStyle name="Percent 164 3 2" xfId="808"/>
    <cellStyle name="Percent 164 4" xfId="809"/>
    <cellStyle name="Percent 165" xfId="810"/>
    <cellStyle name="Percent 165 2" xfId="811"/>
    <cellStyle name="Percent 165 3" xfId="812"/>
    <cellStyle name="Percent 165 3 2" xfId="813"/>
    <cellStyle name="Percent 165 4" xfId="814"/>
    <cellStyle name="Percent 166" xfId="815"/>
    <cellStyle name="Percent 166 2" xfId="816"/>
    <cellStyle name="Percent 167" xfId="817"/>
    <cellStyle name="Percent 168" xfId="818"/>
    <cellStyle name="Percent 169" xfId="819"/>
    <cellStyle name="Percent 17" xfId="820"/>
    <cellStyle name="Percent 170" xfId="821"/>
    <cellStyle name="Percent 171" xfId="822"/>
    <cellStyle name="Percent 172" xfId="823"/>
    <cellStyle name="Percent 173" xfId="824"/>
    <cellStyle name="Percent 174" xfId="825"/>
    <cellStyle name="Percent 175" xfId="826"/>
    <cellStyle name="Percent 176" xfId="827"/>
    <cellStyle name="Percent 177" xfId="828"/>
    <cellStyle name="Percent 178" xfId="829"/>
    <cellStyle name="Percent 178 2" xfId="830"/>
    <cellStyle name="Percent 179" xfId="831"/>
    <cellStyle name="Percent 179 2" xfId="832"/>
    <cellStyle name="Percent 18" xfId="833"/>
    <cellStyle name="Percent 180" xfId="834"/>
    <cellStyle name="Percent 180 2" xfId="835"/>
    <cellStyle name="Percent 181" xfId="836"/>
    <cellStyle name="Percent 181 2" xfId="837"/>
    <cellStyle name="Percent 182" xfId="838"/>
    <cellStyle name="Percent 182 2" xfId="839"/>
    <cellStyle name="Percent 183" xfId="840"/>
    <cellStyle name="Percent 183 2" xfId="841"/>
    <cellStyle name="Percent 184" xfId="842"/>
    <cellStyle name="Percent 184 2" xfId="843"/>
    <cellStyle name="Percent 185" xfId="844"/>
    <cellStyle name="Percent 185 2" xfId="845"/>
    <cellStyle name="Percent 186" xfId="846"/>
    <cellStyle name="Percent 186 2" xfId="847"/>
    <cellStyle name="Percent 187" xfId="848"/>
    <cellStyle name="Percent 187 2" xfId="849"/>
    <cellStyle name="Percent 188" xfId="850"/>
    <cellStyle name="Percent 188 2" xfId="851"/>
    <cellStyle name="Percent 189" xfId="852"/>
    <cellStyle name="Percent 189 2" xfId="853"/>
    <cellStyle name="Percent 19" xfId="854"/>
    <cellStyle name="Percent 190" xfId="855"/>
    <cellStyle name="Percent 190 2" xfId="856"/>
    <cellStyle name="Percent 191" xfId="857"/>
    <cellStyle name="Percent 191 2" xfId="858"/>
    <cellStyle name="Percent 192" xfId="859"/>
    <cellStyle name="Percent 192 2" xfId="860"/>
    <cellStyle name="Percent 193" xfId="861"/>
    <cellStyle name="Percent 193 2" xfId="862"/>
    <cellStyle name="Percent 194" xfId="863"/>
    <cellStyle name="Percent 194 2" xfId="864"/>
    <cellStyle name="Percent 195" xfId="865"/>
    <cellStyle name="Percent 195 2" xfId="866"/>
    <cellStyle name="Percent 196" xfId="867"/>
    <cellStyle name="Percent 196 2" xfId="868"/>
    <cellStyle name="Percent 197" xfId="869"/>
    <cellStyle name="Percent 197 2" xfId="870"/>
    <cellStyle name="Percent 198" xfId="871"/>
    <cellStyle name="Percent 198 2" xfId="872"/>
    <cellStyle name="Percent 199" xfId="873"/>
    <cellStyle name="Percent 199 2" xfId="874"/>
    <cellStyle name="Percent 2" xfId="875"/>
    <cellStyle name="Percent 2 10" xfId="876"/>
    <cellStyle name="Percent 2 11" xfId="877"/>
    <cellStyle name="Percent 2 12" xfId="878"/>
    <cellStyle name="Percent 2 13" xfId="879"/>
    <cellStyle name="Percent 2 14" xfId="880"/>
    <cellStyle name="Percent 2 2" xfId="881"/>
    <cellStyle name="Percent 2 2 2" xfId="882"/>
    <cellStyle name="Percent 2 2 3" xfId="883"/>
    <cellStyle name="Percent 2 3" xfId="884"/>
    <cellStyle name="Percent 2 3 2" xfId="885"/>
    <cellStyle name="Percent 2 4" xfId="886"/>
    <cellStyle name="Percent 2 4 2" xfId="887"/>
    <cellStyle name="Percent 2 5" xfId="888"/>
    <cellStyle name="Percent 2 5 2" xfId="889"/>
    <cellStyle name="Percent 2 6" xfId="890"/>
    <cellStyle name="Percent 2 6 2" xfId="891"/>
    <cellStyle name="Percent 2 7" xfId="892"/>
    <cellStyle name="Percent 2 7 2" xfId="893"/>
    <cellStyle name="Percent 2 8" xfId="894"/>
    <cellStyle name="Percent 2 8 2" xfId="895"/>
    <cellStyle name="Percent 2 9" xfId="896"/>
    <cellStyle name="Percent 2 9 2" xfId="897"/>
    <cellStyle name="Percent 20" xfId="898"/>
    <cellStyle name="Percent 200" xfId="899"/>
    <cellStyle name="Percent 200 2" xfId="900"/>
    <cellStyle name="Percent 201" xfId="901"/>
    <cellStyle name="Percent 201 2" xfId="902"/>
    <cellStyle name="Percent 202" xfId="903"/>
    <cellStyle name="Percent 202 2" xfId="904"/>
    <cellStyle name="Percent 203" xfId="905"/>
    <cellStyle name="Percent 204" xfId="906"/>
    <cellStyle name="Percent 205" xfId="907"/>
    <cellStyle name="Percent 206" xfId="908"/>
    <cellStyle name="Percent 207" xfId="909"/>
    <cellStyle name="Percent 208" xfId="910"/>
    <cellStyle name="Percent 209" xfId="911"/>
    <cellStyle name="Percent 21" xfId="912"/>
    <cellStyle name="Percent 210" xfId="913"/>
    <cellStyle name="Percent 211" xfId="914"/>
    <cellStyle name="Percent 212" xfId="915"/>
    <cellStyle name="Percent 213" xfId="916"/>
    <cellStyle name="Percent 213 2" xfId="917"/>
    <cellStyle name="Percent 214" xfId="918"/>
    <cellStyle name="Percent 214 2" xfId="919"/>
    <cellStyle name="Percent 215" xfId="920"/>
    <cellStyle name="Percent 216" xfId="921"/>
    <cellStyle name="Percent 217" xfId="922"/>
    <cellStyle name="Percent 218" xfId="923"/>
    <cellStyle name="Percent 219" xfId="924"/>
    <cellStyle name="Percent 22" xfId="925"/>
    <cellStyle name="Percent 220" xfId="926"/>
    <cellStyle name="Percent 221" xfId="927"/>
    <cellStyle name="Percent 222" xfId="928"/>
    <cellStyle name="Percent 223" xfId="929"/>
    <cellStyle name="Percent 224" xfId="930"/>
    <cellStyle name="Percent 225" xfId="931"/>
    <cellStyle name="Percent 226" xfId="932"/>
    <cellStyle name="Percent 227" xfId="933"/>
    <cellStyle name="Percent 228" xfId="934"/>
    <cellStyle name="Percent 229" xfId="935"/>
    <cellStyle name="Percent 23" xfId="936"/>
    <cellStyle name="Percent 24" xfId="937"/>
    <cellStyle name="Percent 25" xfId="938"/>
    <cellStyle name="Percent 26" xfId="939"/>
    <cellStyle name="Percent 27" xfId="940"/>
    <cellStyle name="Percent 28" xfId="941"/>
    <cellStyle name="Percent 29" xfId="942"/>
    <cellStyle name="Percent 3" xfId="943"/>
    <cellStyle name="Percent 3 2" xfId="944"/>
    <cellStyle name="Percent 3 2 2" xfId="945"/>
    <cellStyle name="Percent 3 3" xfId="946"/>
    <cellStyle name="Percent 3 4" xfId="947"/>
    <cellStyle name="Percent 30" xfId="948"/>
    <cellStyle name="Percent 31" xfId="949"/>
    <cellStyle name="Percent 32" xfId="950"/>
    <cellStyle name="Percent 33" xfId="951"/>
    <cellStyle name="Percent 34" xfId="952"/>
    <cellStyle name="Percent 35" xfId="953"/>
    <cellStyle name="Percent 36" xfId="954"/>
    <cellStyle name="Percent 37" xfId="955"/>
    <cellStyle name="Percent 38" xfId="956"/>
    <cellStyle name="Percent 39" xfId="957"/>
    <cellStyle name="Percent 4" xfId="958"/>
    <cellStyle name="Percent 4 2" xfId="959"/>
    <cellStyle name="Percent 4 2 2" xfId="960"/>
    <cellStyle name="Percent 4 3" xfId="961"/>
    <cellStyle name="Percent 40" xfId="962"/>
    <cellStyle name="Percent 41" xfId="963"/>
    <cellStyle name="Percent 42" xfId="964"/>
    <cellStyle name="Percent 43" xfId="965"/>
    <cellStyle name="Percent 44" xfId="966"/>
    <cellStyle name="Percent 45" xfId="967"/>
    <cellStyle name="Percent 46" xfId="968"/>
    <cellStyle name="Percent 47" xfId="969"/>
    <cellStyle name="Percent 48" xfId="970"/>
    <cellStyle name="Percent 49" xfId="971"/>
    <cellStyle name="Percent 5" xfId="972"/>
    <cellStyle name="Percent 50" xfId="973"/>
    <cellStyle name="Percent 51" xfId="974"/>
    <cellStyle name="Percent 52" xfId="975"/>
    <cellStyle name="Percent 53" xfId="976"/>
    <cellStyle name="Percent 54" xfId="977"/>
    <cellStyle name="Percent 55" xfId="978"/>
    <cellStyle name="Percent 56" xfId="979"/>
    <cellStyle name="Percent 57" xfId="980"/>
    <cellStyle name="Percent 58" xfId="981"/>
    <cellStyle name="Percent 59" xfId="982"/>
    <cellStyle name="Percent 6" xfId="983"/>
    <cellStyle name="Percent 60" xfId="984"/>
    <cellStyle name="Percent 61" xfId="985"/>
    <cellStyle name="Percent 62" xfId="986"/>
    <cellStyle name="Percent 63" xfId="987"/>
    <cellStyle name="Percent 64" xfId="988"/>
    <cellStyle name="Percent 65" xfId="989"/>
    <cellStyle name="Percent 66" xfId="990"/>
    <cellStyle name="Percent 67" xfId="991"/>
    <cellStyle name="Percent 68" xfId="992"/>
    <cellStyle name="Percent 69" xfId="993"/>
    <cellStyle name="Percent 7" xfId="994"/>
    <cellStyle name="Percent 70" xfId="995"/>
    <cellStyle name="Percent 71" xfId="996"/>
    <cellStyle name="Percent 72" xfId="997"/>
    <cellStyle name="Percent 73" xfId="998"/>
    <cellStyle name="Percent 74" xfId="999"/>
    <cellStyle name="Percent 75" xfId="1000"/>
    <cellStyle name="Percent 76" xfId="1001"/>
    <cellStyle name="Percent 77" xfId="1002"/>
    <cellStyle name="Percent 78" xfId="1003"/>
    <cellStyle name="Percent 79" xfId="1004"/>
    <cellStyle name="Percent 8" xfId="1005"/>
    <cellStyle name="Percent 80" xfId="1006"/>
    <cellStyle name="Percent 81" xfId="1007"/>
    <cellStyle name="Percent 82" xfId="1008"/>
    <cellStyle name="Percent 83" xfId="1009"/>
    <cellStyle name="Percent 84" xfId="1010"/>
    <cellStyle name="Percent 85" xfId="1011"/>
    <cellStyle name="Percent 86" xfId="1012"/>
    <cellStyle name="Percent 87" xfId="1013"/>
    <cellStyle name="Percent 88" xfId="1014"/>
    <cellStyle name="Percent 89" xfId="1015"/>
    <cellStyle name="Percent 9" xfId="1016"/>
    <cellStyle name="Percent 90" xfId="1017"/>
    <cellStyle name="Percent 91" xfId="1018"/>
    <cellStyle name="Percent 92" xfId="1019"/>
    <cellStyle name="Percent 93" xfId="1020"/>
    <cellStyle name="Percent 94" xfId="1021"/>
    <cellStyle name="Percent 95" xfId="1022"/>
    <cellStyle name="Percent 96" xfId="1023"/>
    <cellStyle name="Percent 97" xfId="1024"/>
    <cellStyle name="Percent 98" xfId="1025"/>
    <cellStyle name="Percent 99" xfId="1026"/>
    <cellStyle name="Reset  - Style4" xfId="1027"/>
    <cellStyle name="S" xfId="1028"/>
    <cellStyle name="S by Region Pg 2" xfId="1029"/>
    <cellStyle name="SUBSC98" xfId="1030"/>
    <cellStyle name="Table  - Style5" xfId="1031"/>
    <cellStyle name="Title  - Style6" xfId="1032"/>
    <cellStyle name="Title 2" xfId="1033"/>
    <cellStyle name="Total 10" xfId="1034"/>
    <cellStyle name="Total 11" xfId="1035"/>
    <cellStyle name="Total 2" xfId="1036"/>
    <cellStyle name="Total 2 2" xfId="1037"/>
    <cellStyle name="Total 3" xfId="1038"/>
    <cellStyle name="Total 4" xfId="1039"/>
    <cellStyle name="Total 4 2" xfId="1040"/>
    <cellStyle name="Total 4 3" xfId="1041"/>
    <cellStyle name="Total 4 3 2" xfId="1042"/>
    <cellStyle name="Total 4 4" xfId="1043"/>
    <cellStyle name="Total 5" xfId="1044"/>
    <cellStyle name="Total 5 2" xfId="1045"/>
    <cellStyle name="Total 6" xfId="1046"/>
    <cellStyle name="Total 6 2" xfId="1047"/>
    <cellStyle name="Total 7" xfId="1048"/>
    <cellStyle name="Total 7 2" xfId="1049"/>
    <cellStyle name="Total 8" xfId="1050"/>
    <cellStyle name="Total 9" xfId="1051"/>
    <cellStyle name="TotCol - Style7" xfId="1052"/>
    <cellStyle name="TotRow - Style8" xfId="1053"/>
    <cellStyle name="Warning Text 2" xfId="1054"/>
    <cellStyle name="Обычный_Centr_0" xfId="10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C\Finance\Treasury%20and%20Risk%20Mgmt\Rates\Rate%20Filing\2011\Decision\LPP%20-%20Rate%20Riders%20V2.0%20(21%20Months%20Recover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P Rate Riders"/>
      <sheetName val="RRR Report"/>
      <sheetName val="Purchased Energy"/>
      <sheetName val="RRR - Num  of Customers"/>
      <sheetName val="2009 Rev from Vasan"/>
      <sheetName val="Sheet1"/>
    </sheetNames>
    <sheetDataSet>
      <sheetData sheetId="0"/>
      <sheetData sheetId="1" refreshError="1"/>
      <sheetData sheetId="2">
        <row r="13">
          <cell r="B13">
            <v>611357</v>
          </cell>
          <cell r="C13">
            <v>65883</v>
          </cell>
          <cell r="D13">
            <v>12444</v>
          </cell>
          <cell r="E13">
            <v>509</v>
          </cell>
          <cell r="F13">
            <v>47</v>
          </cell>
          <cell r="G13">
            <v>162476</v>
          </cell>
          <cell r="H13">
            <v>1131</v>
          </cell>
          <cell r="I13">
            <v>21472</v>
          </cell>
        </row>
      </sheetData>
      <sheetData sheetId="3" refreshError="1"/>
      <sheetData sheetId="4">
        <row r="24">
          <cell r="L24">
            <v>190840140.77937073</v>
          </cell>
        </row>
        <row r="25">
          <cell r="L25">
            <v>59527011.705451421</v>
          </cell>
        </row>
        <row r="26">
          <cell r="L26">
            <v>2427253.476487298</v>
          </cell>
        </row>
        <row r="27">
          <cell r="L27">
            <v>88065971.49180916</v>
          </cell>
        </row>
        <row r="28">
          <cell r="L28">
            <v>48964037.118703678</v>
          </cell>
        </row>
        <row r="29">
          <cell r="L29">
            <v>46765659.291986585</v>
          </cell>
        </row>
        <row r="30">
          <cell r="L30">
            <v>18843322.150540274</v>
          </cell>
        </row>
        <row r="31">
          <cell r="L31">
            <v>7500335.5960027575</v>
          </cell>
        </row>
        <row r="32">
          <cell r="L32">
            <v>1665310.4723773887</v>
          </cell>
        </row>
        <row r="33">
          <cell r="L33">
            <v>600296.22557497886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5" workbookViewId="0">
      <selection activeCell="C54" sqref="C54:C55"/>
    </sheetView>
  </sheetViews>
  <sheetFormatPr defaultRowHeight="15" x14ac:dyDescent="0.25"/>
  <cols>
    <col min="1" max="1" width="4.85546875" customWidth="1"/>
    <col min="2" max="2" width="50.42578125" customWidth="1"/>
    <col min="3" max="3" width="22" customWidth="1"/>
    <col min="4" max="4" width="22.42578125" customWidth="1"/>
    <col min="5" max="5" width="20.5703125" customWidth="1"/>
  </cols>
  <sheetData>
    <row r="1" spans="1:5" ht="15.75" x14ac:dyDescent="0.25">
      <c r="A1" s="593"/>
      <c r="B1" s="595" t="s">
        <v>336</v>
      </c>
      <c r="C1" s="609"/>
      <c r="D1" s="609"/>
      <c r="E1" s="609"/>
    </row>
    <row r="2" spans="1:5" ht="15.75" x14ac:dyDescent="0.25">
      <c r="A2" s="593"/>
      <c r="B2" s="591"/>
      <c r="C2" s="592"/>
      <c r="D2" s="592"/>
      <c r="E2" s="592"/>
    </row>
    <row r="3" spans="1:5" ht="15.75" x14ac:dyDescent="0.25">
      <c r="A3" s="593"/>
      <c r="B3" s="595" t="s">
        <v>321</v>
      </c>
      <c r="C3" s="592"/>
      <c r="D3" s="592"/>
      <c r="E3" s="592"/>
    </row>
    <row r="4" spans="1:5" ht="15.75" thickBot="1" x14ac:dyDescent="0.3">
      <c r="A4" s="593"/>
      <c r="B4" s="593" t="s">
        <v>109</v>
      </c>
      <c r="C4" s="593"/>
      <c r="D4" s="593"/>
      <c r="E4" s="593" t="s">
        <v>112</v>
      </c>
    </row>
    <row r="5" spans="1:5" ht="30" customHeight="1" thickBot="1" x14ac:dyDescent="0.3">
      <c r="A5" s="590"/>
      <c r="B5" s="596"/>
      <c r="C5" s="594"/>
      <c r="D5" s="594"/>
      <c r="E5" s="610" t="s">
        <v>322</v>
      </c>
    </row>
    <row r="6" spans="1:5" x14ac:dyDescent="0.25">
      <c r="A6" s="593">
        <v>1</v>
      </c>
      <c r="B6" s="599" t="s">
        <v>323</v>
      </c>
      <c r="C6" s="597">
        <v>2011</v>
      </c>
      <c r="D6" s="597">
        <v>2012</v>
      </c>
      <c r="E6" s="611">
        <v>2012</v>
      </c>
    </row>
    <row r="7" spans="1:5" x14ac:dyDescent="0.25">
      <c r="A7" s="593">
        <v>2</v>
      </c>
      <c r="B7" s="601"/>
      <c r="C7" s="600"/>
      <c r="D7" s="600"/>
      <c r="E7" s="612"/>
    </row>
    <row r="8" spans="1:5" x14ac:dyDescent="0.25">
      <c r="A8" s="593">
        <v>3</v>
      </c>
      <c r="B8" s="601" t="s">
        <v>324</v>
      </c>
      <c r="C8" s="602"/>
      <c r="D8" s="602"/>
      <c r="E8" s="613"/>
    </row>
    <row r="9" spans="1:5" x14ac:dyDescent="0.25">
      <c r="A9" s="593">
        <v>4</v>
      </c>
      <c r="B9" s="603" t="s">
        <v>325</v>
      </c>
      <c r="C9" s="604">
        <f>+'Residential '!D3+'Residential '!D4</f>
        <v>30.41</v>
      </c>
      <c r="D9" s="604">
        <f>+'Residential '!G3+'Residential '!G4</f>
        <v>30.716000000000001</v>
      </c>
      <c r="E9" s="614">
        <f>(+D9-C9)/C9</f>
        <v>1.0062479447550178E-2</v>
      </c>
    </row>
    <row r="10" spans="1:5" x14ac:dyDescent="0.25">
      <c r="A10" s="593">
        <v>5</v>
      </c>
      <c r="B10" s="603" t="s">
        <v>326</v>
      </c>
      <c r="C10" s="605">
        <f>SUM('Residential '!D5:D13)</f>
        <v>0.92</v>
      </c>
      <c r="D10" s="605">
        <f>SUM('Residential '!G5:G13)</f>
        <v>0.68</v>
      </c>
      <c r="E10" s="615">
        <f>(+D10-C10)/C10</f>
        <v>-0.2608695652173913</v>
      </c>
    </row>
    <row r="11" spans="1:5" x14ac:dyDescent="0.25">
      <c r="A11" s="593">
        <v>6</v>
      </c>
      <c r="B11" s="603" t="s">
        <v>327</v>
      </c>
      <c r="C11" s="606">
        <f>SUM(C9:C10)</f>
        <v>31.330000000000002</v>
      </c>
      <c r="D11" s="606">
        <f>SUM(D9:D10)</f>
        <v>31.396000000000001</v>
      </c>
      <c r="E11" s="614">
        <f>(+D11-C11)/C11</f>
        <v>2.1066070858601644E-3</v>
      </c>
    </row>
    <row r="12" spans="1:5" x14ac:dyDescent="0.25">
      <c r="A12" s="593">
        <v>7</v>
      </c>
      <c r="B12" s="603" t="s">
        <v>328</v>
      </c>
      <c r="C12" s="606">
        <f>+'Residential '!D35</f>
        <v>117.75031680000001</v>
      </c>
      <c r="D12" s="606">
        <f>+'Residential '!G35</f>
        <v>123.05203840000001</v>
      </c>
      <c r="E12" s="614">
        <f>(+D12-C12)/C12</f>
        <v>4.5025115380411505E-2</v>
      </c>
    </row>
    <row r="13" spans="1:5" x14ac:dyDescent="0.25">
      <c r="A13" s="593">
        <v>8</v>
      </c>
      <c r="B13" s="603"/>
      <c r="C13" s="606"/>
      <c r="D13" s="606"/>
      <c r="E13" s="613"/>
    </row>
    <row r="14" spans="1:5" x14ac:dyDescent="0.25">
      <c r="A14" s="593">
        <v>9</v>
      </c>
      <c r="B14" s="601" t="s">
        <v>329</v>
      </c>
      <c r="C14" s="606"/>
      <c r="D14" s="606"/>
      <c r="E14" s="613"/>
    </row>
    <row r="15" spans="1:5" x14ac:dyDescent="0.25">
      <c r="A15" s="593">
        <v>10</v>
      </c>
      <c r="B15" s="603" t="s">
        <v>325</v>
      </c>
      <c r="C15" s="604">
        <f>+'GS &lt; 50 kWh'!D3+'GS &lt; 50 kWh'!D4</f>
        <v>69.239999999999995</v>
      </c>
      <c r="D15" s="604">
        <f>+'GS &lt; 50 kWh'!G3+'GS &lt; 50 kWh'!G4</f>
        <v>70.17</v>
      </c>
      <c r="E15" s="614">
        <f>(+D15-C15)/C15</f>
        <v>1.3431542461005299E-2</v>
      </c>
    </row>
    <row r="16" spans="1:5" x14ac:dyDescent="0.25">
      <c r="A16" s="593">
        <v>11</v>
      </c>
      <c r="B16" s="603" t="s">
        <v>326</v>
      </c>
      <c r="C16" s="605">
        <f>SUM('GS &lt; 50 kWh'!D5:D13)</f>
        <v>1.37</v>
      </c>
      <c r="D16" s="605">
        <f>SUM('GS &lt; 50 kWh'!G5:G13)</f>
        <v>0.68</v>
      </c>
      <c r="E16" s="615">
        <f>(+D16-C16)/C16</f>
        <v>-0.5036496350364964</v>
      </c>
    </row>
    <row r="17" spans="1:5" x14ac:dyDescent="0.25">
      <c r="A17" s="593">
        <v>12</v>
      </c>
      <c r="B17" s="603" t="s">
        <v>327</v>
      </c>
      <c r="C17" s="606">
        <f>SUM(C15:C16)</f>
        <v>70.61</v>
      </c>
      <c r="D17" s="606">
        <f>SUM(D15:D16)</f>
        <v>70.850000000000009</v>
      </c>
      <c r="E17" s="614">
        <f>(+D17-C17)/C17</f>
        <v>3.3989519898032731E-3</v>
      </c>
    </row>
    <row r="18" spans="1:5" x14ac:dyDescent="0.25">
      <c r="A18" s="593">
        <v>13</v>
      </c>
      <c r="B18" s="603" t="s">
        <v>328</v>
      </c>
      <c r="C18" s="606">
        <f>+'GS &lt; 50 kWh'!D35</f>
        <v>294.52089599999999</v>
      </c>
      <c r="D18" s="606">
        <f>+'GS &lt; 50 kWh'!G35</f>
        <v>306.95843200000002</v>
      </c>
      <c r="E18" s="614">
        <f>(+D18-C18)/C18</f>
        <v>4.222972348963662E-2</v>
      </c>
    </row>
    <row r="19" spans="1:5" x14ac:dyDescent="0.25">
      <c r="A19" s="593">
        <v>14</v>
      </c>
      <c r="B19" s="601"/>
      <c r="C19" s="606"/>
      <c r="D19" s="606"/>
      <c r="E19" s="613"/>
    </row>
    <row r="20" spans="1:5" x14ac:dyDescent="0.25">
      <c r="A20" s="593">
        <v>15</v>
      </c>
      <c r="B20" s="601" t="s">
        <v>330</v>
      </c>
      <c r="C20" s="606"/>
      <c r="D20" s="606"/>
      <c r="E20" s="613"/>
    </row>
    <row r="21" spans="1:5" x14ac:dyDescent="0.25">
      <c r="A21" s="593">
        <v>16</v>
      </c>
      <c r="B21" s="603" t="s">
        <v>325</v>
      </c>
      <c r="C21" s="604">
        <f>+'GS &gt; 50 &lt; 1000'!D3+'GS &gt; 50 &lt; 1000'!D4</f>
        <v>2206.6527999999998</v>
      </c>
      <c r="D21" s="604">
        <f>+'GS &gt; 50 &lt; 1000'!G3+'GS &gt; 50 &lt; 1000'!G4</f>
        <v>2236.7860000000001</v>
      </c>
      <c r="E21" s="614">
        <f>(+D21-C21)/C21</f>
        <v>1.3655614512623019E-2</v>
      </c>
    </row>
    <row r="22" spans="1:5" x14ac:dyDescent="0.25">
      <c r="A22" s="593">
        <v>17</v>
      </c>
      <c r="B22" s="603" t="s">
        <v>326</v>
      </c>
      <c r="C22" s="605">
        <f>SUM('GS &gt; 50 &lt; 1000'!D5:D13)</f>
        <v>9.0499999999999989</v>
      </c>
      <c r="D22" s="605">
        <f>SUM('GS &gt; 50 &lt; 1000'!G5:G13)</f>
        <v>0.68</v>
      </c>
      <c r="E22" s="615">
        <f>(+D22-C22)/C22</f>
        <v>-0.92486187845303869</v>
      </c>
    </row>
    <row r="23" spans="1:5" x14ac:dyDescent="0.25">
      <c r="A23" s="593">
        <v>18</v>
      </c>
      <c r="B23" s="603" t="s">
        <v>327</v>
      </c>
      <c r="C23" s="606">
        <f>SUM(C21:C22)</f>
        <v>2215.7028</v>
      </c>
      <c r="D23" s="606">
        <f>SUM(D21:D22)</f>
        <v>2237.4659999999999</v>
      </c>
      <c r="E23" s="614">
        <f>(+D23-C23)/C23</f>
        <v>9.8222559451564845E-3</v>
      </c>
    </row>
    <row r="24" spans="1:5" x14ac:dyDescent="0.25">
      <c r="A24" s="593">
        <v>19</v>
      </c>
      <c r="B24" s="603" t="s">
        <v>328</v>
      </c>
      <c r="C24" s="606">
        <f>+'GS &gt; 50 &lt; 1000'!D35</f>
        <v>19398.191699999999</v>
      </c>
      <c r="D24" s="606">
        <f>+'GS &gt; 50 &lt; 1000'!G35</f>
        <v>19891.587299999999</v>
      </c>
      <c r="E24" s="614">
        <f>(+D24-C24)/C24</f>
        <v>2.543513372950118E-2</v>
      </c>
    </row>
    <row r="25" spans="1:5" x14ac:dyDescent="0.25">
      <c r="A25" s="593">
        <v>20</v>
      </c>
      <c r="B25" s="603"/>
      <c r="C25" s="606"/>
      <c r="D25" s="606"/>
      <c r="E25" s="613"/>
    </row>
    <row r="26" spans="1:5" x14ac:dyDescent="0.25">
      <c r="A26" s="593">
        <v>21</v>
      </c>
      <c r="B26" s="601" t="s">
        <v>331</v>
      </c>
      <c r="C26" s="606"/>
      <c r="D26" s="606"/>
      <c r="E26" s="613"/>
    </row>
    <row r="27" spans="1:5" x14ac:dyDescent="0.25">
      <c r="A27" s="593">
        <v>22</v>
      </c>
      <c r="B27" s="603" t="s">
        <v>325</v>
      </c>
      <c r="C27" s="604">
        <f>+'GS &gt; 1000 &lt; 5000'!D3+'GS &gt; 1000 &lt; 5000'!D4</f>
        <v>8598.0266000000011</v>
      </c>
      <c r="D27" s="604">
        <f>+'GS &gt; 1000 &lt; 5000'!G3+'GS &gt; 1000 &lt; 5000'!G4</f>
        <v>8715.4990000000016</v>
      </c>
      <c r="E27" s="614">
        <f>(+D27-C27)/C27</f>
        <v>1.3662716512182057E-2</v>
      </c>
    </row>
    <row r="28" spans="1:5" x14ac:dyDescent="0.25">
      <c r="A28" s="593">
        <v>23</v>
      </c>
      <c r="B28" s="603" t="s">
        <v>326</v>
      </c>
      <c r="C28" s="605">
        <f>SUM('GS &gt; 1000 &lt; 5000'!D5:D13)</f>
        <v>70.490000000000009</v>
      </c>
      <c r="D28" s="605">
        <f>SUM('GS &gt; 1000 &lt; 5000'!G5:G13)</f>
        <v>0.68</v>
      </c>
      <c r="E28" s="615">
        <f>(+D28-C28)/C28</f>
        <v>-0.99035324159455229</v>
      </c>
    </row>
    <row r="29" spans="1:5" x14ac:dyDescent="0.25">
      <c r="A29" s="593">
        <v>24</v>
      </c>
      <c r="B29" s="603" t="s">
        <v>327</v>
      </c>
      <c r="C29" s="606">
        <f>SUM(C27:C28)</f>
        <v>8668.5166000000008</v>
      </c>
      <c r="D29" s="606">
        <f>SUM(D27:D28)</f>
        <v>8716.1790000000019</v>
      </c>
      <c r="E29" s="614">
        <f>(+D29-C29)/C29</f>
        <v>5.4983340517570289E-3</v>
      </c>
    </row>
    <row r="30" spans="1:5" x14ac:dyDescent="0.25">
      <c r="A30" s="593">
        <v>25</v>
      </c>
      <c r="B30" s="603" t="s">
        <v>328</v>
      </c>
      <c r="C30" s="606">
        <f>+'GS &gt; 1000 &lt; 5000'!D35</f>
        <v>99117.960600000006</v>
      </c>
      <c r="D30" s="606">
        <f>+'GS &gt; 1000 &lt; 5000'!G35</f>
        <v>101116.62880000001</v>
      </c>
      <c r="E30" s="614">
        <f>(+D30-C30)/C30</f>
        <v>2.0164541198197331E-2</v>
      </c>
    </row>
    <row r="31" spans="1:5" x14ac:dyDescent="0.25">
      <c r="A31" s="593">
        <v>26</v>
      </c>
      <c r="B31" s="603"/>
      <c r="C31" s="606"/>
      <c r="D31" s="606"/>
      <c r="E31" s="613"/>
    </row>
    <row r="32" spans="1:5" x14ac:dyDescent="0.25">
      <c r="A32" s="593">
        <v>27</v>
      </c>
      <c r="B32" s="601" t="s">
        <v>332</v>
      </c>
      <c r="C32" s="606"/>
      <c r="D32" s="606"/>
      <c r="E32" s="613"/>
    </row>
    <row r="33" spans="1:5" x14ac:dyDescent="0.25">
      <c r="A33" s="593">
        <v>28</v>
      </c>
      <c r="B33" s="603" t="s">
        <v>325</v>
      </c>
      <c r="C33" s="604">
        <f>+LU!D3+LU!D4</f>
        <v>47731.930399999997</v>
      </c>
      <c r="D33" s="604">
        <f>+LU!G3+LU!G4</f>
        <v>48383.370199999998</v>
      </c>
      <c r="E33" s="614">
        <f>(+D33-C33)/C33</f>
        <v>1.3647882969342471E-2</v>
      </c>
    </row>
    <row r="34" spans="1:5" x14ac:dyDescent="0.25">
      <c r="A34" s="593">
        <v>29</v>
      </c>
      <c r="B34" s="603" t="s">
        <v>326</v>
      </c>
      <c r="C34" s="605">
        <f>SUM(LU!D5:D13)</f>
        <v>305.3</v>
      </c>
      <c r="D34" s="605">
        <f>SUM(LU!G5:G13)</f>
        <v>0.68</v>
      </c>
      <c r="E34" s="615">
        <f>(+D34-C34)/C34</f>
        <v>-0.99777268260727148</v>
      </c>
    </row>
    <row r="35" spans="1:5" x14ac:dyDescent="0.25">
      <c r="A35" s="593">
        <v>30</v>
      </c>
      <c r="B35" s="603" t="s">
        <v>327</v>
      </c>
      <c r="C35" s="606">
        <f>SUM(C33:C34)</f>
        <v>48037.2304</v>
      </c>
      <c r="D35" s="606">
        <f>SUM(D33:D34)</f>
        <v>48384.050199999998</v>
      </c>
      <c r="E35" s="614">
        <f>(+D35-C35)/C35</f>
        <v>7.2198125727081361E-3</v>
      </c>
    </row>
    <row r="36" spans="1:5" x14ac:dyDescent="0.25">
      <c r="A36" s="593">
        <v>31</v>
      </c>
      <c r="B36" s="603" t="s">
        <v>328</v>
      </c>
      <c r="C36" s="606">
        <f>+LU!D35</f>
        <v>551200.27709999995</v>
      </c>
      <c r="D36" s="606">
        <f>+LU!G35</f>
        <v>562748.18799999997</v>
      </c>
      <c r="E36" s="614">
        <f>(+D36-C36)/C36</f>
        <v>2.0950480940895772E-2</v>
      </c>
    </row>
    <row r="37" spans="1:5" x14ac:dyDescent="0.25">
      <c r="A37" s="593">
        <v>32</v>
      </c>
      <c r="B37" s="603"/>
      <c r="C37" s="606"/>
      <c r="D37" s="606"/>
      <c r="E37" s="613"/>
    </row>
    <row r="38" spans="1:5" x14ac:dyDescent="0.25">
      <c r="A38" s="593">
        <v>33</v>
      </c>
      <c r="B38" s="601" t="s">
        <v>333</v>
      </c>
      <c r="C38" s="606"/>
      <c r="D38" s="606"/>
      <c r="E38" s="613"/>
    </row>
    <row r="39" spans="1:5" x14ac:dyDescent="0.25">
      <c r="A39" s="593">
        <v>34</v>
      </c>
      <c r="B39" s="603" t="s">
        <v>325</v>
      </c>
      <c r="C39" s="604">
        <f>+'St Lights'!D3+'St Lights'!D4</f>
        <v>950866.6647885954</v>
      </c>
      <c r="D39" s="604">
        <f>+'St Lights'!G3+'St Lights'!G4</f>
        <v>964209.69310842</v>
      </c>
      <c r="E39" s="614">
        <f>(+D39-C39)/C39</f>
        <v>1.403249142485307E-2</v>
      </c>
    </row>
    <row r="40" spans="1:5" x14ac:dyDescent="0.25">
      <c r="A40" s="593">
        <v>35</v>
      </c>
      <c r="B40" s="603" t="s">
        <v>326</v>
      </c>
      <c r="C40" s="605">
        <f>SUM('St Lights'!D5:D11)</f>
        <v>6494.1366396490894</v>
      </c>
      <c r="D40" s="605">
        <f>SUM('St Lights'!G5:G11)</f>
        <v>0</v>
      </c>
      <c r="E40" s="615">
        <f>(+D40-C40)/C40</f>
        <v>-1</v>
      </c>
    </row>
    <row r="41" spans="1:5" x14ac:dyDescent="0.25">
      <c r="A41" s="593">
        <v>36</v>
      </c>
      <c r="B41" s="603" t="s">
        <v>327</v>
      </c>
      <c r="C41" s="606">
        <f>SUM(C39:C40)</f>
        <v>957360.80142824445</v>
      </c>
      <c r="D41" s="606">
        <f>SUM(D39:D40)</f>
        <v>964209.69310842</v>
      </c>
      <c r="E41" s="614">
        <f>(+D41-C41)/C41</f>
        <v>7.1539295007253222E-3</v>
      </c>
    </row>
    <row r="42" spans="1:5" x14ac:dyDescent="0.25">
      <c r="A42" s="593">
        <v>37</v>
      </c>
      <c r="B42" s="603" t="s">
        <v>328</v>
      </c>
      <c r="C42" s="606">
        <f>+'St Lights'!D33</f>
        <v>2039376.3128540446</v>
      </c>
      <c r="D42" s="606">
        <f>+'St Lights'!G33</f>
        <v>2183868.0365725528</v>
      </c>
      <c r="E42" s="614">
        <f>(+D42-C42)/C42</f>
        <v>7.0850937518390805E-2</v>
      </c>
    </row>
    <row r="43" spans="1:5" x14ac:dyDescent="0.25">
      <c r="A43" s="593">
        <v>38</v>
      </c>
      <c r="B43" s="603"/>
      <c r="C43" s="606"/>
      <c r="D43" s="606"/>
      <c r="E43" s="613"/>
    </row>
    <row r="44" spans="1:5" x14ac:dyDescent="0.25">
      <c r="A44" s="593">
        <v>39</v>
      </c>
      <c r="B44" s="601" t="s">
        <v>334</v>
      </c>
      <c r="C44" s="606"/>
      <c r="D44" s="606"/>
      <c r="E44" s="613"/>
    </row>
    <row r="45" spans="1:5" x14ac:dyDescent="0.25">
      <c r="A45" s="593">
        <v>40</v>
      </c>
      <c r="B45" s="603" t="s">
        <v>325</v>
      </c>
      <c r="C45" s="589">
        <f>+USL!D3+USL!D4+USL!D5</f>
        <v>27.485500000000002</v>
      </c>
      <c r="D45" s="604">
        <f>SUM(USL!G3:G5)</f>
        <v>27.864799999999999</v>
      </c>
      <c r="E45" s="614">
        <f>(+D45-C45)/C45</f>
        <v>1.3800003638281896E-2</v>
      </c>
    </row>
    <row r="46" spans="1:5" x14ac:dyDescent="0.25">
      <c r="A46" s="593">
        <v>41</v>
      </c>
      <c r="B46" s="603" t="s">
        <v>326</v>
      </c>
      <c r="C46" s="588">
        <f>SUM(USL!D6:D14)</f>
        <v>0.09</v>
      </c>
      <c r="D46" s="605">
        <f>SUM(USL!G6:G14)</f>
        <v>0</v>
      </c>
      <c r="E46" s="615">
        <f>(+D46-C46)/C46</f>
        <v>-1</v>
      </c>
    </row>
    <row r="47" spans="1:5" x14ac:dyDescent="0.25">
      <c r="A47" s="593">
        <v>42</v>
      </c>
      <c r="B47" s="603" t="s">
        <v>327</v>
      </c>
      <c r="C47" s="606">
        <f>SUM(C45:C46)</f>
        <v>27.575500000000002</v>
      </c>
      <c r="D47" s="606">
        <f>SUM(D45:D46)</f>
        <v>27.864799999999999</v>
      </c>
      <c r="E47" s="614">
        <f>(+D47-C47)/C47</f>
        <v>1.049119689579508E-2</v>
      </c>
    </row>
    <row r="48" spans="1:5" ht="15.75" thickBot="1" x14ac:dyDescent="0.3">
      <c r="A48" s="593">
        <v>43</v>
      </c>
      <c r="B48" s="608" t="s">
        <v>328</v>
      </c>
      <c r="C48" s="607">
        <f>+USL!D40</f>
        <v>64.018765680000001</v>
      </c>
      <c r="D48" s="607">
        <f>+USL!G40</f>
        <v>68.228079000000008</v>
      </c>
      <c r="E48" s="616">
        <f>(+D48-C48)/C48</f>
        <v>6.5751241456925361E-2</v>
      </c>
    </row>
    <row r="50" spans="2:2" x14ac:dyDescent="0.25">
      <c r="B50" s="598" t="s">
        <v>335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workbookViewId="0">
      <selection activeCell="A16" sqref="A16"/>
    </sheetView>
  </sheetViews>
  <sheetFormatPr defaultRowHeight="15" x14ac:dyDescent="0.25"/>
  <cols>
    <col min="1" max="1" width="49.42578125" style="1" customWidth="1"/>
    <col min="2" max="3" width="10.7109375" customWidth="1"/>
    <col min="4" max="4" width="10.42578125" customWidth="1"/>
    <col min="5" max="9" width="10.7109375" customWidth="1"/>
    <col min="10" max="10" width="9.140625" hidden="1" customWidth="1"/>
    <col min="11" max="11" width="8.85546875" hidden="1" customWidth="1"/>
    <col min="12" max="14" width="11.7109375" hidden="1" customWidth="1"/>
    <col min="15" max="16" width="9.140625" hidden="1" customWidth="1"/>
  </cols>
  <sheetData>
    <row r="1" spans="1:16" ht="15.75" thickBot="1" x14ac:dyDescent="0.3">
      <c r="A1" s="8" t="s">
        <v>390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5" t="s">
        <v>9</v>
      </c>
      <c r="P1" s="4"/>
    </row>
    <row r="2" spans="1:16" ht="15.75" thickBot="1" x14ac:dyDescent="0.3">
      <c r="A2" s="9"/>
      <c r="B2" s="11" t="s">
        <v>10</v>
      </c>
      <c r="C2" s="12" t="s">
        <v>11</v>
      </c>
      <c r="D2" s="12" t="s">
        <v>12</v>
      </c>
      <c r="E2" s="11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1" t="s">
        <v>10</v>
      </c>
      <c r="M2" s="12" t="s">
        <v>11</v>
      </c>
      <c r="N2" s="12" t="s">
        <v>12</v>
      </c>
      <c r="O2" s="12" t="s">
        <v>13</v>
      </c>
      <c r="P2" s="12" t="s">
        <v>14</v>
      </c>
    </row>
    <row r="3" spans="1:16" x14ac:dyDescent="0.25">
      <c r="A3" s="10" t="s">
        <v>105</v>
      </c>
      <c r="B3" s="48">
        <v>1</v>
      </c>
      <c r="C3" s="50">
        <v>4.84</v>
      </c>
      <c r="D3" s="28">
        <f t="shared" ref="D3:D14" si="0">+B3*C3</f>
        <v>4.84</v>
      </c>
      <c r="E3" s="48">
        <v>1</v>
      </c>
      <c r="F3" s="50">
        <f>+'2012 - 2014 (With Dead Band)'!U11</f>
        <v>4.91</v>
      </c>
      <c r="G3" s="28">
        <f>+E3*F3</f>
        <v>4.91</v>
      </c>
      <c r="H3" s="51">
        <f>+G3-D3</f>
        <v>7.0000000000000284E-2</v>
      </c>
      <c r="I3" s="14">
        <f t="shared" ref="I3:I11" si="1">IF(D3=0,"n/a",H3/D3)</f>
        <v>1.4462809917355431E-2</v>
      </c>
      <c r="J3" s="161"/>
      <c r="L3" s="48">
        <f>E3</f>
        <v>1</v>
      </c>
      <c r="M3" s="50">
        <f>F3</f>
        <v>4.91</v>
      </c>
      <c r="N3" s="28">
        <f>L3*M3</f>
        <v>4.91</v>
      </c>
      <c r="O3" s="51">
        <f>N3-D3</f>
        <v>7.0000000000000284E-2</v>
      </c>
      <c r="P3" s="14">
        <f t="shared" ref="P3:P14" si="2">IF(D3=0,"n/a",O3/D3)</f>
        <v>1.4462809917355431E-2</v>
      </c>
    </row>
    <row r="4" spans="1:16" x14ac:dyDescent="0.25">
      <c r="A4" s="10" t="s">
        <v>86</v>
      </c>
      <c r="B4" s="48">
        <v>1</v>
      </c>
      <c r="C4" s="50">
        <v>0.49</v>
      </c>
      <c r="D4" s="28">
        <f t="shared" si="0"/>
        <v>0.49</v>
      </c>
      <c r="E4" s="48">
        <v>1</v>
      </c>
      <c r="F4" s="50">
        <f>+'2012 - 2014 (With Dead Band)'!U12</f>
        <v>0.5</v>
      </c>
      <c r="G4" s="28">
        <f>+E4*F4</f>
        <v>0.5</v>
      </c>
      <c r="H4" s="51">
        <f>+G4-D4</f>
        <v>1.0000000000000009E-2</v>
      </c>
      <c r="I4" s="14">
        <f t="shared" si="1"/>
        <v>2.0408163265306142E-2</v>
      </c>
      <c r="J4" s="161"/>
      <c r="L4" s="48">
        <f t="shared" ref="L4:L39" si="3">E4</f>
        <v>1</v>
      </c>
      <c r="M4" s="50">
        <f t="shared" ref="M4:M11" si="4">F4</f>
        <v>0.5</v>
      </c>
      <c r="N4" s="28">
        <f t="shared" ref="N4:N39" si="5">L4*M4</f>
        <v>0.5</v>
      </c>
      <c r="O4" s="51">
        <f t="shared" ref="O4:O40" si="6">N4-D4</f>
        <v>1.0000000000000009E-2</v>
      </c>
      <c r="P4" s="14">
        <f t="shared" si="2"/>
        <v>2.0408163265306142E-2</v>
      </c>
    </row>
    <row r="5" spans="1:16" x14ac:dyDescent="0.25">
      <c r="A5" s="10" t="s">
        <v>0</v>
      </c>
      <c r="B5" s="60">
        <f>+B42</f>
        <v>365</v>
      </c>
      <c r="C5" s="30">
        <v>6.0699999999999997E-2</v>
      </c>
      <c r="D5" s="28">
        <f t="shared" si="0"/>
        <v>22.1555</v>
      </c>
      <c r="E5" s="60">
        <f>+B42</f>
        <v>365</v>
      </c>
      <c r="F5" s="30">
        <f>+'2012 - 2014 (With Dead Band)'!V11</f>
        <v>6.1519999999999998E-2</v>
      </c>
      <c r="G5" s="28">
        <f t="shared" ref="G5:G39" si="7">+E5*F5</f>
        <v>22.454799999999999</v>
      </c>
      <c r="H5" s="51">
        <f t="shared" ref="H5:H10" si="8">+G5-D5</f>
        <v>0.29929999999999879</v>
      </c>
      <c r="I5" s="14">
        <f t="shared" si="1"/>
        <v>1.3509060955518891E-2</v>
      </c>
      <c r="J5" s="178">
        <f>SUM(H3:H5)/SUM(D3:D5)</f>
        <v>1.3800003638281969E-2</v>
      </c>
      <c r="L5" s="48">
        <f t="shared" si="3"/>
        <v>365</v>
      </c>
      <c r="M5" s="30">
        <f t="shared" si="4"/>
        <v>6.1519999999999998E-2</v>
      </c>
      <c r="N5" s="28">
        <f t="shared" si="5"/>
        <v>22.454799999999999</v>
      </c>
      <c r="O5" s="51">
        <f t="shared" si="6"/>
        <v>0.29929999999999879</v>
      </c>
      <c r="P5" s="14">
        <f t="shared" si="2"/>
        <v>1.3509060955518891E-2</v>
      </c>
    </row>
    <row r="6" spans="1:16" x14ac:dyDescent="0.25">
      <c r="A6" s="10" t="s">
        <v>16</v>
      </c>
      <c r="B6" s="58">
        <v>0</v>
      </c>
      <c r="C6" s="30">
        <v>0</v>
      </c>
      <c r="D6" s="28">
        <f t="shared" si="0"/>
        <v>0</v>
      </c>
      <c r="E6" s="58">
        <v>0</v>
      </c>
      <c r="F6" s="30">
        <v>0</v>
      </c>
      <c r="G6" s="28">
        <f t="shared" si="7"/>
        <v>0</v>
      </c>
      <c r="H6" s="51">
        <f t="shared" si="8"/>
        <v>0</v>
      </c>
      <c r="I6" s="14" t="str">
        <f t="shared" si="1"/>
        <v>n/a</v>
      </c>
      <c r="L6" s="48">
        <f t="shared" si="3"/>
        <v>0</v>
      </c>
      <c r="M6" s="30">
        <f t="shared" si="4"/>
        <v>0</v>
      </c>
      <c r="N6" s="28">
        <f t="shared" si="5"/>
        <v>0</v>
      </c>
      <c r="O6" s="51">
        <f t="shared" si="6"/>
        <v>0</v>
      </c>
      <c r="P6" s="14" t="str">
        <f t="shared" si="2"/>
        <v>n/a</v>
      </c>
    </row>
    <row r="7" spans="1:16" x14ac:dyDescent="0.25">
      <c r="A7" s="10" t="s">
        <v>302</v>
      </c>
      <c r="B7" s="58">
        <v>0</v>
      </c>
      <c r="C7" s="30">
        <v>0</v>
      </c>
      <c r="D7" s="28">
        <f t="shared" si="0"/>
        <v>0</v>
      </c>
      <c r="E7" s="58">
        <v>0</v>
      </c>
      <c r="F7" s="30">
        <v>0</v>
      </c>
      <c r="G7" s="28">
        <f>+E7*F7</f>
        <v>0</v>
      </c>
      <c r="H7" s="51">
        <f t="shared" si="8"/>
        <v>0</v>
      </c>
      <c r="I7" s="14" t="str">
        <f t="shared" si="1"/>
        <v>n/a</v>
      </c>
      <c r="L7" s="48">
        <f t="shared" si="3"/>
        <v>0</v>
      </c>
      <c r="M7" s="30">
        <f t="shared" si="4"/>
        <v>0</v>
      </c>
      <c r="N7" s="28">
        <f t="shared" si="5"/>
        <v>0</v>
      </c>
      <c r="O7" s="51">
        <f t="shared" si="6"/>
        <v>0</v>
      </c>
      <c r="P7" s="14" t="str">
        <f t="shared" si="2"/>
        <v>n/a</v>
      </c>
    </row>
    <row r="8" spans="1:16" ht="15" customHeight="1" x14ac:dyDescent="0.25">
      <c r="A8" s="10" t="s">
        <v>98</v>
      </c>
      <c r="B8" s="58">
        <v>0</v>
      </c>
      <c r="C8" s="30">
        <v>0</v>
      </c>
      <c r="D8" s="28">
        <f t="shared" si="0"/>
        <v>0</v>
      </c>
      <c r="E8" s="58">
        <v>0</v>
      </c>
      <c r="F8" s="30">
        <f>+'2012 GA Rate Rider'!J17</f>
        <v>0</v>
      </c>
      <c r="G8" s="28">
        <f t="shared" si="7"/>
        <v>0</v>
      </c>
      <c r="H8" s="51">
        <v>0</v>
      </c>
      <c r="I8" s="14" t="str">
        <f t="shared" si="1"/>
        <v>n/a</v>
      </c>
      <c r="L8" s="48">
        <f t="shared" si="3"/>
        <v>0</v>
      </c>
      <c r="M8" s="30">
        <f t="shared" si="4"/>
        <v>0</v>
      </c>
      <c r="N8" s="43">
        <f t="shared" si="5"/>
        <v>0</v>
      </c>
      <c r="O8" s="51">
        <f t="shared" si="6"/>
        <v>0</v>
      </c>
      <c r="P8" s="14" t="str">
        <f t="shared" si="2"/>
        <v>n/a</v>
      </c>
    </row>
    <row r="9" spans="1:16" ht="15" customHeight="1" x14ac:dyDescent="0.25">
      <c r="A9" s="10" t="s">
        <v>182</v>
      </c>
      <c r="B9" s="58">
        <v>0</v>
      </c>
      <c r="C9" s="30">
        <v>0</v>
      </c>
      <c r="D9" s="28">
        <f t="shared" si="0"/>
        <v>0</v>
      </c>
      <c r="E9" s="48">
        <v>0</v>
      </c>
      <c r="F9" s="30">
        <v>0</v>
      </c>
      <c r="G9" s="28">
        <f t="shared" si="7"/>
        <v>0</v>
      </c>
      <c r="H9" s="51">
        <f>+G9-D9</f>
        <v>0</v>
      </c>
      <c r="I9" s="14" t="str">
        <f t="shared" si="1"/>
        <v>n/a</v>
      </c>
      <c r="L9" s="48">
        <f t="shared" si="3"/>
        <v>0</v>
      </c>
      <c r="M9" s="30">
        <f t="shared" si="4"/>
        <v>0</v>
      </c>
      <c r="N9" s="28">
        <f t="shared" si="5"/>
        <v>0</v>
      </c>
      <c r="O9" s="51">
        <f t="shared" si="6"/>
        <v>0</v>
      </c>
      <c r="P9" s="14" t="str">
        <f t="shared" si="2"/>
        <v>n/a</v>
      </c>
    </row>
    <row r="10" spans="1:16" x14ac:dyDescent="0.25">
      <c r="A10" s="10" t="s">
        <v>15</v>
      </c>
      <c r="B10" s="58">
        <v>0</v>
      </c>
      <c r="C10" s="30">
        <v>0</v>
      </c>
      <c r="D10" s="28">
        <f t="shared" si="0"/>
        <v>0</v>
      </c>
      <c r="E10" s="48">
        <v>0</v>
      </c>
      <c r="F10" s="30">
        <v>0</v>
      </c>
      <c r="G10" s="28">
        <f>+E10*F10</f>
        <v>0</v>
      </c>
      <c r="H10" s="51">
        <f t="shared" si="8"/>
        <v>0</v>
      </c>
      <c r="I10" s="14" t="str">
        <f t="shared" si="1"/>
        <v>n/a</v>
      </c>
      <c r="L10" s="60">
        <f t="shared" si="3"/>
        <v>0</v>
      </c>
      <c r="M10" s="82">
        <f t="shared" si="4"/>
        <v>0</v>
      </c>
      <c r="N10" s="70">
        <f t="shared" si="5"/>
        <v>0</v>
      </c>
      <c r="O10" s="51">
        <f t="shared" si="6"/>
        <v>0</v>
      </c>
      <c r="P10" s="14" t="str">
        <f t="shared" si="2"/>
        <v>n/a</v>
      </c>
    </row>
    <row r="11" spans="1:16" x14ac:dyDescent="0.25">
      <c r="A11" s="10" t="s">
        <v>229</v>
      </c>
      <c r="B11" s="60">
        <f>+C42</f>
        <v>1</v>
      </c>
      <c r="C11" s="50">
        <f>+'LPP Rate Riders'!K16</f>
        <v>0.09</v>
      </c>
      <c r="D11" s="28">
        <f t="shared" si="0"/>
        <v>0.09</v>
      </c>
      <c r="E11" s="48">
        <v>0</v>
      </c>
      <c r="F11" s="30">
        <v>0</v>
      </c>
      <c r="G11" s="28">
        <f>+E11*F11</f>
        <v>0</v>
      </c>
      <c r="H11" s="51">
        <f t="shared" ref="H11:H28" si="9">+G11-D11</f>
        <v>-0.09</v>
      </c>
      <c r="I11" s="14">
        <f t="shared" si="1"/>
        <v>-1</v>
      </c>
      <c r="L11" s="60">
        <f t="shared" si="3"/>
        <v>0</v>
      </c>
      <c r="M11" s="82">
        <f t="shared" si="4"/>
        <v>0</v>
      </c>
      <c r="N11" s="70">
        <f t="shared" si="5"/>
        <v>0</v>
      </c>
      <c r="O11" s="51">
        <f>N11-D11</f>
        <v>-0.09</v>
      </c>
      <c r="P11" s="14">
        <f t="shared" si="2"/>
        <v>-1</v>
      </c>
    </row>
    <row r="12" spans="1:16" x14ac:dyDescent="0.25">
      <c r="A12" s="10" t="s">
        <v>219</v>
      </c>
      <c r="B12" s="58">
        <v>0</v>
      </c>
      <c r="C12" s="30">
        <v>0</v>
      </c>
      <c r="D12" s="28">
        <f t="shared" si="0"/>
        <v>0</v>
      </c>
      <c r="E12" s="60">
        <v>0</v>
      </c>
      <c r="F12" s="30">
        <v>0</v>
      </c>
      <c r="G12" s="28">
        <f t="shared" si="7"/>
        <v>0</v>
      </c>
      <c r="H12" s="51">
        <f t="shared" si="9"/>
        <v>0</v>
      </c>
      <c r="I12" s="14" t="str">
        <f t="shared" ref="I12:I28" si="10">IF(D12=0,"n/a",H12/D12)</f>
        <v>n/a</v>
      </c>
      <c r="L12" s="60">
        <v>1</v>
      </c>
      <c r="M12" s="50">
        <f>'Foregone Rev Rate Rider'!I2</f>
        <v>-0.03</v>
      </c>
      <c r="N12" s="28">
        <f t="shared" si="5"/>
        <v>-0.03</v>
      </c>
      <c r="O12" s="51">
        <f t="shared" si="6"/>
        <v>-0.03</v>
      </c>
      <c r="P12" s="14" t="str">
        <f t="shared" si="2"/>
        <v>n/a</v>
      </c>
    </row>
    <row r="13" spans="1:16" ht="30" x14ac:dyDescent="0.25">
      <c r="A13" s="10" t="s">
        <v>220</v>
      </c>
      <c r="B13" s="58">
        <v>0</v>
      </c>
      <c r="C13" s="30">
        <v>0</v>
      </c>
      <c r="D13" s="28">
        <f t="shared" si="0"/>
        <v>0</v>
      </c>
      <c r="E13" s="60">
        <v>0</v>
      </c>
      <c r="F13" s="30">
        <v>0</v>
      </c>
      <c r="G13" s="28">
        <f t="shared" si="7"/>
        <v>0</v>
      </c>
      <c r="H13" s="51">
        <f t="shared" si="9"/>
        <v>0</v>
      </c>
      <c r="I13" s="14" t="str">
        <f t="shared" si="10"/>
        <v>n/a</v>
      </c>
      <c r="L13" s="60">
        <v>1</v>
      </c>
      <c r="M13" s="82">
        <f>'Foregone Rev Rate Rider'!I3</f>
        <v>0</v>
      </c>
      <c r="N13" s="28">
        <f t="shared" si="5"/>
        <v>0</v>
      </c>
      <c r="O13" s="51">
        <f>N13-D13</f>
        <v>0</v>
      </c>
      <c r="P13" s="14" t="str">
        <f t="shared" si="2"/>
        <v>n/a</v>
      </c>
    </row>
    <row r="14" spans="1:16" x14ac:dyDescent="0.25">
      <c r="A14" s="10" t="s">
        <v>218</v>
      </c>
      <c r="B14" s="58">
        <v>0</v>
      </c>
      <c r="C14" s="30">
        <v>0</v>
      </c>
      <c r="D14" s="28">
        <f t="shared" si="0"/>
        <v>0</v>
      </c>
      <c r="E14" s="48">
        <v>0</v>
      </c>
      <c r="F14" s="30">
        <v>0</v>
      </c>
      <c r="G14" s="28">
        <f t="shared" si="7"/>
        <v>0</v>
      </c>
      <c r="H14" s="51">
        <f t="shared" si="9"/>
        <v>0</v>
      </c>
      <c r="I14" s="14" t="str">
        <f t="shared" si="10"/>
        <v>n/a</v>
      </c>
      <c r="L14" s="48">
        <f>L9</f>
        <v>0</v>
      </c>
      <c r="M14" s="30">
        <f>'Foregone Rev Rate Rider'!I4</f>
        <v>-6.9999999999999994E-5</v>
      </c>
      <c r="N14" s="28">
        <f t="shared" si="5"/>
        <v>0</v>
      </c>
      <c r="O14" s="51">
        <f>N14-D14</f>
        <v>0</v>
      </c>
      <c r="P14" s="14" t="str">
        <f t="shared" si="2"/>
        <v>n/a</v>
      </c>
    </row>
    <row r="15" spans="1:16" x14ac:dyDescent="0.25">
      <c r="A15" s="998" t="s">
        <v>375</v>
      </c>
      <c r="B15" s="58">
        <v>0</v>
      </c>
      <c r="C15" s="30">
        <v>0</v>
      </c>
      <c r="D15" s="28">
        <f t="shared" ref="D15:D28" si="11">+B15*C15</f>
        <v>0</v>
      </c>
      <c r="E15" s="48">
        <f>+E3</f>
        <v>1</v>
      </c>
      <c r="F15" s="50">
        <f>+'2012 - 2014 (With Dead Band)'!W11</f>
        <v>0.17</v>
      </c>
      <c r="G15" s="28">
        <f t="shared" si="7"/>
        <v>0.17</v>
      </c>
      <c r="H15" s="51">
        <f t="shared" si="9"/>
        <v>0.17</v>
      </c>
      <c r="I15" s="14" t="str">
        <f t="shared" si="10"/>
        <v>n/a</v>
      </c>
      <c r="L15" s="48"/>
      <c r="M15" s="30"/>
      <c r="N15" s="28"/>
      <c r="O15" s="51"/>
      <c r="P15" s="14"/>
    </row>
    <row r="16" spans="1:16" x14ac:dyDescent="0.25">
      <c r="A16" s="998" t="s">
        <v>392</v>
      </c>
      <c r="B16" s="58">
        <v>0</v>
      </c>
      <c r="C16" s="30">
        <v>0</v>
      </c>
      <c r="D16" s="28">
        <f t="shared" si="11"/>
        <v>0</v>
      </c>
      <c r="E16" s="48">
        <f>+E4</f>
        <v>1</v>
      </c>
      <c r="F16" s="50">
        <f>+'2012 - 2014 (With Dead Band)'!W12</f>
        <v>0.02</v>
      </c>
      <c r="G16" s="28">
        <f t="shared" si="7"/>
        <v>0.02</v>
      </c>
      <c r="H16" s="51">
        <f t="shared" si="9"/>
        <v>0.02</v>
      </c>
      <c r="I16" s="14" t="str">
        <f t="shared" si="10"/>
        <v>n/a</v>
      </c>
      <c r="L16" s="48"/>
      <c r="M16" s="30"/>
      <c r="N16" s="28"/>
      <c r="O16" s="51"/>
      <c r="P16" s="14"/>
    </row>
    <row r="17" spans="1:16" x14ac:dyDescent="0.25">
      <c r="A17" s="998" t="str">
        <f>+'2012 - 2014 (With Dead Band)'!$X$3</f>
        <v>2011 Unfunded Capex Rate Rider - DVR</v>
      </c>
      <c r="B17" s="58">
        <v>0</v>
      </c>
      <c r="C17" s="30">
        <v>0</v>
      </c>
      <c r="D17" s="28">
        <f t="shared" si="11"/>
        <v>0</v>
      </c>
      <c r="E17" s="48">
        <f>+E5</f>
        <v>365</v>
      </c>
      <c r="F17" s="30">
        <f>+'2012 - 2014 (With Dead Band)'!X11</f>
        <v>2.1900000000000001E-3</v>
      </c>
      <c r="G17" s="28">
        <f t="shared" si="7"/>
        <v>0.79935</v>
      </c>
      <c r="H17" s="51">
        <f t="shared" si="9"/>
        <v>0.79935</v>
      </c>
      <c r="I17" s="14" t="str">
        <f t="shared" si="10"/>
        <v>n/a</v>
      </c>
      <c r="L17" s="48"/>
      <c r="M17" s="30"/>
      <c r="N17" s="28"/>
      <c r="O17" s="51"/>
      <c r="P17" s="14"/>
    </row>
    <row r="18" spans="1:16" x14ac:dyDescent="0.25">
      <c r="A18" s="998" t="s">
        <v>384</v>
      </c>
      <c r="B18" s="58">
        <v>0</v>
      </c>
      <c r="C18" s="30">
        <v>0</v>
      </c>
      <c r="D18" s="28">
        <f t="shared" si="11"/>
        <v>0</v>
      </c>
      <c r="E18" s="48">
        <f>+E17</f>
        <v>365</v>
      </c>
      <c r="F18" s="30">
        <f>+'2012 - 2014 (With Dead Band)'!Y11</f>
        <v>-1E-4</v>
      </c>
      <c r="G18" s="28">
        <f t="shared" si="7"/>
        <v>-3.6500000000000005E-2</v>
      </c>
      <c r="H18" s="51">
        <f t="shared" si="9"/>
        <v>-3.6500000000000005E-2</v>
      </c>
      <c r="I18" s="14" t="str">
        <f t="shared" si="10"/>
        <v>n/a</v>
      </c>
      <c r="L18" s="48"/>
      <c r="M18" s="30"/>
      <c r="N18" s="28"/>
      <c r="O18" s="51"/>
      <c r="P18" s="14"/>
    </row>
    <row r="19" spans="1:16" x14ac:dyDescent="0.25">
      <c r="A19" s="998" t="s">
        <v>413</v>
      </c>
      <c r="B19" s="58">
        <v>0</v>
      </c>
      <c r="C19" s="30">
        <v>0</v>
      </c>
      <c r="D19" s="28">
        <f>+B19*C19</f>
        <v>0</v>
      </c>
      <c r="E19" s="48">
        <f>+E15</f>
        <v>1</v>
      </c>
      <c r="F19" s="50">
        <f>+'2012 - 2014 (With Dead Band)'!AG11</f>
        <v>0.01</v>
      </c>
      <c r="G19" s="28">
        <f>+E19*F19</f>
        <v>0.01</v>
      </c>
      <c r="H19" s="51">
        <f t="shared" si="9"/>
        <v>0.01</v>
      </c>
      <c r="I19" s="14" t="str">
        <f t="shared" si="10"/>
        <v>n/a</v>
      </c>
      <c r="L19" s="48"/>
      <c r="M19" s="30"/>
      <c r="N19" s="28"/>
      <c r="O19" s="51"/>
      <c r="P19" s="14"/>
    </row>
    <row r="20" spans="1:16" x14ac:dyDescent="0.25">
      <c r="A20" s="998" t="s">
        <v>415</v>
      </c>
      <c r="B20" s="58">
        <v>0</v>
      </c>
      <c r="C20" s="30">
        <v>0</v>
      </c>
      <c r="D20" s="28">
        <f>+B20*C20</f>
        <v>0</v>
      </c>
      <c r="E20" s="48">
        <f>+E16</f>
        <v>1</v>
      </c>
      <c r="F20" s="30">
        <f>+'2012 - 2014 (With Dead Band)'!AG12</f>
        <v>0</v>
      </c>
      <c r="G20" s="28">
        <f>+E20*F20</f>
        <v>0</v>
      </c>
      <c r="H20" s="51">
        <f t="shared" si="9"/>
        <v>0</v>
      </c>
      <c r="I20" s="14" t="str">
        <f t="shared" si="10"/>
        <v>n/a</v>
      </c>
      <c r="L20" s="48"/>
      <c r="M20" s="30"/>
      <c r="N20" s="28"/>
      <c r="O20" s="51"/>
      <c r="P20" s="14"/>
    </row>
    <row r="21" spans="1:16" x14ac:dyDescent="0.25">
      <c r="A21" s="998" t="s">
        <v>414</v>
      </c>
      <c r="B21" s="58">
        <v>0</v>
      </c>
      <c r="C21" s="30">
        <v>0</v>
      </c>
      <c r="D21" s="28">
        <f>+B21*C21</f>
        <v>0</v>
      </c>
      <c r="E21" s="48">
        <f>+E17</f>
        <v>365</v>
      </c>
      <c r="F21" s="30">
        <f>+'2012 - 2014 (With Dead Band)'!AH11</f>
        <v>1.9000000000000001E-4</v>
      </c>
      <c r="G21" s="28">
        <f>+E21*F21</f>
        <v>6.9350000000000009E-2</v>
      </c>
      <c r="H21" s="51">
        <f t="shared" si="9"/>
        <v>6.9350000000000009E-2</v>
      </c>
      <c r="I21" s="14" t="str">
        <f t="shared" si="10"/>
        <v>n/a</v>
      </c>
      <c r="L21" s="48"/>
      <c r="M21" s="30"/>
      <c r="N21" s="28"/>
      <c r="O21" s="51"/>
      <c r="P21" s="14"/>
    </row>
    <row r="22" spans="1:16" x14ac:dyDescent="0.25">
      <c r="A22" s="998" t="str">
        <f>+'2012 - 2014 (With Dead Band)'!$Z$3</f>
        <v>2012 ICM Rate Adder - MFC</v>
      </c>
      <c r="B22" s="58">
        <v>0</v>
      </c>
      <c r="C22" s="30">
        <v>0</v>
      </c>
      <c r="D22" s="28">
        <f t="shared" si="11"/>
        <v>0</v>
      </c>
      <c r="E22" s="48">
        <f>+E15</f>
        <v>1</v>
      </c>
      <c r="F22" s="50">
        <f>+'2012 - 2014 (With Dead Band)'!Z11</f>
        <v>0.14000000000000001</v>
      </c>
      <c r="G22" s="28">
        <f t="shared" si="7"/>
        <v>0.14000000000000001</v>
      </c>
      <c r="H22" s="51">
        <f t="shared" si="9"/>
        <v>0.14000000000000001</v>
      </c>
      <c r="I22" s="14" t="str">
        <f t="shared" si="10"/>
        <v>n/a</v>
      </c>
      <c r="L22" s="48"/>
      <c r="M22" s="30"/>
      <c r="N22" s="28"/>
      <c r="O22" s="51"/>
      <c r="P22" s="14"/>
    </row>
    <row r="23" spans="1:16" x14ac:dyDescent="0.25">
      <c r="A23" s="998" t="s">
        <v>407</v>
      </c>
      <c r="B23" s="58">
        <v>0</v>
      </c>
      <c r="C23" s="30">
        <v>0</v>
      </c>
      <c r="D23" s="28">
        <f t="shared" si="11"/>
        <v>0</v>
      </c>
      <c r="E23" s="48">
        <f>+E4</f>
        <v>1</v>
      </c>
      <c r="F23" s="50">
        <f>+'2012 - 2014 (With Dead Band)'!Z12</f>
        <v>0.01</v>
      </c>
      <c r="G23" s="28">
        <f t="shared" si="7"/>
        <v>0.01</v>
      </c>
      <c r="H23" s="51">
        <f t="shared" si="9"/>
        <v>0.01</v>
      </c>
      <c r="I23" s="14" t="str">
        <f t="shared" si="10"/>
        <v>n/a</v>
      </c>
      <c r="L23" s="48"/>
      <c r="M23" s="30"/>
      <c r="N23" s="28"/>
      <c r="O23" s="51"/>
      <c r="P23" s="14"/>
    </row>
    <row r="24" spans="1:16" x14ac:dyDescent="0.25">
      <c r="A24" s="998" t="str">
        <f>+'2012 - 2014 (With Dead Band)'!$AA$3</f>
        <v>2012 ICM Rate Adder - DVR</v>
      </c>
      <c r="B24" s="58">
        <v>0</v>
      </c>
      <c r="C24" s="30">
        <v>0</v>
      </c>
      <c r="D24" s="28">
        <f t="shared" si="11"/>
        <v>0</v>
      </c>
      <c r="E24" s="48">
        <f>+E17</f>
        <v>365</v>
      </c>
      <c r="F24" s="30">
        <f>+'2012 - 2014 (With Dead Band)'!AA11</f>
        <v>1.74E-3</v>
      </c>
      <c r="G24" s="28">
        <f t="shared" si="7"/>
        <v>0.6351</v>
      </c>
      <c r="H24" s="51">
        <f t="shared" si="9"/>
        <v>0.6351</v>
      </c>
      <c r="I24" s="14" t="str">
        <f t="shared" si="10"/>
        <v>n/a</v>
      </c>
      <c r="L24" s="48"/>
      <c r="M24" s="30"/>
      <c r="N24" s="28"/>
      <c r="O24" s="51"/>
      <c r="P24" s="14"/>
    </row>
    <row r="25" spans="1:16" x14ac:dyDescent="0.25">
      <c r="A25" s="998" t="str">
        <f>+'2012 - 2014 (With Dead Band)'!AE3</f>
        <v>2013 ICM Rate Adder - MFC</v>
      </c>
      <c r="B25" s="58">
        <v>0</v>
      </c>
      <c r="C25" s="30">
        <v>0</v>
      </c>
      <c r="D25" s="28">
        <f>+B25*C25</f>
        <v>0</v>
      </c>
      <c r="E25" s="48">
        <f>+E22</f>
        <v>1</v>
      </c>
      <c r="F25" s="50">
        <f>+'2012 - 2014 (With Dead Band)'!AE11</f>
        <v>0.36</v>
      </c>
      <c r="G25" s="28">
        <f t="shared" si="7"/>
        <v>0.36</v>
      </c>
      <c r="H25" s="51">
        <f t="shared" si="9"/>
        <v>0.36</v>
      </c>
      <c r="I25" s="14" t="str">
        <f t="shared" si="10"/>
        <v>n/a</v>
      </c>
      <c r="L25" s="48"/>
      <c r="M25" s="30"/>
      <c r="N25" s="28"/>
      <c r="O25" s="51"/>
      <c r="P25" s="14"/>
    </row>
    <row r="26" spans="1:16" x14ac:dyDescent="0.25">
      <c r="A26" s="998" t="s">
        <v>408</v>
      </c>
      <c r="B26" s="58">
        <v>0</v>
      </c>
      <c r="C26" s="30">
        <v>0</v>
      </c>
      <c r="D26" s="28">
        <f>+B26*C26</f>
        <v>0</v>
      </c>
      <c r="E26" s="48">
        <f>+E23</f>
        <v>1</v>
      </c>
      <c r="F26" s="50">
        <f>+'2012 - 2014 (With Dead Band)'!AE12</f>
        <v>0.04</v>
      </c>
      <c r="G26" s="28">
        <f t="shared" si="7"/>
        <v>0.04</v>
      </c>
      <c r="H26" s="51">
        <f t="shared" si="9"/>
        <v>0.04</v>
      </c>
      <c r="I26" s="14" t="str">
        <f t="shared" si="10"/>
        <v>n/a</v>
      </c>
      <c r="L26" s="48"/>
      <c r="M26" s="30"/>
      <c r="N26" s="28"/>
      <c r="O26" s="51"/>
      <c r="P26" s="14"/>
    </row>
    <row r="27" spans="1:16" x14ac:dyDescent="0.25">
      <c r="A27" s="998" t="str">
        <f>+'2012 - 2014 (With Dead Band)'!AF3</f>
        <v>2013 ICM Rate Adder - DVR</v>
      </c>
      <c r="B27" s="58">
        <v>0</v>
      </c>
      <c r="C27" s="30">
        <v>0</v>
      </c>
      <c r="D27" s="28">
        <f>+B27*C27</f>
        <v>0</v>
      </c>
      <c r="E27" s="48">
        <f>+E24</f>
        <v>365</v>
      </c>
      <c r="F27" s="30">
        <f>+'2012 - 2014 (With Dead Band)'!AF11</f>
        <v>4.5799999999999999E-3</v>
      </c>
      <c r="G27" s="28">
        <f t="shared" si="7"/>
        <v>1.6717</v>
      </c>
      <c r="H27" s="51">
        <f t="shared" si="9"/>
        <v>1.6717</v>
      </c>
      <c r="I27" s="14" t="str">
        <f t="shared" si="10"/>
        <v>n/a</v>
      </c>
      <c r="L27" s="48"/>
      <c r="M27" s="30"/>
      <c r="N27" s="28"/>
      <c r="O27" s="51"/>
      <c r="P27" s="14"/>
    </row>
    <row r="28" spans="1:16" x14ac:dyDescent="0.25">
      <c r="A28" s="998" t="str">
        <f>+'2012 - 2014 (With Dead Band)'!$AD$3</f>
        <v>Deferral/Variance Account Rate Rider</v>
      </c>
      <c r="B28" s="58">
        <v>0</v>
      </c>
      <c r="C28" s="30">
        <v>0</v>
      </c>
      <c r="D28" s="28">
        <f t="shared" si="11"/>
        <v>0</v>
      </c>
      <c r="E28" s="48">
        <f>+E24</f>
        <v>365</v>
      </c>
      <c r="F28" s="30">
        <f>+'2012 - 2014 (With Dead Band)'!AD11</f>
        <v>-8.8000000000000003E-4</v>
      </c>
      <c r="G28" s="28">
        <f t="shared" si="7"/>
        <v>-0.32119999999999999</v>
      </c>
      <c r="H28" s="51">
        <f t="shared" si="9"/>
        <v>-0.32119999999999999</v>
      </c>
      <c r="I28" s="14" t="str">
        <f t="shared" si="10"/>
        <v>n/a</v>
      </c>
      <c r="L28" s="48"/>
      <c r="M28" s="30"/>
      <c r="N28" s="28"/>
      <c r="O28" s="51"/>
      <c r="P28" s="14"/>
    </row>
    <row r="29" spans="1:16" x14ac:dyDescent="0.25">
      <c r="A29" s="6" t="s">
        <v>1</v>
      </c>
      <c r="B29" s="59"/>
      <c r="C29" s="44"/>
      <c r="D29" s="54">
        <f>SUM(D3:D28)</f>
        <v>27.575500000000002</v>
      </c>
      <c r="E29" s="59"/>
      <c r="F29" s="44"/>
      <c r="G29" s="54">
        <f>SUM(G3:G28)</f>
        <v>31.432600000000004</v>
      </c>
      <c r="H29" s="57">
        <f>SUM(H3:H28)</f>
        <v>3.8570999999999991</v>
      </c>
      <c r="I29" s="15">
        <f>+H29/D29</f>
        <v>0.1398741636597704</v>
      </c>
      <c r="J29" s="161"/>
      <c r="L29" s="49">
        <f t="shared" si="3"/>
        <v>0</v>
      </c>
      <c r="M29" s="44"/>
      <c r="N29" s="54">
        <f>SUM(N3:N13)</f>
        <v>27.834799999999998</v>
      </c>
      <c r="O29" s="57">
        <f t="shared" si="6"/>
        <v>0.25929999999999609</v>
      </c>
      <c r="P29" s="15">
        <f>O29/D29</f>
        <v>9.403274645971826E-3</v>
      </c>
    </row>
    <row r="30" spans="1:16" x14ac:dyDescent="0.25">
      <c r="A30" s="10" t="s">
        <v>2</v>
      </c>
      <c r="B30" s="60">
        <f>+$B$42*B43</f>
        <v>378.72400000000005</v>
      </c>
      <c r="C30" s="42">
        <v>4.28E-3</v>
      </c>
      <c r="D30" s="28">
        <f>+B30*C30</f>
        <v>1.6209387200000003</v>
      </c>
      <c r="E30" s="60">
        <f>+B30</f>
        <v>378.72400000000005</v>
      </c>
      <c r="F30" s="42">
        <f>+'2012 - 2014 (With Dead Band)'!AB11</f>
        <v>4.9100000000000003E-3</v>
      </c>
      <c r="G30" s="28">
        <f t="shared" si="7"/>
        <v>1.8595348400000002</v>
      </c>
      <c r="H30" s="51">
        <f>+G30-D30</f>
        <v>0.23859611999999997</v>
      </c>
      <c r="I30" s="13">
        <f>+H30/D30</f>
        <v>0.14719626168224295</v>
      </c>
      <c r="L30" s="60">
        <f t="shared" si="3"/>
        <v>378.72400000000005</v>
      </c>
      <c r="M30" s="42">
        <f>F30</f>
        <v>4.9100000000000003E-3</v>
      </c>
      <c r="N30" s="28">
        <f t="shared" si="5"/>
        <v>1.8595348400000002</v>
      </c>
      <c r="O30" s="51">
        <f t="shared" si="6"/>
        <v>0.23859611999999997</v>
      </c>
      <c r="P30" s="13">
        <f>O30/D30</f>
        <v>0.14719626168224295</v>
      </c>
    </row>
    <row r="31" spans="1:16" x14ac:dyDescent="0.25">
      <c r="A31" s="10" t="s">
        <v>3</v>
      </c>
      <c r="B31" s="60">
        <f>+$B$42*B43</f>
        <v>378.72400000000005</v>
      </c>
      <c r="C31" s="42">
        <v>3.2399999999999998E-3</v>
      </c>
      <c r="D31" s="28">
        <f>+B31*C31</f>
        <v>1.2270657600000001</v>
      </c>
      <c r="E31" s="60">
        <f>+B31</f>
        <v>378.72400000000005</v>
      </c>
      <c r="F31" s="42">
        <f>+'2012 - 2014 (With Dead Band)'!AC11</f>
        <v>3.5400000000000002E-3</v>
      </c>
      <c r="G31" s="28">
        <f t="shared" si="7"/>
        <v>1.3406829600000003</v>
      </c>
      <c r="H31" s="51">
        <f>+G31-D31</f>
        <v>0.1136172000000002</v>
      </c>
      <c r="I31" s="13">
        <f>+H31/D31</f>
        <v>9.259259259259274E-2</v>
      </c>
      <c r="L31" s="60">
        <f t="shared" si="3"/>
        <v>378.72400000000005</v>
      </c>
      <c r="M31" s="42">
        <f>F31</f>
        <v>3.5400000000000002E-3</v>
      </c>
      <c r="N31" s="28">
        <f t="shared" si="5"/>
        <v>1.3406829600000003</v>
      </c>
      <c r="O31" s="51">
        <f t="shared" si="6"/>
        <v>0.1136172000000002</v>
      </c>
      <c r="P31" s="13">
        <f>O31/D31</f>
        <v>9.259259259259274E-2</v>
      </c>
    </row>
    <row r="32" spans="1:16" x14ac:dyDescent="0.25">
      <c r="A32" s="6" t="s">
        <v>4</v>
      </c>
      <c r="B32" s="61"/>
      <c r="C32" s="44"/>
      <c r="D32" s="54">
        <f>SUM(D29:D31)</f>
        <v>30.423504480000002</v>
      </c>
      <c r="E32" s="46"/>
      <c r="F32" s="44"/>
      <c r="G32" s="54">
        <f>SUM(G29:G31)</f>
        <v>34.632817800000005</v>
      </c>
      <c r="H32" s="57">
        <f>+G32-D32</f>
        <v>4.2093133200000032</v>
      </c>
      <c r="I32" s="15">
        <f>+H32/D32</f>
        <v>0.13835727973965486</v>
      </c>
      <c r="L32" s="61">
        <f t="shared" si="3"/>
        <v>0</v>
      </c>
      <c r="M32" s="44"/>
      <c r="N32" s="54">
        <f>SUM(N29:N31)</f>
        <v>31.035017799999995</v>
      </c>
      <c r="O32" s="57">
        <f t="shared" si="6"/>
        <v>0.61151331999999314</v>
      </c>
      <c r="P32" s="15">
        <f>O32/D32</f>
        <v>2.0100028923426414E-2</v>
      </c>
    </row>
    <row r="33" spans="1:16" x14ac:dyDescent="0.25">
      <c r="A33" s="10" t="s">
        <v>5</v>
      </c>
      <c r="B33" s="60">
        <f>+$B$42*B43</f>
        <v>378.72400000000005</v>
      </c>
      <c r="C33" s="52">
        <v>5.1999999999999998E-3</v>
      </c>
      <c r="D33" s="28">
        <f t="shared" ref="D33:D39" si="12">+B33*C33</f>
        <v>1.9693648000000001</v>
      </c>
      <c r="E33" s="48">
        <f>+B33</f>
        <v>378.72400000000005</v>
      </c>
      <c r="F33" s="52">
        <f t="shared" ref="F33:F39" si="13">+C33</f>
        <v>5.1999999999999998E-3</v>
      </c>
      <c r="G33" s="28">
        <f t="shared" si="7"/>
        <v>1.9693648000000001</v>
      </c>
      <c r="H33" s="51">
        <f t="shared" ref="H33:H39" si="14">+G33-D33</f>
        <v>0</v>
      </c>
      <c r="I33" s="14">
        <f t="shared" ref="I33:I39" si="15">IF(D33=0,"n/a",H33/D33)</f>
        <v>0</v>
      </c>
      <c r="L33" s="60">
        <f t="shared" si="3"/>
        <v>378.72400000000005</v>
      </c>
      <c r="M33" s="52">
        <f t="shared" ref="M33:M39" si="16">F33</f>
        <v>5.1999999999999998E-3</v>
      </c>
      <c r="N33" s="179">
        <f t="shared" si="5"/>
        <v>1.9693648000000001</v>
      </c>
      <c r="O33" s="51">
        <f t="shared" si="6"/>
        <v>0</v>
      </c>
      <c r="P33" s="14">
        <f t="shared" ref="P33:P39" si="17">IF(D33=0,"n/a",O33/D33)</f>
        <v>0</v>
      </c>
    </row>
    <row r="34" spans="1:16" x14ac:dyDescent="0.25">
      <c r="A34" s="10" t="s">
        <v>6</v>
      </c>
      <c r="B34" s="60">
        <f>+$B$42*B43</f>
        <v>378.72400000000005</v>
      </c>
      <c r="C34" s="52">
        <v>1.1000000000000001E-3</v>
      </c>
      <c r="D34" s="28">
        <f t="shared" si="12"/>
        <v>0.41659640000000009</v>
      </c>
      <c r="E34" s="48">
        <f>+B34</f>
        <v>378.72400000000005</v>
      </c>
      <c r="F34" s="52">
        <f t="shared" si="13"/>
        <v>1.1000000000000001E-3</v>
      </c>
      <c r="G34" s="28">
        <f t="shared" si="7"/>
        <v>0.41659640000000009</v>
      </c>
      <c r="H34" s="51">
        <f t="shared" si="14"/>
        <v>0</v>
      </c>
      <c r="I34" s="14">
        <f t="shared" si="15"/>
        <v>0</v>
      </c>
      <c r="L34" s="60">
        <f t="shared" si="3"/>
        <v>378.72400000000005</v>
      </c>
      <c r="M34" s="52">
        <f t="shared" si="16"/>
        <v>1.1000000000000001E-3</v>
      </c>
      <c r="N34" s="179">
        <f t="shared" si="5"/>
        <v>0.41659640000000009</v>
      </c>
      <c r="O34" s="51">
        <f t="shared" si="6"/>
        <v>0</v>
      </c>
      <c r="P34" s="14">
        <f t="shared" si="17"/>
        <v>0</v>
      </c>
    </row>
    <row r="35" spans="1:16" x14ac:dyDescent="0.25">
      <c r="A35" s="10" t="s">
        <v>7</v>
      </c>
      <c r="B35" s="60">
        <f>+B42</f>
        <v>365</v>
      </c>
      <c r="C35" s="52">
        <v>7.0000000000000001E-3</v>
      </c>
      <c r="D35" s="28">
        <f t="shared" si="12"/>
        <v>2.5550000000000002</v>
      </c>
      <c r="E35" s="48">
        <f>+B35</f>
        <v>365</v>
      </c>
      <c r="F35" s="52">
        <f>+C35</f>
        <v>7.0000000000000001E-3</v>
      </c>
      <c r="G35" s="28">
        <f t="shared" si="7"/>
        <v>2.5550000000000002</v>
      </c>
      <c r="H35" s="51">
        <f>+G35-D35</f>
        <v>0</v>
      </c>
      <c r="I35" s="14">
        <f t="shared" si="15"/>
        <v>0</v>
      </c>
      <c r="L35" s="60">
        <f t="shared" si="3"/>
        <v>365</v>
      </c>
      <c r="M35" s="52">
        <f t="shared" si="16"/>
        <v>7.0000000000000001E-3</v>
      </c>
      <c r="N35" s="179">
        <f t="shared" si="5"/>
        <v>2.5550000000000002</v>
      </c>
      <c r="O35" s="51">
        <f t="shared" si="6"/>
        <v>0</v>
      </c>
      <c r="P35" s="14">
        <f t="shared" si="17"/>
        <v>0</v>
      </c>
    </row>
    <row r="36" spans="1:16" x14ac:dyDescent="0.25">
      <c r="A36" s="10" t="s">
        <v>19</v>
      </c>
      <c r="B36" s="229">
        <v>1</v>
      </c>
      <c r="C36" s="51">
        <v>0.25</v>
      </c>
      <c r="D36" s="28">
        <f t="shared" si="12"/>
        <v>0.25</v>
      </c>
      <c r="E36" s="48">
        <f>+B36</f>
        <v>1</v>
      </c>
      <c r="F36" s="52">
        <f t="shared" si="13"/>
        <v>0.25</v>
      </c>
      <c r="G36" s="28">
        <f t="shared" si="7"/>
        <v>0.25</v>
      </c>
      <c r="H36" s="51">
        <f>+G36-D36</f>
        <v>0</v>
      </c>
      <c r="I36" s="14">
        <f t="shared" si="15"/>
        <v>0</v>
      </c>
      <c r="L36" s="229">
        <f t="shared" si="3"/>
        <v>1</v>
      </c>
      <c r="M36" s="51">
        <f t="shared" si="16"/>
        <v>0.25</v>
      </c>
      <c r="N36" s="179">
        <f t="shared" si="5"/>
        <v>0.25</v>
      </c>
      <c r="O36" s="51">
        <f t="shared" si="6"/>
        <v>0</v>
      </c>
      <c r="P36" s="14">
        <f t="shared" si="17"/>
        <v>0</v>
      </c>
    </row>
    <row r="37" spans="1:16" x14ac:dyDescent="0.25">
      <c r="A37" s="10" t="s">
        <v>108</v>
      </c>
      <c r="B37" s="229">
        <v>0</v>
      </c>
      <c r="C37" s="42">
        <v>0</v>
      </c>
      <c r="D37" s="70">
        <f t="shared" si="12"/>
        <v>0</v>
      </c>
      <c r="E37" s="229">
        <v>0</v>
      </c>
      <c r="F37" s="42">
        <v>0</v>
      </c>
      <c r="G37" s="70">
        <f t="shared" si="7"/>
        <v>0</v>
      </c>
      <c r="H37" s="71">
        <f>+G37-D37</f>
        <v>0</v>
      </c>
      <c r="I37" s="14" t="str">
        <f t="shared" si="15"/>
        <v>n/a</v>
      </c>
      <c r="L37" s="60">
        <f t="shared" si="3"/>
        <v>0</v>
      </c>
      <c r="M37" s="42">
        <f t="shared" si="16"/>
        <v>0</v>
      </c>
      <c r="N37" s="180">
        <f t="shared" si="5"/>
        <v>0</v>
      </c>
      <c r="O37" s="71">
        <f t="shared" si="6"/>
        <v>0</v>
      </c>
      <c r="P37" s="14" t="str">
        <f t="shared" si="17"/>
        <v>n/a</v>
      </c>
    </row>
    <row r="38" spans="1:16" x14ac:dyDescent="0.25">
      <c r="A38" s="10" t="s">
        <v>212</v>
      </c>
      <c r="B38" s="60">
        <f>+B42*B43</f>
        <v>378.72400000000005</v>
      </c>
      <c r="C38" s="245">
        <v>7.4999999999999997E-2</v>
      </c>
      <c r="D38" s="28">
        <f t="shared" si="12"/>
        <v>28.404300000000003</v>
      </c>
      <c r="E38" s="526">
        <f>+B38</f>
        <v>378.72400000000005</v>
      </c>
      <c r="F38" s="245">
        <f t="shared" si="13"/>
        <v>7.4999999999999997E-2</v>
      </c>
      <c r="G38" s="28">
        <f t="shared" si="7"/>
        <v>28.404300000000003</v>
      </c>
      <c r="H38" s="51">
        <f t="shared" si="14"/>
        <v>0</v>
      </c>
      <c r="I38" s="14">
        <f t="shared" si="15"/>
        <v>0</v>
      </c>
      <c r="L38" s="60">
        <f t="shared" si="3"/>
        <v>378.72400000000005</v>
      </c>
      <c r="M38" s="245">
        <f t="shared" si="16"/>
        <v>7.4999999999999997E-2</v>
      </c>
      <c r="N38" s="179">
        <f t="shared" si="5"/>
        <v>28.404300000000003</v>
      </c>
      <c r="O38" s="51">
        <f t="shared" si="6"/>
        <v>0</v>
      </c>
      <c r="P38" s="14">
        <f t="shared" si="17"/>
        <v>0</v>
      </c>
    </row>
    <row r="39" spans="1:16" x14ac:dyDescent="0.25">
      <c r="A39" s="10" t="s">
        <v>213</v>
      </c>
      <c r="B39" s="229">
        <v>0</v>
      </c>
      <c r="C39" s="245">
        <v>8.7999999999999995E-2</v>
      </c>
      <c r="D39" s="28">
        <f t="shared" si="12"/>
        <v>0</v>
      </c>
      <c r="E39" s="29">
        <f>+B39</f>
        <v>0</v>
      </c>
      <c r="F39" s="245">
        <f t="shared" si="13"/>
        <v>8.7999999999999995E-2</v>
      </c>
      <c r="G39" s="28">
        <f t="shared" si="7"/>
        <v>0</v>
      </c>
      <c r="H39" s="51">
        <f t="shared" si="14"/>
        <v>0</v>
      </c>
      <c r="I39" s="14" t="str">
        <f t="shared" si="15"/>
        <v>n/a</v>
      </c>
      <c r="L39" s="229">
        <f t="shared" si="3"/>
        <v>0</v>
      </c>
      <c r="M39" s="245">
        <f t="shared" si="16"/>
        <v>8.7999999999999995E-2</v>
      </c>
      <c r="N39" s="179">
        <f t="shared" si="5"/>
        <v>0</v>
      </c>
      <c r="O39" s="51">
        <f t="shared" si="6"/>
        <v>0</v>
      </c>
      <c r="P39" s="14" t="str">
        <f t="shared" si="17"/>
        <v>n/a</v>
      </c>
    </row>
    <row r="40" spans="1:16" ht="15.75" thickBot="1" x14ac:dyDescent="0.3">
      <c r="A40" s="7" t="s">
        <v>8</v>
      </c>
      <c r="B40" s="47"/>
      <c r="C40" s="45"/>
      <c r="D40" s="55">
        <f>SUM(D32:D39)</f>
        <v>64.018765680000001</v>
      </c>
      <c r="E40" s="47"/>
      <c r="F40" s="56"/>
      <c r="G40" s="55">
        <f>SUM(G32:G39)</f>
        <v>68.228079000000008</v>
      </c>
      <c r="H40" s="47">
        <f>+G40-D40</f>
        <v>4.2093133200000068</v>
      </c>
      <c r="I40" s="16">
        <f>+H40/D40</f>
        <v>6.5751241456925361E-2</v>
      </c>
      <c r="L40" s="47"/>
      <c r="M40" s="56"/>
      <c r="N40" s="55">
        <f>SUM(N32:N39)</f>
        <v>64.630279000000002</v>
      </c>
      <c r="O40" s="47">
        <f t="shared" si="6"/>
        <v>0.61151332000000025</v>
      </c>
      <c r="P40" s="16">
        <f>O40/D40</f>
        <v>9.5520948194576343E-3</v>
      </c>
    </row>
    <row r="41" spans="1:16" ht="15.75" thickBot="1" x14ac:dyDescent="0.3">
      <c r="B41" t="s">
        <v>93</v>
      </c>
      <c r="C41" t="s">
        <v>94</v>
      </c>
      <c r="D41" t="s">
        <v>95</v>
      </c>
    </row>
    <row r="42" spans="1:16" ht="16.5" thickTop="1" thickBot="1" x14ac:dyDescent="0.3">
      <c r="A42" s="5" t="s">
        <v>103</v>
      </c>
      <c r="B42" s="248">
        <v>365</v>
      </c>
      <c r="C42" s="248">
        <v>1</v>
      </c>
      <c r="D42" s="249">
        <v>1</v>
      </c>
      <c r="E42" s="33"/>
      <c r="F42" s="34"/>
      <c r="G42" s="35"/>
    </row>
    <row r="43" spans="1:16" ht="15.75" thickBot="1" x14ac:dyDescent="0.3">
      <c r="A43" s="246" t="s">
        <v>104</v>
      </c>
      <c r="B43" s="247">
        <f>1.0376</f>
        <v>1.0376000000000001</v>
      </c>
    </row>
    <row r="44" spans="1:16" ht="15.75" thickTop="1" x14ac:dyDescent="0.25">
      <c r="D44" s="161"/>
      <c r="G44" s="161"/>
    </row>
    <row r="45" spans="1:16" x14ac:dyDescent="0.25">
      <c r="D45" s="161"/>
      <c r="G45" s="161"/>
    </row>
  </sheetData>
  <printOptions horizontalCentered="1"/>
  <pageMargins left="0.19685039370078741" right="0.19685039370078741" top="1.4960629921259843" bottom="0.31496062992125984" header="0.31496062992125984" footer="0.15748031496062992"/>
  <pageSetup scale="74" orientation="landscape" r:id="rId1"/>
  <headerFooter>
    <oddHeader>&amp;RToronto Hydro-Electric System Limited
EB-2012-0064
Tab 3
Schedule C2.2
Filed:  2012 May 10
Updated:  2012 Oct 31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61"/>
  <sheetViews>
    <sheetView topLeftCell="V1" zoomScale="85" zoomScaleNormal="85" workbookViewId="0">
      <selection activeCell="AH53" sqref="AH53"/>
    </sheetView>
  </sheetViews>
  <sheetFormatPr defaultRowHeight="15" x14ac:dyDescent="0.25"/>
  <cols>
    <col min="1" max="1" width="7.5703125" style="999" customWidth="1"/>
    <col min="2" max="2" width="40.42578125" style="999" customWidth="1"/>
    <col min="3" max="7" width="15.7109375" style="1000" customWidth="1"/>
    <col min="8" max="9" width="15.7109375" style="999" customWidth="1"/>
    <col min="10" max="11" width="12.7109375" style="999" customWidth="1"/>
    <col min="12" max="16" width="16.7109375" style="1000" customWidth="1"/>
    <col min="17" max="18" width="16.7109375" style="1000" hidden="1" customWidth="1"/>
    <col min="19" max="19" width="3.28515625" style="999" customWidth="1"/>
    <col min="20" max="20" width="38.28515625" style="999" customWidth="1"/>
    <col min="21" max="21" width="14" style="999" customWidth="1"/>
    <col min="22" max="22" width="14.7109375" style="999" customWidth="1"/>
    <col min="23" max="25" width="11.42578125" style="999" customWidth="1"/>
    <col min="26" max="26" width="12.140625" style="999" customWidth="1"/>
    <col min="27" max="27" width="10" style="999" customWidth="1"/>
    <col min="28" max="28" width="10.140625" style="999" customWidth="1"/>
    <col min="29" max="29" width="10.42578125" style="999" customWidth="1"/>
    <col min="30" max="30" width="12.7109375" style="999" customWidth="1"/>
    <col min="31" max="31" width="13.5703125" style="999" customWidth="1"/>
    <col min="32" max="32" width="13.28515625" style="999" customWidth="1"/>
    <col min="33" max="33" width="13.140625" style="999" customWidth="1"/>
    <col min="34" max="34" width="11.85546875" style="999" customWidth="1"/>
    <col min="35" max="35" width="17.85546875" style="999" customWidth="1"/>
    <col min="36" max="36" width="14.28515625" style="999" customWidth="1"/>
    <col min="37" max="16384" width="9.140625" style="999"/>
  </cols>
  <sheetData>
    <row r="1" spans="2:34" ht="21.75" thickBot="1" x14ac:dyDescent="0.4">
      <c r="B1" s="1036" t="s">
        <v>394</v>
      </c>
      <c r="C1" s="1001"/>
      <c r="D1" s="1001"/>
      <c r="E1" s="1001"/>
      <c r="F1" s="1001"/>
      <c r="G1" s="1001"/>
      <c r="H1" s="1001"/>
      <c r="I1" s="1001"/>
      <c r="J1" s="1001"/>
      <c r="K1" s="1001"/>
      <c r="L1" s="1001"/>
      <c r="M1" s="1001"/>
      <c r="N1" s="1001"/>
      <c r="O1" s="1001"/>
      <c r="P1" s="1001"/>
      <c r="Q1" s="1001"/>
      <c r="R1" s="1001"/>
      <c r="S1" s="1001"/>
      <c r="T1" s="1036" t="s">
        <v>383</v>
      </c>
      <c r="U1" s="1090" t="s">
        <v>416</v>
      </c>
      <c r="V1" s="1001"/>
      <c r="W1" s="1001"/>
      <c r="X1" s="1001"/>
      <c r="Y1" s="1001"/>
      <c r="Z1" s="1001"/>
      <c r="AA1" s="1001"/>
      <c r="AB1" s="1001"/>
      <c r="AC1" s="1001"/>
      <c r="AD1" s="1001"/>
      <c r="AE1" s="1001"/>
      <c r="AF1" s="1001"/>
      <c r="AG1" s="1001"/>
      <c r="AH1" s="1001"/>
    </row>
    <row r="2" spans="2:34" ht="15.75" thickBot="1" x14ac:dyDescent="0.3">
      <c r="B2" s="1011" t="s">
        <v>395</v>
      </c>
      <c r="C2" s="1053"/>
      <c r="D2" s="1053"/>
      <c r="E2" s="1053" t="s">
        <v>419</v>
      </c>
      <c r="F2" s="1053" t="s">
        <v>419</v>
      </c>
      <c r="G2" s="1053"/>
      <c r="H2" s="1053" t="s">
        <v>419</v>
      </c>
      <c r="I2" s="1053" t="s">
        <v>419</v>
      </c>
      <c r="J2" s="1012"/>
      <c r="K2" s="1012"/>
      <c r="L2" s="1054"/>
      <c r="M2" s="1053" t="s">
        <v>419</v>
      </c>
      <c r="N2" s="1053" t="s">
        <v>419</v>
      </c>
      <c r="O2" s="1045"/>
      <c r="P2" s="1045"/>
      <c r="Q2" s="1001"/>
      <c r="R2" s="1001"/>
      <c r="S2" s="1001"/>
      <c r="T2" s="1011" t="s">
        <v>381</v>
      </c>
      <c r="U2" s="1012"/>
      <c r="V2" s="1012"/>
      <c r="W2" s="1012"/>
      <c r="X2" s="1012"/>
      <c r="Y2" s="1012"/>
      <c r="Z2" s="1012"/>
      <c r="AA2" s="1012"/>
      <c r="AB2" s="1012"/>
      <c r="AC2" s="1012"/>
      <c r="AD2" s="1013"/>
      <c r="AE2" s="1001"/>
      <c r="AF2" s="1001"/>
      <c r="AG2" s="1001"/>
      <c r="AH2" s="1001"/>
    </row>
    <row r="3" spans="2:34" ht="60.75" thickBot="1" x14ac:dyDescent="0.3">
      <c r="B3" s="1008" t="s">
        <v>378</v>
      </c>
      <c r="C3" s="1105" t="s">
        <v>409</v>
      </c>
      <c r="D3" s="1106" t="s">
        <v>410</v>
      </c>
      <c r="E3" s="1055" t="s">
        <v>375</v>
      </c>
      <c r="F3" s="1055" t="s">
        <v>374</v>
      </c>
      <c r="G3" s="1055" t="s">
        <v>385</v>
      </c>
      <c r="H3" s="1039" t="s">
        <v>403</v>
      </c>
      <c r="I3" s="1040" t="s">
        <v>404</v>
      </c>
      <c r="J3" s="1014" t="s">
        <v>371</v>
      </c>
      <c r="K3" s="1015" t="s">
        <v>370</v>
      </c>
      <c r="L3" s="1056" t="s">
        <v>369</v>
      </c>
      <c r="M3" s="1039" t="s">
        <v>405</v>
      </c>
      <c r="N3" s="1040" t="s">
        <v>406</v>
      </c>
      <c r="O3" s="1098" t="s">
        <v>417</v>
      </c>
      <c r="P3" s="1099" t="s">
        <v>418</v>
      </c>
      <c r="Q3" s="1001"/>
      <c r="R3" s="1001"/>
      <c r="S3" s="1002"/>
      <c r="T3" s="1114" t="s">
        <v>378</v>
      </c>
      <c r="U3" s="1105" t="s">
        <v>377</v>
      </c>
      <c r="V3" s="1106" t="s">
        <v>376</v>
      </c>
      <c r="W3" s="1055" t="s">
        <v>375</v>
      </c>
      <c r="X3" s="1055" t="s">
        <v>374</v>
      </c>
      <c r="Y3" s="1055" t="s">
        <v>385</v>
      </c>
      <c r="Z3" s="1039" t="s">
        <v>403</v>
      </c>
      <c r="AA3" s="1040" t="s">
        <v>404</v>
      </c>
      <c r="AB3" s="1014" t="s">
        <v>371</v>
      </c>
      <c r="AC3" s="1015" t="s">
        <v>370</v>
      </c>
      <c r="AD3" s="1056" t="s">
        <v>369</v>
      </c>
      <c r="AE3" s="1039" t="s">
        <v>420</v>
      </c>
      <c r="AF3" s="1040" t="s">
        <v>406</v>
      </c>
      <c r="AG3" s="1098" t="s">
        <v>413</v>
      </c>
      <c r="AH3" s="1099" t="s">
        <v>414</v>
      </c>
    </row>
    <row r="4" spans="2:34" x14ac:dyDescent="0.25">
      <c r="B4" s="1118" t="s">
        <v>125</v>
      </c>
      <c r="C4" s="1107">
        <v>18.499043879999999</v>
      </c>
      <c r="D4" s="1108">
        <v>1.5273155999999998E-2</v>
      </c>
      <c r="E4" s="1120">
        <v>0.65</v>
      </c>
      <c r="F4" s="1122">
        <v>5.4000000000000001E-4</v>
      </c>
      <c r="G4" s="1093">
        <v>0</v>
      </c>
      <c r="H4" s="1124">
        <v>0.51525863013698625</v>
      </c>
      <c r="I4" s="1125">
        <v>4.3100000000000001E-4</v>
      </c>
      <c r="J4" s="1076">
        <v>8.0682539078854934E-3</v>
      </c>
      <c r="K4" s="1078">
        <v>5.6119685966001835E-3</v>
      </c>
      <c r="L4" s="1094">
        <v>-4.293400645622979E-4</v>
      </c>
      <c r="M4" s="1126">
        <v>1.3592880000000003</v>
      </c>
      <c r="N4" s="1126">
        <v>1.1379999999999999E-3</v>
      </c>
      <c r="O4" s="1130">
        <v>5.6099999999999622E-2</v>
      </c>
      <c r="P4" s="1132">
        <v>4.7450138955626324E-5</v>
      </c>
      <c r="Q4" s="1001"/>
      <c r="R4" s="1001"/>
      <c r="S4" s="1001"/>
      <c r="T4" s="1115" t="s">
        <v>125</v>
      </c>
      <c r="U4" s="1107">
        <v>18.5</v>
      </c>
      <c r="V4" s="1108">
        <v>1.5270000000000001E-2</v>
      </c>
      <c r="W4" s="1091">
        <v>0.65</v>
      </c>
      <c r="X4" s="1092">
        <v>5.4000000000000001E-4</v>
      </c>
      <c r="Y4" s="1093">
        <v>0</v>
      </c>
      <c r="Z4" s="1073">
        <v>0.52</v>
      </c>
      <c r="AA4" s="1074">
        <v>4.2999999999999999E-4</v>
      </c>
      <c r="AB4" s="1076">
        <v>8.0700000000000008E-3</v>
      </c>
      <c r="AC4" s="1078">
        <v>5.6100000000000004E-3</v>
      </c>
      <c r="AD4" s="1094">
        <v>-4.2999999999999999E-4</v>
      </c>
      <c r="AE4" s="1095">
        <v>1.36</v>
      </c>
      <c r="AF4" s="1096">
        <v>1.14E-3</v>
      </c>
      <c r="AG4" s="1100">
        <v>0.06</v>
      </c>
      <c r="AH4" s="1101">
        <v>5.0000000000000002E-5</v>
      </c>
    </row>
    <row r="5" spans="2:34" x14ac:dyDescent="0.25">
      <c r="B5" s="1116" t="s">
        <v>393</v>
      </c>
      <c r="C5" s="1109">
        <v>17.231986079999995</v>
      </c>
      <c r="D5" s="1094">
        <v>2.5995575999999996E-2</v>
      </c>
      <c r="E5" s="1120">
        <v>0.6</v>
      </c>
      <c r="F5" s="1122">
        <v>9.2000000000000003E-4</v>
      </c>
      <c r="G5" s="1093">
        <v>-1E-4</v>
      </c>
      <c r="H5" s="1124">
        <v>0.47996679452054802</v>
      </c>
      <c r="I5" s="1125">
        <v>7.3399999999999995E-4</v>
      </c>
      <c r="J5" s="1076">
        <v>8.0682539078854917E-3</v>
      </c>
      <c r="K5" s="1078">
        <v>5.6119685966001844E-3</v>
      </c>
      <c r="L5" s="1094">
        <v>-4.7483401268689427E-4</v>
      </c>
      <c r="M5" s="1126">
        <v>1.2661860821917807</v>
      </c>
      <c r="N5" s="1126">
        <v>1.9369999999999999E-3</v>
      </c>
      <c r="O5" s="1131">
        <v>5.2257534246573242E-2</v>
      </c>
      <c r="P5" s="1133">
        <v>7.9942499999999521E-5</v>
      </c>
      <c r="Q5" s="1001"/>
      <c r="R5" s="1001"/>
      <c r="S5" s="1001"/>
      <c r="T5" s="1116" t="s">
        <v>393</v>
      </c>
      <c r="U5" s="1109">
        <v>17.23</v>
      </c>
      <c r="V5" s="1094">
        <v>2.5999999999999999E-2</v>
      </c>
      <c r="W5" s="1091">
        <v>0.6</v>
      </c>
      <c r="X5" s="1092">
        <v>9.2000000000000003E-4</v>
      </c>
      <c r="Y5" s="1093">
        <v>-1E-4</v>
      </c>
      <c r="Z5" s="1073">
        <v>0.48</v>
      </c>
      <c r="AA5" s="1074">
        <v>7.2999999999999996E-4</v>
      </c>
      <c r="AB5" s="1076">
        <v>8.0700000000000008E-3</v>
      </c>
      <c r="AC5" s="1078">
        <v>5.6100000000000004E-3</v>
      </c>
      <c r="AD5" s="1094">
        <v>-4.6999999999999999E-4</v>
      </c>
      <c r="AE5" s="1095">
        <v>1.27</v>
      </c>
      <c r="AF5" s="1096">
        <v>1.9400000000000001E-3</v>
      </c>
      <c r="AG5" s="1100">
        <v>0.05</v>
      </c>
      <c r="AH5" s="1101">
        <v>8.0000000000000007E-5</v>
      </c>
    </row>
    <row r="6" spans="2:34" x14ac:dyDescent="0.25">
      <c r="B6" s="1115" t="s">
        <v>367</v>
      </c>
      <c r="C6" s="1109">
        <v>24.631603631999997</v>
      </c>
      <c r="D6" s="1094">
        <v>2.2773815999999999E-2</v>
      </c>
      <c r="E6" s="1120">
        <v>0.86</v>
      </c>
      <c r="F6" s="1122">
        <v>8.0999999999999996E-4</v>
      </c>
      <c r="G6" s="1093">
        <v>0</v>
      </c>
      <c r="H6" s="1124">
        <v>0.68607123287671246</v>
      </c>
      <c r="I6" s="1125">
        <v>6.4300000000000002E-4</v>
      </c>
      <c r="J6" s="1076">
        <v>7.80428543010261E-3</v>
      </c>
      <c r="K6" s="1078">
        <v>5.0649930998555269E-3</v>
      </c>
      <c r="L6" s="1094">
        <v>-3.1633306500685973E-4</v>
      </c>
      <c r="M6" s="1126">
        <v>1.8099014794520549</v>
      </c>
      <c r="N6" s="1126">
        <v>1.6969999999999999E-3</v>
      </c>
      <c r="O6" s="1131">
        <v>7.4697534246573813E-2</v>
      </c>
      <c r="P6" s="1133">
        <v>7.0479566199899642E-5</v>
      </c>
      <c r="Q6" s="1001"/>
      <c r="R6" s="1001"/>
      <c r="S6" s="1001"/>
      <c r="T6" s="1115" t="s">
        <v>367</v>
      </c>
      <c r="U6" s="1109">
        <v>24.63</v>
      </c>
      <c r="V6" s="1094">
        <v>2.2769999999999999E-2</v>
      </c>
      <c r="W6" s="1091">
        <v>0.86</v>
      </c>
      <c r="X6" s="1092">
        <v>8.0999999999999996E-4</v>
      </c>
      <c r="Y6" s="1093">
        <v>0</v>
      </c>
      <c r="Z6" s="1073">
        <v>0.69</v>
      </c>
      <c r="AA6" s="1074">
        <v>6.4000000000000005E-4</v>
      </c>
      <c r="AB6" s="1076">
        <v>7.7999999999999996E-3</v>
      </c>
      <c r="AC6" s="1078">
        <v>5.0600000000000003E-3</v>
      </c>
      <c r="AD6" s="1094">
        <v>-3.2000000000000003E-4</v>
      </c>
      <c r="AE6" s="1095">
        <v>1.81</v>
      </c>
      <c r="AF6" s="1096">
        <v>1.6999999999999999E-3</v>
      </c>
      <c r="AG6" s="1100">
        <v>7.0000000000000007E-2</v>
      </c>
      <c r="AH6" s="1101">
        <v>6.9999999999999994E-5</v>
      </c>
    </row>
    <row r="7" spans="2:34" x14ac:dyDescent="0.25">
      <c r="B7" s="1115" t="s">
        <v>366</v>
      </c>
      <c r="C7" s="1109">
        <v>36.045260294399995</v>
      </c>
      <c r="D7" s="1094">
        <v>5.67200916</v>
      </c>
      <c r="E7" s="1120">
        <v>1.26</v>
      </c>
      <c r="F7" s="1123">
        <v>0.1988</v>
      </c>
      <c r="G7" s="1093">
        <v>-6.7000000000000002E-3</v>
      </c>
      <c r="H7" s="1124">
        <v>1.0039788493150685</v>
      </c>
      <c r="I7" s="1124">
        <v>0.15798279452054795</v>
      </c>
      <c r="J7" s="1076">
        <v>2.7947375663004212</v>
      </c>
      <c r="K7" s="1078">
        <v>1.9286356015216617</v>
      </c>
      <c r="L7" s="1094">
        <v>-5.3891318440036001E-2</v>
      </c>
      <c r="M7" s="1126">
        <v>2.6485633972602738</v>
      </c>
      <c r="N7" s="1126">
        <v>0.41676854794520546</v>
      </c>
      <c r="O7" s="1131">
        <v>0.10931046575342421</v>
      </c>
      <c r="P7" s="1134">
        <v>1.7249220432726507E-2</v>
      </c>
      <c r="Q7" s="1001"/>
      <c r="R7" s="1001"/>
      <c r="S7" s="1001"/>
      <c r="T7" s="1115" t="s">
        <v>366</v>
      </c>
      <c r="U7" s="1109">
        <v>36.049999999999997</v>
      </c>
      <c r="V7" s="1094">
        <v>5.6719999999999997</v>
      </c>
      <c r="W7" s="1091">
        <v>1.26</v>
      </c>
      <c r="X7" s="1092">
        <v>0.1988</v>
      </c>
      <c r="Y7" s="1093">
        <v>-6.7000000000000002E-3</v>
      </c>
      <c r="Z7" s="1073">
        <v>1</v>
      </c>
      <c r="AA7" s="1074">
        <v>0.158</v>
      </c>
      <c r="AB7" s="1076">
        <v>2.7947000000000002</v>
      </c>
      <c r="AC7" s="1078">
        <v>1.9286000000000001</v>
      </c>
      <c r="AD7" s="1094">
        <v>-5.3900000000000003E-2</v>
      </c>
      <c r="AE7" s="1095">
        <v>2.65</v>
      </c>
      <c r="AF7" s="1096">
        <v>0.4168</v>
      </c>
      <c r="AG7" s="1100">
        <v>0.11</v>
      </c>
      <c r="AH7" s="1101">
        <v>1.72E-2</v>
      </c>
    </row>
    <row r="8" spans="2:34" x14ac:dyDescent="0.25">
      <c r="B8" s="1115" t="s">
        <v>365</v>
      </c>
      <c r="C8" s="1109">
        <v>695.82759791039996</v>
      </c>
      <c r="D8" s="1094">
        <v>4.5104639999999998</v>
      </c>
      <c r="E8" s="1120">
        <v>24.39</v>
      </c>
      <c r="F8" s="1123">
        <v>0.15809999999999999</v>
      </c>
      <c r="G8" s="1093">
        <v>-5.5999999999999999E-3</v>
      </c>
      <c r="H8" s="1124">
        <v>19.381075397260275</v>
      </c>
      <c r="I8" s="1124">
        <v>0.12563013698630135</v>
      </c>
      <c r="J8" s="1076">
        <v>2.7001679899121194</v>
      </c>
      <c r="K8" s="1078">
        <v>1.9267758848327301</v>
      </c>
      <c r="L8" s="1094">
        <v>-4.2142483385757351E-2</v>
      </c>
      <c r="M8" s="1126">
        <v>51.128594630136988</v>
      </c>
      <c r="N8" s="1126">
        <v>0.33142093150684931</v>
      </c>
      <c r="O8" s="1131">
        <v>2.1101592328766841</v>
      </c>
      <c r="P8" s="1134">
        <v>1.3688827525410978E-2</v>
      </c>
      <c r="Q8" s="1001"/>
      <c r="R8" s="1001"/>
      <c r="S8" s="1001"/>
      <c r="T8" s="1115" t="s">
        <v>365</v>
      </c>
      <c r="U8" s="1109">
        <v>695.83</v>
      </c>
      <c r="V8" s="1094">
        <v>4.5105000000000004</v>
      </c>
      <c r="W8" s="1091">
        <v>24.39</v>
      </c>
      <c r="X8" s="1092">
        <v>0.15809999999999999</v>
      </c>
      <c r="Y8" s="1093">
        <v>-5.5999999999999999E-3</v>
      </c>
      <c r="Z8" s="1073">
        <v>19.38</v>
      </c>
      <c r="AA8" s="1074">
        <v>0.12559999999999999</v>
      </c>
      <c r="AB8" s="1076">
        <v>2.7002000000000002</v>
      </c>
      <c r="AC8" s="1078">
        <v>1.9268000000000001</v>
      </c>
      <c r="AD8" s="1094">
        <v>-4.2099999999999999E-2</v>
      </c>
      <c r="AE8" s="1095">
        <v>51.13</v>
      </c>
      <c r="AF8" s="1096">
        <v>0.33139999999999997</v>
      </c>
      <c r="AG8" s="1100">
        <v>2.11</v>
      </c>
      <c r="AH8" s="1101">
        <v>1.37E-2</v>
      </c>
    </row>
    <row r="9" spans="2:34" x14ac:dyDescent="0.25">
      <c r="B9" s="1115" t="s">
        <v>364</v>
      </c>
      <c r="C9" s="1109">
        <v>3050.1730372463994</v>
      </c>
      <c r="D9" s="1094">
        <v>4.8052550399999996</v>
      </c>
      <c r="E9" s="1120">
        <v>106.92</v>
      </c>
      <c r="F9" s="1123">
        <v>0.16839999999999999</v>
      </c>
      <c r="G9" s="1093">
        <v>-5.8999999999999999E-3</v>
      </c>
      <c r="H9" s="1124">
        <v>84.957301479452042</v>
      </c>
      <c r="I9" s="1124">
        <v>0.13384306849315067</v>
      </c>
      <c r="J9" s="1076">
        <v>3.0781019887551762</v>
      </c>
      <c r="K9" s="1078">
        <v>2.1405339089605424</v>
      </c>
      <c r="L9" s="1094">
        <v>-4.3721912478066095E-2</v>
      </c>
      <c r="M9" s="1126">
        <v>224.1231317260274</v>
      </c>
      <c r="N9" s="1126">
        <v>0.35308701369863016</v>
      </c>
      <c r="O9" s="1131">
        <v>9.2499216986299331</v>
      </c>
      <c r="P9" s="1134">
        <v>1.4591177439193536E-2</v>
      </c>
      <c r="Q9" s="1001"/>
      <c r="R9" s="1001"/>
      <c r="S9" s="1001"/>
      <c r="T9" s="1115" t="s">
        <v>364</v>
      </c>
      <c r="U9" s="1109">
        <v>3050.17</v>
      </c>
      <c r="V9" s="1094">
        <v>4.8052999999999999</v>
      </c>
      <c r="W9" s="1091">
        <v>106.92</v>
      </c>
      <c r="X9" s="1092">
        <v>0.16839999999999999</v>
      </c>
      <c r="Y9" s="1093">
        <v>-5.8999999999999999E-3</v>
      </c>
      <c r="Z9" s="1073">
        <v>84.96</v>
      </c>
      <c r="AA9" s="1074">
        <v>0.1338</v>
      </c>
      <c r="AB9" s="1076">
        <v>3.0781000000000001</v>
      </c>
      <c r="AC9" s="1078">
        <v>2.1404999999999998</v>
      </c>
      <c r="AD9" s="1094">
        <v>-4.3700000000000003E-2</v>
      </c>
      <c r="AE9" s="1095">
        <v>224.12</v>
      </c>
      <c r="AF9" s="1096">
        <v>0.35310000000000002</v>
      </c>
      <c r="AG9" s="1100">
        <v>9.25</v>
      </c>
      <c r="AH9" s="1101">
        <v>1.46E-2</v>
      </c>
    </row>
    <row r="10" spans="2:34" x14ac:dyDescent="0.25">
      <c r="B10" s="1115" t="s">
        <v>363</v>
      </c>
      <c r="C10" s="1109">
        <v>1.3177401119999999</v>
      </c>
      <c r="D10" s="1094">
        <v>29.116756679999998</v>
      </c>
      <c r="E10" s="1120">
        <v>0.05</v>
      </c>
      <c r="F10" s="1123">
        <v>1.0206</v>
      </c>
      <c r="G10" s="1093">
        <v>-4.2500000000000003E-2</v>
      </c>
      <c r="H10" s="1124">
        <v>3.670323287671233E-2</v>
      </c>
      <c r="I10" s="1124">
        <v>0.81099813698630141</v>
      </c>
      <c r="J10" s="1076">
        <v>2.4856649094876815</v>
      </c>
      <c r="K10" s="1078">
        <v>2.2997037785132366</v>
      </c>
      <c r="L10" s="1094">
        <v>-0.38773676578397875</v>
      </c>
      <c r="M10" s="1126">
        <v>9.6826191780821899E-2</v>
      </c>
      <c r="N10" s="1126">
        <v>2.1394671780821919</v>
      </c>
      <c r="O10" s="1131">
        <v>3.996164383561613E-3</v>
      </c>
      <c r="P10" s="1134">
        <v>8.8300600492722814E-2</v>
      </c>
      <c r="Q10" s="1001"/>
      <c r="R10" s="1001"/>
      <c r="S10" s="1001"/>
      <c r="T10" s="1115" t="s">
        <v>363</v>
      </c>
      <c r="U10" s="1109">
        <v>1.32</v>
      </c>
      <c r="V10" s="1094">
        <v>29.116800000000001</v>
      </c>
      <c r="W10" s="1091">
        <v>0.05</v>
      </c>
      <c r="X10" s="1092">
        <v>1.0206</v>
      </c>
      <c r="Y10" s="1093">
        <v>-4.2500000000000003E-2</v>
      </c>
      <c r="Z10" s="1073">
        <v>0.04</v>
      </c>
      <c r="AA10" s="1074">
        <v>0.81100000000000005</v>
      </c>
      <c r="AB10" s="1076">
        <v>2.4857</v>
      </c>
      <c r="AC10" s="1078">
        <v>2.2997000000000001</v>
      </c>
      <c r="AD10" s="1094">
        <v>-0.38769999999999999</v>
      </c>
      <c r="AE10" s="1095">
        <v>0.1</v>
      </c>
      <c r="AF10" s="1096">
        <v>2.1395</v>
      </c>
      <c r="AG10" s="1100">
        <v>0</v>
      </c>
      <c r="AH10" s="1101">
        <v>8.8300000000000003E-2</v>
      </c>
    </row>
    <row r="11" spans="2:34" x14ac:dyDescent="0.25">
      <c r="B11" s="1115" t="s">
        <v>379</v>
      </c>
      <c r="C11" s="1109">
        <v>4.9060478015999989</v>
      </c>
      <c r="D11" s="1094">
        <v>6.1515479999999997E-2</v>
      </c>
      <c r="E11" s="1120">
        <v>0.17</v>
      </c>
      <c r="F11" s="1122">
        <v>2.1900000000000001E-3</v>
      </c>
      <c r="G11" s="1093">
        <v>-1E-4</v>
      </c>
      <c r="H11" s="1124">
        <v>0.13664909589041099</v>
      </c>
      <c r="I11" s="1125">
        <v>1.738E-3</v>
      </c>
      <c r="J11" s="1076">
        <v>4.9121090648292908E-3</v>
      </c>
      <c r="K11" s="1078">
        <v>3.544401218905379E-3</v>
      </c>
      <c r="L11" s="1094">
        <v>-8.7659064301597901E-4</v>
      </c>
      <c r="M11" s="1126">
        <v>0.36049019178082198</v>
      </c>
      <c r="N11" s="1126">
        <v>4.5840000000000004E-3</v>
      </c>
      <c r="O11" s="1131">
        <v>1.4878027397260289E-2</v>
      </c>
      <c r="P11" s="1133">
        <v>1.8918166666666387E-4</v>
      </c>
      <c r="Q11" s="1001"/>
      <c r="R11" s="1001"/>
      <c r="S11" s="1001" t="s">
        <v>380</v>
      </c>
      <c r="T11" s="1115" t="s">
        <v>379</v>
      </c>
      <c r="U11" s="1109">
        <v>4.91</v>
      </c>
      <c r="V11" s="1094">
        <v>6.1519999999999998E-2</v>
      </c>
      <c r="W11" s="1091">
        <v>0.17</v>
      </c>
      <c r="X11" s="1092">
        <v>2.1900000000000001E-3</v>
      </c>
      <c r="Y11" s="1093">
        <v>-1E-4</v>
      </c>
      <c r="Z11" s="1073">
        <v>0.14000000000000001</v>
      </c>
      <c r="AA11" s="1074">
        <v>1.74E-3</v>
      </c>
      <c r="AB11" s="1076">
        <v>4.9100000000000003E-3</v>
      </c>
      <c r="AC11" s="1078">
        <v>3.5400000000000002E-3</v>
      </c>
      <c r="AD11" s="1094">
        <v>-8.8000000000000003E-4</v>
      </c>
      <c r="AE11" s="1095">
        <v>0.36</v>
      </c>
      <c r="AF11" s="1096">
        <v>4.5799999999999999E-3</v>
      </c>
      <c r="AG11" s="1100">
        <v>0.01</v>
      </c>
      <c r="AH11" s="1101">
        <v>1.9000000000000001E-4</v>
      </c>
    </row>
    <row r="12" spans="2:34" x14ac:dyDescent="0.25">
      <c r="B12" s="1115" t="s">
        <v>362</v>
      </c>
      <c r="C12" s="1110">
        <v>0.49668665759999991</v>
      </c>
      <c r="D12" s="1111" t="s">
        <v>361</v>
      </c>
      <c r="E12" s="1120">
        <v>0.02</v>
      </c>
      <c r="F12" s="1121" t="s">
        <v>361</v>
      </c>
      <c r="G12" s="1093" t="s">
        <v>361</v>
      </c>
      <c r="H12" s="1124">
        <v>1.3833863013698633E-2</v>
      </c>
      <c r="I12" s="1125" t="s">
        <v>361</v>
      </c>
      <c r="J12" s="1016"/>
      <c r="K12" s="1017"/>
      <c r="L12" s="1048">
        <v>0</v>
      </c>
      <c r="M12" s="1126">
        <v>3.6496109589041092E-2</v>
      </c>
      <c r="N12" s="1126" t="s">
        <v>361</v>
      </c>
      <c r="O12" s="1131">
        <v>1.5062465753424481E-3</v>
      </c>
      <c r="P12" s="1133"/>
      <c r="Q12" s="1001"/>
      <c r="R12" s="1001"/>
      <c r="S12" s="1001"/>
      <c r="T12" s="1115" t="s">
        <v>362</v>
      </c>
      <c r="U12" s="1110">
        <v>0.5</v>
      </c>
      <c r="V12" s="1111"/>
      <c r="W12" s="1091">
        <v>0.02</v>
      </c>
      <c r="X12" s="1092"/>
      <c r="Y12" s="1093"/>
      <c r="Z12" s="1073">
        <v>0.01</v>
      </c>
      <c r="AA12" s="1075"/>
      <c r="AB12" s="1016"/>
      <c r="AC12" s="1017"/>
      <c r="AD12" s="1048">
        <v>0</v>
      </c>
      <c r="AE12" s="1095">
        <v>0.04</v>
      </c>
      <c r="AF12" s="1097"/>
      <c r="AG12" s="1100">
        <v>0</v>
      </c>
      <c r="AH12" s="1102"/>
    </row>
    <row r="13" spans="2:34" ht="15.75" thickBot="1" x14ac:dyDescent="0.3">
      <c r="B13" s="1117"/>
      <c r="C13" s="1112"/>
      <c r="D13" s="1113"/>
      <c r="E13" s="1059"/>
      <c r="F13" s="1059"/>
      <c r="G13" s="1059"/>
      <c r="H13" s="1043"/>
      <c r="I13" s="1038"/>
      <c r="J13" s="1005"/>
      <c r="K13" s="1007"/>
      <c r="L13" s="1050"/>
      <c r="M13" s="1043"/>
      <c r="N13" s="1038"/>
      <c r="O13" s="1128"/>
      <c r="P13" s="1129"/>
      <c r="Q13" s="1001"/>
      <c r="R13" s="1001"/>
      <c r="S13" s="1001"/>
      <c r="T13" s="1117"/>
      <c r="U13" s="1112"/>
      <c r="V13" s="1113"/>
      <c r="W13" s="1059"/>
      <c r="X13" s="1059"/>
      <c r="Y13" s="1059"/>
      <c r="Z13" s="1043"/>
      <c r="AA13" s="1038"/>
      <c r="AB13" s="1005"/>
      <c r="AC13" s="1007"/>
      <c r="AD13" s="1050"/>
      <c r="AE13" s="1043"/>
      <c r="AF13" s="1038"/>
      <c r="AG13" s="1103"/>
      <c r="AH13" s="1104"/>
    </row>
    <row r="14" spans="2:34" ht="15.75" thickBot="1" x14ac:dyDescent="0.3">
      <c r="B14" s="1001"/>
      <c r="C14" s="1001"/>
      <c r="D14" s="1001"/>
      <c r="E14" s="1001"/>
      <c r="F14" s="1001"/>
      <c r="G14" s="1001"/>
      <c r="H14" s="1001"/>
      <c r="I14" s="1001"/>
      <c r="J14" s="1001"/>
      <c r="K14" s="1001"/>
      <c r="L14" s="1001"/>
      <c r="M14" s="1001"/>
      <c r="N14" s="1001"/>
      <c r="O14" s="1001"/>
      <c r="P14" s="1001"/>
      <c r="Q14" s="1001"/>
      <c r="R14" s="1001"/>
      <c r="S14" s="1001"/>
      <c r="T14" s="1001"/>
      <c r="U14" s="1001"/>
      <c r="V14" s="1001"/>
      <c r="W14" s="1044"/>
      <c r="X14" s="1044"/>
      <c r="Y14" s="1044"/>
      <c r="Z14" s="1044"/>
      <c r="AA14" s="1044"/>
      <c r="AB14" s="1044"/>
      <c r="AC14" s="1044"/>
      <c r="AD14" s="1044"/>
      <c r="AE14" s="1044"/>
      <c r="AF14" s="1044"/>
      <c r="AG14" s="1001"/>
      <c r="AH14" s="1001"/>
    </row>
    <row r="15" spans="2:34" ht="15.75" thickBot="1" x14ac:dyDescent="0.3">
      <c r="B15" s="1011" t="s">
        <v>395</v>
      </c>
      <c r="C15" s="1053"/>
      <c r="D15" s="1053"/>
      <c r="E15" s="1053"/>
      <c r="F15" s="1053"/>
      <c r="G15" s="1053"/>
      <c r="H15" s="1012"/>
      <c r="I15" s="1012"/>
      <c r="J15" s="1012"/>
      <c r="K15" s="1012"/>
      <c r="L15" s="1054"/>
      <c r="M15" s="1045"/>
      <c r="N15" s="1045"/>
      <c r="O15" s="1045"/>
      <c r="P15" s="1045"/>
      <c r="Q15" s="1001"/>
      <c r="R15" s="1001"/>
      <c r="S15" s="1001"/>
      <c r="T15" s="1011" t="s">
        <v>395</v>
      </c>
      <c r="U15" s="1012"/>
      <c r="V15" s="1012"/>
      <c r="W15" s="1053"/>
      <c r="X15" s="1053"/>
      <c r="Y15" s="1053"/>
      <c r="Z15" s="1053"/>
      <c r="AA15" s="1053"/>
      <c r="AB15" s="1053"/>
      <c r="AC15" s="1053"/>
      <c r="AD15" s="1054"/>
      <c r="AE15" s="1044"/>
      <c r="AF15" s="1044"/>
      <c r="AG15" s="1001"/>
      <c r="AH15" s="1001"/>
    </row>
    <row r="16" spans="2:34" ht="60.75" hidden="1" thickBot="1" x14ac:dyDescent="0.3">
      <c r="B16" s="1008" t="s">
        <v>378</v>
      </c>
      <c r="C16" s="1055" t="s">
        <v>377</v>
      </c>
      <c r="D16" s="1055" t="s">
        <v>376</v>
      </c>
      <c r="E16" s="1055" t="s">
        <v>375</v>
      </c>
      <c r="F16" s="1055" t="s">
        <v>374</v>
      </c>
      <c r="G16" s="1055"/>
      <c r="H16" s="1039" t="s">
        <v>373</v>
      </c>
      <c r="I16" s="1040" t="s">
        <v>372</v>
      </c>
      <c r="J16" s="1014" t="s">
        <v>371</v>
      </c>
      <c r="K16" s="1015" t="s">
        <v>370</v>
      </c>
      <c r="L16" s="1056" t="s">
        <v>369</v>
      </c>
      <c r="M16" s="1051" t="s">
        <v>396</v>
      </c>
      <c r="N16" s="1052" t="s">
        <v>397</v>
      </c>
      <c r="O16" s="1046"/>
      <c r="P16" s="1046"/>
      <c r="Q16" s="1001"/>
      <c r="R16" s="1001"/>
      <c r="S16" s="1001"/>
      <c r="T16" s="1008" t="s">
        <v>378</v>
      </c>
      <c r="U16" s="1009" t="s">
        <v>377</v>
      </c>
      <c r="V16" s="1009" t="s">
        <v>376</v>
      </c>
      <c r="W16" s="1055" t="s">
        <v>375</v>
      </c>
      <c r="X16" s="1055" t="s">
        <v>374</v>
      </c>
      <c r="Y16" s="1052" t="s">
        <v>391</v>
      </c>
      <c r="Z16" s="1051" t="s">
        <v>373</v>
      </c>
      <c r="AA16" s="1052" t="s">
        <v>372</v>
      </c>
      <c r="AB16" s="1051" t="s">
        <v>371</v>
      </c>
      <c r="AC16" s="1052" t="s">
        <v>370</v>
      </c>
      <c r="AD16" s="1056" t="s">
        <v>369</v>
      </c>
      <c r="AE16" s="1051" t="s">
        <v>396</v>
      </c>
      <c r="AF16" s="1052" t="s">
        <v>397</v>
      </c>
      <c r="AG16" s="1046"/>
      <c r="AH16" s="1046"/>
    </row>
    <row r="17" spans="2:34" hidden="1" x14ac:dyDescent="0.25">
      <c r="B17" s="1003" t="s">
        <v>125</v>
      </c>
      <c r="C17" s="1045">
        <v>18.499043879999999</v>
      </c>
      <c r="D17" s="1045">
        <v>1.5279605817605431E-2</v>
      </c>
      <c r="E17" s="1058">
        <v>0.65</v>
      </c>
      <c r="F17" s="1047">
        <v>5.4000000000000001E-4</v>
      </c>
      <c r="G17" s="1047"/>
      <c r="H17" s="1076">
        <v>1.2318519452054795</v>
      </c>
      <c r="I17" s="1077">
        <v>1.031E-3</v>
      </c>
      <c r="J17" s="1016">
        <v>7.5223952181527392E-3</v>
      </c>
      <c r="K17" s="1017">
        <v>6.0082391926882996E-3</v>
      </c>
      <c r="L17" s="1048"/>
      <c r="M17" s="1073">
        <v>0.51525863013698625</v>
      </c>
      <c r="N17" s="1074">
        <v>4.3100000000000001E-4</v>
      </c>
      <c r="O17" s="1046"/>
      <c r="P17" s="1046"/>
      <c r="Q17" s="1001"/>
      <c r="R17" s="1001"/>
      <c r="S17" s="1001"/>
      <c r="T17" s="1003" t="s">
        <v>125</v>
      </c>
      <c r="U17" s="1020">
        <v>18.5</v>
      </c>
      <c r="V17" s="1018">
        <v>1.528E-2</v>
      </c>
      <c r="W17" s="1062">
        <v>0.65</v>
      </c>
      <c r="X17" s="1063">
        <v>5.4000000000000001E-4</v>
      </c>
      <c r="Y17" s="1063"/>
      <c r="Z17" s="1088">
        <v>1.23</v>
      </c>
      <c r="AA17" s="1068">
        <v>1.0300000000000001E-3</v>
      </c>
      <c r="AB17" s="1063">
        <v>7.5199999999999998E-3</v>
      </c>
      <c r="AC17" s="1063">
        <v>6.0099999999999997E-3</v>
      </c>
      <c r="AD17" s="1065">
        <v>0</v>
      </c>
      <c r="AE17" s="1079">
        <v>0.52</v>
      </c>
      <c r="AF17" s="1080">
        <v>4.2999999999999999E-4</v>
      </c>
      <c r="AG17" s="1047"/>
      <c r="AH17" s="1047"/>
    </row>
    <row r="18" spans="2:34" hidden="1" x14ac:dyDescent="0.25">
      <c r="B18" s="1087" t="s">
        <v>393</v>
      </c>
      <c r="C18" s="1045">
        <v>17.231986079999995</v>
      </c>
      <c r="D18" s="1045">
        <v>2.6000026055999995E-2</v>
      </c>
      <c r="E18" s="1058">
        <v>0.6</v>
      </c>
      <c r="F18" s="1047">
        <v>9.2000000000000003E-4</v>
      </c>
      <c r="G18" s="1047"/>
      <c r="H18" s="1076">
        <v>0.46101599999999998</v>
      </c>
      <c r="I18" s="1077">
        <v>1.755E-3</v>
      </c>
      <c r="J18" s="1016">
        <v>7.5223952181527384E-3</v>
      </c>
      <c r="K18" s="1017">
        <v>6.0082391926883014E-3</v>
      </c>
      <c r="L18" s="1048"/>
      <c r="M18" s="1073">
        <v>0.47996679452054802</v>
      </c>
      <c r="N18" s="1074">
        <v>7.3399999999999995E-4</v>
      </c>
      <c r="O18" s="1046"/>
      <c r="P18" s="1046"/>
      <c r="Q18" s="1001"/>
      <c r="R18" s="1001"/>
      <c r="S18" s="1001"/>
      <c r="T18" s="1087" t="s">
        <v>393</v>
      </c>
      <c r="U18" s="1020">
        <v>17.23</v>
      </c>
      <c r="V18" s="1018">
        <v>2.5999999999999999E-2</v>
      </c>
      <c r="W18" s="1062">
        <v>0.6</v>
      </c>
      <c r="X18" s="1063">
        <v>9.2000000000000003E-4</v>
      </c>
      <c r="Y18" s="1063"/>
      <c r="Z18" s="1089">
        <v>0.46</v>
      </c>
      <c r="AA18" s="1069">
        <v>1.7600000000000001E-3</v>
      </c>
      <c r="AB18" s="1063">
        <v>7.5199999999999998E-3</v>
      </c>
      <c r="AC18" s="1063">
        <v>6.0099999999999997E-3</v>
      </c>
      <c r="AD18" s="1066">
        <v>0</v>
      </c>
      <c r="AE18" s="1081">
        <v>0.48</v>
      </c>
      <c r="AF18" s="1082">
        <v>7.2999999999999996E-4</v>
      </c>
      <c r="AG18" s="1047"/>
      <c r="AH18" s="1047"/>
    </row>
    <row r="19" spans="2:34" hidden="1" x14ac:dyDescent="0.25">
      <c r="B19" s="1003" t="s">
        <v>367</v>
      </c>
      <c r="C19" s="1045">
        <v>24.631603631999997</v>
      </c>
      <c r="D19" s="1045">
        <v>2.2776631012799996E-2</v>
      </c>
      <c r="E19" s="1058">
        <v>0.86</v>
      </c>
      <c r="F19" s="1047">
        <v>8.0999999999999996E-4</v>
      </c>
      <c r="G19" s="1047"/>
      <c r="H19" s="1076">
        <v>1.6402191780821918</v>
      </c>
      <c r="I19" s="1077">
        <v>1.5380000000000001E-3</v>
      </c>
      <c r="J19" s="1016">
        <v>7.2762855595218529E-3</v>
      </c>
      <c r="K19" s="1017">
        <v>5.4226408308278417E-3</v>
      </c>
      <c r="L19" s="1048"/>
      <c r="M19" s="1073">
        <v>0.68607123287671246</v>
      </c>
      <c r="N19" s="1074">
        <v>6.4300000000000002E-4</v>
      </c>
      <c r="O19" s="1046"/>
      <c r="P19" s="1046"/>
      <c r="Q19" s="1001"/>
      <c r="R19" s="1001"/>
      <c r="S19" s="1001"/>
      <c r="T19" s="1003" t="s">
        <v>367</v>
      </c>
      <c r="U19" s="1020">
        <v>24.63</v>
      </c>
      <c r="V19" s="1018">
        <v>2.2780000000000002E-2</v>
      </c>
      <c r="W19" s="1062">
        <v>0.86</v>
      </c>
      <c r="X19" s="1063">
        <v>8.0999999999999996E-4</v>
      </c>
      <c r="Y19" s="1063"/>
      <c r="Z19" s="1089">
        <v>1.64</v>
      </c>
      <c r="AA19" s="1069">
        <v>1.5399999999999999E-3</v>
      </c>
      <c r="AB19" s="1063">
        <v>7.28E-3</v>
      </c>
      <c r="AC19" s="1063">
        <v>5.4200000000000003E-3</v>
      </c>
      <c r="AD19" s="1066">
        <v>0</v>
      </c>
      <c r="AE19" s="1081">
        <v>0.69</v>
      </c>
      <c r="AF19" s="1082">
        <v>6.4000000000000005E-4</v>
      </c>
      <c r="AG19" s="1047"/>
      <c r="AH19" s="1047"/>
    </row>
    <row r="20" spans="2:34" hidden="1" x14ac:dyDescent="0.25">
      <c r="B20" s="1003" t="s">
        <v>366</v>
      </c>
      <c r="C20" s="1045">
        <v>36.045260294399995</v>
      </c>
      <c r="D20" s="1045">
        <v>5.6719589005439994</v>
      </c>
      <c r="E20" s="1058">
        <v>1.26</v>
      </c>
      <c r="F20" s="1047">
        <v>0.19839999999999999</v>
      </c>
      <c r="G20" s="1047"/>
      <c r="H20" s="1076">
        <v>2.4002541369863009</v>
      </c>
      <c r="I20" s="1077">
        <v>0.37769621917808222</v>
      </c>
      <c r="J20" s="1016">
        <v>2.6056592597046562</v>
      </c>
      <c r="K20" s="1017">
        <v>2.0648198239199749</v>
      </c>
      <c r="L20" s="1048"/>
      <c r="M20" s="1073">
        <v>1.0039788493150685</v>
      </c>
      <c r="N20" s="1074">
        <v>0.15798279452054795</v>
      </c>
      <c r="O20" s="1046"/>
      <c r="P20" s="1046"/>
      <c r="Q20" s="1001"/>
      <c r="R20" s="1001"/>
      <c r="S20" s="1001"/>
      <c r="T20" s="1003" t="s">
        <v>366</v>
      </c>
      <c r="U20" s="1020">
        <v>36.049999999999997</v>
      </c>
      <c r="V20" s="1019">
        <v>5.6719999999999997</v>
      </c>
      <c r="W20" s="1062">
        <v>1.26</v>
      </c>
      <c r="X20" s="1064">
        <v>0.19839999999999999</v>
      </c>
      <c r="Y20" s="1064"/>
      <c r="Z20" s="1089">
        <v>2.4</v>
      </c>
      <c r="AA20" s="1070">
        <v>0.37769999999999998</v>
      </c>
      <c r="AB20" s="1064">
        <v>2.6057000000000001</v>
      </c>
      <c r="AC20" s="1064">
        <v>2.0648</v>
      </c>
      <c r="AD20" s="1067">
        <v>0</v>
      </c>
      <c r="AE20" s="1081">
        <v>1</v>
      </c>
      <c r="AF20" s="1083">
        <v>0.158</v>
      </c>
      <c r="AG20" s="1047"/>
      <c r="AH20" s="1047"/>
    </row>
    <row r="21" spans="2:34" hidden="1" x14ac:dyDescent="0.25">
      <c r="B21" s="1003" t="s">
        <v>365</v>
      </c>
      <c r="C21" s="1045">
        <v>695.82759791039996</v>
      </c>
      <c r="D21" s="1045">
        <v>4.5104216741279988</v>
      </c>
      <c r="E21" s="1058">
        <v>24.34</v>
      </c>
      <c r="F21" s="1047">
        <v>0.1578</v>
      </c>
      <c r="G21" s="1047"/>
      <c r="H21" s="1076">
        <v>46.335170958904115</v>
      </c>
      <c r="I21" s="1077">
        <v>0.30034947945205476</v>
      </c>
      <c r="J21" s="1016">
        <v>2.5174877993951563</v>
      </c>
      <c r="K21" s="1017">
        <v>2.0628287894896498</v>
      </c>
      <c r="L21" s="1048"/>
      <c r="M21" s="1073">
        <v>19.381075397260275</v>
      </c>
      <c r="N21" s="1074">
        <v>0.12563013698630135</v>
      </c>
      <c r="O21" s="1046"/>
      <c r="P21" s="1046"/>
      <c r="Q21" s="1001"/>
      <c r="R21" s="1001"/>
      <c r="S21" s="1001"/>
      <c r="T21" s="1003" t="s">
        <v>365</v>
      </c>
      <c r="U21" s="1020">
        <v>695.83</v>
      </c>
      <c r="V21" s="1019">
        <v>4.5103999999999997</v>
      </c>
      <c r="W21" s="1062">
        <v>24.34</v>
      </c>
      <c r="X21" s="1064">
        <v>0.1578</v>
      </c>
      <c r="Y21" s="1064"/>
      <c r="Z21" s="1089">
        <v>46.34</v>
      </c>
      <c r="AA21" s="1070">
        <v>0.30030000000000001</v>
      </c>
      <c r="AB21" s="1064">
        <v>2.5175000000000001</v>
      </c>
      <c r="AC21" s="1064">
        <v>2.0628000000000002</v>
      </c>
      <c r="AD21" s="1067">
        <v>0</v>
      </c>
      <c r="AE21" s="1081">
        <v>19.38</v>
      </c>
      <c r="AF21" s="1083">
        <v>0.12559999999999999</v>
      </c>
      <c r="AG21" s="1047"/>
      <c r="AH21" s="1047"/>
    </row>
    <row r="22" spans="2:34" hidden="1" x14ac:dyDescent="0.25">
      <c r="B22" s="1003" t="s">
        <v>364</v>
      </c>
      <c r="C22" s="1045">
        <v>3050.1730372463994</v>
      </c>
      <c r="D22" s="1045">
        <v>4.805291365343999</v>
      </c>
      <c r="E22" s="1058">
        <v>106.7</v>
      </c>
      <c r="F22" s="1047">
        <v>0.1681</v>
      </c>
      <c r="G22" s="1047"/>
      <c r="H22" s="1076">
        <v>203.11107189041098</v>
      </c>
      <c r="I22" s="1077">
        <v>0.31998476712328766</v>
      </c>
      <c r="J22" s="1016">
        <v>2.8698526280349421</v>
      </c>
      <c r="K22" s="1017">
        <v>2.2916806293047167</v>
      </c>
      <c r="L22" s="1048"/>
      <c r="M22" s="1073">
        <v>84.957301479452042</v>
      </c>
      <c r="N22" s="1074">
        <v>0.13384306849315067</v>
      </c>
      <c r="O22" s="1046"/>
      <c r="P22" s="1046"/>
      <c r="Q22" s="1001"/>
      <c r="R22" s="1001"/>
      <c r="S22" s="1001"/>
      <c r="T22" s="1003" t="s">
        <v>364</v>
      </c>
      <c r="U22" s="1020">
        <v>3050.17</v>
      </c>
      <c r="V22" s="1019">
        <v>4.8052999999999999</v>
      </c>
      <c r="W22" s="1062">
        <v>106.7</v>
      </c>
      <c r="X22" s="1064">
        <v>0.1681</v>
      </c>
      <c r="Y22" s="1064"/>
      <c r="Z22" s="1089">
        <v>203.11</v>
      </c>
      <c r="AA22" s="1070">
        <v>0.32</v>
      </c>
      <c r="AB22" s="1064">
        <v>2.8698999999999999</v>
      </c>
      <c r="AC22" s="1064">
        <v>2.2917000000000001</v>
      </c>
      <c r="AD22" s="1067">
        <v>0</v>
      </c>
      <c r="AE22" s="1081">
        <v>84.96</v>
      </c>
      <c r="AF22" s="1083">
        <v>0.1338</v>
      </c>
      <c r="AG22" s="1047"/>
      <c r="AH22" s="1047"/>
    </row>
    <row r="23" spans="2:34" hidden="1" x14ac:dyDescent="0.25">
      <c r="B23" s="1003" t="s">
        <v>363</v>
      </c>
      <c r="C23" s="1045">
        <v>1.3177401119999999</v>
      </c>
      <c r="D23" s="1045">
        <v>29.116785514751992</v>
      </c>
      <c r="E23" s="1058">
        <v>0.05</v>
      </c>
      <c r="F23" s="1047">
        <v>1.0185999999999999</v>
      </c>
      <c r="G23" s="1047"/>
      <c r="H23" s="1076">
        <v>8.774827397260275E-2</v>
      </c>
      <c r="I23" s="1077">
        <v>1.93888701369863</v>
      </c>
      <c r="J23" s="1016">
        <v>2.3174969507077101</v>
      </c>
      <c r="K23" s="1017">
        <v>2.4620897526061096</v>
      </c>
      <c r="L23" s="1048"/>
      <c r="M23" s="1073">
        <v>3.670323287671233E-2</v>
      </c>
      <c r="N23" s="1074">
        <v>0.81099813698630141</v>
      </c>
      <c r="O23" s="1046"/>
      <c r="P23" s="1046"/>
      <c r="Q23" s="1001"/>
      <c r="R23" s="1001"/>
      <c r="S23" s="1001"/>
      <c r="T23" s="1003" t="s">
        <v>363</v>
      </c>
      <c r="U23" s="1020">
        <v>1.32</v>
      </c>
      <c r="V23" s="1019">
        <v>29.116800000000001</v>
      </c>
      <c r="W23" s="1062">
        <v>0.05</v>
      </c>
      <c r="X23" s="1064">
        <v>1.0185999999999999</v>
      </c>
      <c r="Y23" s="1064"/>
      <c r="Z23" s="1089">
        <v>0.09</v>
      </c>
      <c r="AA23" s="1070">
        <v>1.9389000000000001</v>
      </c>
      <c r="AB23" s="1064">
        <v>2.3174999999999999</v>
      </c>
      <c r="AC23" s="1064">
        <v>2.4621</v>
      </c>
      <c r="AD23" s="1067">
        <v>0</v>
      </c>
      <c r="AE23" s="1081">
        <v>0.04</v>
      </c>
      <c r="AF23" s="1083">
        <v>0.81100000000000005</v>
      </c>
      <c r="AG23" s="1047"/>
      <c r="AH23" s="1047"/>
    </row>
    <row r="24" spans="2:34" hidden="1" x14ac:dyDescent="0.25">
      <c r="B24" s="1003" t="s">
        <v>131</v>
      </c>
      <c r="C24" s="1060">
        <v>4.9060478015999989</v>
      </c>
      <c r="D24" s="1045">
        <v>6.1528326767999991E-2</v>
      </c>
      <c r="E24" s="1058">
        <v>0.02</v>
      </c>
      <c r="F24" s="1047">
        <v>2.1800000000000001E-3</v>
      </c>
      <c r="G24" s="1047"/>
      <c r="H24" s="1076">
        <v>3.3074630136986298E-2</v>
      </c>
      <c r="I24" s="1077">
        <v>4.1539999999999997E-3</v>
      </c>
      <c r="J24" s="1016">
        <v>4.5797797345225764E-3</v>
      </c>
      <c r="K24" s="1017">
        <v>3.7946773848557686E-3</v>
      </c>
      <c r="L24" s="1048"/>
      <c r="M24" s="1073">
        <v>0.13664909589041099</v>
      </c>
      <c r="N24" s="1074">
        <v>1.738E-3</v>
      </c>
      <c r="O24" s="1046"/>
      <c r="P24" s="1046"/>
      <c r="Q24" s="1001"/>
      <c r="R24" s="1001"/>
      <c r="S24" s="1001"/>
      <c r="T24" s="1003" t="s">
        <v>131</v>
      </c>
      <c r="U24" s="1020">
        <v>4.91</v>
      </c>
      <c r="V24" s="1018">
        <v>6.1530000000000001E-2</v>
      </c>
      <c r="W24" s="1062">
        <v>0.02</v>
      </c>
      <c r="X24" s="1063">
        <v>2.1800000000000001E-3</v>
      </c>
      <c r="Y24" s="1063"/>
      <c r="Z24" s="1089">
        <v>0.03</v>
      </c>
      <c r="AA24" s="1069">
        <v>4.15E-3</v>
      </c>
      <c r="AB24" s="1063">
        <v>4.5799999999999999E-3</v>
      </c>
      <c r="AC24" s="1063">
        <v>3.79E-3</v>
      </c>
      <c r="AD24" s="1066">
        <v>0</v>
      </c>
      <c r="AE24" s="1081">
        <v>0.14000000000000001</v>
      </c>
      <c r="AF24" s="1082">
        <v>1.74E-3</v>
      </c>
      <c r="AG24" s="1047"/>
      <c r="AH24" s="1047"/>
    </row>
    <row r="25" spans="2:34" hidden="1" x14ac:dyDescent="0.25">
      <c r="B25" s="1003" t="s">
        <v>362</v>
      </c>
      <c r="C25" s="1060">
        <v>0.49668665759999991</v>
      </c>
      <c r="D25" s="1045" t="s">
        <v>361</v>
      </c>
      <c r="E25" s="1058">
        <v>0.17</v>
      </c>
      <c r="F25" s="1047" t="s">
        <v>361</v>
      </c>
      <c r="G25" s="1047"/>
      <c r="H25" s="1076">
        <v>0.32669358904109586</v>
      </c>
      <c r="I25" s="1077" t="s">
        <v>361</v>
      </c>
      <c r="J25" s="1016"/>
      <c r="K25" s="1017"/>
      <c r="L25" s="1048"/>
      <c r="M25" s="1073">
        <v>1.3833863013698633E-2</v>
      </c>
      <c r="N25" s="1074" t="s">
        <v>361</v>
      </c>
      <c r="O25" s="1046"/>
      <c r="P25" s="1046"/>
      <c r="Q25" s="1001"/>
      <c r="R25" s="1001"/>
      <c r="S25" s="1001"/>
      <c r="T25" s="1003" t="s">
        <v>362</v>
      </c>
      <c r="U25" s="1020">
        <v>0.5</v>
      </c>
      <c r="V25" s="1004"/>
      <c r="W25" s="1062">
        <v>0.17</v>
      </c>
      <c r="X25" s="1062"/>
      <c r="Y25" s="1062"/>
      <c r="Z25" s="1089">
        <v>0.33</v>
      </c>
      <c r="AA25" s="1071"/>
      <c r="AB25" s="1062"/>
      <c r="AC25" s="1062"/>
      <c r="AD25" s="1066">
        <v>0</v>
      </c>
      <c r="AE25" s="1081">
        <v>0.01</v>
      </c>
      <c r="AF25" s="1084"/>
      <c r="AG25" s="1047"/>
      <c r="AH25" s="1047"/>
    </row>
    <row r="26" spans="2:34" ht="15.75" hidden="1" thickBot="1" x14ac:dyDescent="0.3">
      <c r="B26" s="1005"/>
      <c r="C26" s="1059"/>
      <c r="D26" s="1059"/>
      <c r="E26" s="1059"/>
      <c r="F26" s="1059"/>
      <c r="G26" s="1059"/>
      <c r="H26" s="1043"/>
      <c r="I26" s="1038"/>
      <c r="J26" s="1005"/>
      <c r="K26" s="1007"/>
      <c r="L26" s="1050"/>
      <c r="M26" s="1049"/>
      <c r="N26" s="1050"/>
      <c r="O26" s="1045"/>
      <c r="P26" s="1045"/>
      <c r="Q26" s="1001"/>
      <c r="R26" s="1001"/>
      <c r="S26" s="1001"/>
      <c r="T26" s="1005"/>
      <c r="U26" s="1006"/>
      <c r="V26" s="1006"/>
      <c r="W26" s="1025"/>
      <c r="X26" s="1025"/>
      <c r="Y26" s="1025"/>
      <c r="Z26" s="1026"/>
      <c r="AA26" s="1027"/>
      <c r="AB26" s="1026"/>
      <c r="AC26" s="1027"/>
      <c r="AD26" s="1027"/>
      <c r="AE26" s="1049"/>
      <c r="AF26" s="1050"/>
      <c r="AG26" s="1045"/>
      <c r="AH26" s="1045"/>
    </row>
    <row r="27" spans="2:34" hidden="1" x14ac:dyDescent="0.25">
      <c r="B27" s="1001"/>
      <c r="C27" s="1001"/>
      <c r="D27" s="1001"/>
      <c r="E27" s="1001"/>
      <c r="F27" s="1001"/>
      <c r="G27" s="1001"/>
      <c r="H27" s="1001"/>
      <c r="I27" s="1001"/>
      <c r="J27" s="1001"/>
      <c r="K27" s="1001"/>
      <c r="L27" s="1001"/>
      <c r="M27" s="1001"/>
      <c r="N27" s="1001"/>
      <c r="O27" s="1001"/>
      <c r="P27" s="1001"/>
      <c r="Q27" s="1001"/>
      <c r="R27" s="1001"/>
      <c r="S27" s="1001"/>
      <c r="T27" s="1001"/>
      <c r="U27" s="1001"/>
      <c r="V27" s="1001"/>
      <c r="W27" s="1001"/>
      <c r="X27" s="1001"/>
      <c r="Y27" s="1001"/>
      <c r="Z27" s="1001"/>
      <c r="AA27" s="1001"/>
      <c r="AB27" s="1001"/>
      <c r="AC27" s="1001"/>
      <c r="AD27" s="1001"/>
      <c r="AE27" s="1044"/>
      <c r="AF27" s="1044"/>
      <c r="AG27" s="1044"/>
      <c r="AH27" s="1044"/>
    </row>
    <row r="28" spans="2:34" ht="15.75" hidden="1" thickBot="1" x14ac:dyDescent="0.3">
      <c r="B28" s="1011" t="s">
        <v>398</v>
      </c>
      <c r="C28" s="1053"/>
      <c r="D28" s="1053"/>
      <c r="E28" s="1053"/>
      <c r="F28" s="1053"/>
      <c r="G28" s="1053"/>
      <c r="H28" s="1012"/>
      <c r="I28" s="1012"/>
      <c r="J28" s="1012"/>
      <c r="K28" s="1012"/>
      <c r="L28" s="1054"/>
      <c r="M28" s="1045"/>
      <c r="N28" s="1045"/>
      <c r="O28" s="1045"/>
      <c r="P28" s="1045"/>
      <c r="Q28" s="1001"/>
      <c r="R28" s="1001"/>
      <c r="S28" s="1001"/>
      <c r="T28" s="1011" t="s">
        <v>398</v>
      </c>
      <c r="U28" s="1012"/>
      <c r="V28" s="1012"/>
      <c r="W28" s="1012"/>
      <c r="X28" s="1012"/>
      <c r="Y28" s="1012"/>
      <c r="Z28" s="1012"/>
      <c r="AA28" s="1012"/>
      <c r="AB28" s="1012"/>
      <c r="AC28" s="1012"/>
      <c r="AD28" s="1013"/>
      <c r="AE28" s="1045"/>
      <c r="AF28" s="1045"/>
      <c r="AG28" s="1045"/>
      <c r="AH28" s="1045"/>
    </row>
    <row r="29" spans="2:34" ht="60.75" hidden="1" thickBot="1" x14ac:dyDescent="0.3">
      <c r="B29" s="1008" t="s">
        <v>378</v>
      </c>
      <c r="C29" s="1055" t="s">
        <v>377</v>
      </c>
      <c r="D29" s="1055" t="s">
        <v>376</v>
      </c>
      <c r="E29" s="1055" t="s">
        <v>375</v>
      </c>
      <c r="F29" s="1055" t="s">
        <v>374</v>
      </c>
      <c r="G29" s="1055"/>
      <c r="H29" s="1039" t="s">
        <v>373</v>
      </c>
      <c r="I29" s="1040" t="s">
        <v>372</v>
      </c>
      <c r="J29" s="1014" t="s">
        <v>371</v>
      </c>
      <c r="K29" s="1015" t="s">
        <v>370</v>
      </c>
      <c r="L29" s="1056" t="s">
        <v>369</v>
      </c>
      <c r="M29" s="1051" t="s">
        <v>399</v>
      </c>
      <c r="N29" s="1052" t="s">
        <v>400</v>
      </c>
      <c r="O29" s="1051" t="s">
        <v>401</v>
      </c>
      <c r="P29" s="1052" t="s">
        <v>402</v>
      </c>
      <c r="Q29" s="1001"/>
      <c r="R29" s="1001"/>
      <c r="S29" s="1001"/>
      <c r="T29" s="1008" t="s">
        <v>378</v>
      </c>
      <c r="U29" s="1009" t="s">
        <v>377</v>
      </c>
      <c r="V29" s="1009" t="s">
        <v>376</v>
      </c>
      <c r="W29" s="1009" t="s">
        <v>375</v>
      </c>
      <c r="X29" s="1009" t="s">
        <v>374</v>
      </c>
      <c r="Y29" s="1015" t="s">
        <v>391</v>
      </c>
      <c r="Z29" s="1014" t="s">
        <v>373</v>
      </c>
      <c r="AA29" s="1015" t="s">
        <v>372</v>
      </c>
      <c r="AB29" s="1014" t="s">
        <v>371</v>
      </c>
      <c r="AC29" s="1015" t="s">
        <v>370</v>
      </c>
      <c r="AD29" s="1010" t="s">
        <v>369</v>
      </c>
      <c r="AE29" s="1051" t="s">
        <v>399</v>
      </c>
      <c r="AF29" s="1052" t="s">
        <v>400</v>
      </c>
      <c r="AG29" s="1051" t="s">
        <v>401</v>
      </c>
      <c r="AH29" s="1052" t="s">
        <v>402</v>
      </c>
    </row>
    <row r="30" spans="2:34" hidden="1" x14ac:dyDescent="0.25">
      <c r="B30" s="1003" t="s">
        <v>125</v>
      </c>
      <c r="C30" s="1061">
        <v>18.624837378383997</v>
      </c>
      <c r="D30" s="1057">
        <v>1.5383507137165147E-2</v>
      </c>
      <c r="E30" s="1058">
        <v>0.42</v>
      </c>
      <c r="F30" s="1047">
        <v>3.5E-4</v>
      </c>
      <c r="G30" s="1047"/>
      <c r="H30" s="1041">
        <v>0.4605445479452055</v>
      </c>
      <c r="I30" s="1037">
        <v>3.86E-4</v>
      </c>
      <c r="J30" s="1016">
        <v>7.5223952181527392E-3</v>
      </c>
      <c r="K30" s="1017">
        <v>6.0082391926882996E-3</v>
      </c>
      <c r="L30" s="1048"/>
      <c r="M30" s="1073">
        <v>0.51525863013698625</v>
      </c>
      <c r="N30" s="1074">
        <v>4.3100000000000001E-4</v>
      </c>
      <c r="O30" s="1076">
        <v>1.2318519452054795</v>
      </c>
      <c r="P30" s="1078">
        <v>1.031E-3</v>
      </c>
      <c r="Q30" s="1001"/>
      <c r="R30" s="1001"/>
      <c r="S30" s="1001"/>
      <c r="T30" s="1003" t="s">
        <v>125</v>
      </c>
      <c r="U30" s="1020">
        <v>18.62</v>
      </c>
      <c r="V30" s="1018">
        <v>1.538E-2</v>
      </c>
      <c r="W30" s="1021">
        <v>0.42</v>
      </c>
      <c r="X30" s="1031">
        <v>3.5E-4</v>
      </c>
      <c r="Y30" s="1031"/>
      <c r="Z30" s="1022">
        <v>0.46</v>
      </c>
      <c r="AA30" s="1030">
        <v>3.8999999999999999E-4</v>
      </c>
      <c r="AB30" s="1031">
        <v>7.5199999999999998E-3</v>
      </c>
      <c r="AC30" s="1031">
        <v>6.0099999999999997E-3</v>
      </c>
      <c r="AD30" s="1028">
        <v>0</v>
      </c>
      <c r="AE30" s="1079">
        <v>0.52</v>
      </c>
      <c r="AF30" s="1080">
        <v>4.2999999999999999E-4</v>
      </c>
      <c r="AG30" s="1085">
        <v>1.23</v>
      </c>
      <c r="AH30" s="1085">
        <v>1.0300000000000001E-3</v>
      </c>
    </row>
    <row r="31" spans="2:34" hidden="1" x14ac:dyDescent="0.25">
      <c r="B31" s="1087" t="s">
        <v>393</v>
      </c>
      <c r="C31" s="1061">
        <v>17.349163585343994</v>
      </c>
      <c r="D31" s="1057">
        <v>2.6176826233180794E-2</v>
      </c>
      <c r="E31" s="1058">
        <v>0.16</v>
      </c>
      <c r="F31" s="1047">
        <v>5.9999999999999995E-4</v>
      </c>
      <c r="G31" s="1047"/>
      <c r="H31" s="1041">
        <v>0.17235715068493149</v>
      </c>
      <c r="I31" s="1037">
        <v>6.5600000000000001E-4</v>
      </c>
      <c r="J31" s="1016">
        <v>7.5223952181527384E-3</v>
      </c>
      <c r="K31" s="1017">
        <v>6.0082391926883014E-3</v>
      </c>
      <c r="L31" s="1048"/>
      <c r="M31" s="1073">
        <v>0.47996679452054802</v>
      </c>
      <c r="N31" s="1074">
        <v>7.3399999999999995E-4</v>
      </c>
      <c r="O31" s="1076">
        <v>0.46101599999999998</v>
      </c>
      <c r="P31" s="1078">
        <v>1.755E-3</v>
      </c>
      <c r="Q31" s="1001"/>
      <c r="R31" s="1001"/>
      <c r="S31" s="1001"/>
      <c r="T31" s="1087" t="s">
        <v>393</v>
      </c>
      <c r="U31" s="1020">
        <v>17.350000000000001</v>
      </c>
      <c r="V31" s="1018">
        <v>2.6179999999999998E-2</v>
      </c>
      <c r="W31" s="1021">
        <v>0.16</v>
      </c>
      <c r="X31" s="1031">
        <v>5.9999999999999995E-4</v>
      </c>
      <c r="Y31" s="1031"/>
      <c r="Z31" s="1023">
        <v>0.17</v>
      </c>
      <c r="AA31" s="1032">
        <v>6.6E-4</v>
      </c>
      <c r="AB31" s="1031">
        <v>7.5199999999999998E-3</v>
      </c>
      <c r="AC31" s="1031">
        <v>6.0099999999999997E-3</v>
      </c>
      <c r="AD31" s="1029">
        <v>0</v>
      </c>
      <c r="AE31" s="1081">
        <v>0.48</v>
      </c>
      <c r="AF31" s="1082">
        <v>7.2999999999999996E-4</v>
      </c>
      <c r="AG31" s="1085">
        <v>0.46</v>
      </c>
      <c r="AH31" s="1085">
        <v>1.7600000000000001E-3</v>
      </c>
    </row>
    <row r="32" spans="2:34" hidden="1" x14ac:dyDescent="0.25">
      <c r="B32" s="1003" t="s">
        <v>367</v>
      </c>
      <c r="C32" s="1061">
        <v>24.799098536697596</v>
      </c>
      <c r="D32" s="1057">
        <v>2.2931512103687032E-2</v>
      </c>
      <c r="E32" s="1058">
        <v>0.56000000000000005</v>
      </c>
      <c r="F32" s="1047">
        <v>5.2999999999999998E-4</v>
      </c>
      <c r="G32" s="1047"/>
      <c r="H32" s="1041">
        <v>0.61321808219178087</v>
      </c>
      <c r="I32" s="1037">
        <v>5.7499999999999999E-4</v>
      </c>
      <c r="J32" s="1016">
        <v>7.2762855595218529E-3</v>
      </c>
      <c r="K32" s="1017">
        <v>5.4226408308278417E-3</v>
      </c>
      <c r="L32" s="1048"/>
      <c r="M32" s="1073">
        <v>0.68607123287671246</v>
      </c>
      <c r="N32" s="1074">
        <v>6.4300000000000002E-4</v>
      </c>
      <c r="O32" s="1076">
        <v>1.6402191780821918</v>
      </c>
      <c r="P32" s="1078">
        <v>1.5380000000000001E-3</v>
      </c>
      <c r="Q32" s="1001"/>
      <c r="R32" s="1001"/>
      <c r="S32" s="1001"/>
      <c r="T32" s="1003" t="s">
        <v>367</v>
      </c>
      <c r="U32" s="1020">
        <v>24.8</v>
      </c>
      <c r="V32" s="1018">
        <v>2.2929999999999999E-2</v>
      </c>
      <c r="W32" s="1021">
        <v>0.56000000000000005</v>
      </c>
      <c r="X32" s="1031">
        <v>5.2999999999999998E-4</v>
      </c>
      <c r="Y32" s="1031"/>
      <c r="Z32" s="1023">
        <v>0.61</v>
      </c>
      <c r="AA32" s="1032">
        <v>5.8E-4</v>
      </c>
      <c r="AB32" s="1031">
        <v>7.28E-3</v>
      </c>
      <c r="AC32" s="1031">
        <v>5.4200000000000003E-3</v>
      </c>
      <c r="AD32" s="1029">
        <v>0</v>
      </c>
      <c r="AE32" s="1081">
        <v>0.69</v>
      </c>
      <c r="AF32" s="1082">
        <v>6.4000000000000005E-4</v>
      </c>
      <c r="AG32" s="1085">
        <v>1.64</v>
      </c>
      <c r="AH32" s="1085">
        <v>1.5399999999999999E-3</v>
      </c>
    </row>
    <row r="33" spans="2:34" hidden="1" x14ac:dyDescent="0.25">
      <c r="B33" s="1003" t="s">
        <v>366</v>
      </c>
      <c r="C33" s="1061">
        <v>36.29036806440191</v>
      </c>
      <c r="D33" s="1057">
        <v>5.7105282210676984</v>
      </c>
      <c r="E33" s="1058">
        <v>0.82</v>
      </c>
      <c r="F33" s="1047">
        <v>0.12920000000000001</v>
      </c>
      <c r="G33" s="1047"/>
      <c r="H33" s="1041">
        <v>0.89736756164383547</v>
      </c>
      <c r="I33" s="1037">
        <v>0.14120679452054796</v>
      </c>
      <c r="J33" s="1016">
        <v>2.6056592597046562</v>
      </c>
      <c r="K33" s="1017">
        <v>2.0648198239199749</v>
      </c>
      <c r="L33" s="1048"/>
      <c r="M33" s="1073">
        <v>1.0039788493150685</v>
      </c>
      <c r="N33" s="1074">
        <v>0.15798279452054795</v>
      </c>
      <c r="O33" s="1076">
        <v>2.4002541369863009</v>
      </c>
      <c r="P33" s="1078">
        <v>0.37769621917808222</v>
      </c>
      <c r="Q33" s="1001"/>
      <c r="R33" s="1001"/>
      <c r="S33" s="1001"/>
      <c r="T33" s="1003" t="s">
        <v>366</v>
      </c>
      <c r="U33" s="1020">
        <v>36.29</v>
      </c>
      <c r="V33" s="1019">
        <v>5.7104999999999997</v>
      </c>
      <c r="W33" s="1021">
        <v>0.82</v>
      </c>
      <c r="X33" s="1034">
        <v>0.12920000000000001</v>
      </c>
      <c r="Y33" s="1034"/>
      <c r="Z33" s="1023">
        <v>0.9</v>
      </c>
      <c r="AA33" s="1033">
        <v>0.14119999999999999</v>
      </c>
      <c r="AB33" s="1034">
        <v>2.6057000000000001</v>
      </c>
      <c r="AC33" s="1034">
        <v>2.0648</v>
      </c>
      <c r="AD33" s="1035">
        <v>0</v>
      </c>
      <c r="AE33" s="1081">
        <v>1</v>
      </c>
      <c r="AF33" s="1083">
        <v>0.158</v>
      </c>
      <c r="AG33" s="1086">
        <v>2.4</v>
      </c>
      <c r="AH33" s="1086">
        <v>0.37769999999999998</v>
      </c>
    </row>
    <row r="34" spans="2:34" hidden="1" x14ac:dyDescent="0.25">
      <c r="B34" s="1003" t="s">
        <v>365</v>
      </c>
      <c r="C34" s="1061">
        <v>700.55922557619067</v>
      </c>
      <c r="D34" s="1057">
        <v>4.5410925415120689</v>
      </c>
      <c r="E34" s="1058">
        <v>15.85</v>
      </c>
      <c r="F34" s="1047">
        <v>0.1027</v>
      </c>
      <c r="G34" s="1047"/>
      <c r="H34" s="1041">
        <v>17.323028383561642</v>
      </c>
      <c r="I34" s="1037">
        <v>0.11228942465753426</v>
      </c>
      <c r="J34" s="1016">
        <v>2.5174877993951563</v>
      </c>
      <c r="K34" s="1017">
        <v>2.0628287894896498</v>
      </c>
      <c r="L34" s="1048"/>
      <c r="M34" s="1073">
        <v>19.381075397260275</v>
      </c>
      <c r="N34" s="1074">
        <v>0.12563013698630135</v>
      </c>
      <c r="O34" s="1076">
        <v>46.335170958904115</v>
      </c>
      <c r="P34" s="1078">
        <v>0.30034947945205476</v>
      </c>
      <c r="Q34" s="1001"/>
      <c r="R34" s="1001"/>
      <c r="S34" s="1001"/>
      <c r="T34" s="1003" t="s">
        <v>365</v>
      </c>
      <c r="U34" s="1020">
        <v>700.56</v>
      </c>
      <c r="V34" s="1019">
        <v>4.5411000000000001</v>
      </c>
      <c r="W34" s="1021">
        <v>15.85</v>
      </c>
      <c r="X34" s="1034">
        <v>0.1027</v>
      </c>
      <c r="Y34" s="1034"/>
      <c r="Z34" s="1023">
        <v>17.32</v>
      </c>
      <c r="AA34" s="1033">
        <v>0.1123</v>
      </c>
      <c r="AB34" s="1034">
        <v>2.5175000000000001</v>
      </c>
      <c r="AC34" s="1034">
        <v>2.0628000000000002</v>
      </c>
      <c r="AD34" s="1035">
        <v>0</v>
      </c>
      <c r="AE34" s="1081">
        <v>19.38</v>
      </c>
      <c r="AF34" s="1083">
        <v>0.12559999999999999</v>
      </c>
      <c r="AG34" s="1086">
        <v>46.34</v>
      </c>
      <c r="AH34" s="1086">
        <v>0.30030000000000001</v>
      </c>
    </row>
    <row r="35" spans="2:34" hidden="1" x14ac:dyDescent="0.25">
      <c r="B35" s="1003" t="s">
        <v>364</v>
      </c>
      <c r="C35" s="1061">
        <v>3070.9142138996749</v>
      </c>
      <c r="D35" s="1057">
        <v>4.8379673466283375</v>
      </c>
      <c r="E35" s="1058">
        <v>69.459999999999994</v>
      </c>
      <c r="F35" s="1047">
        <v>0.1094</v>
      </c>
      <c r="G35" s="1047"/>
      <c r="H35" s="1041">
        <v>75.93581293150686</v>
      </c>
      <c r="I35" s="1037">
        <v>0.11963046575342465</v>
      </c>
      <c r="J35" s="1016">
        <v>2.8698526280349421</v>
      </c>
      <c r="K35" s="1017">
        <v>2.2916806293047167</v>
      </c>
      <c r="L35" s="1048"/>
      <c r="M35" s="1073">
        <v>84.957301479452042</v>
      </c>
      <c r="N35" s="1074">
        <v>0.13384306849315067</v>
      </c>
      <c r="O35" s="1076">
        <v>203.11107189041098</v>
      </c>
      <c r="P35" s="1078">
        <v>0.31998476712328766</v>
      </c>
      <c r="Q35" s="1001"/>
      <c r="R35" s="1001"/>
      <c r="S35" s="1001"/>
      <c r="T35" s="1003" t="s">
        <v>364</v>
      </c>
      <c r="U35" s="1020">
        <v>3070.91</v>
      </c>
      <c r="V35" s="1019">
        <v>4.8380000000000001</v>
      </c>
      <c r="W35" s="1021">
        <v>69.459999999999994</v>
      </c>
      <c r="X35" s="1034">
        <v>0.1094</v>
      </c>
      <c r="Y35" s="1034"/>
      <c r="Z35" s="1023">
        <v>75.94</v>
      </c>
      <c r="AA35" s="1033">
        <v>0.1196</v>
      </c>
      <c r="AB35" s="1034">
        <v>2.8698999999999999</v>
      </c>
      <c r="AC35" s="1034">
        <v>2.2917000000000001</v>
      </c>
      <c r="AD35" s="1035">
        <v>0</v>
      </c>
      <c r="AE35" s="1081">
        <v>84.96</v>
      </c>
      <c r="AF35" s="1083">
        <v>0.1338</v>
      </c>
      <c r="AG35" s="1086">
        <v>203.11</v>
      </c>
      <c r="AH35" s="1086">
        <v>0.32</v>
      </c>
    </row>
    <row r="36" spans="2:34" hidden="1" x14ac:dyDescent="0.25">
      <c r="B36" s="1003" t="s">
        <v>363</v>
      </c>
      <c r="C36" s="1061">
        <v>1.3267007447615997</v>
      </c>
      <c r="D36" s="1057">
        <v>29.314779656252302</v>
      </c>
      <c r="E36" s="1058">
        <v>0.03</v>
      </c>
      <c r="F36" s="1047">
        <v>0.66300000000000003</v>
      </c>
      <c r="G36" s="1047"/>
      <c r="H36" s="1041">
        <v>3.2806356164383564E-2</v>
      </c>
      <c r="I36" s="1037">
        <v>0.72487923287671241</v>
      </c>
      <c r="J36" s="1016">
        <v>2.3174969507077101</v>
      </c>
      <c r="K36" s="1017">
        <v>2.4620897526061096</v>
      </c>
      <c r="L36" s="1048"/>
      <c r="M36" s="1073">
        <v>3.670323287671233E-2</v>
      </c>
      <c r="N36" s="1074">
        <v>0.81099813698630141</v>
      </c>
      <c r="O36" s="1076">
        <v>8.774827397260275E-2</v>
      </c>
      <c r="P36" s="1078">
        <v>1.93888701369863</v>
      </c>
      <c r="Q36" s="1001"/>
      <c r="R36" s="1001"/>
      <c r="S36" s="1001"/>
      <c r="T36" s="1003" t="s">
        <v>363</v>
      </c>
      <c r="U36" s="1020">
        <v>1.33</v>
      </c>
      <c r="V36" s="1019">
        <v>29.314800000000002</v>
      </c>
      <c r="W36" s="1021">
        <v>0.03</v>
      </c>
      <c r="X36" s="1034">
        <v>0.66300000000000003</v>
      </c>
      <c r="Y36" s="1034"/>
      <c r="Z36" s="1023">
        <v>0.03</v>
      </c>
      <c r="AA36" s="1033">
        <v>0.72489999999999999</v>
      </c>
      <c r="AB36" s="1034">
        <v>2.3174999999999999</v>
      </c>
      <c r="AC36" s="1034">
        <v>2.4621</v>
      </c>
      <c r="AD36" s="1035">
        <v>0</v>
      </c>
      <c r="AE36" s="1081">
        <v>0.04</v>
      </c>
      <c r="AF36" s="1083">
        <v>0.81100000000000005</v>
      </c>
      <c r="AG36" s="1086">
        <v>0.09</v>
      </c>
      <c r="AH36" s="1086">
        <v>1.9389000000000001</v>
      </c>
    </row>
    <row r="37" spans="2:34" hidden="1" x14ac:dyDescent="0.25">
      <c r="B37" s="1003" t="s">
        <v>131</v>
      </c>
      <c r="C37" s="1061">
        <v>4.9394089266508781</v>
      </c>
      <c r="D37" s="1057">
        <v>6.1946719390022387E-2</v>
      </c>
      <c r="E37" s="1058">
        <v>0.01</v>
      </c>
      <c r="F37" s="1047">
        <v>1.42E-3</v>
      </c>
      <c r="G37" s="1047"/>
      <c r="H37" s="1041">
        <v>1.2365260273972603E-2</v>
      </c>
      <c r="I37" s="1037">
        <v>1.5529999999999999E-3</v>
      </c>
      <c r="J37" s="1016">
        <v>4.5797797345225764E-3</v>
      </c>
      <c r="K37" s="1017">
        <v>3.7946773848557686E-3</v>
      </c>
      <c r="L37" s="1048"/>
      <c r="M37" s="1073">
        <v>0.13664909589041099</v>
      </c>
      <c r="N37" s="1074">
        <v>1.738E-3</v>
      </c>
      <c r="O37" s="1076">
        <v>3.3074630136986298E-2</v>
      </c>
      <c r="P37" s="1078">
        <v>4.1539999999999997E-3</v>
      </c>
      <c r="Q37" s="1001"/>
      <c r="R37" s="1001"/>
      <c r="S37" s="1001"/>
      <c r="T37" s="1003" t="s">
        <v>131</v>
      </c>
      <c r="U37" s="1020">
        <v>4.9400000000000004</v>
      </c>
      <c r="V37" s="1018">
        <v>6.1949999999999998E-2</v>
      </c>
      <c r="W37" s="1021">
        <v>0.01</v>
      </c>
      <c r="X37" s="1031">
        <v>1.42E-3</v>
      </c>
      <c r="Y37" s="1031"/>
      <c r="Z37" s="1023">
        <v>0.01</v>
      </c>
      <c r="AA37" s="1032">
        <v>1.5499999999999999E-3</v>
      </c>
      <c r="AB37" s="1031">
        <v>4.5799999999999999E-3</v>
      </c>
      <c r="AC37" s="1031">
        <v>3.79E-3</v>
      </c>
      <c r="AD37" s="1029">
        <v>0</v>
      </c>
      <c r="AE37" s="1081">
        <v>0.14000000000000001</v>
      </c>
      <c r="AF37" s="1082">
        <v>1.74E-3</v>
      </c>
      <c r="AG37" s="1085">
        <v>0.03</v>
      </c>
      <c r="AH37" s="1085">
        <v>4.15E-3</v>
      </c>
    </row>
    <row r="38" spans="2:34" hidden="1" x14ac:dyDescent="0.25">
      <c r="B38" s="1003" t="s">
        <v>362</v>
      </c>
      <c r="C38" s="1061">
        <v>0.50006412687167989</v>
      </c>
      <c r="D38" s="1045"/>
      <c r="E38" s="1058">
        <v>0.11</v>
      </c>
      <c r="F38" s="1047" t="s">
        <v>361</v>
      </c>
      <c r="G38" s="1047"/>
      <c r="H38" s="1041">
        <v>0.1221386301369863</v>
      </c>
      <c r="I38" s="1042" t="s">
        <v>361</v>
      </c>
      <c r="J38" s="1016"/>
      <c r="K38" s="1017"/>
      <c r="L38" s="1048"/>
      <c r="M38" s="1073">
        <v>1.3833863013698633E-2</v>
      </c>
      <c r="N38" s="1074" t="s">
        <v>361</v>
      </c>
      <c r="O38" s="1076">
        <v>0.32669358904109586</v>
      </c>
      <c r="P38" s="1078" t="s">
        <v>361</v>
      </c>
      <c r="Q38" s="1001"/>
      <c r="R38" s="1001"/>
      <c r="S38" s="1001"/>
      <c r="T38" s="1003" t="s">
        <v>362</v>
      </c>
      <c r="U38" s="1020">
        <v>0.5</v>
      </c>
      <c r="V38" s="1004"/>
      <c r="W38" s="1021">
        <v>0.11</v>
      </c>
      <c r="X38" s="1021"/>
      <c r="Y38" s="1021"/>
      <c r="Z38" s="1023">
        <v>0.12</v>
      </c>
      <c r="AA38" s="1024"/>
      <c r="AB38" s="1021"/>
      <c r="AC38" s="1021"/>
      <c r="AD38" s="1029">
        <v>0</v>
      </c>
      <c r="AE38" s="1081">
        <v>0.01</v>
      </c>
      <c r="AF38" s="1084"/>
      <c r="AG38" s="1085">
        <v>0.33</v>
      </c>
      <c r="AH38" s="1072"/>
    </row>
    <row r="39" spans="2:34" ht="15.75" hidden="1" thickBot="1" x14ac:dyDescent="0.3">
      <c r="B39" s="1005"/>
      <c r="C39" s="1059"/>
      <c r="D39" s="1059"/>
      <c r="E39" s="1059"/>
      <c r="F39" s="1059"/>
      <c r="G39" s="1059"/>
      <c r="H39" s="1043"/>
      <c r="I39" s="1038"/>
      <c r="J39" s="1005"/>
      <c r="K39" s="1007"/>
      <c r="L39" s="1050"/>
      <c r="M39" s="1049"/>
      <c r="N39" s="1050"/>
      <c r="O39" s="1049"/>
      <c r="P39" s="1050"/>
      <c r="Q39" s="1001"/>
      <c r="R39" s="1001"/>
      <c r="S39" s="1001"/>
      <c r="T39" s="1005"/>
      <c r="U39" s="1006"/>
      <c r="V39" s="1006"/>
      <c r="W39" s="1025"/>
      <c r="X39" s="1025"/>
      <c r="Y39" s="1025"/>
      <c r="Z39" s="1026"/>
      <c r="AA39" s="1027"/>
      <c r="AB39" s="1026"/>
      <c r="AC39" s="1027"/>
      <c r="AD39" s="1027"/>
      <c r="AE39" s="1049"/>
      <c r="AF39" s="1050"/>
      <c r="AG39" s="1049"/>
      <c r="AH39" s="1050"/>
    </row>
    <row r="40" spans="2:34" hidden="1" x14ac:dyDescent="0.25">
      <c r="B40" s="1001"/>
      <c r="C40" s="1001"/>
      <c r="D40" s="1001"/>
      <c r="E40" s="1001"/>
      <c r="F40" s="1001"/>
      <c r="G40" s="1001"/>
      <c r="H40" s="1001"/>
      <c r="I40" s="1001"/>
      <c r="J40" s="1001"/>
      <c r="K40" s="1001"/>
      <c r="L40" s="1001"/>
      <c r="M40" s="1001"/>
      <c r="N40" s="1001"/>
      <c r="O40" s="1001"/>
      <c r="P40" s="1001"/>
      <c r="Q40" s="1001"/>
      <c r="R40" s="1001"/>
      <c r="S40" s="1001"/>
      <c r="T40" s="1001"/>
      <c r="U40" s="1001"/>
      <c r="V40" s="1001"/>
      <c r="W40" s="1001"/>
      <c r="X40" s="1001"/>
      <c r="Y40" s="1001"/>
      <c r="Z40" s="1001"/>
      <c r="AA40" s="1001"/>
      <c r="AB40" s="1001"/>
      <c r="AC40" s="1001"/>
      <c r="AD40" s="1001"/>
      <c r="AE40" s="1001"/>
      <c r="AF40" s="1001"/>
      <c r="AG40" s="1001"/>
      <c r="AH40" s="1001"/>
    </row>
    <row r="44" spans="2:34" x14ac:dyDescent="0.25">
      <c r="B44" s="1001"/>
      <c r="C44" s="1001"/>
      <c r="D44" s="1001"/>
      <c r="E44" s="1001"/>
      <c r="F44" s="1001"/>
      <c r="G44" s="1001"/>
      <c r="H44" s="1001"/>
      <c r="I44" s="1001"/>
      <c r="J44" s="1001"/>
      <c r="K44" s="1001"/>
      <c r="L44" s="1001"/>
      <c r="M44" s="1001"/>
      <c r="N44" s="1001"/>
      <c r="O44" s="1001"/>
      <c r="P44" s="1001"/>
      <c r="Q44" s="1044">
        <v>1.9E-2</v>
      </c>
      <c r="R44" s="1001"/>
      <c r="S44" s="1001"/>
      <c r="T44" s="1001"/>
      <c r="U44" s="1001"/>
      <c r="V44" s="1001"/>
      <c r="W44" s="1001"/>
      <c r="X44" s="1001"/>
      <c r="Y44" s="1001"/>
      <c r="Z44" s="1001"/>
      <c r="AA44" s="1001"/>
      <c r="AB44" s="1001"/>
      <c r="AC44" s="1001"/>
      <c r="AD44" s="1001"/>
      <c r="AE44" s="1001"/>
      <c r="AF44" s="1001"/>
      <c r="AG44" s="1001"/>
      <c r="AH44" s="1001"/>
    </row>
    <row r="45" spans="2:34" x14ac:dyDescent="0.25">
      <c r="B45" s="1001"/>
      <c r="C45" s="1001"/>
      <c r="D45" s="1001"/>
      <c r="E45" s="1001"/>
      <c r="F45" s="1001"/>
      <c r="G45" s="1001"/>
      <c r="H45" s="1001"/>
      <c r="I45" s="1001"/>
      <c r="J45" s="1001"/>
      <c r="K45" s="1001"/>
      <c r="L45" s="1001"/>
      <c r="M45" s="1001"/>
      <c r="N45" s="1001"/>
      <c r="O45" s="1001"/>
      <c r="P45" s="1001"/>
      <c r="Q45" s="1044">
        <v>1.5100000000000001E-2</v>
      </c>
      <c r="R45" s="1001"/>
      <c r="S45" s="1001"/>
      <c r="T45" s="1001"/>
      <c r="U45" s="1001"/>
      <c r="V45" s="1001"/>
      <c r="W45" s="1001"/>
      <c r="X45" s="1001"/>
      <c r="Y45" s="1001"/>
      <c r="Z45" s="1001"/>
      <c r="AA45" s="1001"/>
      <c r="AB45" s="1001"/>
      <c r="AC45" s="1001"/>
      <c r="AD45" s="1001"/>
      <c r="AE45" s="1001"/>
      <c r="AF45" s="1001"/>
      <c r="AG45" s="1001"/>
      <c r="AH45" s="1001"/>
    </row>
    <row r="46" spans="2:34" x14ac:dyDescent="0.25">
      <c r="B46" s="1001"/>
      <c r="C46" s="1001"/>
      <c r="D46" s="1001"/>
      <c r="E46" s="1001"/>
      <c r="F46" s="1001"/>
      <c r="G46" s="1001"/>
      <c r="H46" s="1001"/>
      <c r="I46" s="1001"/>
      <c r="J46" s="1001"/>
      <c r="K46" s="1001"/>
      <c r="L46" s="1001"/>
      <c r="M46" s="1001"/>
      <c r="N46" s="1001"/>
      <c r="O46" s="1001"/>
      <c r="P46" s="1001"/>
      <c r="Q46" s="1044">
        <v>1.61E-2</v>
      </c>
      <c r="R46" s="1001"/>
      <c r="S46" s="1001"/>
      <c r="T46" s="1001"/>
      <c r="U46" s="1001"/>
      <c r="V46" s="1001"/>
      <c r="W46" s="1001"/>
      <c r="X46" s="1001"/>
      <c r="Y46" s="1001"/>
      <c r="Z46" s="1001"/>
      <c r="AA46" s="1001"/>
      <c r="AB46" s="1001"/>
      <c r="AC46" s="1001"/>
      <c r="AD46" s="1001"/>
      <c r="AE46" s="1001"/>
      <c r="AF46" s="1001"/>
      <c r="AG46" s="1001"/>
      <c r="AH46" s="1001"/>
    </row>
    <row r="47" spans="2:34" x14ac:dyDescent="0.25">
      <c r="B47" s="1001"/>
      <c r="C47" s="1001"/>
      <c r="D47" s="1001"/>
      <c r="E47" s="1001"/>
      <c r="F47" s="1001"/>
      <c r="G47" s="1001"/>
      <c r="H47" s="1001"/>
      <c r="I47" s="1001"/>
      <c r="J47" s="1001"/>
      <c r="K47" s="1001"/>
      <c r="L47" s="1001"/>
      <c r="M47" s="1001"/>
      <c r="N47" s="1001"/>
      <c r="O47" s="1001"/>
      <c r="P47" s="1001"/>
      <c r="Q47" s="1044">
        <v>9.7699999999999995E-2</v>
      </c>
      <c r="R47" s="1001"/>
      <c r="S47" s="1001"/>
      <c r="T47" s="1001"/>
      <c r="U47" s="1001"/>
      <c r="V47" s="1001"/>
      <c r="W47" s="1001"/>
      <c r="X47" s="1001"/>
      <c r="Y47" s="1001"/>
      <c r="Z47" s="1001"/>
      <c r="AA47" s="1001"/>
      <c r="AB47" s="1001"/>
      <c r="AC47" s="1001"/>
      <c r="AD47" s="1001"/>
      <c r="AE47" s="1001"/>
      <c r="AF47" s="1001"/>
      <c r="AG47" s="1001"/>
      <c r="AH47" s="1001"/>
    </row>
    <row r="51" spans="7:16" x14ac:dyDescent="0.25">
      <c r="G51" s="1001"/>
      <c r="H51" s="1001"/>
      <c r="I51" s="1001"/>
      <c r="J51" s="1001"/>
      <c r="K51" s="1001"/>
      <c r="L51" s="1001"/>
      <c r="M51" s="1001"/>
      <c r="N51" s="1001"/>
      <c r="O51" s="1119"/>
      <c r="P51" s="1119"/>
    </row>
    <row r="52" spans="7:16" x14ac:dyDescent="0.25">
      <c r="G52" s="1001"/>
      <c r="H52" s="1001"/>
      <c r="I52" s="1001"/>
      <c r="J52" s="1001"/>
      <c r="K52" s="1001"/>
      <c r="L52" s="1001"/>
      <c r="M52" s="1001"/>
      <c r="N52" s="1001"/>
      <c r="O52" s="1119"/>
      <c r="P52" s="1119"/>
    </row>
    <row r="53" spans="7:16" x14ac:dyDescent="0.25">
      <c r="G53" s="1044" t="s">
        <v>18</v>
      </c>
      <c r="H53" s="1001"/>
      <c r="I53" s="1001"/>
      <c r="J53" s="1001"/>
      <c r="K53" s="1001"/>
      <c r="L53" s="1001"/>
      <c r="M53" s="1001"/>
      <c r="N53" s="1001"/>
      <c r="O53" s="1119"/>
      <c r="P53" s="1119"/>
    </row>
    <row r="54" spans="7:16" x14ac:dyDescent="0.25">
      <c r="G54" s="1001"/>
      <c r="H54" s="1001"/>
      <c r="I54" s="1001"/>
      <c r="J54" s="1001"/>
      <c r="K54" s="1001"/>
      <c r="L54" s="1001"/>
      <c r="M54" s="1001"/>
      <c r="N54" s="1001"/>
      <c r="O54" s="1119"/>
      <c r="P54" s="1119"/>
    </row>
    <row r="55" spans="7:16" x14ac:dyDescent="0.25">
      <c r="G55" s="1001"/>
      <c r="H55" s="1001"/>
      <c r="I55" s="1001"/>
      <c r="J55" s="1001"/>
      <c r="K55" s="1001"/>
      <c r="L55" s="1001"/>
      <c r="M55" s="1001"/>
      <c r="N55" s="1001"/>
      <c r="O55" s="1119"/>
      <c r="P55" s="1119"/>
    </row>
    <row r="56" spans="7:16" x14ac:dyDescent="0.25">
      <c r="G56" s="1001"/>
      <c r="H56" s="1001"/>
      <c r="I56" s="1001"/>
      <c r="J56" s="1001"/>
      <c r="K56" s="1001"/>
      <c r="L56" s="1001"/>
      <c r="M56" s="1001"/>
      <c r="N56" s="1001"/>
      <c r="O56" s="1119"/>
      <c r="P56" s="1119"/>
    </row>
    <row r="57" spans="7:16" x14ac:dyDescent="0.25">
      <c r="G57" s="1001"/>
      <c r="H57" s="1001"/>
      <c r="I57" s="1001"/>
      <c r="J57" s="1001"/>
      <c r="K57" s="1001"/>
      <c r="L57" s="1001"/>
      <c r="M57" s="1001"/>
      <c r="N57" s="1001"/>
      <c r="O57" s="1119"/>
      <c r="P57" s="1119"/>
    </row>
    <row r="58" spans="7:16" x14ac:dyDescent="0.25">
      <c r="G58" s="1001"/>
      <c r="H58" s="1001"/>
      <c r="I58" s="1001"/>
      <c r="J58" s="1001"/>
      <c r="K58" s="1001"/>
      <c r="L58" s="1001"/>
      <c r="M58" s="1001"/>
      <c r="N58" s="1001"/>
      <c r="O58" s="1119"/>
      <c r="P58" s="1119"/>
    </row>
    <row r="59" spans="7:16" x14ac:dyDescent="0.25">
      <c r="G59" s="1001"/>
      <c r="H59" s="1001"/>
      <c r="I59" s="1001"/>
      <c r="J59" s="1001"/>
      <c r="K59" s="1001"/>
      <c r="L59" s="1001"/>
      <c r="M59" s="1001"/>
      <c r="N59" s="1001"/>
      <c r="O59" s="1119"/>
      <c r="P59" s="1119"/>
    </row>
    <row r="60" spans="7:16" x14ac:dyDescent="0.25">
      <c r="G60" s="1001"/>
      <c r="H60" s="1001"/>
      <c r="I60" s="1001"/>
      <c r="J60" s="1001"/>
      <c r="K60" s="1001"/>
      <c r="L60" s="1001"/>
      <c r="M60" s="1001"/>
      <c r="N60" s="1001"/>
      <c r="O60" s="1119"/>
      <c r="P60" s="1119"/>
    </row>
    <row r="61" spans="7:16" x14ac:dyDescent="0.25">
      <c r="G61" s="1001"/>
      <c r="H61" s="1001"/>
      <c r="I61" s="1001"/>
      <c r="J61" s="1001"/>
      <c r="K61" s="1001"/>
      <c r="L61" s="1001"/>
      <c r="M61" s="1001"/>
      <c r="N61" s="1001"/>
      <c r="O61" s="1119"/>
      <c r="P61" s="1119"/>
    </row>
  </sheetData>
  <pageMargins left="0.7" right="0.7" top="0.75" bottom="0.75" header="0.3" footer="0.3"/>
  <pageSetup scale="2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T167"/>
  <sheetViews>
    <sheetView topLeftCell="A52" zoomScale="80" zoomScaleNormal="80" workbookViewId="0">
      <selection activeCell="B12" sqref="B12"/>
    </sheetView>
  </sheetViews>
  <sheetFormatPr defaultRowHeight="15.75" x14ac:dyDescent="0.25"/>
  <cols>
    <col min="1" max="1" width="78.28515625" style="23" customWidth="1"/>
    <col min="2" max="2" width="25.85546875" style="23" customWidth="1"/>
    <col min="3" max="3" width="20.85546875" style="27" customWidth="1"/>
    <col min="4" max="4" width="22.28515625" style="23" customWidth="1"/>
    <col min="5" max="5" width="21.5703125" style="23" customWidth="1"/>
    <col min="6" max="6" width="20.5703125" style="23" customWidth="1"/>
    <col min="7" max="7" width="22.42578125" style="23" customWidth="1"/>
    <col min="8" max="8" width="23" style="23" customWidth="1"/>
    <col min="9" max="9" width="19.140625" style="23" customWidth="1"/>
    <col min="10" max="10" width="21.28515625" style="23" customWidth="1"/>
    <col min="11" max="11" width="27.140625" style="23" customWidth="1"/>
    <col min="12" max="12" width="14.28515625" style="23" customWidth="1"/>
    <col min="13" max="13" width="23.7109375" style="23" customWidth="1"/>
    <col min="14" max="14" width="15.5703125" style="23" customWidth="1"/>
    <col min="15" max="15" width="12.7109375" style="23" customWidth="1"/>
    <col min="16" max="16" width="12.85546875" style="23" customWidth="1"/>
    <col min="17" max="17" width="18.42578125" style="23" customWidth="1"/>
    <col min="18" max="16384" width="9.140625" style="23"/>
  </cols>
  <sheetData>
    <row r="1" spans="1:17" s="18" customFormat="1" ht="20.25" customHeight="1" thickBot="1" x14ac:dyDescent="0.35">
      <c r="A1" s="722" t="s">
        <v>338</v>
      </c>
      <c r="C1" s="723"/>
    </row>
    <row r="2" spans="1:17" s="20" customFormat="1" ht="32.25" thickBot="1" x14ac:dyDescent="0.3">
      <c r="A2" s="724" t="s">
        <v>270</v>
      </c>
      <c r="B2" s="725"/>
      <c r="C2" s="725"/>
      <c r="D2" s="725" t="s">
        <v>23</v>
      </c>
      <c r="E2" s="725" t="s">
        <v>24</v>
      </c>
      <c r="F2" s="725" t="s">
        <v>25</v>
      </c>
      <c r="G2" s="725" t="s">
        <v>26</v>
      </c>
      <c r="H2" s="725" t="s">
        <v>27</v>
      </c>
      <c r="I2" s="725" t="s">
        <v>28</v>
      </c>
      <c r="J2" s="725" t="s">
        <v>29</v>
      </c>
      <c r="K2" s="726" t="s">
        <v>30</v>
      </c>
      <c r="L2" s="19" t="s">
        <v>31</v>
      </c>
      <c r="M2" s="727" t="s">
        <v>32</v>
      </c>
      <c r="N2" s="20" t="s">
        <v>33</v>
      </c>
    </row>
    <row r="3" spans="1:17" s="21" customFormat="1" ht="16.5" thickBot="1" x14ac:dyDescent="0.3">
      <c r="A3" s="728"/>
      <c r="B3" s="729"/>
      <c r="C3" s="730"/>
      <c r="D3" s="731" t="s">
        <v>34</v>
      </c>
      <c r="E3" s="731" t="s">
        <v>35</v>
      </c>
      <c r="F3" s="731" t="s">
        <v>36</v>
      </c>
      <c r="G3" s="731" t="s">
        <v>37</v>
      </c>
      <c r="H3" s="731" t="s">
        <v>38</v>
      </c>
      <c r="I3" s="731"/>
      <c r="J3" s="731" t="s">
        <v>39</v>
      </c>
      <c r="K3" s="732" t="s">
        <v>40</v>
      </c>
      <c r="L3" s="733"/>
    </row>
    <row r="4" spans="1:17" s="21" customFormat="1" ht="18.75" x14ac:dyDescent="0.3">
      <c r="A4" s="734" t="s">
        <v>271</v>
      </c>
      <c r="B4" s="735"/>
      <c r="C4" s="736"/>
      <c r="D4" s="737"/>
      <c r="E4" s="737" t="s">
        <v>41</v>
      </c>
      <c r="F4" s="737"/>
      <c r="G4" s="737"/>
      <c r="H4" s="737"/>
      <c r="I4" s="737"/>
      <c r="J4" s="737"/>
      <c r="K4" s="738"/>
      <c r="L4" s="733"/>
    </row>
    <row r="5" spans="1:17" s="21" customFormat="1" x14ac:dyDescent="0.25">
      <c r="A5" s="739" t="s">
        <v>22</v>
      </c>
      <c r="B5" s="740"/>
      <c r="C5" s="741" t="s">
        <v>272</v>
      </c>
      <c r="D5" s="630" t="s">
        <v>42</v>
      </c>
      <c r="E5" s="630" t="s">
        <v>42</v>
      </c>
      <c r="F5" s="630">
        <v>26934429.732053652</v>
      </c>
      <c r="G5" s="630">
        <v>10637919.72094347</v>
      </c>
      <c r="H5" s="630">
        <v>5229314.742966217</v>
      </c>
      <c r="I5" s="630" t="s">
        <v>42</v>
      </c>
      <c r="J5" s="630">
        <v>322725</v>
      </c>
      <c r="K5" s="631">
        <v>43124389.195963338</v>
      </c>
      <c r="L5" s="22" t="s">
        <v>18</v>
      </c>
      <c r="M5" s="22">
        <v>0</v>
      </c>
      <c r="N5" s="22">
        <v>43124389.195963338</v>
      </c>
      <c r="Q5" s="742">
        <v>0</v>
      </c>
    </row>
    <row r="6" spans="1:17" s="21" customFormat="1" x14ac:dyDescent="0.25">
      <c r="A6" s="739" t="s">
        <v>43</v>
      </c>
      <c r="B6" s="740"/>
      <c r="C6" s="741" t="s">
        <v>272</v>
      </c>
      <c r="D6" s="630">
        <v>5037295612.0990791</v>
      </c>
      <c r="E6" s="630">
        <v>2071525043.7725279</v>
      </c>
      <c r="F6" s="630">
        <v>10268957200.243916</v>
      </c>
      <c r="G6" s="630">
        <v>4685622966.0834589</v>
      </c>
      <c r="H6" s="630">
        <v>2236665845.1326065</v>
      </c>
      <c r="I6" s="630">
        <v>52097298.71804408</v>
      </c>
      <c r="J6" s="630">
        <v>111260969.55848952</v>
      </c>
      <c r="K6" s="631">
        <v>24463424935.608124</v>
      </c>
      <c r="L6" s="22">
        <v>0.1571044921875</v>
      </c>
      <c r="M6" s="22">
        <v>889948</v>
      </c>
      <c r="N6" s="22">
        <v>24462534987.608124</v>
      </c>
      <c r="Q6" s="742">
        <v>0</v>
      </c>
    </row>
    <row r="7" spans="1:17" s="21" customFormat="1" x14ac:dyDescent="0.25">
      <c r="A7" s="739" t="s">
        <v>44</v>
      </c>
      <c r="B7" s="740"/>
      <c r="C7" s="741" t="s">
        <v>272</v>
      </c>
      <c r="D7" s="632">
        <v>633121</v>
      </c>
      <c r="E7" s="632">
        <v>65907</v>
      </c>
      <c r="F7" s="632">
        <v>13776</v>
      </c>
      <c r="G7" s="632">
        <v>505</v>
      </c>
      <c r="H7" s="630">
        <v>50</v>
      </c>
      <c r="I7" s="633">
        <v>1107</v>
      </c>
      <c r="J7" s="740">
        <v>1</v>
      </c>
      <c r="K7" s="631">
        <v>714467</v>
      </c>
      <c r="L7" s="22">
        <v>0</v>
      </c>
      <c r="M7" s="22">
        <v>0</v>
      </c>
      <c r="N7" s="22">
        <v>714467</v>
      </c>
    </row>
    <row r="8" spans="1:17" s="21" customFormat="1" x14ac:dyDescent="0.25">
      <c r="A8" s="739" t="s">
        <v>45</v>
      </c>
      <c r="B8" s="740"/>
      <c r="C8" s="741"/>
      <c r="D8" s="632"/>
      <c r="E8" s="632"/>
      <c r="F8" s="632"/>
      <c r="G8" s="632"/>
      <c r="H8" s="630"/>
      <c r="I8" s="633">
        <v>12323</v>
      </c>
      <c r="J8" s="630">
        <v>163159</v>
      </c>
      <c r="K8" s="631"/>
      <c r="L8" s="22"/>
      <c r="M8" s="22"/>
      <c r="N8" s="22"/>
    </row>
    <row r="9" spans="1:17" s="21" customFormat="1" ht="32.25" customHeight="1" x14ac:dyDescent="0.25">
      <c r="A9" s="743" t="s">
        <v>46</v>
      </c>
      <c r="B9" s="740"/>
      <c r="C9" s="741" t="s">
        <v>273</v>
      </c>
      <c r="D9" s="634">
        <v>236438395.2136873</v>
      </c>
      <c r="E9" s="634">
        <v>71910098.13484858</v>
      </c>
      <c r="F9" s="634">
        <v>169258291.72838742</v>
      </c>
      <c r="G9" s="634">
        <v>51159558.104970008</v>
      </c>
      <c r="H9" s="634">
        <v>25957906.416061822</v>
      </c>
      <c r="I9" s="635">
        <v>3595222.8590137307</v>
      </c>
      <c r="J9" s="635">
        <v>13049664.046430433</v>
      </c>
      <c r="K9" s="631">
        <v>571369136.50339937</v>
      </c>
      <c r="L9" s="22"/>
      <c r="M9" s="618">
        <v>524684355.91310686</v>
      </c>
      <c r="N9" s="22">
        <v>46684780.590292513</v>
      </c>
      <c r="O9" s="744" t="s">
        <v>18</v>
      </c>
      <c r="Q9" s="742">
        <v>0</v>
      </c>
    </row>
    <row r="10" spans="1:17" s="21" customFormat="1" ht="32.25" customHeight="1" thickBot="1" x14ac:dyDescent="0.3">
      <c r="A10" s="745" t="s">
        <v>47</v>
      </c>
      <c r="B10" s="746"/>
      <c r="C10" s="747" t="s">
        <v>273</v>
      </c>
      <c r="D10" s="686">
        <v>9531407.3405103907</v>
      </c>
      <c r="E10" s="686">
        <v>3692660.6124652121</v>
      </c>
      <c r="F10" s="686">
        <v>3669965.073675009</v>
      </c>
      <c r="G10" s="686">
        <v>653371.98657033895</v>
      </c>
      <c r="H10" s="686">
        <v>237517.36219375161</v>
      </c>
      <c r="I10" s="687">
        <v>106836.70754713129</v>
      </c>
      <c r="J10" s="687">
        <v>97331.917038166575</v>
      </c>
      <c r="K10" s="688">
        <v>17989091</v>
      </c>
      <c r="L10" s="22"/>
      <c r="M10" s="618">
        <v>17989091</v>
      </c>
      <c r="N10" s="22">
        <v>0</v>
      </c>
      <c r="O10" s="744"/>
      <c r="Q10" s="742">
        <v>0</v>
      </c>
    </row>
    <row r="11" spans="1:17" ht="17.25" thickTop="1" thickBot="1" x14ac:dyDescent="0.3">
      <c r="A11" s="748"/>
      <c r="B11" s="18"/>
      <c r="C11" s="723"/>
      <c r="D11" s="18"/>
      <c r="E11" s="18"/>
      <c r="F11" s="18"/>
      <c r="G11" s="18"/>
      <c r="H11" s="18"/>
      <c r="I11" s="18"/>
      <c r="J11" s="18"/>
      <c r="K11" s="749" t="s">
        <v>18</v>
      </c>
      <c r="M11" s="750">
        <v>542673446.91310692</v>
      </c>
    </row>
    <row r="12" spans="1:17" ht="18.75" x14ac:dyDescent="0.3">
      <c r="A12" s="734" t="s">
        <v>48</v>
      </c>
      <c r="B12" s="735"/>
      <c r="C12" s="736"/>
      <c r="D12" s="737"/>
      <c r="E12" s="737"/>
      <c r="F12" s="737"/>
      <c r="G12" s="737"/>
      <c r="H12" s="737"/>
      <c r="I12" s="737"/>
      <c r="J12" s="737"/>
      <c r="K12" s="738"/>
    </row>
    <row r="13" spans="1:17" s="18" customFormat="1" x14ac:dyDescent="0.25">
      <c r="A13" s="751" t="s">
        <v>49</v>
      </c>
      <c r="B13" s="752"/>
      <c r="C13" s="741" t="s">
        <v>272</v>
      </c>
      <c r="D13" s="753">
        <v>0.20591129922969062</v>
      </c>
      <c r="E13" s="753">
        <v>8.4678455662898083E-2</v>
      </c>
      <c r="F13" s="753">
        <v>0.41976776462304644</v>
      </c>
      <c r="G13" s="753">
        <v>0.19153585315289301</v>
      </c>
      <c r="H13" s="753">
        <v>9.1428974112164982E-2</v>
      </c>
      <c r="I13" s="753">
        <v>2.1295995493342814E-3</v>
      </c>
      <c r="J13" s="753">
        <v>4.5480536699725087E-3</v>
      </c>
      <c r="K13" s="754">
        <v>0.99999999999999978</v>
      </c>
      <c r="L13" s="733" t="s">
        <v>18</v>
      </c>
    </row>
    <row r="14" spans="1:17" x14ac:dyDescent="0.25">
      <c r="A14" s="755" t="s">
        <v>50</v>
      </c>
      <c r="B14" s="752"/>
      <c r="C14" s="741" t="s">
        <v>272</v>
      </c>
      <c r="D14" s="753">
        <v>0.88614449652678151</v>
      </c>
      <c r="E14" s="753">
        <v>9.2246387866759413E-2</v>
      </c>
      <c r="F14" s="753">
        <v>1.9281506353687434E-2</v>
      </c>
      <c r="G14" s="753">
        <v>7.0682060892945367E-4</v>
      </c>
      <c r="H14" s="753">
        <v>6.9982238507866704E-5</v>
      </c>
      <c r="I14" s="753">
        <v>1.5494067605641689E-3</v>
      </c>
      <c r="J14" s="753">
        <v>1.3996447701573341E-6</v>
      </c>
      <c r="K14" s="754">
        <v>1</v>
      </c>
      <c r="L14" s="733" t="s">
        <v>18</v>
      </c>
    </row>
    <row r="15" spans="1:17" ht="35.25" customHeight="1" x14ac:dyDescent="0.3">
      <c r="A15" s="756" t="s">
        <v>18</v>
      </c>
      <c r="B15" s="757" t="s">
        <v>51</v>
      </c>
      <c r="C15" s="741" t="s">
        <v>274</v>
      </c>
      <c r="D15" s="753">
        <v>0.64735178889302769</v>
      </c>
      <c r="E15" s="753">
        <v>0.29510887723854207</v>
      </c>
      <c r="F15" s="753">
        <v>3.753621783563086E-2</v>
      </c>
      <c r="G15" s="753">
        <v>8.0782320146722542E-2</v>
      </c>
      <c r="H15" s="753">
        <v>6.7886486858972167E-2</v>
      </c>
      <c r="I15" s="753">
        <v>1.9756190479937336E-2</v>
      </c>
      <c r="J15" s="753"/>
      <c r="K15" s="754" t="s">
        <v>18</v>
      </c>
      <c r="L15" s="733"/>
      <c r="O15" s="758">
        <v>3301468.4721852755</v>
      </c>
      <c r="P15" s="759">
        <v>1.9756190479937336E-2</v>
      </c>
    </row>
    <row r="16" spans="1:17" ht="30" customHeight="1" x14ac:dyDescent="0.3">
      <c r="A16" s="756" t="s">
        <v>18</v>
      </c>
      <c r="B16" s="757" t="s">
        <v>52</v>
      </c>
      <c r="C16" s="741" t="s">
        <v>18</v>
      </c>
      <c r="D16" s="753">
        <v>0.35264821110697231</v>
      </c>
      <c r="E16" s="753">
        <v>0.70489112276145793</v>
      </c>
      <c r="F16" s="753">
        <v>0.96246378216436912</v>
      </c>
      <c r="G16" s="753">
        <v>0.9192176798532774</v>
      </c>
      <c r="H16" s="753">
        <v>0.93211351314102786</v>
      </c>
      <c r="I16" s="753">
        <v>0.95784832077833326</v>
      </c>
      <c r="J16" s="753">
        <v>0.78433208338391525</v>
      </c>
      <c r="K16" s="754" t="s">
        <v>18</v>
      </c>
      <c r="L16" s="733"/>
      <c r="P16" s="759">
        <v>0.95784832077833326</v>
      </c>
    </row>
    <row r="17" spans="1:17" ht="30" customHeight="1" x14ac:dyDescent="0.3">
      <c r="A17" s="756" t="s">
        <v>18</v>
      </c>
      <c r="B17" s="757" t="s">
        <v>53</v>
      </c>
      <c r="C17" s="741"/>
      <c r="D17" s="753"/>
      <c r="E17" s="753"/>
      <c r="F17" s="753"/>
      <c r="G17" s="753"/>
      <c r="H17" s="753" t="s">
        <v>18</v>
      </c>
      <c r="I17" s="753">
        <v>2.2395488741729429E-2</v>
      </c>
      <c r="J17" s="753">
        <v>0.21566791661608478</v>
      </c>
      <c r="K17" s="754"/>
      <c r="L17" s="733"/>
      <c r="P17" s="759">
        <v>2.2395488741729429E-2</v>
      </c>
    </row>
    <row r="18" spans="1:17" s="18" customFormat="1" ht="23.25" customHeight="1" thickBot="1" x14ac:dyDescent="0.3">
      <c r="A18" s="760" t="s">
        <v>54</v>
      </c>
      <c r="B18" s="761"/>
      <c r="C18" s="741" t="s">
        <v>18</v>
      </c>
      <c r="D18" s="762">
        <v>0.41381023248930876</v>
      </c>
      <c r="E18" s="762">
        <v>0.12585576213464367</v>
      </c>
      <c r="F18" s="762">
        <v>0.29623282203199719</v>
      </c>
      <c r="G18" s="762">
        <v>8.9538539687408603E-2</v>
      </c>
      <c r="H18" s="762">
        <v>4.5431061563661106E-2</v>
      </c>
      <c r="I18" s="762">
        <v>6.2922944718634462E-3</v>
      </c>
      <c r="J18" s="762">
        <v>2.283928762111706E-2</v>
      </c>
      <c r="K18" s="763">
        <v>0.99999999999999978</v>
      </c>
      <c r="L18" s="24"/>
    </row>
    <row r="19" spans="1:17" s="18" customFormat="1" ht="16.5" thickBot="1" x14ac:dyDescent="0.3">
      <c r="A19" s="764" t="s">
        <v>18</v>
      </c>
      <c r="B19" s="25"/>
      <c r="C19" s="765"/>
      <c r="D19" s="766"/>
      <c r="E19" s="766"/>
      <c r="F19" s="766"/>
      <c r="G19" s="766"/>
      <c r="H19" s="766"/>
      <c r="I19" s="766"/>
      <c r="J19" s="766"/>
      <c r="K19" s="767"/>
      <c r="L19" s="768"/>
      <c r="M19" s="25"/>
      <c r="N19" s="25"/>
    </row>
    <row r="20" spans="1:17" s="18" customFormat="1" ht="18.75" x14ac:dyDescent="0.3">
      <c r="A20" s="734" t="s">
        <v>55</v>
      </c>
      <c r="B20" s="735"/>
      <c r="C20" s="736"/>
      <c r="D20" s="737"/>
      <c r="E20" s="737"/>
      <c r="F20" s="737"/>
      <c r="G20" s="737"/>
      <c r="H20" s="737"/>
      <c r="I20" s="737"/>
      <c r="J20" s="737" t="s">
        <v>18</v>
      </c>
      <c r="K20" s="738"/>
      <c r="L20" s="24"/>
    </row>
    <row r="21" spans="1:17" s="18" customFormat="1" x14ac:dyDescent="0.25">
      <c r="A21" s="769" t="s">
        <v>56</v>
      </c>
      <c r="B21" s="770"/>
      <c r="C21" s="741" t="s">
        <v>275</v>
      </c>
      <c r="D21" s="619">
        <v>245969802.5541977</v>
      </c>
      <c r="E21" s="619">
        <v>75602758.747313797</v>
      </c>
      <c r="F21" s="619">
        <v>172928256.80206242</v>
      </c>
      <c r="G21" s="619">
        <v>51812930.091540344</v>
      </c>
      <c r="H21" s="619">
        <v>26195423.778255574</v>
      </c>
      <c r="I21" s="619">
        <v>3702059.5665608621</v>
      </c>
      <c r="J21" s="619">
        <v>13146995.9634686</v>
      </c>
      <c r="K21" s="617">
        <v>589358227.50339925</v>
      </c>
      <c r="L21" s="24"/>
      <c r="M21" s="771">
        <v>17989090.999999881</v>
      </c>
      <c r="Q21" s="742">
        <v>0</v>
      </c>
    </row>
    <row r="22" spans="1:17" s="18" customFormat="1" x14ac:dyDescent="0.25">
      <c r="A22" s="769" t="s">
        <v>57</v>
      </c>
      <c r="B22" s="770"/>
      <c r="C22" s="741" t="s">
        <v>275</v>
      </c>
      <c r="D22" s="619">
        <v>275646971.1996634</v>
      </c>
      <c r="E22" s="619">
        <v>81617023.533662602</v>
      </c>
      <c r="F22" s="619">
        <v>147698627.65411663</v>
      </c>
      <c r="G22" s="619">
        <v>41716305.298137158</v>
      </c>
      <c r="H22" s="619">
        <v>21819920.853217773</v>
      </c>
      <c r="I22" s="619">
        <v>3124747.2797880936</v>
      </c>
      <c r="J22" s="619">
        <v>17734631.684813593</v>
      </c>
      <c r="K22" s="617">
        <v>589358227.50339925</v>
      </c>
      <c r="L22" s="24"/>
      <c r="Q22" s="742">
        <v>0</v>
      </c>
    </row>
    <row r="23" spans="1:17" s="18" customFormat="1" x14ac:dyDescent="0.25">
      <c r="A23" s="769" t="s">
        <v>58</v>
      </c>
      <c r="B23" s="770"/>
      <c r="C23" s="765"/>
      <c r="D23" s="772">
        <v>0.89233631511964195</v>
      </c>
      <c r="E23" s="772">
        <v>0.92631114777337786</v>
      </c>
      <c r="F23" s="772">
        <v>1.1708183044667755</v>
      </c>
      <c r="G23" s="772">
        <v>1.2420306573471656</v>
      </c>
      <c r="H23" s="772">
        <v>1.2005279008329925</v>
      </c>
      <c r="I23" s="772">
        <v>1.1847548729802939</v>
      </c>
      <c r="J23" s="772">
        <v>0.74131767702435869</v>
      </c>
      <c r="K23" s="773" t="s">
        <v>18</v>
      </c>
      <c r="L23" s="24"/>
    </row>
    <row r="24" spans="1:17" s="18" customFormat="1" x14ac:dyDescent="0.25">
      <c r="A24" s="769" t="s">
        <v>59</v>
      </c>
      <c r="B24" s="770"/>
      <c r="C24" s="765"/>
      <c r="D24" s="619">
        <v>-29677168.645465702</v>
      </c>
      <c r="E24" s="619">
        <v>-6014264.7863488048</v>
      </c>
      <c r="F24" s="619">
        <v>25229629.147945791</v>
      </c>
      <c r="G24" s="619">
        <v>10096624.793403186</v>
      </c>
      <c r="H24" s="619">
        <v>4375502.9250378013</v>
      </c>
      <c r="I24" s="619">
        <v>577312.28677276848</v>
      </c>
      <c r="J24" s="619">
        <v>-4587635.7213449925</v>
      </c>
      <c r="K24" s="620">
        <v>4.8428773880004883E-8</v>
      </c>
      <c r="L24" s="24"/>
    </row>
    <row r="25" spans="1:17" s="18" customFormat="1" ht="16.5" thickBot="1" x14ac:dyDescent="0.3">
      <c r="A25" s="769" t="s">
        <v>276</v>
      </c>
      <c r="B25" s="770"/>
      <c r="C25" s="765"/>
      <c r="D25" s="774">
        <v>0.52422106813882507</v>
      </c>
      <c r="E25" s="774">
        <v>0.15521796981450192</v>
      </c>
      <c r="F25" s="774">
        <v>0.28089092368584739</v>
      </c>
      <c r="G25" s="774">
        <v>0</v>
      </c>
      <c r="H25" s="774">
        <v>0</v>
      </c>
      <c r="I25" s="774">
        <v>5.9425951591098158E-3</v>
      </c>
      <c r="J25" s="774">
        <v>3.3727443201715779E-2</v>
      </c>
      <c r="K25" s="695">
        <v>1</v>
      </c>
      <c r="L25" s="24"/>
    </row>
    <row r="26" spans="1:17" s="18" customFormat="1" ht="18.75" x14ac:dyDescent="0.3">
      <c r="A26" s="734" t="s">
        <v>60</v>
      </c>
      <c r="B26" s="775"/>
      <c r="C26" s="776"/>
      <c r="D26" s="777"/>
      <c r="E26" s="777"/>
      <c r="F26" s="777"/>
      <c r="G26" s="777"/>
      <c r="H26" s="777"/>
      <c r="I26" s="777"/>
      <c r="J26" s="777"/>
      <c r="K26" s="778"/>
      <c r="L26" s="24"/>
    </row>
    <row r="27" spans="1:17" s="18" customFormat="1" x14ac:dyDescent="0.25">
      <c r="A27" s="769" t="s">
        <v>61</v>
      </c>
      <c r="B27" s="770"/>
      <c r="C27" s="741" t="s">
        <v>62</v>
      </c>
      <c r="D27" s="619">
        <v>236438395.2136873</v>
      </c>
      <c r="E27" s="619">
        <v>71910098.13484858</v>
      </c>
      <c r="F27" s="619">
        <v>169258291.72838742</v>
      </c>
      <c r="G27" s="619">
        <v>51159558.104970008</v>
      </c>
      <c r="H27" s="619">
        <v>25957906.416061822</v>
      </c>
      <c r="I27" s="619">
        <v>3595222.8590137307</v>
      </c>
      <c r="J27" s="619">
        <v>13049664.046430433</v>
      </c>
      <c r="K27" s="617">
        <v>571369136.50339937</v>
      </c>
      <c r="L27" s="24"/>
      <c r="Q27" s="742">
        <v>0</v>
      </c>
    </row>
    <row r="28" spans="1:17" s="18" customFormat="1" x14ac:dyDescent="0.25">
      <c r="A28" s="769" t="s">
        <v>57</v>
      </c>
      <c r="B28" s="770"/>
      <c r="C28" s="741" t="s">
        <v>62</v>
      </c>
      <c r="D28" s="619">
        <v>266115563.859153</v>
      </c>
      <c r="E28" s="619">
        <v>77924362.921197385</v>
      </c>
      <c r="F28" s="619">
        <v>144028662.58044162</v>
      </c>
      <c r="G28" s="619">
        <v>41062933.311566822</v>
      </c>
      <c r="H28" s="619">
        <v>21582403.491024021</v>
      </c>
      <c r="I28" s="619">
        <v>3017910.5722409622</v>
      </c>
      <c r="J28" s="619">
        <v>17637299.767775428</v>
      </c>
      <c r="K28" s="617">
        <v>571369136.50339925</v>
      </c>
      <c r="L28" s="24"/>
    </row>
    <row r="29" spans="1:17" s="18" customFormat="1" x14ac:dyDescent="0.25">
      <c r="A29" s="769" t="s">
        <v>58</v>
      </c>
      <c r="B29" s="770"/>
      <c r="C29" s="765"/>
      <c r="D29" s="772">
        <v>0.88848014668855313</v>
      </c>
      <c r="E29" s="772">
        <v>0.92281919850367133</v>
      </c>
      <c r="F29" s="772">
        <v>1.175170890959671</v>
      </c>
      <c r="G29" s="772">
        <v>1.2458817229834653</v>
      </c>
      <c r="H29" s="772">
        <v>1.2027347383648694</v>
      </c>
      <c r="I29" s="772">
        <v>1.1912953591411699</v>
      </c>
      <c r="J29" s="772">
        <v>0.739890131610343</v>
      </c>
      <c r="K29" s="773">
        <v>1.0000000000000002</v>
      </c>
      <c r="L29" s="24"/>
    </row>
    <row r="30" spans="1:17" s="18" customFormat="1" x14ac:dyDescent="0.25">
      <c r="A30" s="769" t="s">
        <v>59</v>
      </c>
      <c r="B30" s="770"/>
      <c r="C30" s="765"/>
      <c r="D30" s="619">
        <v>-29677168.645465702</v>
      </c>
      <c r="E30" s="619">
        <v>-6014264.7863488048</v>
      </c>
      <c r="F30" s="619">
        <v>25229629.147945791</v>
      </c>
      <c r="G30" s="619">
        <v>10096624.793403186</v>
      </c>
      <c r="H30" s="619">
        <v>4375502.9250378013</v>
      </c>
      <c r="I30" s="619">
        <v>577312.28677276848</v>
      </c>
      <c r="J30" s="619">
        <v>-4587635.7213449944</v>
      </c>
      <c r="K30" s="628">
        <v>0</v>
      </c>
      <c r="L30" s="24"/>
    </row>
    <row r="31" spans="1:17" s="18" customFormat="1" ht="16.5" thickBot="1" x14ac:dyDescent="0.3">
      <c r="A31" s="779"/>
      <c r="B31" s="780"/>
      <c r="C31" s="781"/>
      <c r="D31" s="626"/>
      <c r="E31" s="626"/>
      <c r="F31" s="626"/>
      <c r="G31" s="626"/>
      <c r="H31" s="626"/>
      <c r="I31" s="626"/>
      <c r="J31" s="626"/>
      <c r="K31" s="627"/>
      <c r="L31" s="24"/>
    </row>
    <row r="32" spans="1:17" s="25" customFormat="1" ht="16.5" thickBot="1" x14ac:dyDescent="0.3">
      <c r="A32" s="764"/>
      <c r="C32" s="765"/>
      <c r="D32" s="638" t="s">
        <v>18</v>
      </c>
      <c r="E32" s="766"/>
      <c r="F32" s="766"/>
      <c r="G32" s="766"/>
      <c r="H32" s="766"/>
      <c r="I32" s="766"/>
      <c r="J32" s="766"/>
      <c r="K32" s="767"/>
      <c r="L32" s="768"/>
    </row>
    <row r="33" spans="1:24" s="18" customFormat="1" ht="20.25" x14ac:dyDescent="0.3">
      <c r="A33" s="782" t="s">
        <v>63</v>
      </c>
      <c r="B33" s="783"/>
      <c r="C33" s="784"/>
      <c r="D33" s="785">
        <v>0.88848014668855313</v>
      </c>
      <c r="E33" s="786" t="s">
        <v>18</v>
      </c>
      <c r="F33" s="786" t="s">
        <v>18</v>
      </c>
      <c r="G33" s="786" t="s">
        <v>18</v>
      </c>
      <c r="H33" s="786" t="s">
        <v>18</v>
      </c>
      <c r="I33" s="786" t="s">
        <v>18</v>
      </c>
      <c r="J33" s="786" t="s">
        <v>18</v>
      </c>
      <c r="K33" s="787"/>
      <c r="L33" s="24"/>
    </row>
    <row r="34" spans="1:24" s="18" customFormat="1" x14ac:dyDescent="0.25">
      <c r="A34" s="788" t="s">
        <v>64</v>
      </c>
      <c r="B34" s="789"/>
      <c r="C34" s="765"/>
      <c r="D34" s="629">
        <v>236438395.2136873</v>
      </c>
      <c r="E34" s="786"/>
      <c r="F34" s="786"/>
      <c r="G34" s="786"/>
      <c r="H34" s="786"/>
      <c r="I34" s="786"/>
      <c r="J34" s="786"/>
      <c r="K34" s="787"/>
      <c r="L34" s="24"/>
    </row>
    <row r="35" spans="1:24" s="18" customFormat="1" x14ac:dyDescent="0.25">
      <c r="A35" s="788" t="s">
        <v>65</v>
      </c>
      <c r="B35" s="789"/>
      <c r="C35" s="765"/>
      <c r="D35" s="790">
        <v>0</v>
      </c>
      <c r="E35" s="786"/>
      <c r="F35" s="786"/>
      <c r="G35" s="786"/>
      <c r="H35" s="786"/>
      <c r="I35" s="786"/>
      <c r="J35" s="786"/>
      <c r="K35" s="787"/>
      <c r="L35" s="24"/>
    </row>
    <row r="36" spans="1:24" s="18" customFormat="1" ht="16.5" thickBot="1" x14ac:dyDescent="0.3">
      <c r="A36" s="791" t="s">
        <v>18</v>
      </c>
      <c r="B36" s="792"/>
      <c r="C36" s="781"/>
      <c r="D36" s="793" t="s">
        <v>18</v>
      </c>
      <c r="E36" s="786"/>
      <c r="F36" s="786"/>
      <c r="G36" s="786"/>
      <c r="H36" s="786"/>
      <c r="I36" s="786"/>
      <c r="J36" s="786"/>
      <c r="K36" s="787"/>
      <c r="L36" s="24"/>
    </row>
    <row r="37" spans="1:24" s="25" customFormat="1" ht="16.5" thickBot="1" x14ac:dyDescent="0.3">
      <c r="A37" s="764"/>
      <c r="C37" s="765"/>
      <c r="D37" s="794"/>
      <c r="E37" s="786"/>
      <c r="F37" s="786"/>
      <c r="G37" s="786"/>
      <c r="H37" s="786"/>
      <c r="I37" s="786"/>
      <c r="J37" s="786"/>
      <c r="K37" s="787"/>
      <c r="L37" s="768"/>
    </row>
    <row r="38" spans="1:24" s="18" customFormat="1" ht="25.5" x14ac:dyDescent="0.35">
      <c r="A38" s="795" t="s">
        <v>66</v>
      </c>
      <c r="B38" s="796" t="s">
        <v>67</v>
      </c>
      <c r="C38" s="797"/>
      <c r="D38" s="640">
        <v>-29677168.645465702</v>
      </c>
      <c r="E38" s="640">
        <v>-6014264.7863488048</v>
      </c>
      <c r="F38" s="640">
        <v>0</v>
      </c>
      <c r="G38" s="640">
        <v>0</v>
      </c>
      <c r="H38" s="640">
        <v>0</v>
      </c>
      <c r="I38" s="640">
        <v>0</v>
      </c>
      <c r="J38" s="640">
        <v>-4587635.7213449944</v>
      </c>
      <c r="K38" s="641">
        <v>-40279069.153159499</v>
      </c>
      <c r="L38" s="798"/>
      <c r="M38" s="799"/>
      <c r="N38" s="799"/>
    </row>
    <row r="39" spans="1:24" s="18" customFormat="1" x14ac:dyDescent="0.25">
      <c r="A39" s="800"/>
      <c r="B39" s="801" t="s">
        <v>68</v>
      </c>
      <c r="C39" s="802"/>
      <c r="D39" s="642">
        <v>0</v>
      </c>
      <c r="E39" s="642">
        <v>0</v>
      </c>
      <c r="F39" s="642">
        <v>25229629.147945791</v>
      </c>
      <c r="G39" s="642">
        <v>10096624.793403186</v>
      </c>
      <c r="H39" s="642">
        <v>4375502.9250378013</v>
      </c>
      <c r="I39" s="642">
        <v>577312.28677276848</v>
      </c>
      <c r="J39" s="642">
        <v>0</v>
      </c>
      <c r="K39" s="643">
        <v>40279069.153159544</v>
      </c>
      <c r="L39" s="798"/>
      <c r="M39" s="799"/>
      <c r="N39" s="799"/>
    </row>
    <row r="40" spans="1:24" s="18" customFormat="1" ht="15" customHeight="1" x14ac:dyDescent="0.25">
      <c r="A40" s="800"/>
      <c r="B40" s="801"/>
      <c r="C40" s="802"/>
      <c r="D40" s="642"/>
      <c r="E40" s="642"/>
      <c r="F40" s="642"/>
      <c r="G40" s="642"/>
      <c r="H40" s="642"/>
      <c r="I40" s="642"/>
      <c r="J40" s="642"/>
      <c r="K40" s="643"/>
      <c r="L40" s="798"/>
      <c r="M40" s="799"/>
      <c r="N40" s="799"/>
    </row>
    <row r="41" spans="1:24" s="18" customFormat="1" x14ac:dyDescent="0.25">
      <c r="A41" s="800"/>
      <c r="B41" s="801" t="s">
        <v>69</v>
      </c>
      <c r="C41" s="802"/>
      <c r="D41" s="803">
        <v>0.73678884019438218</v>
      </c>
      <c r="E41" s="803">
        <v>0.14931489015994415</v>
      </c>
      <c r="F41" s="803">
        <v>0</v>
      </c>
      <c r="G41" s="803">
        <v>0</v>
      </c>
      <c r="H41" s="803">
        <v>0</v>
      </c>
      <c r="I41" s="803">
        <v>0</v>
      </c>
      <c r="J41" s="803">
        <v>0.11389626964567376</v>
      </c>
      <c r="K41" s="804">
        <v>1</v>
      </c>
      <c r="L41" s="798"/>
      <c r="M41" s="799"/>
      <c r="N41" s="799"/>
    </row>
    <row r="42" spans="1:24" s="18" customFormat="1" x14ac:dyDescent="0.25">
      <c r="A42" s="800"/>
      <c r="B42" s="801" t="s">
        <v>70</v>
      </c>
      <c r="C42" s="802"/>
      <c r="D42" s="803">
        <v>0</v>
      </c>
      <c r="E42" s="803">
        <v>0</v>
      </c>
      <c r="F42" s="803">
        <v>0.62637071010780165</v>
      </c>
      <c r="G42" s="803">
        <v>0.2506667856451989</v>
      </c>
      <c r="H42" s="803">
        <v>0.1086296932136174</v>
      </c>
      <c r="I42" s="803">
        <v>1.4332811033382169E-2</v>
      </c>
      <c r="J42" s="803">
        <v>0</v>
      </c>
      <c r="K42" s="804">
        <v>1</v>
      </c>
      <c r="L42" s="798"/>
      <c r="M42" s="799"/>
      <c r="N42" s="799"/>
      <c r="X42" s="805" t="s">
        <v>41</v>
      </c>
    </row>
    <row r="43" spans="1:24" s="18" customFormat="1" ht="14.25" customHeight="1" x14ac:dyDescent="0.25">
      <c r="A43" s="800"/>
      <c r="B43" s="801"/>
      <c r="C43" s="802"/>
      <c r="D43" s="642"/>
      <c r="E43" s="806"/>
      <c r="F43" s="806"/>
      <c r="G43" s="806"/>
      <c r="H43" s="806"/>
      <c r="I43" s="806"/>
      <c r="J43" s="806"/>
      <c r="K43" s="807"/>
      <c r="L43" s="798"/>
      <c r="M43" s="799"/>
      <c r="N43" s="799"/>
    </row>
    <row r="44" spans="1:24" s="18" customFormat="1" ht="31.5" x14ac:dyDescent="0.25">
      <c r="A44" s="800"/>
      <c r="B44" s="801" t="s">
        <v>71</v>
      </c>
      <c r="C44" s="802"/>
      <c r="D44" s="642">
        <v>0</v>
      </c>
      <c r="E44" s="642">
        <v>0</v>
      </c>
      <c r="F44" s="642">
        <v>0</v>
      </c>
      <c r="G44" s="642">
        <v>0</v>
      </c>
      <c r="H44" s="642">
        <v>0</v>
      </c>
      <c r="I44" s="642">
        <v>0</v>
      </c>
      <c r="J44" s="642">
        <v>0</v>
      </c>
      <c r="K44" s="643">
        <v>0</v>
      </c>
      <c r="L44" s="798"/>
      <c r="M44" s="799"/>
      <c r="N44" s="799"/>
    </row>
    <row r="45" spans="1:24" s="18" customFormat="1" ht="32.25" thickBot="1" x14ac:dyDescent="0.3">
      <c r="A45" s="808"/>
      <c r="B45" s="809" t="s">
        <v>72</v>
      </c>
      <c r="C45" s="810"/>
      <c r="D45" s="644"/>
      <c r="E45" s="644">
        <v>0</v>
      </c>
      <c r="F45" s="644">
        <v>0</v>
      </c>
      <c r="G45" s="644">
        <v>0</v>
      </c>
      <c r="H45" s="644">
        <v>0</v>
      </c>
      <c r="I45" s="644">
        <v>0</v>
      </c>
      <c r="J45" s="644">
        <v>0</v>
      </c>
      <c r="K45" s="645">
        <v>0</v>
      </c>
      <c r="L45" s="798"/>
      <c r="M45" s="799"/>
      <c r="N45" s="799"/>
    </row>
    <row r="46" spans="1:24" s="25" customFormat="1" ht="16.5" thickBot="1" x14ac:dyDescent="0.3">
      <c r="A46" s="811"/>
      <c r="C46" s="765"/>
      <c r="D46" s="638"/>
      <c r="E46" s="638"/>
      <c r="F46" s="812" t="s">
        <v>18</v>
      </c>
      <c r="G46" s="813">
        <v>0</v>
      </c>
      <c r="H46" s="638"/>
      <c r="I46" s="638"/>
      <c r="J46" s="638"/>
      <c r="K46" s="639"/>
      <c r="L46" s="768"/>
    </row>
    <row r="47" spans="1:24" s="18" customFormat="1" ht="19.5" thickBot="1" x14ac:dyDescent="0.35">
      <c r="A47" s="162" t="s">
        <v>73</v>
      </c>
      <c r="B47" s="163"/>
      <c r="C47" s="814"/>
      <c r="D47" s="621">
        <v>0</v>
      </c>
      <c r="E47" s="621">
        <v>0</v>
      </c>
      <c r="F47" s="621">
        <v>0</v>
      </c>
      <c r="G47" s="621">
        <v>0</v>
      </c>
      <c r="H47" s="621">
        <v>0</v>
      </c>
      <c r="I47" s="621">
        <v>0</v>
      </c>
      <c r="J47" s="621">
        <v>0</v>
      </c>
      <c r="K47" s="622">
        <v>0</v>
      </c>
      <c r="L47" s="24"/>
    </row>
    <row r="48" spans="1:24" s="18" customFormat="1" ht="19.5" thickBot="1" x14ac:dyDescent="0.35">
      <c r="A48" s="815" t="s">
        <v>74</v>
      </c>
      <c r="B48" s="816"/>
      <c r="C48" s="817"/>
      <c r="D48" s="653">
        <v>1677507.4180442402</v>
      </c>
      <c r="E48" s="653">
        <v>496697.50340640615</v>
      </c>
      <c r="F48" s="653">
        <v>898850.95579471171</v>
      </c>
      <c r="G48" s="653">
        <v>-2000000</v>
      </c>
      <c r="H48" s="653">
        <v>-1200000</v>
      </c>
      <c r="I48" s="653">
        <v>19016.30450915141</v>
      </c>
      <c r="J48" s="653">
        <v>107927.81824549049</v>
      </c>
      <c r="K48" s="654">
        <v>0</v>
      </c>
      <c r="L48" s="818"/>
      <c r="M48" s="819"/>
      <c r="N48" s="819"/>
    </row>
    <row r="49" spans="1:254" s="18" customFormat="1" ht="19.5" thickBot="1" x14ac:dyDescent="0.35">
      <c r="A49" s="162" t="s">
        <v>75</v>
      </c>
      <c r="B49" s="163"/>
      <c r="C49" s="814"/>
      <c r="D49" s="820">
        <v>0.89478382691573488</v>
      </c>
      <c r="E49" s="820">
        <v>0.92919329621568858</v>
      </c>
      <c r="F49" s="820">
        <v>1.1814116692859482</v>
      </c>
      <c r="G49" s="820">
        <v>1.1971759964630313</v>
      </c>
      <c r="H49" s="820">
        <v>1.1471338873985222</v>
      </c>
      <c r="I49" s="820">
        <v>1.1975965082487894</v>
      </c>
      <c r="J49" s="820">
        <v>0.7460094253608911</v>
      </c>
      <c r="K49" s="622"/>
      <c r="L49" s="24"/>
    </row>
    <row r="50" spans="1:254" s="25" customFormat="1" ht="19.5" thickBot="1" x14ac:dyDescent="0.35">
      <c r="A50" s="821" t="s">
        <v>214</v>
      </c>
      <c r="B50" s="822"/>
      <c r="C50" s="823"/>
      <c r="D50" s="824">
        <v>0.89842202471675248</v>
      </c>
      <c r="E50" s="824">
        <v>0.93239685737048839</v>
      </c>
      <c r="F50" s="824">
        <v>1.176904014063886</v>
      </c>
      <c r="G50" s="824">
        <v>1.1940877730071828</v>
      </c>
      <c r="H50" s="824">
        <v>1.1455322843010913</v>
      </c>
      <c r="I50" s="824">
        <v>1.1908405825774044</v>
      </c>
      <c r="J50" s="824">
        <v>0.74740338662146921</v>
      </c>
      <c r="K50" s="637"/>
      <c r="L50" s="768"/>
    </row>
    <row r="51" spans="1:254" s="830" customFormat="1" ht="20.25" thickBot="1" x14ac:dyDescent="0.4">
      <c r="A51" s="825" t="s">
        <v>215</v>
      </c>
      <c r="B51" s="826"/>
      <c r="C51" s="827"/>
      <c r="D51" s="689">
        <v>238115902.63173154</v>
      </c>
      <c r="E51" s="689">
        <v>72406795.638254985</v>
      </c>
      <c r="F51" s="689">
        <v>170157142.68418214</v>
      </c>
      <c r="G51" s="689">
        <v>49159558.104970008</v>
      </c>
      <c r="H51" s="689">
        <v>24757906.416061822</v>
      </c>
      <c r="I51" s="689">
        <v>3614239.1635228819</v>
      </c>
      <c r="J51" s="689">
        <v>13157591.864675924</v>
      </c>
      <c r="K51" s="690">
        <v>571369136.50339925</v>
      </c>
      <c r="L51" s="828"/>
      <c r="M51" s="822"/>
      <c r="N51" s="829"/>
      <c r="O51" s="691"/>
      <c r="P51" s="691"/>
      <c r="Q51" s="691"/>
      <c r="R51" s="691"/>
      <c r="S51" s="691"/>
      <c r="T51" s="691"/>
      <c r="U51" s="691"/>
      <c r="V51" s="691"/>
      <c r="W51" s="828"/>
      <c r="X51" s="822"/>
      <c r="Y51" s="829"/>
      <c r="Z51" s="691"/>
      <c r="AA51" s="691"/>
      <c r="AB51" s="691"/>
      <c r="AC51" s="691"/>
      <c r="AD51" s="691"/>
      <c r="AE51" s="691"/>
      <c r="AF51" s="691"/>
      <c r="AG51" s="691"/>
      <c r="AH51" s="691"/>
      <c r="AI51" s="828"/>
      <c r="AJ51" s="822"/>
      <c r="AK51" s="829"/>
      <c r="AL51" s="691"/>
      <c r="AM51" s="691"/>
      <c r="AN51" s="691"/>
      <c r="AO51" s="691"/>
      <c r="AP51" s="691"/>
      <c r="AQ51" s="691"/>
      <c r="AR51" s="691"/>
      <c r="AS51" s="691"/>
      <c r="AT51" s="691"/>
      <c r="AU51" s="828"/>
      <c r="AV51" s="822"/>
      <c r="AW51" s="829"/>
      <c r="AX51" s="691"/>
      <c r="AY51" s="691"/>
      <c r="AZ51" s="691"/>
      <c r="BA51" s="691"/>
      <c r="BB51" s="691"/>
      <c r="BC51" s="691"/>
      <c r="BD51" s="691"/>
      <c r="BE51" s="691"/>
      <c r="BF51" s="691"/>
      <c r="BG51" s="828"/>
      <c r="BH51" s="822"/>
      <c r="BI51" s="829"/>
      <c r="BJ51" s="691"/>
      <c r="BK51" s="691"/>
      <c r="BL51" s="691"/>
      <c r="BM51" s="691"/>
      <c r="BN51" s="691"/>
      <c r="BO51" s="691"/>
      <c r="BP51" s="691"/>
      <c r="BQ51" s="691"/>
      <c r="BR51" s="691"/>
      <c r="BS51" s="828"/>
      <c r="BT51" s="822"/>
      <c r="BU51" s="829"/>
      <c r="BV51" s="691"/>
      <c r="BW51" s="691"/>
      <c r="BX51" s="691"/>
      <c r="BY51" s="691"/>
      <c r="BZ51" s="691"/>
      <c r="CA51" s="691"/>
      <c r="CB51" s="691"/>
      <c r="CC51" s="691"/>
      <c r="CD51" s="691"/>
      <c r="CE51" s="828"/>
      <c r="CF51" s="822"/>
      <c r="CG51" s="829"/>
      <c r="CH51" s="691"/>
      <c r="CI51" s="691"/>
      <c r="CJ51" s="691"/>
      <c r="CK51" s="691"/>
      <c r="CL51" s="691"/>
      <c r="CM51" s="691"/>
      <c r="CN51" s="691"/>
      <c r="CO51" s="691"/>
      <c r="CP51" s="691"/>
      <c r="CQ51" s="828"/>
      <c r="CR51" s="822"/>
      <c r="CS51" s="829"/>
      <c r="CT51" s="691"/>
      <c r="CU51" s="691"/>
      <c r="CV51" s="691"/>
      <c r="CW51" s="691"/>
      <c r="CX51" s="691"/>
      <c r="CY51" s="691"/>
      <c r="CZ51" s="691"/>
      <c r="DA51" s="691"/>
      <c r="DB51" s="691"/>
      <c r="DC51" s="828"/>
      <c r="DD51" s="822"/>
      <c r="DE51" s="829"/>
      <c r="DF51" s="691"/>
      <c r="DG51" s="691"/>
      <c r="DH51" s="691"/>
      <c r="DI51" s="691"/>
      <c r="DJ51" s="691"/>
      <c r="DK51" s="691"/>
      <c r="DL51" s="691"/>
      <c r="DM51" s="691"/>
      <c r="DN51" s="691"/>
      <c r="DO51" s="828"/>
      <c r="DP51" s="822"/>
      <c r="DQ51" s="829"/>
      <c r="DR51" s="691"/>
      <c r="DS51" s="691"/>
      <c r="DT51" s="691"/>
      <c r="DU51" s="691"/>
      <c r="DV51" s="691"/>
      <c r="DW51" s="691"/>
      <c r="DX51" s="691"/>
      <c r="DY51" s="691"/>
      <c r="DZ51" s="691"/>
      <c r="EA51" s="828"/>
      <c r="EB51" s="822"/>
      <c r="EC51" s="829"/>
      <c r="ED51" s="691"/>
      <c r="EE51" s="691"/>
      <c r="EF51" s="691"/>
      <c r="EG51" s="691"/>
      <c r="EH51" s="691"/>
      <c r="EI51" s="691"/>
      <c r="EJ51" s="691"/>
      <c r="EK51" s="691"/>
      <c r="EL51" s="691"/>
      <c r="EM51" s="828"/>
      <c r="EN51" s="822"/>
      <c r="EO51" s="829"/>
      <c r="EP51" s="691"/>
      <c r="EQ51" s="691"/>
      <c r="ER51" s="691"/>
      <c r="ES51" s="691"/>
      <c r="ET51" s="691"/>
      <c r="EU51" s="691"/>
      <c r="EV51" s="691"/>
      <c r="EW51" s="691"/>
      <c r="EX51" s="691"/>
      <c r="EY51" s="828"/>
      <c r="EZ51" s="822"/>
      <c r="FA51" s="829"/>
      <c r="FB51" s="691"/>
      <c r="FC51" s="691"/>
      <c r="FD51" s="691"/>
      <c r="FE51" s="691"/>
      <c r="FF51" s="691"/>
      <c r="FG51" s="691"/>
      <c r="FH51" s="691"/>
      <c r="FI51" s="691"/>
      <c r="FJ51" s="691"/>
      <c r="FK51" s="828"/>
      <c r="FL51" s="822"/>
      <c r="FM51" s="829"/>
      <c r="FN51" s="691"/>
      <c r="FO51" s="691"/>
      <c r="FP51" s="691"/>
      <c r="FQ51" s="691"/>
      <c r="FR51" s="691"/>
      <c r="FS51" s="691"/>
      <c r="FT51" s="691"/>
      <c r="FU51" s="691"/>
      <c r="FV51" s="691"/>
      <c r="FW51" s="828"/>
      <c r="FX51" s="822"/>
      <c r="FY51" s="829"/>
      <c r="FZ51" s="691"/>
      <c r="GA51" s="691"/>
      <c r="GB51" s="691"/>
      <c r="GC51" s="691"/>
      <c r="GD51" s="691"/>
      <c r="GE51" s="691"/>
      <c r="GF51" s="691"/>
      <c r="GG51" s="691"/>
      <c r="GH51" s="691"/>
      <c r="GI51" s="828"/>
      <c r="GJ51" s="822"/>
      <c r="GK51" s="829"/>
      <c r="GL51" s="691"/>
      <c r="GM51" s="691"/>
      <c r="GN51" s="691"/>
      <c r="GO51" s="691"/>
      <c r="GP51" s="691"/>
      <c r="GQ51" s="691"/>
      <c r="GR51" s="691"/>
      <c r="GS51" s="691"/>
      <c r="GT51" s="691"/>
      <c r="GU51" s="828"/>
      <c r="GV51" s="822"/>
      <c r="GW51" s="829"/>
      <c r="GX51" s="691"/>
      <c r="GY51" s="691"/>
      <c r="GZ51" s="691"/>
      <c r="HA51" s="691"/>
      <c r="HB51" s="691"/>
      <c r="HC51" s="691"/>
      <c r="HD51" s="691"/>
      <c r="HE51" s="691"/>
      <c r="HF51" s="691"/>
      <c r="HG51" s="828"/>
      <c r="HH51" s="822"/>
      <c r="HI51" s="829"/>
      <c r="HJ51" s="691"/>
      <c r="HK51" s="691"/>
      <c r="HL51" s="691"/>
      <c r="HM51" s="691"/>
      <c r="HN51" s="691"/>
      <c r="HO51" s="691"/>
      <c r="HP51" s="691"/>
      <c r="HQ51" s="691"/>
      <c r="HR51" s="691"/>
      <c r="HS51" s="828"/>
      <c r="HT51" s="822"/>
      <c r="HU51" s="829"/>
      <c r="HV51" s="691"/>
      <c r="HW51" s="691"/>
      <c r="HX51" s="691"/>
      <c r="HY51" s="691"/>
      <c r="HZ51" s="691"/>
      <c r="IA51" s="691"/>
      <c r="IB51" s="691"/>
      <c r="IC51" s="691"/>
      <c r="ID51" s="691"/>
      <c r="IE51" s="828"/>
      <c r="IF51" s="822"/>
      <c r="IG51" s="829"/>
      <c r="IH51" s="691"/>
      <c r="II51" s="691"/>
      <c r="IJ51" s="691"/>
      <c r="IK51" s="691"/>
      <c r="IL51" s="691"/>
      <c r="IM51" s="691"/>
      <c r="IN51" s="691"/>
      <c r="IO51" s="691"/>
      <c r="IP51" s="691"/>
      <c r="IQ51" s="828"/>
      <c r="IR51" s="822"/>
      <c r="IS51" s="829"/>
      <c r="IT51" s="691"/>
    </row>
    <row r="52" spans="1:254" s="830" customFormat="1" ht="19.5" x14ac:dyDescent="0.35">
      <c r="A52" s="831" t="s">
        <v>277</v>
      </c>
      <c r="B52" s="832"/>
      <c r="C52" s="833"/>
      <c r="D52" s="694">
        <v>0</v>
      </c>
      <c r="E52" s="694">
        <v>0</v>
      </c>
      <c r="F52" s="694">
        <v>3337870.3706797548</v>
      </c>
      <c r="G52" s="694">
        <v>5231203.1957483133</v>
      </c>
      <c r="H52" s="694">
        <v>3127751.1056145905</v>
      </c>
      <c r="I52" s="694">
        <v>0</v>
      </c>
      <c r="J52" s="694">
        <v>0</v>
      </c>
      <c r="K52" s="693">
        <v>11696824.67204266</v>
      </c>
      <c r="L52" s="828"/>
      <c r="M52" s="822"/>
      <c r="N52" s="829"/>
      <c r="O52" s="691"/>
      <c r="P52" s="691"/>
      <c r="Q52" s="691"/>
      <c r="R52" s="691"/>
      <c r="S52" s="691"/>
      <c r="T52" s="691"/>
      <c r="U52" s="691"/>
      <c r="V52" s="691"/>
      <c r="W52" s="828"/>
      <c r="X52" s="822"/>
      <c r="Y52" s="829"/>
      <c r="Z52" s="691"/>
      <c r="AA52" s="691"/>
      <c r="AB52" s="691"/>
      <c r="AC52" s="691"/>
      <c r="AD52" s="691"/>
      <c r="AE52" s="691"/>
      <c r="AF52" s="691"/>
      <c r="AG52" s="691"/>
      <c r="AH52" s="691"/>
      <c r="AI52" s="828"/>
      <c r="AJ52" s="822"/>
      <c r="AK52" s="829"/>
      <c r="AL52" s="691"/>
      <c r="AM52" s="691"/>
      <c r="AN52" s="691"/>
      <c r="AO52" s="691"/>
      <c r="AP52" s="691"/>
      <c r="AQ52" s="691"/>
      <c r="AR52" s="691"/>
      <c r="AS52" s="691"/>
      <c r="AT52" s="691"/>
      <c r="AU52" s="828"/>
      <c r="AV52" s="822"/>
      <c r="AW52" s="829"/>
      <c r="AX52" s="691"/>
      <c r="AY52" s="691"/>
      <c r="AZ52" s="691"/>
      <c r="BA52" s="691"/>
      <c r="BB52" s="691"/>
      <c r="BC52" s="691"/>
      <c r="BD52" s="691"/>
      <c r="BE52" s="691"/>
      <c r="BF52" s="691"/>
      <c r="BG52" s="828"/>
      <c r="BH52" s="822"/>
      <c r="BI52" s="829"/>
      <c r="BJ52" s="691"/>
      <c r="BK52" s="691"/>
      <c r="BL52" s="691"/>
      <c r="BM52" s="691"/>
      <c r="BN52" s="691"/>
      <c r="BO52" s="691"/>
      <c r="BP52" s="691"/>
      <c r="BQ52" s="691"/>
      <c r="BR52" s="691"/>
      <c r="BS52" s="828"/>
      <c r="BT52" s="822"/>
      <c r="BU52" s="829"/>
      <c r="BV52" s="691"/>
      <c r="BW52" s="691"/>
      <c r="BX52" s="691"/>
      <c r="BY52" s="691"/>
      <c r="BZ52" s="691"/>
      <c r="CA52" s="691"/>
      <c r="CB52" s="691"/>
      <c r="CC52" s="691"/>
      <c r="CD52" s="691"/>
      <c r="CE52" s="828"/>
      <c r="CF52" s="822"/>
      <c r="CG52" s="829"/>
      <c r="CH52" s="691"/>
      <c r="CI52" s="691"/>
      <c r="CJ52" s="691"/>
      <c r="CK52" s="691"/>
      <c r="CL52" s="691"/>
      <c r="CM52" s="691"/>
      <c r="CN52" s="691"/>
      <c r="CO52" s="691"/>
      <c r="CP52" s="691"/>
      <c r="CQ52" s="828"/>
      <c r="CR52" s="822"/>
      <c r="CS52" s="829"/>
      <c r="CT52" s="691"/>
      <c r="CU52" s="691"/>
      <c r="CV52" s="691"/>
      <c r="CW52" s="691"/>
      <c r="CX52" s="691"/>
      <c r="CY52" s="691"/>
      <c r="CZ52" s="691"/>
      <c r="DA52" s="691"/>
      <c r="DB52" s="691"/>
      <c r="DC52" s="828"/>
      <c r="DD52" s="822"/>
      <c r="DE52" s="829"/>
      <c r="DF52" s="691"/>
      <c r="DG52" s="691"/>
      <c r="DH52" s="691"/>
      <c r="DI52" s="691"/>
      <c r="DJ52" s="691"/>
      <c r="DK52" s="691"/>
      <c r="DL52" s="691"/>
      <c r="DM52" s="691"/>
      <c r="DN52" s="691"/>
      <c r="DO52" s="828"/>
      <c r="DP52" s="822"/>
      <c r="DQ52" s="829"/>
      <c r="DR52" s="691"/>
      <c r="DS52" s="691"/>
      <c r="DT52" s="691"/>
      <c r="DU52" s="691"/>
      <c r="DV52" s="691"/>
      <c r="DW52" s="691"/>
      <c r="DX52" s="691"/>
      <c r="DY52" s="691"/>
      <c r="DZ52" s="691"/>
      <c r="EA52" s="828"/>
      <c r="EB52" s="822"/>
      <c r="EC52" s="829"/>
      <c r="ED52" s="691"/>
      <c r="EE52" s="691"/>
      <c r="EF52" s="691"/>
      <c r="EG52" s="691"/>
      <c r="EH52" s="691"/>
      <c r="EI52" s="691"/>
      <c r="EJ52" s="691"/>
      <c r="EK52" s="691"/>
      <c r="EL52" s="691"/>
      <c r="EM52" s="828"/>
      <c r="EN52" s="822"/>
      <c r="EO52" s="829"/>
      <c r="EP52" s="691"/>
      <c r="EQ52" s="691"/>
      <c r="ER52" s="691"/>
      <c r="ES52" s="691"/>
      <c r="ET52" s="691"/>
      <c r="EU52" s="691"/>
      <c r="EV52" s="691"/>
      <c r="EW52" s="691"/>
      <c r="EX52" s="691"/>
      <c r="EY52" s="828"/>
      <c r="EZ52" s="822"/>
      <c r="FA52" s="829"/>
      <c r="FB52" s="691"/>
      <c r="FC52" s="691"/>
      <c r="FD52" s="691"/>
      <c r="FE52" s="691"/>
      <c r="FF52" s="691"/>
      <c r="FG52" s="691"/>
      <c r="FH52" s="691"/>
      <c r="FI52" s="691"/>
      <c r="FJ52" s="691"/>
      <c r="FK52" s="828"/>
      <c r="FL52" s="822"/>
      <c r="FM52" s="829"/>
      <c r="FN52" s="691"/>
      <c r="FO52" s="691"/>
      <c r="FP52" s="691"/>
      <c r="FQ52" s="691"/>
      <c r="FR52" s="691"/>
      <c r="FS52" s="691"/>
      <c r="FT52" s="691"/>
      <c r="FU52" s="691"/>
      <c r="FV52" s="691"/>
      <c r="FW52" s="828"/>
      <c r="FX52" s="822"/>
      <c r="FY52" s="829"/>
      <c r="FZ52" s="691"/>
      <c r="GA52" s="691"/>
      <c r="GB52" s="691"/>
      <c r="GC52" s="691"/>
      <c r="GD52" s="691"/>
      <c r="GE52" s="691"/>
      <c r="GF52" s="691"/>
      <c r="GG52" s="691"/>
      <c r="GH52" s="691"/>
      <c r="GI52" s="828"/>
      <c r="GJ52" s="822"/>
      <c r="GK52" s="829"/>
      <c r="GL52" s="691"/>
      <c r="GM52" s="691"/>
      <c r="GN52" s="691"/>
      <c r="GO52" s="691"/>
      <c r="GP52" s="691"/>
      <c r="GQ52" s="691"/>
      <c r="GR52" s="691"/>
      <c r="GS52" s="691"/>
      <c r="GT52" s="691"/>
      <c r="GU52" s="828"/>
      <c r="GV52" s="822"/>
      <c r="GW52" s="829"/>
      <c r="GX52" s="691"/>
      <c r="GY52" s="691"/>
      <c r="GZ52" s="691"/>
      <c r="HA52" s="691"/>
      <c r="HB52" s="691"/>
      <c r="HC52" s="691"/>
      <c r="HD52" s="691"/>
      <c r="HE52" s="691"/>
      <c r="HF52" s="691"/>
      <c r="HG52" s="828"/>
      <c r="HH52" s="822"/>
      <c r="HI52" s="829"/>
      <c r="HJ52" s="691"/>
      <c r="HK52" s="691"/>
      <c r="HL52" s="691"/>
      <c r="HM52" s="691"/>
      <c r="HN52" s="691"/>
      <c r="HO52" s="691"/>
      <c r="HP52" s="691"/>
      <c r="HQ52" s="691"/>
      <c r="HR52" s="691"/>
      <c r="HS52" s="828"/>
      <c r="HT52" s="822"/>
      <c r="HU52" s="829"/>
      <c r="HV52" s="691"/>
      <c r="HW52" s="691"/>
      <c r="HX52" s="691"/>
      <c r="HY52" s="691"/>
      <c r="HZ52" s="691"/>
      <c r="IA52" s="691"/>
      <c r="IB52" s="691"/>
      <c r="IC52" s="691"/>
      <c r="ID52" s="691"/>
      <c r="IE52" s="828"/>
      <c r="IF52" s="822"/>
      <c r="IG52" s="829"/>
      <c r="IH52" s="691"/>
      <c r="II52" s="691"/>
      <c r="IJ52" s="691"/>
      <c r="IK52" s="691"/>
      <c r="IL52" s="691"/>
      <c r="IM52" s="691"/>
      <c r="IN52" s="691"/>
      <c r="IO52" s="691"/>
      <c r="IP52" s="691"/>
      <c r="IQ52" s="828"/>
      <c r="IR52" s="822"/>
      <c r="IS52" s="829"/>
      <c r="IT52" s="691"/>
    </row>
    <row r="53" spans="1:254" s="835" customFormat="1" ht="19.5" thickBot="1" x14ac:dyDescent="0.35">
      <c r="A53" s="834" t="s">
        <v>216</v>
      </c>
      <c r="C53" s="836"/>
      <c r="D53" s="692">
        <v>238115902.63173154</v>
      </c>
      <c r="E53" s="692">
        <v>72406795.638254985</v>
      </c>
      <c r="F53" s="692">
        <v>173495013.0548619</v>
      </c>
      <c r="G53" s="692">
        <v>54390761.300718322</v>
      </c>
      <c r="H53" s="692">
        <v>27885657.521676414</v>
      </c>
      <c r="I53" s="692">
        <v>3614239.1635228819</v>
      </c>
      <c r="J53" s="692">
        <v>13157591.864675924</v>
      </c>
      <c r="K53" s="692">
        <v>583065961.17544186</v>
      </c>
      <c r="L53" s="837"/>
      <c r="Q53" s="838">
        <v>11696824.672042608</v>
      </c>
      <c r="R53" s="835" t="s">
        <v>278</v>
      </c>
    </row>
    <row r="54" spans="1:254" s="18" customFormat="1" ht="42.75" customHeight="1" x14ac:dyDescent="0.3">
      <c r="A54" s="164" t="s">
        <v>195</v>
      </c>
      <c r="B54" s="165" t="s">
        <v>18</v>
      </c>
      <c r="C54" s="839"/>
      <c r="D54" s="649" t="s">
        <v>18</v>
      </c>
      <c r="E54" s="840"/>
      <c r="F54" s="841"/>
      <c r="G54" s="842"/>
      <c r="H54" s="842"/>
      <c r="I54" s="842"/>
      <c r="J54" s="842"/>
      <c r="K54" s="636"/>
      <c r="L54" s="843"/>
      <c r="M54" s="844"/>
      <c r="N54" s="844"/>
    </row>
    <row r="55" spans="1:254" s="26" customFormat="1" ht="18.75" x14ac:dyDescent="0.3">
      <c r="A55" s="166"/>
      <c r="B55" s="167"/>
      <c r="C55" s="823"/>
      <c r="D55" s="650" t="s">
        <v>18</v>
      </c>
      <c r="E55" s="625" t="s">
        <v>18</v>
      </c>
      <c r="F55" s="623" t="s">
        <v>18</v>
      </c>
      <c r="G55" s="623"/>
      <c r="H55" s="623"/>
      <c r="I55" s="623"/>
      <c r="J55" s="623"/>
      <c r="K55" s="624"/>
      <c r="L55" s="845"/>
    </row>
    <row r="56" spans="1:254" s="26" customFormat="1" ht="37.5" x14ac:dyDescent="0.3">
      <c r="A56" s="168" t="s">
        <v>76</v>
      </c>
      <c r="B56" s="846" t="s">
        <v>77</v>
      </c>
      <c r="C56" s="823"/>
      <c r="D56" s="721">
        <v>20.011075231397729</v>
      </c>
      <c r="E56" s="721">
        <v>26.647621355928056</v>
      </c>
      <c r="F56" s="721">
        <v>42.740091545542022</v>
      </c>
      <c r="G56" s="721">
        <v>643.60732996230593</v>
      </c>
      <c r="H56" s="721">
        <v>2800.6905051109743</v>
      </c>
      <c r="I56" s="721">
        <v>5.3015255859678092</v>
      </c>
      <c r="J56" s="623"/>
      <c r="K56" s="624"/>
      <c r="L56" s="845"/>
    </row>
    <row r="57" spans="1:254" s="26" customFormat="1" ht="39" x14ac:dyDescent="0.35">
      <c r="A57" s="169"/>
      <c r="B57" s="847" t="s">
        <v>78</v>
      </c>
      <c r="C57" s="848" t="s">
        <v>18</v>
      </c>
      <c r="D57" s="647">
        <v>154144755.53252941</v>
      </c>
      <c r="E57" s="647">
        <v>21367888.165245995</v>
      </c>
      <c r="F57" s="647">
        <v>7163581.2637652084</v>
      </c>
      <c r="G57" s="647">
        <v>3954430.703176735</v>
      </c>
      <c r="H57" s="647">
        <v>1703753.3906091759</v>
      </c>
      <c r="I57" s="647">
        <v>71403.597354607438</v>
      </c>
      <c r="J57" s="646"/>
      <c r="K57" s="624">
        <v>188405812.65268117</v>
      </c>
      <c r="L57" s="845"/>
      <c r="Q57" s="26" t="s">
        <v>18</v>
      </c>
    </row>
    <row r="58" spans="1:254" s="26" customFormat="1" ht="37.5" x14ac:dyDescent="0.3">
      <c r="A58" s="169"/>
      <c r="B58" s="846" t="s">
        <v>79</v>
      </c>
      <c r="C58" s="848"/>
      <c r="D58" s="652"/>
      <c r="E58" s="646"/>
      <c r="F58" s="646"/>
      <c r="G58" s="646" t="s">
        <v>18</v>
      </c>
      <c r="H58" s="646"/>
      <c r="I58" s="721">
        <v>0.53987022260364659</v>
      </c>
      <c r="J58" s="721">
        <v>1.4294840347629985</v>
      </c>
      <c r="K58" s="624"/>
      <c r="L58" s="845"/>
    </row>
    <row r="59" spans="1:254" s="26" customFormat="1" ht="39" x14ac:dyDescent="0.35">
      <c r="A59" s="169"/>
      <c r="B59" s="847" t="s">
        <v>80</v>
      </c>
      <c r="C59" s="848"/>
      <c r="D59" s="661" t="s">
        <v>18</v>
      </c>
      <c r="E59" s="662" t="s">
        <v>18</v>
      </c>
      <c r="F59" s="662" t="s">
        <v>18</v>
      </c>
      <c r="G59" s="849" t="s">
        <v>18</v>
      </c>
      <c r="H59" s="662" t="s">
        <v>18</v>
      </c>
      <c r="I59" s="647">
        <v>80942.652496594295</v>
      </c>
      <c r="J59" s="647">
        <v>2837670.4251394025</v>
      </c>
      <c r="K59" s="624">
        <v>2918613.077635997</v>
      </c>
      <c r="L59" s="850"/>
      <c r="M59" s="850"/>
      <c r="N59" s="850"/>
    </row>
    <row r="60" spans="1:254" s="26" customFormat="1" ht="37.5" x14ac:dyDescent="0.3">
      <c r="A60" s="166"/>
      <c r="B60" s="846" t="s">
        <v>81</v>
      </c>
      <c r="C60" s="823"/>
      <c r="D60" s="651">
        <v>1.6669886694263454E-2</v>
      </c>
      <c r="E60" s="648">
        <v>2.463832509601729E-2</v>
      </c>
      <c r="F60" s="660">
        <v>6.0908257816797908</v>
      </c>
      <c r="G60" s="660">
        <v>4.6762358867291036</v>
      </c>
      <c r="H60" s="660">
        <v>4.9381705212576348</v>
      </c>
      <c r="I60" s="660">
        <v>6.6450526204972715E-2</v>
      </c>
      <c r="J60" s="660">
        <v>31.53939934214441</v>
      </c>
      <c r="K60" s="624"/>
      <c r="L60" s="845"/>
    </row>
    <row r="61" spans="1:254" s="26" customFormat="1" ht="21" customHeight="1" thickBot="1" x14ac:dyDescent="0.4">
      <c r="A61" s="166"/>
      <c r="B61" s="851" t="s">
        <v>82</v>
      </c>
      <c r="C61" s="823" t="s">
        <v>18</v>
      </c>
      <c r="D61" s="650">
        <v>83971147.099202126</v>
      </c>
      <c r="E61" s="668">
        <v>51038907.47300899</v>
      </c>
      <c r="F61" s="668">
        <v>166331431.79109669</v>
      </c>
      <c r="G61" s="668">
        <v>50436330.597541586</v>
      </c>
      <c r="H61" s="668">
        <v>26181904.131067239</v>
      </c>
      <c r="I61" s="668">
        <v>3461892.9136716798</v>
      </c>
      <c r="J61" s="668">
        <v>10319921.439536521</v>
      </c>
      <c r="K61" s="624">
        <v>391741535.4451248</v>
      </c>
      <c r="L61" s="845"/>
    </row>
    <row r="62" spans="1:254" s="26" customFormat="1" ht="24" customHeight="1" thickBot="1" x14ac:dyDescent="0.35">
      <c r="A62" s="166"/>
      <c r="B62" s="852" t="s">
        <v>83</v>
      </c>
      <c r="C62" s="823" t="s">
        <v>18</v>
      </c>
      <c r="D62" s="663">
        <v>238115902.63173154</v>
      </c>
      <c r="E62" s="853">
        <v>72406795.638254985</v>
      </c>
      <c r="F62" s="853">
        <v>173495013.0548619</v>
      </c>
      <c r="G62" s="853">
        <v>54390761.300718322</v>
      </c>
      <c r="H62" s="853">
        <v>27885657.521676414</v>
      </c>
      <c r="I62" s="853">
        <v>3614239.1635228819</v>
      </c>
      <c r="J62" s="853">
        <v>13157591.864675924</v>
      </c>
      <c r="K62" s="664">
        <v>583065961.17544198</v>
      </c>
      <c r="L62" s="854"/>
      <c r="M62" s="855"/>
      <c r="N62" s="855"/>
    </row>
    <row r="63" spans="1:254" s="18" customFormat="1" ht="15" hidden="1" customHeight="1" x14ac:dyDescent="0.25">
      <c r="A63" s="856" t="s">
        <v>84</v>
      </c>
      <c r="B63" s="857" t="s">
        <v>85</v>
      </c>
      <c r="C63" s="857"/>
      <c r="D63" s="18">
        <v>16.850000000000001</v>
      </c>
      <c r="E63" s="18">
        <v>21.44</v>
      </c>
      <c r="F63" s="18">
        <v>32.69</v>
      </c>
      <c r="G63" s="18">
        <v>705.35</v>
      </c>
      <c r="H63" s="858">
        <v>2639.04</v>
      </c>
      <c r="I63" s="858">
        <v>3.42</v>
      </c>
      <c r="K63" s="859"/>
    </row>
    <row r="64" spans="1:254" s="18" customFormat="1" ht="15" hidden="1" customHeight="1" x14ac:dyDescent="0.25">
      <c r="A64" s="860"/>
      <c r="B64" s="723" t="s">
        <v>86</v>
      </c>
      <c r="C64" s="723"/>
      <c r="D64" s="18">
        <v>1.4319999999999999E-2</v>
      </c>
      <c r="E64" s="18">
        <v>1.975E-2</v>
      </c>
      <c r="F64" s="18">
        <v>5.1509</v>
      </c>
      <c r="G64" s="861">
        <v>4.3230000000000004</v>
      </c>
      <c r="H64" s="861">
        <v>3.9348000000000001</v>
      </c>
      <c r="I64" s="858">
        <v>0.35</v>
      </c>
      <c r="J64" s="18">
        <v>0.89</v>
      </c>
      <c r="K64" s="859"/>
    </row>
    <row r="65" spans="1:14" s="18" customFormat="1" ht="15" hidden="1" customHeight="1" x14ac:dyDescent="0.25">
      <c r="H65" s="861"/>
      <c r="I65" s="862">
        <v>4.1739999999999999E-2</v>
      </c>
      <c r="J65" s="862">
        <v>19.758099999999999</v>
      </c>
      <c r="K65" s="859"/>
    </row>
    <row r="66" spans="1:14" ht="15" hidden="1" customHeight="1" x14ac:dyDescent="0.25">
      <c r="H66" s="862"/>
      <c r="K66" s="863"/>
      <c r="L66" s="862"/>
      <c r="M66" s="862"/>
      <c r="N66" s="862"/>
    </row>
    <row r="67" spans="1:14" s="18" customFormat="1" ht="15" hidden="1" customHeight="1" x14ac:dyDescent="0.25">
      <c r="A67" s="860" t="s">
        <v>87</v>
      </c>
      <c r="B67" s="723"/>
      <c r="C67" s="723"/>
      <c r="D67" s="665">
        <v>18.14</v>
      </c>
      <c r="E67" s="665">
        <v>22.84</v>
      </c>
      <c r="G67" s="665">
        <v>691.11</v>
      </c>
      <c r="H67" s="665">
        <v>2277.3200000000002</v>
      </c>
      <c r="I67" s="665">
        <v>3.74</v>
      </c>
    </row>
    <row r="68" spans="1:14" s="18" customFormat="1" ht="15" hidden="1" customHeight="1" x14ac:dyDescent="0.25">
      <c r="A68" s="864"/>
      <c r="B68" s="865" t="s">
        <v>88</v>
      </c>
      <c r="C68" s="865"/>
      <c r="D68" s="666">
        <v>1.6835000743258121E-2</v>
      </c>
      <c r="E68" s="666">
        <v>2.39929227509217E-2</v>
      </c>
      <c r="F68" s="862"/>
      <c r="G68" s="667">
        <v>4.0843909708520396</v>
      </c>
      <c r="H68" s="667">
        <v>4.398386647779251</v>
      </c>
      <c r="I68" s="665">
        <v>0.37</v>
      </c>
      <c r="J68" s="665">
        <v>1.1200000000000001</v>
      </c>
    </row>
    <row r="69" spans="1:14" s="18" customFormat="1" ht="15" hidden="1" customHeight="1" x14ac:dyDescent="0.25">
      <c r="A69" s="866"/>
      <c r="B69" s="27"/>
      <c r="C69" s="27"/>
      <c r="D69" s="23"/>
      <c r="F69" s="23"/>
      <c r="G69" s="23"/>
      <c r="H69" s="858"/>
      <c r="I69" s="666">
        <v>6.2830989225639025E-2</v>
      </c>
      <c r="J69" s="667">
        <v>31.116886265326865</v>
      </c>
    </row>
    <row r="70" spans="1:14" s="18" customFormat="1" ht="16.5" thickBot="1" x14ac:dyDescent="0.3">
      <c r="A70" s="866"/>
      <c r="B70" s="27"/>
      <c r="C70" s="27"/>
      <c r="D70" s="867" t="s">
        <v>18</v>
      </c>
      <c r="E70" s="23"/>
      <c r="F70" s="23"/>
      <c r="G70" s="23"/>
      <c r="H70" s="858"/>
      <c r="I70" s="858"/>
    </row>
    <row r="71" spans="1:14" s="18" customFormat="1" ht="18.75" x14ac:dyDescent="0.3">
      <c r="A71" s="868" t="s">
        <v>89</v>
      </c>
      <c r="B71" s="869" t="s">
        <v>90</v>
      </c>
      <c r="C71" s="870"/>
      <c r="D71" s="655">
        <v>154144755.53252944</v>
      </c>
      <c r="E71" s="655">
        <v>21367888.165245995</v>
      </c>
      <c r="F71" s="655">
        <v>7163581.2637652075</v>
      </c>
      <c r="G71" s="655">
        <v>3954430.7031767345</v>
      </c>
      <c r="H71" s="655">
        <v>1703753.3906091759</v>
      </c>
      <c r="I71" s="655">
        <v>71403.597354607438</v>
      </c>
      <c r="J71" s="655" t="s">
        <v>18</v>
      </c>
      <c r="K71" s="655">
        <v>188405812.65268117</v>
      </c>
      <c r="L71" s="871"/>
      <c r="M71" s="871"/>
      <c r="N71" s="871"/>
    </row>
    <row r="72" spans="1:14" s="18" customFormat="1" x14ac:dyDescent="0.25">
      <c r="A72" s="872"/>
      <c r="B72" s="873" t="s">
        <v>86</v>
      </c>
      <c r="C72" s="874"/>
      <c r="D72" s="875"/>
      <c r="E72" s="875"/>
      <c r="F72" s="875"/>
      <c r="G72" s="875"/>
      <c r="H72" s="876"/>
      <c r="I72" s="876">
        <v>80942.652496594295</v>
      </c>
      <c r="J72" s="876">
        <v>2837670.425139402</v>
      </c>
      <c r="K72" s="656">
        <v>2918613.0776359965</v>
      </c>
      <c r="L72" s="875"/>
      <c r="M72" s="875"/>
      <c r="N72" s="875"/>
    </row>
    <row r="73" spans="1:14" s="18" customFormat="1" x14ac:dyDescent="0.25">
      <c r="A73" s="872">
        <v>1.0138888888888888</v>
      </c>
      <c r="B73" s="873" t="s">
        <v>91</v>
      </c>
      <c r="C73" s="874"/>
      <c r="D73" s="656">
        <v>83971147.099202126</v>
      </c>
      <c r="E73" s="656">
        <v>51038907.47300899</v>
      </c>
      <c r="F73" s="656">
        <v>166331431.79109669</v>
      </c>
      <c r="G73" s="656">
        <v>50436330.597541593</v>
      </c>
      <c r="H73" s="656">
        <v>26181904.131067239</v>
      </c>
      <c r="I73" s="656">
        <v>3461892.9136716798</v>
      </c>
      <c r="J73" s="656">
        <v>10319921.439536521</v>
      </c>
      <c r="K73" s="656">
        <v>391741535.4451248</v>
      </c>
      <c r="L73" s="875"/>
      <c r="M73" s="875"/>
      <c r="N73" s="875"/>
    </row>
    <row r="74" spans="1:14" s="18" customFormat="1" ht="16.5" thickBot="1" x14ac:dyDescent="0.3">
      <c r="A74" s="872"/>
      <c r="B74" s="873" t="s">
        <v>83</v>
      </c>
      <c r="C74" s="874"/>
      <c r="D74" s="659">
        <v>238115902.63173157</v>
      </c>
      <c r="E74" s="659">
        <v>72406795.638254985</v>
      </c>
      <c r="F74" s="659">
        <v>173495013.0548619</v>
      </c>
      <c r="G74" s="659">
        <v>54390761.30071833</v>
      </c>
      <c r="H74" s="659">
        <v>27885657.521676414</v>
      </c>
      <c r="I74" s="659">
        <v>3614239.1635228815</v>
      </c>
      <c r="J74" s="659">
        <v>13157591.864675924</v>
      </c>
      <c r="K74" s="658">
        <v>583065961.17544198</v>
      </c>
      <c r="L74" s="877"/>
      <c r="M74" s="875"/>
      <c r="N74" s="875"/>
    </row>
    <row r="75" spans="1:14" ht="16.5" thickTop="1" x14ac:dyDescent="0.25">
      <c r="A75" s="872"/>
      <c r="B75" s="873" t="s">
        <v>92</v>
      </c>
      <c r="C75" s="874"/>
      <c r="D75" s="656">
        <v>0</v>
      </c>
      <c r="E75" s="656">
        <v>0</v>
      </c>
      <c r="F75" s="656">
        <v>0</v>
      </c>
      <c r="G75" s="656">
        <v>0</v>
      </c>
      <c r="H75" s="656">
        <v>0</v>
      </c>
      <c r="I75" s="656">
        <v>0</v>
      </c>
      <c r="J75" s="656">
        <v>0</v>
      </c>
      <c r="K75" s="657">
        <v>0</v>
      </c>
      <c r="L75" s="877"/>
      <c r="M75" s="875"/>
      <c r="N75" s="875"/>
    </row>
    <row r="76" spans="1:14" ht="16.5" thickBot="1" x14ac:dyDescent="0.3">
      <c r="A76" s="878"/>
      <c r="B76" s="879"/>
      <c r="C76" s="880"/>
      <c r="D76" s="879"/>
      <c r="E76" s="879"/>
      <c r="F76" s="879"/>
      <c r="G76" s="879"/>
      <c r="H76" s="879"/>
      <c r="I76" s="879"/>
      <c r="J76" s="879"/>
      <c r="K76" s="881">
        <v>0</v>
      </c>
      <c r="L76" s="879"/>
      <c r="M76" s="879"/>
      <c r="N76" s="879"/>
    </row>
    <row r="77" spans="1:14" ht="16.5" thickBot="1" x14ac:dyDescent="0.3">
      <c r="D77" s="882" t="s">
        <v>23</v>
      </c>
      <c r="E77" s="882" t="s">
        <v>24</v>
      </c>
      <c r="F77" s="882" t="s">
        <v>25</v>
      </c>
      <c r="G77" s="882" t="s">
        <v>26</v>
      </c>
      <c r="H77" s="882" t="s">
        <v>27</v>
      </c>
      <c r="I77" s="882" t="s">
        <v>28</v>
      </c>
      <c r="J77" s="882" t="s">
        <v>29</v>
      </c>
    </row>
    <row r="78" spans="1:14" ht="33" thickBot="1" x14ac:dyDescent="0.35">
      <c r="B78" s="883" t="s">
        <v>99</v>
      </c>
      <c r="C78" s="27" t="s">
        <v>77</v>
      </c>
      <c r="D78" s="884">
        <v>20.010000000000002</v>
      </c>
      <c r="E78" s="884">
        <v>26.65</v>
      </c>
      <c r="F78" s="884">
        <v>42.74</v>
      </c>
      <c r="G78" s="884">
        <v>643.61</v>
      </c>
      <c r="H78" s="884">
        <v>2800.69</v>
      </c>
      <c r="I78" s="884">
        <v>5.3</v>
      </c>
      <c r="J78" s="884">
        <v>0</v>
      </c>
      <c r="K78" s="884">
        <v>0</v>
      </c>
    </row>
    <row r="79" spans="1:14" x14ac:dyDescent="0.25">
      <c r="C79" s="27" t="s">
        <v>79</v>
      </c>
      <c r="I79" s="884">
        <v>0.54</v>
      </c>
      <c r="J79" s="884">
        <v>1.43</v>
      </c>
    </row>
    <row r="80" spans="1:14" ht="31.5" x14ac:dyDescent="0.25">
      <c r="C80" s="27" t="s">
        <v>81</v>
      </c>
      <c r="D80" s="885">
        <v>1.6670000000000001E-2</v>
      </c>
      <c r="E80" s="885">
        <v>2.4639999999999999E-2</v>
      </c>
      <c r="F80" s="885">
        <v>6.0907999999999998</v>
      </c>
      <c r="G80" s="885">
        <v>4.6761999999999997</v>
      </c>
      <c r="H80" s="885">
        <v>4.9382000000000001</v>
      </c>
      <c r="I80" s="885">
        <v>6.6449999999999995E-2</v>
      </c>
      <c r="J80" s="885">
        <v>31.539400000000001</v>
      </c>
    </row>
    <row r="81" spans="3:11" x14ac:dyDescent="0.25">
      <c r="D81" s="882" t="s">
        <v>18</v>
      </c>
      <c r="E81" s="886"/>
    </row>
    <row r="82" spans="3:11" ht="16.5" thickBot="1" x14ac:dyDescent="0.3">
      <c r="E82" s="887"/>
    </row>
    <row r="83" spans="3:11" ht="31.5" x14ac:dyDescent="0.25">
      <c r="C83" s="888" t="s">
        <v>279</v>
      </c>
      <c r="D83" s="889">
        <v>214355885</v>
      </c>
      <c r="E83" s="889">
        <v>67475771</v>
      </c>
      <c r="F83" s="889">
        <v>158389263</v>
      </c>
      <c r="G83" s="889">
        <v>52034399</v>
      </c>
      <c r="H83" s="889">
        <v>25723003</v>
      </c>
      <c r="I83" s="889">
        <v>3607047</v>
      </c>
      <c r="J83" s="889">
        <v>11938817</v>
      </c>
      <c r="K83" s="890">
        <v>533524186</v>
      </c>
    </row>
    <row r="84" spans="3:11" hidden="1" x14ac:dyDescent="0.25">
      <c r="C84" s="891"/>
      <c r="D84" s="892" t="e">
        <v>#REF!</v>
      </c>
      <c r="E84" s="892" t="e">
        <v>#REF!</v>
      </c>
      <c r="F84" s="892" t="e">
        <v>#REF!</v>
      </c>
      <c r="G84" s="892" t="e">
        <v>#REF!</v>
      </c>
      <c r="H84" s="892" t="e">
        <v>#REF!</v>
      </c>
      <c r="I84" s="892" t="e">
        <v>#REF!</v>
      </c>
      <c r="J84" s="893"/>
      <c r="K84" s="894"/>
    </row>
    <row r="85" spans="3:11" hidden="1" x14ac:dyDescent="0.25">
      <c r="C85" s="891"/>
      <c r="D85" s="893"/>
      <c r="E85" s="893"/>
      <c r="F85" s="893"/>
      <c r="G85" s="893"/>
      <c r="H85" s="893"/>
      <c r="I85" s="892" t="e">
        <v>#REF!</v>
      </c>
      <c r="J85" s="892" t="e">
        <v>#REF!</v>
      </c>
      <c r="K85" s="894"/>
    </row>
    <row r="86" spans="3:11" hidden="1" x14ac:dyDescent="0.25">
      <c r="C86" s="891"/>
      <c r="D86" s="895" t="e">
        <v>#REF!</v>
      </c>
      <c r="E86" s="895" t="e">
        <v>#REF!</v>
      </c>
      <c r="F86" s="895" t="e">
        <v>#REF!</v>
      </c>
      <c r="G86" s="895" t="e">
        <v>#REF!</v>
      </c>
      <c r="H86" s="895" t="e">
        <v>#REF!</v>
      </c>
      <c r="I86" s="895" t="e">
        <v>#REF!</v>
      </c>
      <c r="J86" s="895" t="e">
        <v>#REF!</v>
      </c>
      <c r="K86" s="894"/>
    </row>
    <row r="87" spans="3:11" hidden="1" x14ac:dyDescent="0.25">
      <c r="C87" s="896" t="e">
        <v>#REF!</v>
      </c>
      <c r="D87" s="897" t="e">
        <v>#REF!</v>
      </c>
      <c r="E87" s="897" t="e">
        <v>#REF!</v>
      </c>
      <c r="F87" s="897" t="e">
        <v>#REF!</v>
      </c>
      <c r="G87" s="897" t="e">
        <v>#REF!</v>
      </c>
      <c r="H87" s="897" t="e">
        <v>#REF!</v>
      </c>
      <c r="I87" s="897" t="e">
        <v>#REF!</v>
      </c>
      <c r="J87" s="897" t="e">
        <v>#REF!</v>
      </c>
      <c r="K87" s="894"/>
    </row>
    <row r="88" spans="3:11" hidden="1" x14ac:dyDescent="0.25">
      <c r="C88" s="891"/>
      <c r="D88" s="893"/>
      <c r="E88" s="893"/>
      <c r="F88" s="893"/>
      <c r="G88" s="893"/>
      <c r="H88" s="893"/>
      <c r="I88" s="893"/>
      <c r="J88" s="893"/>
      <c r="K88" s="894"/>
    </row>
    <row r="89" spans="3:11" hidden="1" x14ac:dyDescent="0.25">
      <c r="C89" s="891"/>
      <c r="D89" s="893"/>
      <c r="E89" s="893"/>
      <c r="F89" s="893"/>
      <c r="G89" s="893"/>
      <c r="H89" s="893"/>
      <c r="I89" s="893"/>
      <c r="J89" s="893"/>
      <c r="K89" s="894"/>
    </row>
    <row r="90" spans="3:11" hidden="1" x14ac:dyDescent="0.25">
      <c r="C90" s="891"/>
      <c r="D90" s="893"/>
      <c r="E90" s="898"/>
      <c r="F90" s="893"/>
      <c r="G90" s="893"/>
      <c r="H90" s="893"/>
      <c r="I90" s="893"/>
      <c r="J90" s="893"/>
      <c r="K90" s="894"/>
    </row>
    <row r="91" spans="3:11" hidden="1" x14ac:dyDescent="0.25">
      <c r="C91" s="891"/>
      <c r="D91" s="899">
        <v>154136473.05500001</v>
      </c>
      <c r="E91" s="900">
        <v>21369795.525000002</v>
      </c>
      <c r="F91" s="900">
        <v>7163565.9199999999</v>
      </c>
      <c r="G91" s="900">
        <v>3954447.1083333334</v>
      </c>
      <c r="H91" s="900">
        <v>1703753.0833333335</v>
      </c>
      <c r="I91" s="900">
        <v>71383.05</v>
      </c>
      <c r="J91" s="900"/>
      <c r="K91" s="901">
        <v>188399417.74166667</v>
      </c>
    </row>
    <row r="92" spans="3:11" hidden="1" x14ac:dyDescent="0.25">
      <c r="C92" s="891"/>
      <c r="D92" s="902"/>
      <c r="E92" s="903"/>
      <c r="F92" s="904"/>
      <c r="G92" s="904"/>
      <c r="H92" s="904"/>
      <c r="I92" s="904">
        <v>80962.110000000015</v>
      </c>
      <c r="J92" s="904">
        <v>2838694.6683333335</v>
      </c>
      <c r="K92" s="905">
        <v>394664270.55767512</v>
      </c>
    </row>
    <row r="93" spans="3:11" hidden="1" x14ac:dyDescent="0.25">
      <c r="C93" s="891"/>
      <c r="D93" s="902">
        <v>83971717.853691652</v>
      </c>
      <c r="E93" s="904">
        <v>51042377.078555085</v>
      </c>
      <c r="F93" s="904">
        <v>166330727.73160338</v>
      </c>
      <c r="G93" s="904">
        <v>50435943.535174124</v>
      </c>
      <c r="H93" s="904">
        <v>26182060.425711825</v>
      </c>
      <c r="I93" s="904">
        <v>3461865.4998140289</v>
      </c>
      <c r="J93" s="904">
        <v>10319921.654791666</v>
      </c>
      <c r="K93" s="905">
        <v>974808302.07868338</v>
      </c>
    </row>
    <row r="94" spans="3:11" ht="16.5" hidden="1" thickBot="1" x14ac:dyDescent="0.3">
      <c r="C94" s="891"/>
      <c r="D94" s="906">
        <v>238108190.90869164</v>
      </c>
      <c r="E94" s="907">
        <v>72412172.603555083</v>
      </c>
      <c r="F94" s="907">
        <v>173494293.65160337</v>
      </c>
      <c r="G94" s="907">
        <v>54390390.643507458</v>
      </c>
      <c r="H94" s="907">
        <v>27885813.509045158</v>
      </c>
      <c r="I94" s="907">
        <v>3614210.659814029</v>
      </c>
      <c r="J94" s="907">
        <v>13158616.323124999</v>
      </c>
      <c r="K94" s="908">
        <v>583063688.29934168</v>
      </c>
    </row>
    <row r="95" spans="3:11" hidden="1" x14ac:dyDescent="0.25">
      <c r="C95" s="891"/>
      <c r="D95" s="893"/>
      <c r="E95" s="696"/>
      <c r="F95" s="893"/>
      <c r="G95" s="893"/>
      <c r="H95" s="893"/>
      <c r="I95" s="893"/>
      <c r="J95" s="893"/>
      <c r="K95" s="894"/>
    </row>
    <row r="96" spans="3:11" hidden="1" x14ac:dyDescent="0.25">
      <c r="C96" s="891"/>
      <c r="D96" s="892">
        <v>-8282.4775294363499</v>
      </c>
      <c r="E96" s="892">
        <v>1907.3597540073097</v>
      </c>
      <c r="F96" s="892">
        <v>-15.343765207566321</v>
      </c>
      <c r="G96" s="892">
        <v>16.405156598892063</v>
      </c>
      <c r="H96" s="892">
        <v>-0.30727584240958095</v>
      </c>
      <c r="I96" s="892">
        <v>-20.547354607435409</v>
      </c>
      <c r="J96" s="892" t="s">
        <v>18</v>
      </c>
      <c r="K96" s="894"/>
    </row>
    <row r="97" spans="3:11" hidden="1" x14ac:dyDescent="0.25">
      <c r="C97" s="891"/>
      <c r="D97" s="897">
        <v>0</v>
      </c>
      <c r="E97" s="897">
        <v>0</v>
      </c>
      <c r="F97" s="897">
        <v>0</v>
      </c>
      <c r="G97" s="897">
        <v>0</v>
      </c>
      <c r="H97" s="897">
        <v>0</v>
      </c>
      <c r="I97" s="897">
        <v>19.457503405719763</v>
      </c>
      <c r="J97" s="897">
        <v>1024.243193931412</v>
      </c>
      <c r="K97" s="894"/>
    </row>
    <row r="98" spans="3:11" hidden="1" x14ac:dyDescent="0.25">
      <c r="C98" s="891"/>
      <c r="D98" s="897">
        <v>570.75448952615261</v>
      </c>
      <c r="E98" s="897">
        <v>3469.6055460944772</v>
      </c>
      <c r="F98" s="897">
        <v>-704.05949330329895</v>
      </c>
      <c r="G98" s="897">
        <v>-387.06236746907234</v>
      </c>
      <c r="H98" s="897">
        <v>156.29464458674192</v>
      </c>
      <c r="I98" s="897">
        <v>-27.4138576509431</v>
      </c>
      <c r="J98" s="897">
        <v>0.21525514498353004</v>
      </c>
      <c r="K98" s="909">
        <v>-2272.8761002213869</v>
      </c>
    </row>
    <row r="99" spans="3:11" hidden="1" x14ac:dyDescent="0.25">
      <c r="C99" s="891"/>
      <c r="D99" s="893"/>
      <c r="E99" s="893"/>
      <c r="F99" s="893"/>
      <c r="G99" s="893"/>
      <c r="H99" s="893"/>
      <c r="I99" s="893"/>
      <c r="J99" s="893"/>
      <c r="K99" s="894"/>
    </row>
    <row r="100" spans="3:11" hidden="1" x14ac:dyDescent="0.25">
      <c r="C100" s="891"/>
      <c r="D100" s="893"/>
      <c r="E100" s="893"/>
      <c r="F100" s="893"/>
      <c r="G100" s="893"/>
      <c r="H100" s="893"/>
      <c r="I100" s="893"/>
      <c r="J100" s="893"/>
      <c r="K100" s="894"/>
    </row>
    <row r="101" spans="3:11" hidden="1" x14ac:dyDescent="0.25">
      <c r="C101" s="891"/>
      <c r="D101" s="893"/>
      <c r="E101" s="696"/>
      <c r="F101" s="893"/>
      <c r="G101" s="893"/>
      <c r="H101" s="893"/>
      <c r="I101" s="893"/>
      <c r="J101" s="893"/>
      <c r="K101" s="894"/>
    </row>
    <row r="102" spans="3:11" hidden="1" x14ac:dyDescent="0.25">
      <c r="C102" s="891"/>
      <c r="D102" s="893"/>
      <c r="E102" s="898"/>
      <c r="F102" s="893"/>
      <c r="G102" s="893"/>
      <c r="H102" s="893"/>
      <c r="I102" s="893"/>
      <c r="J102" s="893"/>
      <c r="K102" s="894"/>
    </row>
    <row r="103" spans="3:11" hidden="1" x14ac:dyDescent="0.25">
      <c r="C103" s="891"/>
      <c r="D103" s="893"/>
      <c r="E103" s="898"/>
      <c r="F103" s="893"/>
      <c r="G103" s="893"/>
      <c r="H103" s="893"/>
      <c r="I103" s="893"/>
      <c r="J103" s="893"/>
      <c r="K103" s="894"/>
    </row>
    <row r="104" spans="3:11" ht="16.5" hidden="1" thickBot="1" x14ac:dyDescent="0.3">
      <c r="C104" s="891"/>
      <c r="D104" s="893"/>
      <c r="E104" s="697">
        <v>-0.62</v>
      </c>
      <c r="F104" s="893"/>
      <c r="G104" s="893"/>
      <c r="H104" s="893"/>
      <c r="I104" s="893"/>
      <c r="J104" s="893"/>
      <c r="K104" s="894"/>
    </row>
    <row r="105" spans="3:11" hidden="1" x14ac:dyDescent="0.25">
      <c r="C105" s="891"/>
      <c r="D105" s="893"/>
      <c r="E105" s="893"/>
      <c r="F105" s="893"/>
      <c r="G105" s="893"/>
      <c r="H105" s="893"/>
      <c r="I105" s="893"/>
      <c r="J105" s="893"/>
      <c r="K105" s="894"/>
    </row>
    <row r="106" spans="3:11" hidden="1" x14ac:dyDescent="0.25">
      <c r="C106" s="891"/>
      <c r="D106" s="893"/>
      <c r="E106" s="893"/>
      <c r="F106" s="893"/>
      <c r="G106" s="893"/>
      <c r="H106" s="893"/>
      <c r="I106" s="893"/>
      <c r="J106" s="893"/>
      <c r="K106" s="894"/>
    </row>
    <row r="107" spans="3:11" hidden="1" x14ac:dyDescent="0.25">
      <c r="C107" s="891" t="s">
        <v>18</v>
      </c>
      <c r="D107" s="893"/>
      <c r="E107" s="893"/>
      <c r="F107" s="893"/>
      <c r="G107" s="893"/>
      <c r="H107" s="893"/>
      <c r="I107" s="893"/>
      <c r="J107" s="893"/>
      <c r="K107" s="894"/>
    </row>
    <row r="108" spans="3:11" hidden="1" x14ac:dyDescent="0.25">
      <c r="C108" s="891"/>
      <c r="D108" s="893"/>
      <c r="E108" s="893"/>
      <c r="F108" s="893"/>
      <c r="G108" s="893"/>
      <c r="H108" s="893"/>
      <c r="I108" s="893"/>
      <c r="J108" s="893"/>
      <c r="K108" s="894"/>
    </row>
    <row r="109" spans="3:11" hidden="1" x14ac:dyDescent="0.25">
      <c r="C109" s="891"/>
      <c r="D109" s="893"/>
      <c r="E109" s="893"/>
      <c r="F109" s="893"/>
      <c r="G109" s="893"/>
      <c r="H109" s="893"/>
      <c r="I109" s="893"/>
      <c r="J109" s="893"/>
      <c r="K109" s="894"/>
    </row>
    <row r="110" spans="3:11" hidden="1" x14ac:dyDescent="0.25">
      <c r="C110" s="891"/>
      <c r="D110" s="893"/>
      <c r="E110" s="893"/>
      <c r="F110" s="893"/>
      <c r="G110" s="893"/>
      <c r="H110" s="893"/>
      <c r="I110" s="893"/>
      <c r="J110" s="893"/>
      <c r="K110" s="894"/>
    </row>
    <row r="111" spans="3:11" hidden="1" x14ac:dyDescent="0.25">
      <c r="C111" s="891"/>
      <c r="D111" s="893"/>
      <c r="E111" s="893"/>
      <c r="F111" s="893"/>
      <c r="G111" s="893"/>
      <c r="H111" s="893"/>
      <c r="I111" s="893"/>
      <c r="J111" s="893"/>
      <c r="K111" s="894"/>
    </row>
    <row r="112" spans="3:11" hidden="1" x14ac:dyDescent="0.25">
      <c r="C112" s="891"/>
      <c r="D112" s="893"/>
      <c r="E112" s="893"/>
      <c r="F112" s="893"/>
      <c r="G112" s="893"/>
      <c r="H112" s="893"/>
      <c r="I112" s="893"/>
      <c r="J112" s="893"/>
      <c r="K112" s="894"/>
    </row>
    <row r="113" spans="1:16" hidden="1" x14ac:dyDescent="0.25">
      <c r="C113" s="891"/>
      <c r="D113" s="893"/>
      <c r="E113" s="893"/>
      <c r="F113" s="893"/>
      <c r="G113" s="893"/>
      <c r="H113" s="893"/>
      <c r="I113" s="893"/>
      <c r="J113" s="893"/>
      <c r="K113" s="894"/>
    </row>
    <row r="114" spans="1:16" hidden="1" x14ac:dyDescent="0.25">
      <c r="C114" s="891"/>
      <c r="D114" s="893"/>
      <c r="E114" s="893"/>
      <c r="F114" s="893"/>
      <c r="G114" s="893"/>
      <c r="H114" s="893"/>
      <c r="I114" s="893"/>
      <c r="J114" s="893"/>
      <c r="K114" s="894"/>
    </row>
    <row r="115" spans="1:16" hidden="1" x14ac:dyDescent="0.25">
      <c r="C115" s="891"/>
      <c r="D115" s="893"/>
      <c r="E115" s="893"/>
      <c r="F115" s="893"/>
      <c r="G115" s="893"/>
      <c r="H115" s="893"/>
      <c r="I115" s="893"/>
      <c r="J115" s="893"/>
      <c r="K115" s="894"/>
    </row>
    <row r="116" spans="1:16" hidden="1" x14ac:dyDescent="0.25">
      <c r="C116" s="891"/>
      <c r="D116" s="893"/>
      <c r="E116" s="893"/>
      <c r="F116" s="893"/>
      <c r="G116" s="893"/>
      <c r="H116" s="893"/>
      <c r="I116" s="893"/>
      <c r="J116" s="893"/>
      <c r="K116" s="894"/>
    </row>
    <row r="117" spans="1:16" hidden="1" x14ac:dyDescent="0.25">
      <c r="C117" s="891"/>
      <c r="D117" s="893"/>
      <c r="E117" s="893"/>
      <c r="F117" s="893"/>
      <c r="G117" s="893"/>
      <c r="H117" s="893"/>
      <c r="I117" s="893"/>
      <c r="J117" s="893"/>
      <c r="K117" s="894"/>
    </row>
    <row r="118" spans="1:16" hidden="1" x14ac:dyDescent="0.25">
      <c r="C118" s="891"/>
      <c r="D118" s="893"/>
      <c r="E118" s="893"/>
      <c r="F118" s="893"/>
      <c r="G118" s="893"/>
      <c r="H118" s="893"/>
      <c r="I118" s="893"/>
      <c r="J118" s="893"/>
      <c r="K118" s="894"/>
    </row>
    <row r="119" spans="1:16" hidden="1" x14ac:dyDescent="0.25">
      <c r="C119" s="891"/>
      <c r="D119" s="893"/>
      <c r="E119" s="893"/>
      <c r="F119" s="893"/>
      <c r="G119" s="893"/>
      <c r="H119" s="893"/>
      <c r="I119" s="893"/>
      <c r="J119" s="893"/>
      <c r="K119" s="894"/>
    </row>
    <row r="120" spans="1:16" hidden="1" x14ac:dyDescent="0.25">
      <c r="C120" s="891"/>
      <c r="D120" s="893"/>
      <c r="E120" s="893"/>
      <c r="F120" s="893"/>
      <c r="G120" s="893"/>
      <c r="H120" s="893"/>
      <c r="I120" s="893"/>
      <c r="J120" s="893"/>
      <c r="K120" s="894"/>
    </row>
    <row r="121" spans="1:16" hidden="1" x14ac:dyDescent="0.25">
      <c r="C121" s="891"/>
      <c r="D121" s="893"/>
      <c r="E121" s="893"/>
      <c r="F121" s="893"/>
      <c r="G121" s="893"/>
      <c r="H121" s="893"/>
      <c r="I121" s="893"/>
      <c r="J121" s="893"/>
      <c r="K121" s="894"/>
    </row>
    <row r="122" spans="1:16" hidden="1" x14ac:dyDescent="0.25">
      <c r="C122" s="891"/>
      <c r="D122" s="893"/>
      <c r="E122" s="893"/>
      <c r="F122" s="893"/>
      <c r="G122" s="893"/>
      <c r="H122" s="893"/>
      <c r="I122" s="893"/>
      <c r="J122" s="893"/>
      <c r="K122" s="894"/>
    </row>
    <row r="123" spans="1:16" hidden="1" x14ac:dyDescent="0.25">
      <c r="C123" s="891"/>
      <c r="D123" s="893"/>
      <c r="E123" s="893"/>
      <c r="F123" s="893"/>
      <c r="G123" s="893"/>
      <c r="H123" s="893"/>
      <c r="I123" s="893"/>
      <c r="J123" s="893"/>
      <c r="K123" s="894"/>
    </row>
    <row r="124" spans="1:16" hidden="1" x14ac:dyDescent="0.25">
      <c r="C124" s="891"/>
      <c r="D124" s="893"/>
      <c r="E124" s="893"/>
      <c r="F124" s="893"/>
      <c r="G124" s="893"/>
      <c r="H124" s="893"/>
      <c r="I124" s="893"/>
      <c r="J124" s="893"/>
      <c r="K124" s="894"/>
    </row>
    <row r="125" spans="1:16" ht="25.5" hidden="1" x14ac:dyDescent="0.35">
      <c r="A125" s="910" t="s">
        <v>245</v>
      </c>
      <c r="C125" s="891"/>
      <c r="D125" s="893"/>
      <c r="E125" s="893"/>
      <c r="F125" s="893"/>
      <c r="G125" s="893"/>
      <c r="H125" s="893"/>
      <c r="I125" s="893"/>
      <c r="J125" s="893"/>
      <c r="K125" s="894"/>
    </row>
    <row r="126" spans="1:16" hidden="1" x14ac:dyDescent="0.25">
      <c r="A126" s="911" t="s">
        <v>246</v>
      </c>
      <c r="B126" s="912"/>
      <c r="C126" s="888"/>
      <c r="D126" s="900">
        <v>633121</v>
      </c>
      <c r="E126" s="900">
        <v>65907</v>
      </c>
      <c r="F126" s="900">
        <v>13776</v>
      </c>
      <c r="G126" s="900">
        <v>505</v>
      </c>
      <c r="H126" s="900">
        <v>50</v>
      </c>
      <c r="I126" s="900">
        <v>1107</v>
      </c>
      <c r="J126" s="900">
        <v>1</v>
      </c>
      <c r="K126" s="901">
        <v>714467</v>
      </c>
      <c r="L126" s="912"/>
      <c r="M126" s="912"/>
      <c r="N126" s="912"/>
      <c r="O126" s="912"/>
      <c r="P126" s="913">
        <v>14281</v>
      </c>
    </row>
    <row r="127" spans="1:16" hidden="1" x14ac:dyDescent="0.25">
      <c r="A127" s="914" t="s">
        <v>247</v>
      </c>
      <c r="B127" s="789"/>
      <c r="C127" s="891"/>
      <c r="D127" s="904"/>
      <c r="E127" s="904"/>
      <c r="F127" s="904"/>
      <c r="G127" s="904"/>
      <c r="H127" s="904"/>
      <c r="I127" s="904">
        <v>12323</v>
      </c>
      <c r="J127" s="904">
        <v>163159</v>
      </c>
      <c r="K127" s="905">
        <v>0</v>
      </c>
      <c r="L127" s="789"/>
      <c r="M127" s="789"/>
      <c r="N127" s="789"/>
      <c r="O127" s="789"/>
      <c r="P127" s="915"/>
    </row>
    <row r="128" spans="1:16" hidden="1" x14ac:dyDescent="0.25">
      <c r="A128" s="914" t="s">
        <v>248</v>
      </c>
      <c r="B128" s="789"/>
      <c r="C128" s="891"/>
      <c r="D128" s="904">
        <v>5037295612.0990791</v>
      </c>
      <c r="E128" s="904">
        <v>2071525043.7725279</v>
      </c>
      <c r="F128" s="904">
        <v>0</v>
      </c>
      <c r="G128" s="904">
        <v>0</v>
      </c>
      <c r="H128" s="904">
        <v>0</v>
      </c>
      <c r="I128" s="904">
        <v>52097298.71804408</v>
      </c>
      <c r="J128" s="904">
        <v>0</v>
      </c>
      <c r="K128" s="905">
        <v>7160917954.5896511</v>
      </c>
      <c r="L128" s="789"/>
      <c r="M128" s="789"/>
      <c r="N128" s="789"/>
      <c r="O128" s="789"/>
      <c r="P128" s="915">
        <v>0</v>
      </c>
    </row>
    <row r="129" spans="1:17" ht="16.5" hidden="1" thickBot="1" x14ac:dyDescent="0.3">
      <c r="A129" s="916" t="s">
        <v>249</v>
      </c>
      <c r="B129" s="792"/>
      <c r="C129" s="917"/>
      <c r="D129" s="918">
        <v>0</v>
      </c>
      <c r="E129" s="918">
        <v>0</v>
      </c>
      <c r="F129" s="918">
        <v>26934429.732053652</v>
      </c>
      <c r="G129" s="918">
        <v>10637919.72094347</v>
      </c>
      <c r="H129" s="918">
        <v>5229314.742966217</v>
      </c>
      <c r="I129" s="918" t="s">
        <v>42</v>
      </c>
      <c r="J129" s="918">
        <v>322725</v>
      </c>
      <c r="K129" s="919">
        <v>43124389.195963338</v>
      </c>
      <c r="L129" s="792"/>
      <c r="M129" s="792"/>
      <c r="N129" s="792"/>
      <c r="O129" s="792"/>
      <c r="P129" s="920">
        <v>37572349.452997118</v>
      </c>
    </row>
    <row r="130" spans="1:17" hidden="1" x14ac:dyDescent="0.25">
      <c r="A130" s="911"/>
      <c r="B130" s="912"/>
      <c r="C130" s="888"/>
      <c r="D130" s="921"/>
      <c r="E130" s="921"/>
      <c r="F130" s="921"/>
      <c r="G130" s="921"/>
      <c r="H130" s="921"/>
      <c r="I130" s="921"/>
      <c r="J130" s="921" t="s">
        <v>18</v>
      </c>
      <c r="K130" s="901"/>
      <c r="L130" s="912"/>
      <c r="M130" s="912"/>
      <c r="N130" s="912"/>
      <c r="O130" s="912"/>
      <c r="P130" s="789"/>
    </row>
    <row r="131" spans="1:17" hidden="1" x14ac:dyDescent="0.25">
      <c r="A131" s="914" t="s">
        <v>250</v>
      </c>
      <c r="B131" s="789"/>
      <c r="C131" s="891"/>
      <c r="D131" s="698">
        <v>633121</v>
      </c>
      <c r="E131" s="698">
        <v>65907</v>
      </c>
      <c r="F131" s="698">
        <v>13776</v>
      </c>
      <c r="G131" s="698">
        <v>505</v>
      </c>
      <c r="H131" s="698">
        <v>50</v>
      </c>
      <c r="I131" s="698">
        <v>1107</v>
      </c>
      <c r="J131" s="698">
        <v>1</v>
      </c>
      <c r="K131" s="905"/>
      <c r="L131" s="789"/>
      <c r="M131" s="789"/>
      <c r="N131" s="789"/>
      <c r="O131" s="789"/>
      <c r="P131" s="915">
        <v>14281</v>
      </c>
    </row>
    <row r="132" spans="1:17" hidden="1" x14ac:dyDescent="0.25">
      <c r="A132" s="914" t="s">
        <v>251</v>
      </c>
      <c r="B132" s="789"/>
      <c r="C132" s="891"/>
      <c r="D132" s="893"/>
      <c r="E132" s="893"/>
      <c r="F132" s="893"/>
      <c r="G132" s="893"/>
      <c r="H132" s="893"/>
      <c r="I132" s="904">
        <v>12323</v>
      </c>
      <c r="J132" s="904">
        <v>163159</v>
      </c>
      <c r="K132" s="905">
        <v>162045.87500000003</v>
      </c>
      <c r="L132" s="789"/>
      <c r="M132" s="789"/>
      <c r="N132" s="789"/>
      <c r="O132" s="789"/>
      <c r="P132" s="669" t="s">
        <v>18</v>
      </c>
    </row>
    <row r="133" spans="1:17" hidden="1" x14ac:dyDescent="0.25">
      <c r="A133" s="914" t="s">
        <v>252</v>
      </c>
      <c r="B133" s="789"/>
      <c r="C133" s="891"/>
      <c r="D133" s="698">
        <v>0</v>
      </c>
      <c r="E133" s="698">
        <v>0</v>
      </c>
      <c r="F133" s="698"/>
      <c r="G133" s="698"/>
      <c r="H133" s="698"/>
      <c r="I133" s="698">
        <v>0</v>
      </c>
      <c r="J133" s="698"/>
      <c r="K133" s="905">
        <v>0</v>
      </c>
      <c r="L133" s="669"/>
      <c r="M133" s="669"/>
      <c r="N133" s="669"/>
      <c r="O133" s="669"/>
      <c r="P133" s="915">
        <v>0</v>
      </c>
    </row>
    <row r="134" spans="1:17" ht="16.5" hidden="1" thickBot="1" x14ac:dyDescent="0.3">
      <c r="A134" s="670" t="s">
        <v>253</v>
      </c>
      <c r="B134" s="671"/>
      <c r="C134" s="699"/>
      <c r="D134" s="700"/>
      <c r="E134" s="700"/>
      <c r="F134" s="700">
        <v>0</v>
      </c>
      <c r="G134" s="700">
        <v>0</v>
      </c>
      <c r="H134" s="700">
        <v>0</v>
      </c>
      <c r="I134" s="700"/>
      <c r="J134" s="700">
        <v>0</v>
      </c>
      <c r="K134" s="919">
        <v>0</v>
      </c>
      <c r="L134" s="671"/>
      <c r="M134" s="671"/>
      <c r="N134" s="671"/>
      <c r="O134" s="671"/>
      <c r="P134" s="920">
        <v>0</v>
      </c>
    </row>
    <row r="135" spans="1:17" hidden="1" x14ac:dyDescent="0.25">
      <c r="A135" s="914"/>
      <c r="B135" s="789"/>
      <c r="C135" s="891"/>
      <c r="D135" s="893"/>
      <c r="E135" s="893"/>
      <c r="F135" s="893"/>
      <c r="G135" s="893"/>
      <c r="H135" s="893"/>
      <c r="I135" s="893"/>
      <c r="J135" s="893"/>
      <c r="K135" s="894"/>
      <c r="L135" s="789"/>
      <c r="M135" s="789"/>
      <c r="N135" s="789"/>
      <c r="O135" s="789"/>
      <c r="P135" s="789"/>
    </row>
    <row r="136" spans="1:17" hidden="1" x14ac:dyDescent="0.25">
      <c r="A136" s="914" t="s">
        <v>254</v>
      </c>
      <c r="B136" s="789"/>
      <c r="C136" s="891"/>
      <c r="D136" s="904">
        <v>633121</v>
      </c>
      <c r="E136" s="904">
        <v>65907</v>
      </c>
      <c r="F136" s="904">
        <v>13776</v>
      </c>
      <c r="G136" s="904">
        <v>505</v>
      </c>
      <c r="H136" s="904">
        <v>50</v>
      </c>
      <c r="I136" s="904">
        <v>1107</v>
      </c>
      <c r="J136" s="904">
        <v>1</v>
      </c>
      <c r="K136" s="905">
        <v>714467</v>
      </c>
      <c r="L136" s="789"/>
      <c r="M136" s="789"/>
      <c r="N136" s="789"/>
      <c r="O136" s="789"/>
      <c r="P136" s="915">
        <v>14281</v>
      </c>
    </row>
    <row r="137" spans="1:17" hidden="1" x14ac:dyDescent="0.25">
      <c r="A137" s="914" t="s">
        <v>255</v>
      </c>
      <c r="B137" s="789"/>
      <c r="C137" s="891"/>
      <c r="D137" s="904">
        <v>0</v>
      </c>
      <c r="E137" s="904">
        <v>0</v>
      </c>
      <c r="F137" s="904">
        <v>0</v>
      </c>
      <c r="G137" s="904">
        <v>0</v>
      </c>
      <c r="H137" s="904">
        <v>0</v>
      </c>
      <c r="I137" s="904">
        <v>12323</v>
      </c>
      <c r="J137" s="904">
        <v>163159</v>
      </c>
      <c r="K137" s="905" t="s">
        <v>18</v>
      </c>
      <c r="L137" s="789"/>
      <c r="M137" s="789"/>
      <c r="N137" s="789"/>
      <c r="O137" s="789"/>
      <c r="P137" s="915" t="s">
        <v>18</v>
      </c>
    </row>
    <row r="138" spans="1:17" hidden="1" x14ac:dyDescent="0.25">
      <c r="A138" s="914" t="s">
        <v>256</v>
      </c>
      <c r="B138" s="789"/>
      <c r="C138" s="891"/>
      <c r="D138" s="904">
        <v>5037295612.0990791</v>
      </c>
      <c r="E138" s="904">
        <v>2071525043.7725279</v>
      </c>
      <c r="F138" s="904" t="s">
        <v>18</v>
      </c>
      <c r="G138" s="904" t="s">
        <v>18</v>
      </c>
      <c r="H138" s="904" t="s">
        <v>18</v>
      </c>
      <c r="I138" s="904">
        <v>52097298.71804408</v>
      </c>
      <c r="J138" s="904" t="s">
        <v>18</v>
      </c>
      <c r="K138" s="905">
        <v>7160917954.5896511</v>
      </c>
      <c r="L138" s="789"/>
      <c r="M138" s="789"/>
      <c r="N138" s="789"/>
      <c r="O138" s="789"/>
      <c r="P138" s="915" t="s">
        <v>41</v>
      </c>
    </row>
    <row r="139" spans="1:17" hidden="1" x14ac:dyDescent="0.25">
      <c r="A139" s="914" t="s">
        <v>257</v>
      </c>
      <c r="B139" s="789"/>
      <c r="C139" s="891"/>
      <c r="D139" s="904">
        <v>0</v>
      </c>
      <c r="E139" s="904">
        <v>0</v>
      </c>
      <c r="F139" s="904">
        <v>26934429.732053652</v>
      </c>
      <c r="G139" s="904">
        <v>10637919.72094347</v>
      </c>
      <c r="H139" s="904">
        <v>5229314.742966217</v>
      </c>
      <c r="I139" s="904" t="s">
        <v>18</v>
      </c>
      <c r="J139" s="904">
        <v>322725</v>
      </c>
      <c r="K139" s="905">
        <v>43124389.195963338</v>
      </c>
      <c r="L139" s="789"/>
      <c r="M139" s="789"/>
      <c r="N139" s="789"/>
      <c r="O139" s="789"/>
      <c r="P139" s="915">
        <v>37572349.452997118</v>
      </c>
    </row>
    <row r="140" spans="1:17" ht="16.5" hidden="1" thickBot="1" x14ac:dyDescent="0.3">
      <c r="A140" s="916"/>
      <c r="B140" s="792"/>
      <c r="C140" s="917"/>
      <c r="D140" s="922"/>
      <c r="E140" s="922"/>
      <c r="F140" s="922"/>
      <c r="G140" s="922"/>
      <c r="H140" s="922"/>
      <c r="I140" s="922"/>
      <c r="J140" s="922"/>
      <c r="K140" s="923"/>
      <c r="L140" s="792"/>
      <c r="M140" s="792"/>
      <c r="N140" s="792"/>
      <c r="O140" s="792"/>
      <c r="P140" s="792"/>
    </row>
    <row r="141" spans="1:17" hidden="1" x14ac:dyDescent="0.25">
      <c r="C141" s="891"/>
      <c r="D141" s="924">
        <v>1</v>
      </c>
      <c r="E141" s="924">
        <v>1</v>
      </c>
      <c r="F141" s="924">
        <v>1</v>
      </c>
      <c r="G141" s="924">
        <v>1</v>
      </c>
      <c r="H141" s="924">
        <v>1</v>
      </c>
      <c r="I141" s="924">
        <v>1</v>
      </c>
      <c r="J141" s="924">
        <v>1</v>
      </c>
      <c r="K141" s="925">
        <v>1</v>
      </c>
      <c r="Q141" s="882">
        <v>1</v>
      </c>
    </row>
    <row r="142" spans="1:17" hidden="1" x14ac:dyDescent="0.25">
      <c r="A142" s="926"/>
      <c r="B142" s="927"/>
      <c r="C142" s="888"/>
      <c r="D142" s="921"/>
      <c r="E142" s="921"/>
      <c r="F142" s="921"/>
      <c r="G142" s="921"/>
      <c r="H142" s="921"/>
      <c r="I142" s="921"/>
      <c r="J142" s="921"/>
      <c r="K142" s="928"/>
      <c r="L142" s="927"/>
      <c r="M142" s="927"/>
      <c r="N142" s="927"/>
      <c r="O142" s="927"/>
      <c r="P142" s="927"/>
    </row>
    <row r="143" spans="1:17" hidden="1" x14ac:dyDescent="0.25">
      <c r="A143" s="929" t="s">
        <v>258</v>
      </c>
      <c r="B143" s="770"/>
      <c r="C143" s="891"/>
      <c r="D143" s="701" t="e">
        <v>#REF!</v>
      </c>
      <c r="E143" s="701" t="e">
        <v>#REF!</v>
      </c>
      <c r="F143" s="701" t="e">
        <v>#REF!</v>
      </c>
      <c r="G143" s="701" t="e">
        <v>#REF!</v>
      </c>
      <c r="H143" s="701" t="e">
        <v>#REF!</v>
      </c>
      <c r="I143" s="701" t="e">
        <v>#REF!</v>
      </c>
      <c r="J143" s="702" t="s">
        <v>18</v>
      </c>
      <c r="K143" s="703" t="e">
        <v>#REF!</v>
      </c>
      <c r="L143" s="619"/>
      <c r="M143" s="770"/>
      <c r="N143" s="770"/>
      <c r="O143" s="770"/>
      <c r="P143" s="619" t="e">
        <v>#REF!</v>
      </c>
    </row>
    <row r="144" spans="1:17" hidden="1" x14ac:dyDescent="0.25">
      <c r="A144" s="929" t="s">
        <v>259</v>
      </c>
      <c r="B144" s="770"/>
      <c r="C144" s="891"/>
      <c r="D144" s="701"/>
      <c r="E144" s="701"/>
      <c r="F144" s="701"/>
      <c r="G144" s="701"/>
      <c r="H144" s="701"/>
      <c r="I144" s="701" t="e">
        <v>#REF!</v>
      </c>
      <c r="J144" s="701" t="e">
        <v>#REF!</v>
      </c>
      <c r="K144" s="703" t="e">
        <v>#REF!</v>
      </c>
      <c r="L144" s="619"/>
      <c r="M144" s="770"/>
      <c r="N144" s="770"/>
      <c r="O144" s="770"/>
      <c r="P144" s="619">
        <v>0</v>
      </c>
    </row>
    <row r="145" spans="1:16" hidden="1" x14ac:dyDescent="0.25">
      <c r="A145" s="929" t="s">
        <v>260</v>
      </c>
      <c r="B145" s="770"/>
      <c r="C145" s="891"/>
      <c r="D145" s="701" t="e">
        <v>#REF!</v>
      </c>
      <c r="E145" s="701" t="e">
        <v>#REF!</v>
      </c>
      <c r="F145" s="701"/>
      <c r="G145" s="701"/>
      <c r="H145" s="701"/>
      <c r="I145" s="701" t="e">
        <v>#REF!</v>
      </c>
      <c r="J145" s="701" t="s">
        <v>18</v>
      </c>
      <c r="K145" s="703" t="e">
        <v>#REF!</v>
      </c>
      <c r="L145" s="619"/>
      <c r="M145" s="770"/>
      <c r="N145" s="770"/>
      <c r="O145" s="770"/>
      <c r="P145" s="619">
        <v>0</v>
      </c>
    </row>
    <row r="146" spans="1:16" ht="16.5" hidden="1" thickBot="1" x14ac:dyDescent="0.3">
      <c r="A146" s="930" t="s">
        <v>261</v>
      </c>
      <c r="B146" s="780"/>
      <c r="C146" s="917"/>
      <c r="D146" s="704"/>
      <c r="E146" s="704"/>
      <c r="F146" s="704" t="e">
        <v>#REF!</v>
      </c>
      <c r="G146" s="704" t="e">
        <v>#REF!</v>
      </c>
      <c r="H146" s="704" t="e">
        <v>#REF!</v>
      </c>
      <c r="I146" s="704" t="s">
        <v>18</v>
      </c>
      <c r="J146" s="704" t="e">
        <v>#REF!</v>
      </c>
      <c r="K146" s="705" t="e">
        <v>#REF!</v>
      </c>
      <c r="L146" s="672" t="e">
        <v>#REF!</v>
      </c>
      <c r="M146" s="780"/>
      <c r="N146" s="780"/>
      <c r="O146" s="780"/>
      <c r="P146" s="626">
        <v>0</v>
      </c>
    </row>
    <row r="147" spans="1:16" hidden="1" x14ac:dyDescent="0.25">
      <c r="A147" s="926"/>
      <c r="B147" s="927"/>
      <c r="C147" s="888"/>
      <c r="D147" s="706"/>
      <c r="E147" s="706"/>
      <c r="F147" s="706"/>
      <c r="G147" s="706"/>
      <c r="H147" s="706"/>
      <c r="I147" s="706"/>
      <c r="J147" s="706"/>
      <c r="K147" s="707"/>
      <c r="L147" s="674"/>
      <c r="M147" s="927"/>
      <c r="N147" s="927"/>
      <c r="O147" s="927"/>
      <c r="P147" s="673"/>
    </row>
    <row r="148" spans="1:16" hidden="1" x14ac:dyDescent="0.25">
      <c r="A148" s="929" t="s">
        <v>262</v>
      </c>
      <c r="B148" s="770"/>
      <c r="C148" s="891"/>
      <c r="D148" s="701">
        <v>38006253.630000003</v>
      </c>
      <c r="E148" s="701">
        <v>5269264.6499999994</v>
      </c>
      <c r="F148" s="701">
        <v>1766358.72</v>
      </c>
      <c r="G148" s="701">
        <v>975069.15</v>
      </c>
      <c r="H148" s="701">
        <v>420103.5</v>
      </c>
      <c r="I148" s="701">
        <v>17601.3</v>
      </c>
      <c r="J148" s="702" t="s">
        <v>18</v>
      </c>
      <c r="K148" s="703">
        <v>46454650.949999996</v>
      </c>
      <c r="L148" s="675"/>
      <c r="M148" s="770"/>
      <c r="N148" s="770"/>
      <c r="O148" s="770"/>
      <c r="P148" s="619">
        <v>2741427.87</v>
      </c>
    </row>
    <row r="149" spans="1:16" hidden="1" x14ac:dyDescent="0.25">
      <c r="A149" s="929" t="s">
        <v>263</v>
      </c>
      <c r="B149" s="770"/>
      <c r="C149" s="891"/>
      <c r="D149" s="701"/>
      <c r="E149" s="701"/>
      <c r="F149" s="701"/>
      <c r="G149" s="701"/>
      <c r="H149" s="701"/>
      <c r="I149" s="701">
        <v>19963.260000000002</v>
      </c>
      <c r="J149" s="701">
        <v>699952.11</v>
      </c>
      <c r="K149" s="703">
        <v>719915.37</v>
      </c>
      <c r="L149" s="675"/>
      <c r="M149" s="770"/>
      <c r="N149" s="770"/>
      <c r="O149" s="770"/>
      <c r="P149" s="619">
        <v>0</v>
      </c>
    </row>
    <row r="150" spans="1:16" hidden="1" x14ac:dyDescent="0.25">
      <c r="A150" s="929" t="s">
        <v>264</v>
      </c>
      <c r="B150" s="770"/>
      <c r="C150" s="891"/>
      <c r="D150" s="701">
        <v>0</v>
      </c>
      <c r="E150" s="701">
        <v>0</v>
      </c>
      <c r="F150" s="701"/>
      <c r="G150" s="701"/>
      <c r="H150" s="701"/>
      <c r="I150" s="701">
        <v>0</v>
      </c>
      <c r="J150" s="701">
        <v>0</v>
      </c>
      <c r="K150" s="703">
        <v>0</v>
      </c>
      <c r="L150" s="675"/>
      <c r="M150" s="770"/>
      <c r="N150" s="770"/>
      <c r="O150" s="770"/>
      <c r="P150" s="619">
        <v>0</v>
      </c>
    </row>
    <row r="151" spans="1:16" ht="16.5" hidden="1" thickBot="1" x14ac:dyDescent="0.3">
      <c r="A151" s="930" t="s">
        <v>265</v>
      </c>
      <c r="B151" s="780"/>
      <c r="C151" s="917"/>
      <c r="D151" s="704"/>
      <c r="E151" s="704"/>
      <c r="F151" s="704">
        <v>0</v>
      </c>
      <c r="G151" s="704">
        <v>0</v>
      </c>
      <c r="H151" s="704">
        <v>0</v>
      </c>
      <c r="I151" s="704">
        <v>0</v>
      </c>
      <c r="J151" s="704">
        <v>0</v>
      </c>
      <c r="K151" s="705">
        <v>0</v>
      </c>
      <c r="L151" s="672">
        <v>94349132.640000001</v>
      </c>
      <c r="M151" s="780"/>
      <c r="N151" s="780"/>
      <c r="O151" s="780"/>
      <c r="P151" s="626">
        <v>0</v>
      </c>
    </row>
    <row r="152" spans="1:16" hidden="1" x14ac:dyDescent="0.25">
      <c r="A152" s="931"/>
      <c r="B152" s="932"/>
      <c r="C152" s="891"/>
      <c r="D152" s="701"/>
      <c r="E152" s="701"/>
      <c r="F152" s="701"/>
      <c r="G152" s="701"/>
      <c r="H152" s="701"/>
      <c r="I152" s="701"/>
      <c r="J152" s="701"/>
      <c r="K152" s="703"/>
      <c r="L152" s="619"/>
      <c r="M152" s="770"/>
      <c r="N152" s="770"/>
      <c r="O152" s="770"/>
      <c r="P152" s="619"/>
    </row>
    <row r="153" spans="1:16" hidden="1" x14ac:dyDescent="0.25">
      <c r="A153" s="931" t="s">
        <v>266</v>
      </c>
      <c r="B153" s="932"/>
      <c r="C153" s="891"/>
      <c r="D153" s="701" t="e">
        <v>#REF!</v>
      </c>
      <c r="E153" s="701" t="e">
        <v>#REF!</v>
      </c>
      <c r="F153" s="701" t="e">
        <v>#REF!</v>
      </c>
      <c r="G153" s="701" t="e">
        <v>#REF!</v>
      </c>
      <c r="H153" s="701" t="e">
        <v>#REF!</v>
      </c>
      <c r="I153" s="701" t="e">
        <v>#REF!</v>
      </c>
      <c r="J153" s="701">
        <v>0</v>
      </c>
      <c r="K153" s="703" t="e">
        <v>#REF!</v>
      </c>
      <c r="L153" s="619"/>
      <c r="M153" s="770"/>
      <c r="N153" s="770"/>
      <c r="O153" s="770"/>
      <c r="P153" s="619" t="e">
        <v>#REF!</v>
      </c>
    </row>
    <row r="154" spans="1:16" hidden="1" x14ac:dyDescent="0.25">
      <c r="A154" s="931" t="s">
        <v>267</v>
      </c>
      <c r="B154" s="932"/>
      <c r="C154" s="891"/>
      <c r="D154" s="701">
        <v>0</v>
      </c>
      <c r="E154" s="701">
        <v>0</v>
      </c>
      <c r="F154" s="701">
        <v>0</v>
      </c>
      <c r="G154" s="701">
        <v>0</v>
      </c>
      <c r="H154" s="701">
        <v>0</v>
      </c>
      <c r="I154" s="701" t="e">
        <v>#REF!</v>
      </c>
      <c r="J154" s="701" t="e">
        <v>#REF!</v>
      </c>
      <c r="K154" s="703" t="e">
        <v>#REF!</v>
      </c>
      <c r="L154" s="619"/>
      <c r="M154" s="770"/>
      <c r="N154" s="770"/>
      <c r="O154" s="770"/>
      <c r="P154" s="619">
        <v>0</v>
      </c>
    </row>
    <row r="155" spans="1:16" hidden="1" x14ac:dyDescent="0.25">
      <c r="A155" s="931" t="s">
        <v>268</v>
      </c>
      <c r="B155" s="932"/>
      <c r="C155" s="891"/>
      <c r="D155" s="701" t="e">
        <v>#REF!</v>
      </c>
      <c r="E155" s="701" t="e">
        <v>#REF!</v>
      </c>
      <c r="F155" s="701">
        <v>0</v>
      </c>
      <c r="G155" s="701">
        <v>0</v>
      </c>
      <c r="H155" s="701">
        <v>0</v>
      </c>
      <c r="I155" s="701" t="e">
        <v>#REF!</v>
      </c>
      <c r="J155" s="701">
        <v>0</v>
      </c>
      <c r="K155" s="703" t="e">
        <v>#REF!</v>
      </c>
      <c r="L155" s="619"/>
      <c r="M155" s="770"/>
      <c r="N155" s="770"/>
      <c r="O155" s="770"/>
      <c r="P155" s="619">
        <v>0</v>
      </c>
    </row>
    <row r="156" spans="1:16" ht="18.75" hidden="1" x14ac:dyDescent="0.3">
      <c r="A156" s="931" t="s">
        <v>269</v>
      </c>
      <c r="B156" s="933"/>
      <c r="C156" s="934"/>
      <c r="D156" s="701">
        <v>0</v>
      </c>
      <c r="E156" s="701">
        <v>0</v>
      </c>
      <c r="F156" s="701" t="e">
        <v>#REF!</v>
      </c>
      <c r="G156" s="701" t="e">
        <v>#REF!</v>
      </c>
      <c r="H156" s="701" t="e">
        <v>#REF!</v>
      </c>
      <c r="I156" s="701">
        <v>0</v>
      </c>
      <c r="J156" s="701" t="e">
        <v>#REF!</v>
      </c>
      <c r="K156" s="703" t="e">
        <v>#REF!</v>
      </c>
      <c r="L156" s="676"/>
      <c r="M156" s="935"/>
      <c r="N156" s="935"/>
      <c r="O156" s="935"/>
      <c r="P156" s="619">
        <v>0</v>
      </c>
    </row>
    <row r="157" spans="1:16" ht="19.5" hidden="1" thickBot="1" x14ac:dyDescent="0.35">
      <c r="A157" s="936"/>
      <c r="B157" s="937" t="s">
        <v>83</v>
      </c>
      <c r="C157" s="938"/>
      <c r="D157" s="708" t="e">
        <v>#REF!</v>
      </c>
      <c r="E157" s="708" t="e">
        <v>#REF!</v>
      </c>
      <c r="F157" s="708" t="e">
        <v>#REF!</v>
      </c>
      <c r="G157" s="708" t="e">
        <v>#REF!</v>
      </c>
      <c r="H157" s="708" t="e">
        <v>#REF!</v>
      </c>
      <c r="I157" s="708" t="e">
        <v>#REF!</v>
      </c>
      <c r="J157" s="708" t="e">
        <v>#REF!</v>
      </c>
      <c r="K157" s="709" t="e">
        <v>#REF!</v>
      </c>
      <c r="L157" s="677" t="e">
        <v>#REF!</v>
      </c>
      <c r="M157" s="939"/>
      <c r="N157" s="939"/>
      <c r="O157" s="939"/>
      <c r="P157" s="677" t="e">
        <v>#REF!</v>
      </c>
    </row>
    <row r="158" spans="1:16" hidden="1" x14ac:dyDescent="0.25">
      <c r="C158" s="891"/>
      <c r="D158" s="893"/>
      <c r="E158" s="893"/>
      <c r="F158" s="893"/>
      <c r="G158" s="893"/>
      <c r="H158" s="893"/>
      <c r="I158" s="893"/>
      <c r="J158" s="893"/>
      <c r="K158" s="894"/>
      <c r="L158" s="678" t="s">
        <v>18</v>
      </c>
    </row>
    <row r="159" spans="1:16" ht="37.5" hidden="1" x14ac:dyDescent="0.3">
      <c r="A159" s="940" t="s">
        <v>238</v>
      </c>
      <c r="B159" s="941"/>
      <c r="C159" s="891"/>
      <c r="D159" s="942" t="s">
        <v>23</v>
      </c>
      <c r="E159" s="942" t="s">
        <v>24</v>
      </c>
      <c r="F159" s="942" t="s">
        <v>25</v>
      </c>
      <c r="G159" s="942" t="s">
        <v>26</v>
      </c>
      <c r="H159" s="942" t="s">
        <v>27</v>
      </c>
      <c r="I159" s="942" t="s">
        <v>28</v>
      </c>
      <c r="J159" s="942" t="s">
        <v>29</v>
      </c>
      <c r="K159" s="943" t="s">
        <v>30</v>
      </c>
      <c r="L159" s="679" t="s">
        <v>18</v>
      </c>
      <c r="M159" s="941"/>
      <c r="N159" s="941"/>
      <c r="O159" s="941"/>
      <c r="P159" s="941"/>
    </row>
    <row r="160" spans="1:16" ht="18.75" hidden="1" x14ac:dyDescent="0.3">
      <c r="A160" s="680" t="s">
        <v>239</v>
      </c>
      <c r="B160" s="681"/>
      <c r="C160" s="710"/>
      <c r="D160" s="711" t="e">
        <v>#REF!</v>
      </c>
      <c r="E160" s="712" t="e">
        <v>#REF!</v>
      </c>
      <c r="F160" s="712" t="e">
        <v>#REF!</v>
      </c>
      <c r="G160" s="712" t="e">
        <v>#REF!</v>
      </c>
      <c r="H160" s="712" t="e">
        <v>#REF!</v>
      </c>
      <c r="I160" s="712" t="e">
        <v>#REF!</v>
      </c>
      <c r="J160" s="712">
        <v>0</v>
      </c>
      <c r="K160" s="713" t="s">
        <v>18</v>
      </c>
      <c r="L160" s="682"/>
      <c r="M160" s="682"/>
      <c r="N160" s="682"/>
      <c r="O160" s="682"/>
      <c r="P160" s="682" t="e">
        <v>#REF!</v>
      </c>
    </row>
    <row r="161" spans="1:16" ht="18.75" hidden="1" x14ac:dyDescent="0.3">
      <c r="A161" s="685" t="s">
        <v>240</v>
      </c>
      <c r="B161" s="944"/>
      <c r="C161" s="945"/>
      <c r="D161" s="946"/>
      <c r="E161" s="946"/>
      <c r="F161" s="946"/>
      <c r="G161" s="946"/>
      <c r="H161" s="946"/>
      <c r="I161" s="714" t="e">
        <v>#REF!</v>
      </c>
      <c r="J161" s="715" t="e">
        <v>#REF!</v>
      </c>
      <c r="K161" s="716" t="s">
        <v>18</v>
      </c>
      <c r="L161" s="947"/>
      <c r="M161" s="947"/>
      <c r="N161" s="947"/>
      <c r="O161" s="947"/>
      <c r="P161" s="947"/>
    </row>
    <row r="162" spans="1:16" ht="18.75" hidden="1" x14ac:dyDescent="0.3">
      <c r="A162" s="685" t="s">
        <v>241</v>
      </c>
      <c r="B162" s="944"/>
      <c r="C162" s="717"/>
      <c r="D162" s="718" t="e">
        <v>#REF!</v>
      </c>
      <c r="E162" s="718" t="e">
        <v>#REF!</v>
      </c>
      <c r="F162" s="719"/>
      <c r="G162" s="719"/>
      <c r="H162" s="719"/>
      <c r="I162" s="718" t="e">
        <v>#REF!</v>
      </c>
      <c r="J162" s="719">
        <v>0</v>
      </c>
      <c r="K162" s="716" t="s">
        <v>18</v>
      </c>
      <c r="L162" s="947"/>
      <c r="M162" s="947"/>
      <c r="N162" s="947"/>
      <c r="O162" s="947"/>
      <c r="P162" s="683"/>
    </row>
    <row r="163" spans="1:16" ht="18.75" hidden="1" x14ac:dyDescent="0.3">
      <c r="A163" s="685" t="s">
        <v>242</v>
      </c>
      <c r="B163" s="944"/>
      <c r="C163" s="717"/>
      <c r="D163" s="719"/>
      <c r="E163" s="719"/>
      <c r="F163" s="719" t="e">
        <v>#REF!</v>
      </c>
      <c r="G163" s="719" t="e">
        <v>#REF!</v>
      </c>
      <c r="H163" s="719" t="e">
        <v>#REF!</v>
      </c>
      <c r="I163" s="720">
        <v>0</v>
      </c>
      <c r="J163" s="719" t="e">
        <v>#REF!</v>
      </c>
      <c r="K163" s="716" t="s">
        <v>18</v>
      </c>
      <c r="L163" s="947"/>
      <c r="M163" s="947"/>
      <c r="N163" s="947"/>
      <c r="O163" s="947"/>
      <c r="P163" s="684">
        <v>0</v>
      </c>
    </row>
    <row r="164" spans="1:16" ht="19.5" hidden="1" thickBot="1" x14ac:dyDescent="0.35">
      <c r="A164" s="948"/>
      <c r="B164" s="949"/>
      <c r="C164" s="950"/>
      <c r="D164" s="951"/>
      <c r="E164" s="951"/>
      <c r="F164" s="951"/>
      <c r="G164" s="951"/>
      <c r="H164" s="951"/>
      <c r="I164" s="951"/>
      <c r="J164" s="951"/>
      <c r="K164" s="952"/>
      <c r="L164" s="953"/>
      <c r="M164" s="953"/>
      <c r="N164" s="953"/>
      <c r="O164" s="953"/>
      <c r="P164" s="954"/>
    </row>
    <row r="165" spans="1:16" hidden="1" x14ac:dyDescent="0.25">
      <c r="C165" s="891"/>
      <c r="D165" s="893"/>
      <c r="E165" s="893"/>
      <c r="F165" s="893"/>
      <c r="G165" s="893"/>
      <c r="H165" s="893"/>
      <c r="I165" s="955"/>
      <c r="J165" s="893"/>
      <c r="K165" s="894"/>
    </row>
    <row r="166" spans="1:16" x14ac:dyDescent="0.25">
      <c r="C166" s="891"/>
      <c r="D166" s="892">
        <v>23760017.63173154</v>
      </c>
      <c r="E166" s="892">
        <v>4931024.6382549852</v>
      </c>
      <c r="F166" s="892">
        <v>15105750.054861903</v>
      </c>
      <c r="G166" s="892">
        <v>2356362.3007183224</v>
      </c>
      <c r="H166" s="892">
        <v>2162654.5216764137</v>
      </c>
      <c r="I166" s="892">
        <v>7192.1635228819214</v>
      </c>
      <c r="J166" s="892">
        <v>1218774.8646759242</v>
      </c>
      <c r="K166" s="956">
        <v>49541775.17544198</v>
      </c>
    </row>
    <row r="167" spans="1:16" ht="16.5" thickBot="1" x14ac:dyDescent="0.3">
      <c r="C167" s="917"/>
      <c r="D167" s="957">
        <v>0.11084378500609647</v>
      </c>
      <c r="E167" s="957">
        <v>7.3078448236700927E-2</v>
      </c>
      <c r="F167" s="957">
        <v>9.5371048319493112E-2</v>
      </c>
      <c r="G167" s="957">
        <v>4.5284702927352392E-2</v>
      </c>
      <c r="H167" s="957">
        <v>8.4074729598111603E-2</v>
      </c>
      <c r="I167" s="957">
        <v>1.9939201022004761E-3</v>
      </c>
      <c r="J167" s="957">
        <v>0.10208506124818935</v>
      </c>
      <c r="K167" s="958">
        <v>9.2857599478052485E-2</v>
      </c>
    </row>
  </sheetData>
  <pageMargins left="0.70866141732283472" right="0.70866141732283472" top="0.74803149606299213" bottom="0.74803149606299213" header="0.31496062992125984" footer="0.31496062992125984"/>
  <pageSetup scale="3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topLeftCell="A10" workbookViewId="0">
      <selection activeCell="D80" sqref="D80"/>
    </sheetView>
  </sheetViews>
  <sheetFormatPr defaultRowHeight="15" x14ac:dyDescent="0.25"/>
  <cols>
    <col min="4" max="4" width="13.28515625" customWidth="1"/>
    <col min="5" max="5" width="15.28515625" customWidth="1"/>
    <col min="6" max="6" width="18" customWidth="1"/>
    <col min="7" max="7" width="14" customWidth="1"/>
    <col min="8" max="8" width="13.7109375" customWidth="1"/>
    <col min="9" max="9" width="13.5703125" customWidth="1"/>
    <col min="10" max="10" width="12.28515625" customWidth="1"/>
    <col min="11" max="11" width="12.85546875" customWidth="1"/>
  </cols>
  <sheetData>
    <row r="1" spans="1:12" ht="15.75" thickBot="1" x14ac:dyDescent="0.3">
      <c r="A1" s="356"/>
      <c r="B1" s="400" t="s">
        <v>109</v>
      </c>
      <c r="C1" s="400" t="s">
        <v>110</v>
      </c>
      <c r="D1" s="400" t="s">
        <v>111</v>
      </c>
      <c r="E1" s="400" t="s">
        <v>112</v>
      </c>
      <c r="F1" s="400" t="s">
        <v>113</v>
      </c>
      <c r="G1" s="400" t="s">
        <v>114</v>
      </c>
      <c r="H1" s="400" t="s">
        <v>136</v>
      </c>
      <c r="I1" s="400" t="s">
        <v>137</v>
      </c>
      <c r="J1" s="400" t="s">
        <v>138</v>
      </c>
      <c r="K1" s="400" t="s">
        <v>139</v>
      </c>
      <c r="L1" s="400" t="s">
        <v>140</v>
      </c>
    </row>
    <row r="2" spans="1:12" ht="39.75" thickBot="1" x14ac:dyDescent="0.3">
      <c r="A2" s="398">
        <v>1</v>
      </c>
      <c r="B2" s="405" t="s">
        <v>303</v>
      </c>
      <c r="C2" s="375"/>
      <c r="D2" s="375"/>
      <c r="E2" s="375" t="s">
        <v>23</v>
      </c>
      <c r="F2" s="375" t="s">
        <v>24</v>
      </c>
      <c r="G2" s="375" t="s">
        <v>144</v>
      </c>
      <c r="H2" s="375" t="s">
        <v>183</v>
      </c>
      <c r="I2" s="375" t="s">
        <v>184</v>
      </c>
      <c r="J2" s="375" t="s">
        <v>304</v>
      </c>
      <c r="K2" s="375" t="s">
        <v>221</v>
      </c>
      <c r="L2" s="376" t="s">
        <v>30</v>
      </c>
    </row>
    <row r="3" spans="1:12" x14ac:dyDescent="0.25">
      <c r="A3" s="398">
        <v>2</v>
      </c>
      <c r="B3" s="385" t="s">
        <v>18</v>
      </c>
      <c r="C3" s="355"/>
      <c r="D3" s="359"/>
      <c r="E3" s="355" t="s">
        <v>18</v>
      </c>
      <c r="F3" s="355" t="s">
        <v>41</v>
      </c>
      <c r="G3" s="355"/>
      <c r="H3" s="355"/>
      <c r="I3" s="355"/>
      <c r="J3" s="355"/>
      <c r="K3" s="360" t="s">
        <v>18</v>
      </c>
      <c r="L3" s="361"/>
    </row>
    <row r="4" spans="1:12" x14ac:dyDescent="0.25">
      <c r="A4" s="398">
        <v>3</v>
      </c>
      <c r="B4" s="402" t="s">
        <v>305</v>
      </c>
      <c r="C4" s="356"/>
      <c r="D4" s="357"/>
      <c r="E4" s="403">
        <v>633121</v>
      </c>
      <c r="F4" s="403">
        <v>65907</v>
      </c>
      <c r="G4" s="403">
        <v>13776</v>
      </c>
      <c r="H4" s="403">
        <v>505</v>
      </c>
      <c r="I4" s="403">
        <v>50</v>
      </c>
      <c r="J4" s="364" t="s">
        <v>18</v>
      </c>
      <c r="K4" s="364" t="s">
        <v>18</v>
      </c>
      <c r="L4" s="363">
        <v>713359</v>
      </c>
    </row>
    <row r="5" spans="1:12" x14ac:dyDescent="0.25">
      <c r="A5" s="398">
        <v>4</v>
      </c>
      <c r="B5" s="402" t="s">
        <v>306</v>
      </c>
      <c r="C5" s="356"/>
      <c r="D5" s="357"/>
      <c r="E5" s="387">
        <v>0.9060599786247362</v>
      </c>
      <c r="F5" s="387">
        <v>7.4537858880630414E-2</v>
      </c>
      <c r="G5" s="387">
        <v>1.9402162494633349E-2</v>
      </c>
      <c r="H5" s="387">
        <v>0</v>
      </c>
      <c r="I5" s="410">
        <v>0</v>
      </c>
      <c r="J5" s="364"/>
      <c r="K5" s="364"/>
      <c r="L5" s="401">
        <v>0.99999999999999989</v>
      </c>
    </row>
    <row r="6" spans="1:12" ht="15.75" thickBot="1" x14ac:dyDescent="0.3">
      <c r="A6" s="398">
        <v>5</v>
      </c>
      <c r="B6" s="365"/>
      <c r="C6" s="366"/>
      <c r="D6" s="359"/>
      <c r="E6" s="367" t="s">
        <v>18</v>
      </c>
      <c r="F6" s="367" t="s">
        <v>18</v>
      </c>
      <c r="G6" s="367"/>
      <c r="H6" s="367"/>
      <c r="I6" s="367"/>
      <c r="J6" s="367"/>
      <c r="K6" s="367"/>
      <c r="L6" s="368"/>
    </row>
    <row r="7" spans="1:12" ht="52.5" thickBot="1" x14ac:dyDescent="0.3">
      <c r="A7" s="398">
        <v>6</v>
      </c>
      <c r="B7" s="377"/>
      <c r="C7" s="375" t="s">
        <v>222</v>
      </c>
      <c r="D7" s="375" t="s">
        <v>181</v>
      </c>
      <c r="E7" s="375" t="s">
        <v>23</v>
      </c>
      <c r="F7" s="375" t="s">
        <v>24</v>
      </c>
      <c r="G7" s="375" t="s">
        <v>144</v>
      </c>
      <c r="H7" s="375" t="s">
        <v>183</v>
      </c>
      <c r="I7" s="375" t="s">
        <v>184</v>
      </c>
      <c r="J7" s="375" t="s">
        <v>304</v>
      </c>
      <c r="K7" s="375" t="s">
        <v>221</v>
      </c>
      <c r="L7" s="376" t="s">
        <v>30</v>
      </c>
    </row>
    <row r="8" spans="1:12" x14ac:dyDescent="0.25">
      <c r="A8" s="398">
        <v>7</v>
      </c>
      <c r="B8" s="358"/>
      <c r="C8" s="369"/>
      <c r="D8" s="378"/>
      <c r="E8" s="369"/>
      <c r="F8" s="370" t="s">
        <v>18</v>
      </c>
      <c r="G8" s="369"/>
      <c r="H8" s="369"/>
      <c r="I8" s="369"/>
      <c r="J8" s="369"/>
      <c r="K8" s="369"/>
      <c r="L8" s="371"/>
    </row>
    <row r="9" spans="1:12" ht="51.75" x14ac:dyDescent="0.25">
      <c r="A9" s="398">
        <v>8</v>
      </c>
      <c r="B9" s="362" t="s">
        <v>307</v>
      </c>
      <c r="C9" s="413">
        <v>20017687.929999992</v>
      </c>
      <c r="D9" s="357" t="s">
        <v>306</v>
      </c>
      <c r="E9" s="369">
        <v>18137225.897972431</v>
      </c>
      <c r="F9" s="369">
        <v>1492075.5980428383</v>
      </c>
      <c r="G9" s="369">
        <v>388386.4339847205</v>
      </c>
      <c r="H9" s="369">
        <v>0</v>
      </c>
      <c r="I9" s="369">
        <v>0</v>
      </c>
      <c r="J9" s="369">
        <v>0</v>
      </c>
      <c r="K9" s="369">
        <v>0</v>
      </c>
      <c r="L9" s="404">
        <v>20017687.929999989</v>
      </c>
    </row>
    <row r="10" spans="1:12" ht="51.75" x14ac:dyDescent="0.25">
      <c r="A10" s="398">
        <v>9</v>
      </c>
      <c r="B10" s="362" t="s">
        <v>308</v>
      </c>
      <c r="C10" s="413">
        <v>12634761</v>
      </c>
      <c r="D10" s="357" t="s">
        <v>306</v>
      </c>
      <c r="E10" s="384">
        <v>11447851.281588651</v>
      </c>
      <c r="F10" s="384">
        <v>941768.03240849276</v>
      </c>
      <c r="G10" s="384">
        <v>245141.68600285615</v>
      </c>
      <c r="H10" s="384">
        <v>0</v>
      </c>
      <c r="I10" s="384">
        <v>0</v>
      </c>
      <c r="J10" s="384">
        <v>0</v>
      </c>
      <c r="K10" s="384">
        <v>0</v>
      </c>
      <c r="L10" s="404">
        <v>12634761</v>
      </c>
    </row>
    <row r="11" spans="1:12" ht="15.75" thickBot="1" x14ac:dyDescent="0.3">
      <c r="A11" s="398">
        <v>10</v>
      </c>
      <c r="B11" s="395"/>
      <c r="C11" s="406"/>
      <c r="D11" s="407"/>
      <c r="E11" s="408"/>
      <c r="F11" s="408"/>
      <c r="G11" s="408"/>
      <c r="H11" s="408"/>
      <c r="I11" s="408"/>
      <c r="J11" s="408"/>
      <c r="K11" s="408"/>
      <c r="L11" s="409"/>
    </row>
    <row r="12" spans="1:12" x14ac:dyDescent="0.25">
      <c r="A12" s="356"/>
      <c r="B12" s="355"/>
      <c r="C12" s="388"/>
      <c r="D12" s="389"/>
      <c r="E12" s="390" t="s">
        <v>18</v>
      </c>
      <c r="F12" s="390"/>
      <c r="G12" s="390"/>
      <c r="H12" s="390"/>
      <c r="I12" s="390"/>
      <c r="J12" s="390"/>
      <c r="K12" s="390"/>
      <c r="L12" s="390"/>
    </row>
    <row r="13" spans="1:12" ht="15.75" thickBot="1" x14ac:dyDescent="0.3">
      <c r="A13" s="354"/>
      <c r="B13" s="354"/>
      <c r="C13" s="354"/>
      <c r="D13" s="372"/>
      <c r="E13" s="411" t="s">
        <v>18</v>
      </c>
      <c r="F13" s="412" t="s">
        <v>18</v>
      </c>
      <c r="G13" s="373"/>
      <c r="H13" s="373"/>
      <c r="I13" s="373"/>
      <c r="J13" s="373"/>
      <c r="K13" s="373"/>
      <c r="L13" s="374"/>
    </row>
    <row r="14" spans="1:12" ht="90.75" thickBot="1" x14ac:dyDescent="0.3">
      <c r="A14" s="399">
        <v>11</v>
      </c>
      <c r="B14" s="386" t="s">
        <v>309</v>
      </c>
      <c r="C14" s="375" t="s">
        <v>18</v>
      </c>
      <c r="D14" s="375" t="s">
        <v>193</v>
      </c>
      <c r="E14" s="375" t="s">
        <v>23</v>
      </c>
      <c r="F14" s="375" t="s">
        <v>24</v>
      </c>
      <c r="G14" s="375" t="s">
        <v>144</v>
      </c>
      <c r="H14" s="375" t="s">
        <v>183</v>
      </c>
      <c r="I14" s="375" t="s">
        <v>184</v>
      </c>
      <c r="J14" s="375" t="s">
        <v>304</v>
      </c>
      <c r="K14" s="375" t="s">
        <v>221</v>
      </c>
      <c r="L14" s="376"/>
    </row>
    <row r="15" spans="1:12" x14ac:dyDescent="0.25">
      <c r="A15" s="399">
        <v>12</v>
      </c>
      <c r="B15" s="379" t="s">
        <v>18</v>
      </c>
      <c r="C15" s="380"/>
      <c r="D15" s="381"/>
      <c r="E15" s="382" t="s">
        <v>18</v>
      </c>
      <c r="F15" s="382" t="s">
        <v>18</v>
      </c>
      <c r="G15" s="382" t="s">
        <v>18</v>
      </c>
      <c r="H15" s="382" t="s">
        <v>18</v>
      </c>
      <c r="I15" s="382" t="s">
        <v>18</v>
      </c>
      <c r="J15" s="382" t="s">
        <v>18</v>
      </c>
      <c r="K15" s="382" t="s">
        <v>18</v>
      </c>
      <c r="L15" s="383"/>
    </row>
    <row r="16" spans="1:12" ht="39" x14ac:dyDescent="0.25">
      <c r="A16" s="399">
        <v>13</v>
      </c>
      <c r="B16" s="358" t="s">
        <v>307</v>
      </c>
      <c r="C16" s="355"/>
      <c r="D16" s="357" t="s">
        <v>310</v>
      </c>
      <c r="E16" s="414">
        <v>0.78</v>
      </c>
      <c r="F16" s="414">
        <v>0.62</v>
      </c>
      <c r="G16" s="414">
        <v>0.77</v>
      </c>
      <c r="H16" s="414">
        <v>0</v>
      </c>
      <c r="I16" s="414">
        <v>0</v>
      </c>
      <c r="J16" s="414">
        <v>0</v>
      </c>
      <c r="K16" s="414">
        <v>0</v>
      </c>
      <c r="L16" s="361"/>
    </row>
    <row r="17" spans="1:12" ht="39" x14ac:dyDescent="0.25">
      <c r="A17" s="399">
        <v>14</v>
      </c>
      <c r="B17" s="358" t="s">
        <v>308</v>
      </c>
      <c r="C17" s="355" t="s">
        <v>18</v>
      </c>
      <c r="D17" s="357" t="s">
        <v>310</v>
      </c>
      <c r="E17" s="414">
        <v>0.5</v>
      </c>
      <c r="F17" s="414">
        <v>0.39</v>
      </c>
      <c r="G17" s="414">
        <v>0.49</v>
      </c>
      <c r="H17" s="414">
        <v>0</v>
      </c>
      <c r="I17" s="414">
        <v>0</v>
      </c>
      <c r="J17" s="414">
        <v>0</v>
      </c>
      <c r="K17" s="414">
        <v>0</v>
      </c>
      <c r="L17" s="361"/>
    </row>
    <row r="18" spans="1:12" x14ac:dyDescent="0.25">
      <c r="A18" s="399">
        <v>15</v>
      </c>
      <c r="B18" s="358"/>
      <c r="C18" s="355"/>
      <c r="D18" s="357"/>
      <c r="E18" s="415">
        <v>1.28</v>
      </c>
      <c r="F18" s="415">
        <v>1.01</v>
      </c>
      <c r="G18" s="415">
        <v>1.26</v>
      </c>
      <c r="H18" s="415">
        <v>0</v>
      </c>
      <c r="I18" s="415">
        <v>0</v>
      </c>
      <c r="J18" s="415">
        <v>0</v>
      </c>
      <c r="K18" s="415">
        <v>0</v>
      </c>
      <c r="L18" s="361"/>
    </row>
    <row r="19" spans="1:12" ht="15.75" thickBot="1" x14ac:dyDescent="0.3">
      <c r="A19" s="399" t="s">
        <v>18</v>
      </c>
      <c r="B19" s="391" t="s">
        <v>18</v>
      </c>
      <c r="C19" s="392" t="s">
        <v>18</v>
      </c>
      <c r="D19" s="393" t="s">
        <v>18</v>
      </c>
      <c r="E19" s="396" t="s">
        <v>18</v>
      </c>
      <c r="F19" s="396" t="s">
        <v>18</v>
      </c>
      <c r="G19" s="397" t="s">
        <v>18</v>
      </c>
      <c r="H19" s="397" t="s">
        <v>18</v>
      </c>
      <c r="I19" s="397" t="s">
        <v>18</v>
      </c>
      <c r="J19" s="396" t="s">
        <v>18</v>
      </c>
      <c r="K19" s="397" t="s">
        <v>18</v>
      </c>
      <c r="L19" s="39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I126"/>
  <sheetViews>
    <sheetView zoomScale="70" zoomScaleNormal="70" workbookViewId="0">
      <selection activeCell="D80" sqref="D80"/>
    </sheetView>
  </sheetViews>
  <sheetFormatPr defaultRowHeight="15" x14ac:dyDescent="0.25"/>
  <cols>
    <col min="1" max="1" width="4.140625" style="76" customWidth="1"/>
    <col min="2" max="2" width="72.85546875" style="76" customWidth="1"/>
    <col min="3" max="3" width="5.85546875" style="75" customWidth="1"/>
    <col min="4" max="4" width="21.42578125" style="81" customWidth="1"/>
    <col min="5" max="5" width="22.7109375" style="81" customWidth="1"/>
    <col min="6" max="6" width="17.5703125" style="81" customWidth="1"/>
    <col min="7" max="7" width="22.7109375" style="81" customWidth="1"/>
    <col min="8" max="8" width="4.140625" style="81" hidden="1" customWidth="1"/>
    <col min="9" max="9" width="22.5703125" style="81" customWidth="1"/>
    <col min="10" max="10" width="25.5703125" style="77" hidden="1" customWidth="1"/>
    <col min="11" max="113" width="9.140625" style="77" customWidth="1"/>
    <col min="114" max="16384" width="9.140625" style="76"/>
  </cols>
  <sheetData>
    <row r="1" spans="1:113" x14ac:dyDescent="0.25">
      <c r="A1" s="264"/>
      <c r="B1" s="274"/>
      <c r="C1" s="270"/>
      <c r="D1" s="265"/>
      <c r="E1" s="265"/>
      <c r="F1" s="265"/>
      <c r="G1" s="265"/>
      <c r="H1" s="265"/>
      <c r="I1" s="265"/>
    </row>
    <row r="2" spans="1:113" ht="23.25" x14ac:dyDescent="0.35">
      <c r="A2" s="264"/>
      <c r="B2" s="338" t="s">
        <v>280</v>
      </c>
      <c r="C2" s="270"/>
      <c r="D2" s="265"/>
      <c r="E2" s="265"/>
      <c r="F2" s="265"/>
      <c r="G2" s="265"/>
      <c r="H2" s="265"/>
      <c r="I2" s="265"/>
    </row>
    <row r="3" spans="1:113" s="72" customFormat="1" ht="12" thickBot="1" x14ac:dyDescent="0.25">
      <c r="A3" s="313"/>
      <c r="B3" s="314" t="s">
        <v>109</v>
      </c>
      <c r="C3" s="315"/>
      <c r="D3" s="316" t="s">
        <v>110</v>
      </c>
      <c r="E3" s="316" t="s">
        <v>111</v>
      </c>
      <c r="F3" s="316" t="s">
        <v>112</v>
      </c>
      <c r="G3" s="316" t="s">
        <v>113</v>
      </c>
      <c r="H3" s="316"/>
      <c r="I3" s="316" t="s">
        <v>114</v>
      </c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</row>
    <row r="4" spans="1:113" ht="45" customHeight="1" thickBot="1" x14ac:dyDescent="0.3">
      <c r="A4" s="264">
        <v>1</v>
      </c>
      <c r="B4" s="305" t="s">
        <v>18</v>
      </c>
      <c r="C4" s="306"/>
      <c r="D4" s="306"/>
      <c r="E4" s="307" t="s">
        <v>115</v>
      </c>
      <c r="F4" s="307"/>
      <c r="G4" s="307" t="s">
        <v>116</v>
      </c>
      <c r="H4" s="307" t="s">
        <v>117</v>
      </c>
      <c r="I4" s="308" t="s">
        <v>118</v>
      </c>
    </row>
    <row r="5" spans="1:113" ht="15.75" hidden="1" customHeight="1" thickBot="1" x14ac:dyDescent="0.3">
      <c r="A5" s="264"/>
      <c r="B5" s="288" t="e">
        <v>#REF!</v>
      </c>
      <c r="C5" s="265"/>
      <c r="D5" s="265"/>
      <c r="E5" s="265" t="e">
        <v>#REF!</v>
      </c>
      <c r="F5" s="265"/>
      <c r="G5" s="265" t="e">
        <v>#REF!</v>
      </c>
      <c r="H5" s="265" t="e">
        <v>#REF!</v>
      </c>
      <c r="I5" s="266" t="e">
        <v>#REF!</v>
      </c>
    </row>
    <row r="6" spans="1:113" ht="15.75" hidden="1" customHeight="1" thickBot="1" x14ac:dyDescent="0.3">
      <c r="A6" s="264"/>
      <c r="B6" s="288" t="e">
        <v>#REF!</v>
      </c>
      <c r="C6" s="265"/>
      <c r="D6" s="265"/>
      <c r="E6" s="265" t="e">
        <v>#REF!</v>
      </c>
      <c r="F6" s="265"/>
      <c r="G6" s="265" t="e">
        <v>#REF!</v>
      </c>
      <c r="H6" s="265" t="e">
        <v>#REF!</v>
      </c>
      <c r="I6" s="266" t="e">
        <v>#REF!</v>
      </c>
    </row>
    <row r="7" spans="1:113" ht="15.75" hidden="1" customHeight="1" thickBot="1" x14ac:dyDescent="0.3">
      <c r="A7" s="264"/>
      <c r="B7" s="288" t="e">
        <v>#REF!</v>
      </c>
      <c r="C7" s="265"/>
      <c r="D7" s="265"/>
      <c r="E7" s="265" t="e">
        <v>#REF!</v>
      </c>
      <c r="F7" s="265"/>
      <c r="G7" s="265" t="e">
        <v>#REF!</v>
      </c>
      <c r="H7" s="265" t="e">
        <v>#REF!</v>
      </c>
      <c r="I7" s="266" t="e">
        <v>#REF!</v>
      </c>
    </row>
    <row r="8" spans="1:113" ht="15.75" hidden="1" customHeight="1" thickBot="1" x14ac:dyDescent="0.3">
      <c r="A8" s="264"/>
      <c r="B8" s="288" t="e">
        <v>#REF!</v>
      </c>
      <c r="C8" s="265"/>
      <c r="D8" s="265"/>
      <c r="E8" s="265" t="e">
        <v>#REF!</v>
      </c>
      <c r="F8" s="265"/>
      <c r="G8" s="265" t="e">
        <v>#REF!</v>
      </c>
      <c r="H8" s="265" t="e">
        <v>#REF!</v>
      </c>
      <c r="I8" s="266" t="e">
        <v>#REF!</v>
      </c>
    </row>
    <row r="9" spans="1:113" ht="15.75" hidden="1" customHeight="1" thickBot="1" x14ac:dyDescent="0.3">
      <c r="A9" s="264"/>
      <c r="B9" s="288" t="e">
        <v>#REF!</v>
      </c>
      <c r="C9" s="265"/>
      <c r="D9" s="265"/>
      <c r="E9" s="265" t="e">
        <v>#REF!</v>
      </c>
      <c r="F9" s="265"/>
      <c r="G9" s="265" t="e">
        <v>#REF!</v>
      </c>
      <c r="H9" s="265" t="e">
        <v>#REF!</v>
      </c>
      <c r="I9" s="266" t="e">
        <v>#REF!</v>
      </c>
    </row>
    <row r="10" spans="1:113" ht="15.75" hidden="1" customHeight="1" thickBot="1" x14ac:dyDescent="0.3">
      <c r="A10" s="264"/>
      <c r="B10" s="288" t="e">
        <v>#REF!</v>
      </c>
      <c r="C10" s="265"/>
      <c r="D10" s="265"/>
      <c r="E10" s="265" t="e">
        <v>#REF!</v>
      </c>
      <c r="F10" s="265"/>
      <c r="G10" s="265" t="e">
        <v>#REF!</v>
      </c>
      <c r="H10" s="265" t="e">
        <v>#REF!</v>
      </c>
      <c r="I10" s="266" t="e">
        <v>#REF!</v>
      </c>
    </row>
    <row r="11" spans="1:113" ht="15.75" hidden="1" customHeight="1" thickBot="1" x14ac:dyDescent="0.3">
      <c r="A11" s="264"/>
      <c r="B11" s="288" t="e">
        <v>#REF!</v>
      </c>
      <c r="C11" s="265"/>
      <c r="D11" s="265"/>
      <c r="E11" s="265" t="e">
        <v>#REF!</v>
      </c>
      <c r="F11" s="265"/>
      <c r="G11" s="265" t="e">
        <v>#REF!</v>
      </c>
      <c r="H11" s="265" t="e">
        <v>#REF!</v>
      </c>
      <c r="I11" s="266" t="e">
        <v>#REF!</v>
      </c>
    </row>
    <row r="12" spans="1:113" ht="15.75" hidden="1" customHeight="1" thickBot="1" x14ac:dyDescent="0.3">
      <c r="A12" s="264"/>
      <c r="B12" s="288" t="e">
        <v>#REF!</v>
      </c>
      <c r="C12" s="265"/>
      <c r="D12" s="265"/>
      <c r="E12" s="265" t="e">
        <v>#REF!</v>
      </c>
      <c r="F12" s="265"/>
      <c r="G12" s="265" t="e">
        <v>#REF!</v>
      </c>
      <c r="H12" s="265" t="e">
        <v>#REF!</v>
      </c>
      <c r="I12" s="266" t="e">
        <v>#REF!</v>
      </c>
    </row>
    <row r="13" spans="1:113" ht="15.75" hidden="1" customHeight="1" thickBot="1" x14ac:dyDescent="0.3">
      <c r="A13" s="264"/>
      <c r="B13" s="288" t="e">
        <v>#REF!</v>
      </c>
      <c r="C13" s="265"/>
      <c r="D13" s="265"/>
      <c r="E13" s="265" t="e">
        <v>#REF!</v>
      </c>
      <c r="F13" s="265"/>
      <c r="G13" s="265" t="e">
        <v>#REF!</v>
      </c>
      <c r="H13" s="265" t="e">
        <v>#REF!</v>
      </c>
      <c r="I13" s="266" t="e">
        <v>#REF!</v>
      </c>
    </row>
    <row r="14" spans="1:113" ht="15.75" hidden="1" customHeight="1" thickBot="1" x14ac:dyDescent="0.3">
      <c r="A14" s="264"/>
      <c r="B14" s="288" t="e">
        <v>#REF!</v>
      </c>
      <c r="C14" s="265"/>
      <c r="D14" s="265"/>
      <c r="E14" s="265" t="e">
        <v>#REF!</v>
      </c>
      <c r="F14" s="265"/>
      <c r="G14" s="265" t="e">
        <v>#REF!</v>
      </c>
      <c r="H14" s="265" t="e">
        <v>#REF!</v>
      </c>
      <c r="I14" s="266" t="e">
        <v>#REF!</v>
      </c>
    </row>
    <row r="15" spans="1:113" ht="15.75" hidden="1" customHeight="1" thickBot="1" x14ac:dyDescent="0.3">
      <c r="A15" s="264"/>
      <c r="B15" s="288" t="e">
        <v>#REF!</v>
      </c>
      <c r="C15" s="265"/>
      <c r="D15" s="265"/>
      <c r="E15" s="265" t="e">
        <v>#REF!</v>
      </c>
      <c r="F15" s="265"/>
      <c r="G15" s="265" t="e">
        <v>#REF!</v>
      </c>
      <c r="H15" s="265" t="e">
        <v>#REF!</v>
      </c>
      <c r="I15" s="266" t="e">
        <v>#REF!</v>
      </c>
    </row>
    <row r="16" spans="1:113" ht="15.75" hidden="1" customHeight="1" thickBot="1" x14ac:dyDescent="0.3">
      <c r="A16" s="264"/>
      <c r="B16" s="288" t="e">
        <v>#REF!</v>
      </c>
      <c r="C16" s="265"/>
      <c r="D16" s="265"/>
      <c r="E16" s="265" t="e">
        <v>#REF!</v>
      </c>
      <c r="F16" s="265"/>
      <c r="G16" s="265" t="e">
        <v>#REF!</v>
      </c>
      <c r="H16" s="265" t="e">
        <v>#REF!</v>
      </c>
      <c r="I16" s="266" t="e">
        <v>#REF!</v>
      </c>
    </row>
    <row r="17" spans="1:9" ht="15.75" x14ac:dyDescent="0.25">
      <c r="A17" s="264">
        <v>2</v>
      </c>
      <c r="B17" s="311" t="s">
        <v>272</v>
      </c>
      <c r="C17" s="309"/>
      <c r="D17" s="310"/>
      <c r="E17" s="321">
        <v>46561819.946101323</v>
      </c>
      <c r="F17" s="320"/>
      <c r="G17" s="321">
        <v>45944718.151722074</v>
      </c>
      <c r="H17" s="320"/>
      <c r="I17" s="322">
        <v>46960526.500910908</v>
      </c>
    </row>
    <row r="18" spans="1:9" ht="15.75" x14ac:dyDescent="0.25">
      <c r="A18" s="264">
        <v>3</v>
      </c>
      <c r="B18" s="275" t="s">
        <v>281</v>
      </c>
      <c r="C18" s="281"/>
      <c r="D18" s="282"/>
      <c r="E18" s="339">
        <v>3.22</v>
      </c>
      <c r="F18" s="340"/>
      <c r="G18" s="339">
        <v>0.79</v>
      </c>
      <c r="H18" s="340"/>
      <c r="I18" s="341">
        <v>1.77</v>
      </c>
    </row>
    <row r="19" spans="1:9" ht="16.5" thickBot="1" x14ac:dyDescent="0.3">
      <c r="A19" s="264">
        <v>4</v>
      </c>
      <c r="B19" s="291" t="s">
        <v>119</v>
      </c>
      <c r="C19" s="289"/>
      <c r="D19" s="290"/>
      <c r="E19" s="331">
        <v>149929060.22644627</v>
      </c>
      <c r="F19" s="304"/>
      <c r="G19" s="331">
        <v>36296327.339860439</v>
      </c>
      <c r="H19" s="304"/>
      <c r="I19" s="334">
        <v>83120131.906612307</v>
      </c>
    </row>
    <row r="20" spans="1:9" ht="31.5" customHeight="1" thickBot="1" x14ac:dyDescent="0.3">
      <c r="A20" s="264"/>
      <c r="B20" s="274"/>
      <c r="C20" s="270"/>
      <c r="D20" s="265"/>
      <c r="E20" s="274"/>
      <c r="F20" s="274"/>
      <c r="G20" s="274"/>
      <c r="H20" s="274"/>
      <c r="I20" s="274"/>
    </row>
    <row r="21" spans="1:9" ht="36.75" thickBot="1" x14ac:dyDescent="0.3">
      <c r="A21" s="264">
        <v>5</v>
      </c>
      <c r="B21" s="1138" t="s">
        <v>283</v>
      </c>
      <c r="C21" s="1139"/>
      <c r="D21" s="317" t="s">
        <v>120</v>
      </c>
      <c r="E21" s="297" t="s">
        <v>121</v>
      </c>
      <c r="F21" s="317" t="s">
        <v>122</v>
      </c>
      <c r="G21" s="298" t="s">
        <v>123</v>
      </c>
      <c r="H21" s="298"/>
      <c r="I21" s="299" t="s">
        <v>124</v>
      </c>
    </row>
    <row r="22" spans="1:9" x14ac:dyDescent="0.25">
      <c r="A22" s="264">
        <v>6</v>
      </c>
      <c r="B22" s="271" t="s">
        <v>125</v>
      </c>
      <c r="C22" s="272"/>
      <c r="D22" s="323">
        <v>0.23993245136080008</v>
      </c>
      <c r="E22" s="329">
        <v>35972846.950352281</v>
      </c>
      <c r="F22" s="323">
        <v>0.24478186596550458</v>
      </c>
      <c r="G22" s="329">
        <v>8884682.7339457981</v>
      </c>
      <c r="H22" s="273"/>
      <c r="I22" s="332">
        <v>20346300.987399433</v>
      </c>
    </row>
    <row r="23" spans="1:9" x14ac:dyDescent="0.25">
      <c r="A23" s="264">
        <v>7</v>
      </c>
      <c r="B23" s="271" t="s">
        <v>126</v>
      </c>
      <c r="C23" s="272"/>
      <c r="D23" s="323">
        <v>9.9595061998089512E-2</v>
      </c>
      <c r="E23" s="329">
        <v>14932194.048568213</v>
      </c>
      <c r="F23" s="323">
        <v>9.4799552002696047E-2</v>
      </c>
      <c r="G23" s="329">
        <v>3440875.5711619779</v>
      </c>
      <c r="H23" s="273"/>
      <c r="I23" s="332">
        <v>7879751.2671518484</v>
      </c>
    </row>
    <row r="24" spans="1:9" x14ac:dyDescent="0.25">
      <c r="A24" s="264">
        <v>8</v>
      </c>
      <c r="B24" s="271" t="s">
        <v>127</v>
      </c>
      <c r="C24" s="272"/>
      <c r="D24" s="323">
        <v>0.41434798950687063</v>
      </c>
      <c r="E24" s="329">
        <v>62122804.673482537</v>
      </c>
      <c r="F24" s="323">
        <v>0.40776626683678269</v>
      </c>
      <c r="G24" s="329">
        <v>14800417.899260743</v>
      </c>
      <c r="H24" s="273"/>
      <c r="I24" s="332">
        <v>33893585.886540249</v>
      </c>
    </row>
    <row r="25" spans="1:9" x14ac:dyDescent="0.25">
      <c r="A25" s="264">
        <v>9</v>
      </c>
      <c r="B25" s="271" t="s">
        <v>128</v>
      </c>
      <c r="C25" s="272"/>
      <c r="D25" s="323">
        <v>0.1571336245278552</v>
      </c>
      <c r="E25" s="329">
        <v>23558896.655436598</v>
      </c>
      <c r="F25" s="323">
        <v>0.16020354809830223</v>
      </c>
      <c r="G25" s="329">
        <v>5814800.4227830544</v>
      </c>
      <c r="H25" s="273"/>
      <c r="I25" s="332">
        <v>13316140.049838191</v>
      </c>
    </row>
    <row r="26" spans="1:9" x14ac:dyDescent="0.25">
      <c r="A26" s="264">
        <v>10</v>
      </c>
      <c r="B26" s="271" t="s">
        <v>129</v>
      </c>
      <c r="C26" s="272"/>
      <c r="D26" s="323">
        <v>8.4054675621902039E-2</v>
      </c>
      <c r="E26" s="329">
        <v>12602238.523630556</v>
      </c>
      <c r="F26" s="323">
        <v>8.4372948248457591E-2</v>
      </c>
      <c r="G26" s="329">
        <v>3062428.1482551214</v>
      </c>
      <c r="H26" s="273"/>
      <c r="I26" s="332">
        <v>7013090.5877615688</v>
      </c>
    </row>
    <row r="27" spans="1:9" x14ac:dyDescent="0.25">
      <c r="A27" s="264">
        <v>11</v>
      </c>
      <c r="B27" s="271" t="s">
        <v>130</v>
      </c>
      <c r="C27" s="272"/>
      <c r="D27" s="323">
        <v>3.2277436408683254E-3</v>
      </c>
      <c r="E27" s="329">
        <v>483932.57072727609</v>
      </c>
      <c r="F27" s="323">
        <v>6.3298298518174468E-3</v>
      </c>
      <c r="G27" s="329">
        <v>229749.57630718633</v>
      </c>
      <c r="H27" s="273"/>
      <c r="I27" s="332">
        <v>526136.29222947836</v>
      </c>
    </row>
    <row r="28" spans="1:9" x14ac:dyDescent="0.25">
      <c r="A28" s="264">
        <v>12</v>
      </c>
      <c r="B28" s="271" t="s">
        <v>131</v>
      </c>
      <c r="C28" s="272"/>
      <c r="D28" s="323">
        <v>1.7084533436142063E-3</v>
      </c>
      <c r="E28" s="330">
        <v>256146.80424880784</v>
      </c>
      <c r="F28" s="323">
        <v>1.7459889964394544E-3</v>
      </c>
      <c r="G28" s="330">
        <v>63372.988146560856</v>
      </c>
      <c r="H28" s="273"/>
      <c r="I28" s="333">
        <v>145126.83569154108</v>
      </c>
    </row>
    <row r="29" spans="1:9" ht="16.5" thickBot="1" x14ac:dyDescent="0.3">
      <c r="A29" s="264">
        <v>13</v>
      </c>
      <c r="B29" s="296"/>
      <c r="C29" s="295"/>
      <c r="D29" s="324">
        <v>1</v>
      </c>
      <c r="E29" s="331">
        <v>149929060.2264463</v>
      </c>
      <c r="F29" s="324">
        <v>1</v>
      </c>
      <c r="G29" s="331">
        <v>36296327.339860439</v>
      </c>
      <c r="H29" s="304"/>
      <c r="I29" s="334">
        <v>83120131.906612292</v>
      </c>
    </row>
    <row r="30" spans="1:9" ht="15.75" x14ac:dyDescent="0.25">
      <c r="A30" s="264"/>
      <c r="B30" s="286"/>
      <c r="C30" s="281"/>
      <c r="D30" s="287"/>
      <c r="E30" s="284"/>
      <c r="F30" s="287"/>
      <c r="G30" s="284"/>
      <c r="H30" s="285"/>
      <c r="I30" s="284"/>
    </row>
    <row r="31" spans="1:9" ht="15.75" x14ac:dyDescent="0.25">
      <c r="A31" s="264"/>
      <c r="B31" s="286"/>
      <c r="C31" s="281"/>
      <c r="D31" s="287"/>
      <c r="E31" s="284"/>
      <c r="F31" s="287"/>
      <c r="G31" s="284"/>
      <c r="H31" s="285"/>
      <c r="I31" s="284"/>
    </row>
    <row r="32" spans="1:9" ht="15.75" x14ac:dyDescent="0.25">
      <c r="A32" s="264"/>
      <c r="B32" s="286"/>
      <c r="C32" s="281"/>
      <c r="D32" s="287"/>
      <c r="E32" s="283"/>
      <c r="F32" s="287"/>
      <c r="G32" s="284"/>
      <c r="H32" s="285"/>
      <c r="I32" s="284"/>
    </row>
    <row r="33" spans="1:113" ht="23.25" x14ac:dyDescent="0.35">
      <c r="A33" s="264"/>
      <c r="B33" s="338" t="s">
        <v>282</v>
      </c>
      <c r="C33" s="270"/>
      <c r="D33" s="265"/>
      <c r="E33" s="265"/>
      <c r="F33" s="265"/>
      <c r="G33" s="265"/>
      <c r="H33" s="265"/>
      <c r="I33" s="265"/>
    </row>
    <row r="34" spans="1:113" s="72" customFormat="1" ht="12" thickBot="1" x14ac:dyDescent="0.25">
      <c r="A34" s="313"/>
      <c r="B34" s="314" t="s">
        <v>109</v>
      </c>
      <c r="C34" s="315"/>
      <c r="D34" s="316" t="s">
        <v>110</v>
      </c>
      <c r="E34" s="316" t="s">
        <v>111</v>
      </c>
      <c r="F34" s="316" t="s">
        <v>112</v>
      </c>
      <c r="G34" s="316" t="s">
        <v>113</v>
      </c>
      <c r="H34" s="316"/>
      <c r="I34" s="316" t="s">
        <v>114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</row>
    <row r="35" spans="1:113" ht="36.75" thickBot="1" x14ac:dyDescent="0.3">
      <c r="A35" s="264">
        <v>14</v>
      </c>
      <c r="B35" s="1140" t="s">
        <v>132</v>
      </c>
      <c r="C35" s="1141"/>
      <c r="D35" s="318" t="s">
        <v>133</v>
      </c>
      <c r="E35" s="297" t="s">
        <v>121</v>
      </c>
      <c r="F35" s="318" t="s">
        <v>133</v>
      </c>
      <c r="G35" s="298" t="s">
        <v>123</v>
      </c>
      <c r="H35" s="298"/>
      <c r="I35" s="299" t="s">
        <v>124</v>
      </c>
    </row>
    <row r="36" spans="1:113" x14ac:dyDescent="0.25">
      <c r="A36" s="264">
        <v>15</v>
      </c>
      <c r="B36" s="271" t="s">
        <v>125</v>
      </c>
      <c r="C36" s="312"/>
      <c r="D36" s="325">
        <v>5226697927.114006</v>
      </c>
      <c r="E36" s="342">
        <v>6.8825188392349261E-3</v>
      </c>
      <c r="F36" s="325">
        <v>5226697927.114006</v>
      </c>
      <c r="G36" s="342">
        <v>1.699865356261673E-3</v>
      </c>
      <c r="H36" s="343"/>
      <c r="I36" s="344">
        <v>3.8927638962739761E-3</v>
      </c>
    </row>
    <row r="37" spans="1:113" x14ac:dyDescent="0.25">
      <c r="A37" s="264">
        <v>16</v>
      </c>
      <c r="B37" s="271" t="s">
        <v>126</v>
      </c>
      <c r="C37" s="272"/>
      <c r="D37" s="326">
        <v>2149414385.4183755</v>
      </c>
      <c r="E37" s="342">
        <v>6.947098777168423E-3</v>
      </c>
      <c r="F37" s="326">
        <v>2149414385.4183755</v>
      </c>
      <c r="G37" s="342">
        <v>1.6008432782923913E-3</v>
      </c>
      <c r="H37" s="343"/>
      <c r="I37" s="344">
        <v>3.665999130092397E-3</v>
      </c>
    </row>
    <row r="38" spans="1:113" x14ac:dyDescent="0.25">
      <c r="A38" s="264">
        <v>17</v>
      </c>
      <c r="B38" s="271" t="s">
        <v>127</v>
      </c>
      <c r="C38" s="272"/>
      <c r="D38" s="326">
        <v>24423650.828091964</v>
      </c>
      <c r="E38" s="335">
        <v>2.5435511304489005</v>
      </c>
      <c r="F38" s="326">
        <v>24677088.360599495</v>
      </c>
      <c r="G38" s="335">
        <v>0.59976354110283647</v>
      </c>
      <c r="H38" s="345"/>
      <c r="I38" s="336">
        <v>1.3734839941918031</v>
      </c>
    </row>
    <row r="39" spans="1:113" x14ac:dyDescent="0.25">
      <c r="A39" s="264">
        <v>18</v>
      </c>
      <c r="B39" s="271" t="s">
        <v>128</v>
      </c>
      <c r="C39" s="272"/>
      <c r="D39" s="326">
        <v>9591990.5556156076</v>
      </c>
      <c r="E39" s="335">
        <v>2.4561009019805695</v>
      </c>
      <c r="F39" s="326">
        <v>9699124.3861553073</v>
      </c>
      <c r="G39" s="335">
        <v>0.59951807929004375</v>
      </c>
      <c r="H39" s="345"/>
      <c r="I39" s="336">
        <v>1.3729218762103796</v>
      </c>
    </row>
    <row r="40" spans="1:113" x14ac:dyDescent="0.25">
      <c r="A40" s="264">
        <v>19</v>
      </c>
      <c r="B40" s="271" t="s">
        <v>129</v>
      </c>
      <c r="C40" s="272"/>
      <c r="D40" s="326">
        <v>4733759.2206414379</v>
      </c>
      <c r="E40" s="335">
        <v>2.6622052234255627</v>
      </c>
      <c r="F40" s="326">
        <v>4823958.4421704402</v>
      </c>
      <c r="G40" s="335">
        <v>0.6348371746911744</v>
      </c>
      <c r="H40" s="345"/>
      <c r="I40" s="336">
        <v>1.4538041054529014</v>
      </c>
    </row>
    <row r="41" spans="1:113" x14ac:dyDescent="0.25">
      <c r="A41" s="264">
        <v>20</v>
      </c>
      <c r="B41" s="271" t="s">
        <v>130</v>
      </c>
      <c r="C41" s="272"/>
      <c r="D41" s="326">
        <v>215143</v>
      </c>
      <c r="E41" s="335">
        <v>2.2493530848192882</v>
      </c>
      <c r="F41" s="326">
        <v>322725</v>
      </c>
      <c r="G41" s="335">
        <v>0.71190510901599302</v>
      </c>
      <c r="H41" s="345"/>
      <c r="I41" s="336">
        <v>1.6302929498163401</v>
      </c>
    </row>
    <row r="42" spans="1:113" ht="15.75" thickBot="1" x14ac:dyDescent="0.3">
      <c r="A42" s="264">
        <v>21</v>
      </c>
      <c r="B42" s="302" t="s">
        <v>131</v>
      </c>
      <c r="C42" s="303"/>
      <c r="D42" s="327">
        <v>54056157.149842568</v>
      </c>
      <c r="E42" s="346">
        <v>4.7385315152679852E-3</v>
      </c>
      <c r="F42" s="327">
        <v>54056157.149842568</v>
      </c>
      <c r="G42" s="346">
        <v>1.1723546675893408E-3</v>
      </c>
      <c r="H42" s="347"/>
      <c r="I42" s="348">
        <v>2.6847420043058638E-3</v>
      </c>
    </row>
    <row r="43" spans="1:113" ht="19.899999999999999" customHeight="1" thickBot="1" x14ac:dyDescent="0.3">
      <c r="A43" s="264"/>
      <c r="B43" s="319"/>
      <c r="C43" s="272"/>
      <c r="D43" s="276" t="s">
        <v>18</v>
      </c>
      <c r="E43" s="278"/>
      <c r="F43" s="276" t="s">
        <v>18</v>
      </c>
      <c r="G43" s="278"/>
      <c r="H43" s="273"/>
      <c r="I43" s="278"/>
    </row>
    <row r="44" spans="1:113" ht="36.75" thickBot="1" x14ac:dyDescent="0.3">
      <c r="A44" s="264">
        <v>22</v>
      </c>
      <c r="B44" s="1142" t="s">
        <v>284</v>
      </c>
      <c r="C44" s="1143"/>
      <c r="D44" s="337" t="s">
        <v>18</v>
      </c>
      <c r="E44" s="297" t="s">
        <v>18</v>
      </c>
      <c r="F44" s="317" t="s">
        <v>133</v>
      </c>
      <c r="G44" s="298" t="s">
        <v>123</v>
      </c>
      <c r="H44" s="298"/>
      <c r="I44" s="299" t="s">
        <v>124</v>
      </c>
    </row>
    <row r="45" spans="1:113" x14ac:dyDescent="0.25">
      <c r="A45" s="264">
        <v>23</v>
      </c>
      <c r="B45" s="271" t="s">
        <v>125</v>
      </c>
      <c r="C45" s="272"/>
      <c r="D45" s="329">
        <v>-2058864.1911457144</v>
      </c>
      <c r="E45" s="277"/>
      <c r="F45" s="326">
        <v>5226697927.114006</v>
      </c>
      <c r="G45" s="335">
        <v>-3.9391298671866137E-4</v>
      </c>
      <c r="H45" s="273"/>
      <c r="I45" s="300"/>
    </row>
    <row r="46" spans="1:113" x14ac:dyDescent="0.25">
      <c r="A46" s="264">
        <v>24</v>
      </c>
      <c r="B46" s="271" t="s">
        <v>126</v>
      </c>
      <c r="C46" s="272"/>
      <c r="D46" s="329">
        <v>-797360.54868750845</v>
      </c>
      <c r="E46" s="277"/>
      <c r="F46" s="326">
        <v>2149414385.4183755</v>
      </c>
      <c r="G46" s="335">
        <v>-3.7096641489737923E-4</v>
      </c>
      <c r="H46" s="273"/>
      <c r="I46" s="300"/>
    </row>
    <row r="47" spans="1:113" x14ac:dyDescent="0.25">
      <c r="A47" s="264">
        <v>25</v>
      </c>
      <c r="B47" s="271" t="s">
        <v>127</v>
      </c>
      <c r="C47" s="272"/>
      <c r="D47" s="329">
        <v>-3429728.5946244486</v>
      </c>
      <c r="E47" s="279"/>
      <c r="F47" s="326">
        <v>24677088.360599495</v>
      </c>
      <c r="G47" s="335">
        <v>-0.13898433010032502</v>
      </c>
      <c r="H47" s="280"/>
      <c r="I47" s="301"/>
    </row>
    <row r="48" spans="1:113" x14ac:dyDescent="0.25">
      <c r="A48" s="264">
        <v>26</v>
      </c>
      <c r="B48" s="271" t="s">
        <v>128</v>
      </c>
      <c r="C48" s="272"/>
      <c r="D48" s="329">
        <v>-1347474.6063115897</v>
      </c>
      <c r="E48" s="279"/>
      <c r="F48" s="326">
        <v>9699124.3861553073</v>
      </c>
      <c r="G48" s="335">
        <v>-0.13892744877413857</v>
      </c>
      <c r="H48" s="280"/>
      <c r="I48" s="301"/>
    </row>
    <row r="49" spans="1:10" x14ac:dyDescent="0.25">
      <c r="A49" s="264">
        <v>27</v>
      </c>
      <c r="B49" s="271" t="s">
        <v>129</v>
      </c>
      <c r="C49" s="272"/>
      <c r="D49" s="329">
        <v>-709662.21768494882</v>
      </c>
      <c r="E49" s="279"/>
      <c r="F49" s="326">
        <v>4823958.4421704402</v>
      </c>
      <c r="G49" s="335">
        <v>-0.14711200898439974</v>
      </c>
      <c r="H49" s="280"/>
      <c r="I49" s="301"/>
    </row>
    <row r="50" spans="1:10" x14ac:dyDescent="0.25">
      <c r="A50" s="264">
        <v>28</v>
      </c>
      <c r="B50" s="271" t="s">
        <v>130</v>
      </c>
      <c r="C50" s="272"/>
      <c r="D50" s="329">
        <v>-53240.300160914172</v>
      </c>
      <c r="E50" s="279"/>
      <c r="F50" s="326">
        <v>322725</v>
      </c>
      <c r="G50" s="335">
        <v>-0.16497110592893074</v>
      </c>
      <c r="H50" s="280"/>
      <c r="I50" s="301"/>
    </row>
    <row r="51" spans="1:10" x14ac:dyDescent="0.25">
      <c r="A51" s="264">
        <v>29</v>
      </c>
      <c r="B51" s="271" t="s">
        <v>131</v>
      </c>
      <c r="C51" s="272"/>
      <c r="D51" s="329">
        <v>-14685.541384876193</v>
      </c>
      <c r="E51" s="277"/>
      <c r="F51" s="326">
        <v>54056157.149842568</v>
      </c>
      <c r="G51" s="335">
        <v>-2.7167194560590333E-4</v>
      </c>
      <c r="H51" s="273"/>
      <c r="I51" s="300"/>
    </row>
    <row r="52" spans="1:10" ht="16.5" thickBot="1" x14ac:dyDescent="0.3">
      <c r="A52" s="264">
        <v>30</v>
      </c>
      <c r="B52" s="296"/>
      <c r="C52" s="295"/>
      <c r="D52" s="331">
        <v>-8411016</v>
      </c>
      <c r="E52" s="328" t="s">
        <v>18</v>
      </c>
      <c r="F52" s="327" t="s">
        <v>18</v>
      </c>
      <c r="G52" s="292" t="s">
        <v>18</v>
      </c>
      <c r="H52" s="293"/>
      <c r="I52" s="294" t="s">
        <v>18</v>
      </c>
      <c r="J52" s="78">
        <v>-8151721.9667999987</v>
      </c>
    </row>
    <row r="53" spans="1:10" ht="24" customHeight="1" thickBot="1" x14ac:dyDescent="0.3">
      <c r="A53" s="264"/>
      <c r="B53" s="267"/>
      <c r="C53" s="268"/>
      <c r="D53" s="331" t="s">
        <v>18</v>
      </c>
      <c r="E53" s="269"/>
      <c r="F53" s="269"/>
      <c r="G53" s="269"/>
      <c r="H53" s="269"/>
      <c r="I53" s="269"/>
    </row>
    <row r="54" spans="1:10" ht="51.75" customHeight="1" thickBot="1" x14ac:dyDescent="0.3">
      <c r="A54" s="264">
        <v>31</v>
      </c>
      <c r="B54" s="1142" t="s">
        <v>285</v>
      </c>
      <c r="C54" s="1143"/>
      <c r="D54" s="317" t="s">
        <v>18</v>
      </c>
      <c r="E54" s="297" t="s">
        <v>121</v>
      </c>
      <c r="F54" s="317" t="s">
        <v>18</v>
      </c>
      <c r="G54" s="298" t="s">
        <v>123</v>
      </c>
      <c r="H54" s="298"/>
      <c r="I54" s="299" t="s">
        <v>124</v>
      </c>
    </row>
    <row r="55" spans="1:10" x14ac:dyDescent="0.25">
      <c r="A55" s="264">
        <v>32</v>
      </c>
      <c r="B55" s="349" t="s">
        <v>125</v>
      </c>
      <c r="C55" s="312"/>
      <c r="D55" s="325" t="s">
        <v>134</v>
      </c>
      <c r="E55" s="350">
        <v>6.8799999999999998E-3</v>
      </c>
      <c r="F55" s="325"/>
      <c r="G55" s="350">
        <v>1.31E-3</v>
      </c>
      <c r="H55" s="351"/>
      <c r="I55" s="352">
        <v>3.8899999999999998E-3</v>
      </c>
      <c r="J55" s="80">
        <v>4.8700000000000002E-3</v>
      </c>
    </row>
    <row r="56" spans="1:10" x14ac:dyDescent="0.25">
      <c r="A56" s="264">
        <v>33</v>
      </c>
      <c r="B56" s="271" t="s">
        <v>126</v>
      </c>
      <c r="C56" s="272"/>
      <c r="D56" s="326" t="s">
        <v>134</v>
      </c>
      <c r="E56" s="342">
        <v>6.9499999999999996E-3</v>
      </c>
      <c r="F56" s="326"/>
      <c r="G56" s="342">
        <v>1.23E-3</v>
      </c>
      <c r="H56" s="343"/>
      <c r="I56" s="344">
        <v>3.6700000000000001E-3</v>
      </c>
      <c r="J56" s="80">
        <v>4.4000000000000003E-3</v>
      </c>
    </row>
    <row r="57" spans="1:10" x14ac:dyDescent="0.25">
      <c r="A57" s="264">
        <v>34</v>
      </c>
      <c r="B57" s="271" t="s">
        <v>127</v>
      </c>
      <c r="C57" s="272"/>
      <c r="D57" s="326" t="s">
        <v>135</v>
      </c>
      <c r="E57" s="335">
        <v>2.5087000000000002</v>
      </c>
      <c r="F57" s="326"/>
      <c r="G57" s="335">
        <v>0.45450000000000002</v>
      </c>
      <c r="H57" s="345"/>
      <c r="I57" s="336">
        <v>1.3547</v>
      </c>
      <c r="J57" s="80">
        <v>1.6747000000000001</v>
      </c>
    </row>
    <row r="58" spans="1:10" x14ac:dyDescent="0.25">
      <c r="A58" s="264">
        <v>35</v>
      </c>
      <c r="B58" s="271" t="s">
        <v>128</v>
      </c>
      <c r="C58" s="272"/>
      <c r="D58" s="326" t="s">
        <v>135</v>
      </c>
      <c r="E58" s="335">
        <v>2.4224999999999999</v>
      </c>
      <c r="F58" s="326"/>
      <c r="G58" s="335">
        <v>0.45429999999999998</v>
      </c>
      <c r="H58" s="345"/>
      <c r="I58" s="336">
        <v>1.3541000000000001</v>
      </c>
      <c r="J58" s="80">
        <v>1.6728999999999998</v>
      </c>
    </row>
    <row r="59" spans="1:10" x14ac:dyDescent="0.25">
      <c r="A59" s="264">
        <v>36</v>
      </c>
      <c r="B59" s="271" t="s">
        <v>129</v>
      </c>
      <c r="C59" s="272"/>
      <c r="D59" s="326" t="s">
        <v>135</v>
      </c>
      <c r="E59" s="335">
        <v>2.6257000000000001</v>
      </c>
      <c r="F59" s="326"/>
      <c r="G59" s="335">
        <v>0.48099999999999998</v>
      </c>
      <c r="H59" s="345"/>
      <c r="I59" s="336">
        <v>1.4339</v>
      </c>
      <c r="J59" s="80">
        <v>1.8586</v>
      </c>
    </row>
    <row r="60" spans="1:10" x14ac:dyDescent="0.25">
      <c r="A60" s="264">
        <v>37</v>
      </c>
      <c r="B60" s="271" t="s">
        <v>130</v>
      </c>
      <c r="C60" s="272"/>
      <c r="D60" s="326" t="s">
        <v>135</v>
      </c>
      <c r="E60" s="335">
        <v>2.2185000000000001</v>
      </c>
      <c r="F60" s="326"/>
      <c r="G60" s="335">
        <v>0.53939999999999999</v>
      </c>
      <c r="H60" s="345"/>
      <c r="I60" s="336">
        <v>1.6080000000000001</v>
      </c>
      <c r="J60" s="80">
        <v>1.9968000000000001</v>
      </c>
    </row>
    <row r="61" spans="1:10" ht="15.75" thickBot="1" x14ac:dyDescent="0.3">
      <c r="A61" s="264">
        <v>38</v>
      </c>
      <c r="B61" s="302" t="s">
        <v>131</v>
      </c>
      <c r="C61" s="303"/>
      <c r="D61" s="327" t="s">
        <v>134</v>
      </c>
      <c r="E61" s="346">
        <v>4.7400000000000003E-3</v>
      </c>
      <c r="F61" s="327"/>
      <c r="G61" s="346">
        <v>8.9999999999999998E-4</v>
      </c>
      <c r="H61" s="347"/>
      <c r="I61" s="348">
        <v>2.6800000000000001E-3</v>
      </c>
      <c r="J61" s="80">
        <v>3.0800000000000003E-3</v>
      </c>
    </row>
    <row r="62" spans="1:10" s="77" customFormat="1" x14ac:dyDescent="0.25">
      <c r="C62" s="74"/>
      <c r="D62" s="79"/>
      <c r="E62" s="79"/>
      <c r="F62" s="79"/>
      <c r="G62" s="79"/>
      <c r="H62" s="79"/>
      <c r="I62" s="79"/>
    </row>
    <row r="63" spans="1:10" s="77" customFormat="1" x14ac:dyDescent="0.25">
      <c r="C63" s="74"/>
      <c r="D63" s="79"/>
      <c r="E63" s="79"/>
      <c r="F63" s="79"/>
      <c r="G63" s="79"/>
      <c r="H63" s="79"/>
      <c r="I63" s="79"/>
    </row>
    <row r="64" spans="1:10" s="77" customFormat="1" x14ac:dyDescent="0.25">
      <c r="C64" s="74"/>
      <c r="D64" s="79"/>
      <c r="E64" s="79"/>
      <c r="F64" s="79"/>
      <c r="G64" s="79"/>
      <c r="H64" s="79"/>
      <c r="I64" s="79"/>
    </row>
    <row r="65" spans="3:9" s="77" customFormat="1" x14ac:dyDescent="0.25">
      <c r="C65" s="74"/>
      <c r="D65" s="79"/>
      <c r="E65" s="79"/>
      <c r="F65" s="79"/>
      <c r="G65" s="79"/>
      <c r="H65" s="79"/>
      <c r="I65" s="79"/>
    </row>
    <row r="66" spans="3:9" s="77" customFormat="1" x14ac:dyDescent="0.25">
      <c r="C66" s="74"/>
      <c r="D66" s="79"/>
      <c r="E66" s="79"/>
      <c r="F66" s="79"/>
      <c r="G66" s="79"/>
      <c r="H66" s="79"/>
      <c r="I66" s="79"/>
    </row>
    <row r="67" spans="3:9" s="77" customFormat="1" x14ac:dyDescent="0.25">
      <c r="C67" s="74"/>
      <c r="D67" s="79"/>
      <c r="E67" s="79"/>
      <c r="F67" s="79"/>
      <c r="G67" s="79"/>
      <c r="H67" s="79"/>
      <c r="I67" s="79"/>
    </row>
    <row r="68" spans="3:9" s="77" customFormat="1" x14ac:dyDescent="0.25">
      <c r="C68" s="74"/>
      <c r="D68" s="79"/>
      <c r="E68" s="79"/>
      <c r="F68" s="79"/>
      <c r="G68" s="79"/>
      <c r="H68" s="79"/>
      <c r="I68" s="79"/>
    </row>
    <row r="69" spans="3:9" s="77" customFormat="1" x14ac:dyDescent="0.25">
      <c r="C69" s="74"/>
      <c r="D69" s="79"/>
      <c r="E69" s="79"/>
      <c r="F69" s="79"/>
      <c r="G69" s="79"/>
      <c r="H69" s="79"/>
      <c r="I69" s="79"/>
    </row>
    <row r="70" spans="3:9" s="77" customFormat="1" x14ac:dyDescent="0.25">
      <c r="C70" s="74"/>
      <c r="D70" s="79"/>
      <c r="E70" s="79"/>
      <c r="F70" s="79"/>
      <c r="G70" s="79"/>
      <c r="H70" s="79"/>
      <c r="I70" s="79"/>
    </row>
    <row r="71" spans="3:9" s="77" customFormat="1" x14ac:dyDescent="0.25">
      <c r="C71" s="74"/>
      <c r="D71" s="79"/>
      <c r="E71" s="79"/>
      <c r="F71" s="79"/>
      <c r="G71" s="79"/>
      <c r="H71" s="79"/>
      <c r="I71" s="79"/>
    </row>
    <row r="72" spans="3:9" s="77" customFormat="1" x14ac:dyDescent="0.25">
      <c r="C72" s="74"/>
      <c r="D72" s="79"/>
      <c r="E72" s="79"/>
      <c r="F72" s="79"/>
      <c r="G72" s="79"/>
      <c r="H72" s="79"/>
      <c r="I72" s="79"/>
    </row>
    <row r="73" spans="3:9" s="77" customFormat="1" x14ac:dyDescent="0.25">
      <c r="C73" s="74"/>
      <c r="D73" s="79"/>
      <c r="E73" s="79"/>
      <c r="F73" s="79"/>
      <c r="G73" s="79"/>
      <c r="H73" s="79"/>
      <c r="I73" s="79"/>
    </row>
    <row r="74" spans="3:9" s="77" customFormat="1" x14ac:dyDescent="0.25">
      <c r="C74" s="74"/>
      <c r="D74" s="79"/>
      <c r="E74" s="79"/>
      <c r="F74" s="79"/>
      <c r="G74" s="79"/>
      <c r="H74" s="79"/>
      <c r="I74" s="79"/>
    </row>
    <row r="75" spans="3:9" s="77" customFormat="1" x14ac:dyDescent="0.25">
      <c r="C75" s="74"/>
      <c r="D75" s="79"/>
      <c r="E75" s="79"/>
      <c r="F75" s="79"/>
      <c r="G75" s="79"/>
      <c r="H75" s="79"/>
      <c r="I75" s="79"/>
    </row>
    <row r="76" spans="3:9" s="77" customFormat="1" x14ac:dyDescent="0.25">
      <c r="C76" s="74"/>
      <c r="D76" s="79"/>
      <c r="E76" s="79"/>
      <c r="F76" s="79"/>
      <c r="G76" s="79"/>
      <c r="H76" s="79"/>
      <c r="I76" s="79"/>
    </row>
    <row r="77" spans="3:9" s="77" customFormat="1" x14ac:dyDescent="0.25">
      <c r="C77" s="74"/>
      <c r="D77" s="79"/>
      <c r="E77" s="79"/>
      <c r="F77" s="79"/>
      <c r="G77" s="79"/>
      <c r="H77" s="79"/>
      <c r="I77" s="79"/>
    </row>
    <row r="78" spans="3:9" s="77" customFormat="1" x14ac:dyDescent="0.25">
      <c r="C78" s="74"/>
      <c r="D78" s="79"/>
      <c r="E78" s="79"/>
      <c r="F78" s="79"/>
      <c r="G78" s="79"/>
      <c r="H78" s="79"/>
      <c r="I78" s="79"/>
    </row>
    <row r="79" spans="3:9" s="77" customFormat="1" x14ac:dyDescent="0.25">
      <c r="C79" s="74"/>
      <c r="D79" s="79"/>
      <c r="E79" s="79"/>
      <c r="F79" s="79"/>
      <c r="G79" s="79"/>
      <c r="H79" s="79"/>
      <c r="I79" s="79"/>
    </row>
    <row r="80" spans="3:9" s="77" customFormat="1" x14ac:dyDescent="0.25">
      <c r="C80" s="74"/>
      <c r="D80" s="79"/>
      <c r="E80" s="79"/>
      <c r="F80" s="79"/>
      <c r="G80" s="79"/>
      <c r="H80" s="79"/>
      <c r="I80" s="79"/>
    </row>
    <row r="81" spans="3:9" s="77" customFormat="1" x14ac:dyDescent="0.25">
      <c r="C81" s="74"/>
      <c r="D81" s="79"/>
      <c r="E81" s="79"/>
      <c r="F81" s="79"/>
      <c r="G81" s="79"/>
      <c r="H81" s="79"/>
      <c r="I81" s="79"/>
    </row>
    <row r="82" spans="3:9" s="77" customFormat="1" x14ac:dyDescent="0.25">
      <c r="C82" s="74"/>
      <c r="D82" s="79"/>
      <c r="E82" s="79"/>
      <c r="F82" s="79"/>
      <c r="G82" s="79"/>
      <c r="H82" s="79"/>
      <c r="I82" s="79"/>
    </row>
    <row r="83" spans="3:9" s="77" customFormat="1" x14ac:dyDescent="0.25">
      <c r="C83" s="74"/>
      <c r="D83" s="79"/>
      <c r="E83" s="79"/>
      <c r="F83" s="79"/>
      <c r="G83" s="79"/>
      <c r="H83" s="79"/>
      <c r="I83" s="79"/>
    </row>
    <row r="84" spans="3:9" s="77" customFormat="1" x14ac:dyDescent="0.25">
      <c r="C84" s="74"/>
      <c r="D84" s="79"/>
      <c r="E84" s="79"/>
      <c r="F84" s="79"/>
      <c r="G84" s="79"/>
      <c r="H84" s="79"/>
      <c r="I84" s="79"/>
    </row>
    <row r="85" spans="3:9" s="77" customFormat="1" x14ac:dyDescent="0.25">
      <c r="C85" s="74"/>
      <c r="D85" s="79"/>
      <c r="E85" s="79"/>
      <c r="F85" s="79"/>
      <c r="G85" s="79"/>
      <c r="H85" s="79"/>
      <c r="I85" s="79"/>
    </row>
    <row r="86" spans="3:9" s="77" customFormat="1" x14ac:dyDescent="0.25">
      <c r="C86" s="74"/>
      <c r="D86" s="79"/>
      <c r="E86" s="79"/>
      <c r="F86" s="79"/>
      <c r="G86" s="79"/>
      <c r="H86" s="79"/>
      <c r="I86" s="79"/>
    </row>
    <row r="87" spans="3:9" s="77" customFormat="1" x14ac:dyDescent="0.25">
      <c r="C87" s="74"/>
      <c r="D87" s="79"/>
      <c r="E87" s="79"/>
      <c r="F87" s="79"/>
      <c r="G87" s="79"/>
      <c r="H87" s="79"/>
      <c r="I87" s="79"/>
    </row>
    <row r="88" spans="3:9" s="77" customFormat="1" x14ac:dyDescent="0.25">
      <c r="C88" s="74"/>
      <c r="D88" s="79"/>
      <c r="E88" s="79"/>
      <c r="F88" s="79"/>
      <c r="G88" s="79"/>
      <c r="H88" s="79"/>
      <c r="I88" s="79"/>
    </row>
    <row r="89" spans="3:9" s="77" customFormat="1" x14ac:dyDescent="0.25">
      <c r="C89" s="74"/>
      <c r="D89" s="79"/>
      <c r="E89" s="79"/>
      <c r="F89" s="79"/>
      <c r="G89" s="79"/>
      <c r="H89" s="79"/>
      <c r="I89" s="79"/>
    </row>
    <row r="90" spans="3:9" s="77" customFormat="1" x14ac:dyDescent="0.25">
      <c r="C90" s="74"/>
      <c r="D90" s="79"/>
      <c r="E90" s="79"/>
      <c r="F90" s="79"/>
      <c r="G90" s="79"/>
      <c r="H90" s="79"/>
      <c r="I90" s="79"/>
    </row>
    <row r="91" spans="3:9" s="77" customFormat="1" x14ac:dyDescent="0.25">
      <c r="C91" s="74"/>
      <c r="D91" s="79"/>
      <c r="E91" s="79"/>
      <c r="F91" s="79"/>
      <c r="G91" s="79"/>
      <c r="H91" s="79"/>
      <c r="I91" s="79"/>
    </row>
    <row r="92" spans="3:9" s="77" customFormat="1" x14ac:dyDescent="0.25">
      <c r="C92" s="74"/>
      <c r="D92" s="79"/>
      <c r="E92" s="79"/>
      <c r="F92" s="79"/>
      <c r="G92" s="79"/>
      <c r="H92" s="79"/>
      <c r="I92" s="79"/>
    </row>
    <row r="93" spans="3:9" s="77" customFormat="1" x14ac:dyDescent="0.25">
      <c r="C93" s="74"/>
      <c r="D93" s="79"/>
      <c r="E93" s="79"/>
      <c r="F93" s="79"/>
      <c r="G93" s="79"/>
      <c r="H93" s="79"/>
      <c r="I93" s="79"/>
    </row>
    <row r="94" spans="3:9" s="77" customFormat="1" x14ac:dyDescent="0.25">
      <c r="C94" s="74"/>
      <c r="D94" s="79"/>
      <c r="E94" s="79"/>
      <c r="F94" s="79"/>
      <c r="G94" s="79"/>
      <c r="H94" s="79"/>
      <c r="I94" s="79"/>
    </row>
    <row r="95" spans="3:9" s="77" customFormat="1" x14ac:dyDescent="0.25">
      <c r="C95" s="74"/>
      <c r="D95" s="79"/>
      <c r="E95" s="79"/>
      <c r="F95" s="79"/>
      <c r="G95" s="79"/>
      <c r="H95" s="79"/>
      <c r="I95" s="79"/>
    </row>
    <row r="96" spans="3:9" s="77" customFormat="1" x14ac:dyDescent="0.25">
      <c r="C96" s="74"/>
      <c r="D96" s="79"/>
      <c r="E96" s="79"/>
      <c r="F96" s="79"/>
      <c r="G96" s="79"/>
      <c r="H96" s="79"/>
      <c r="I96" s="79"/>
    </row>
    <row r="97" spans="3:9" s="77" customFormat="1" x14ac:dyDescent="0.25">
      <c r="C97" s="74"/>
      <c r="D97" s="79"/>
      <c r="E97" s="79"/>
      <c r="F97" s="79"/>
      <c r="G97" s="79"/>
      <c r="H97" s="79"/>
      <c r="I97" s="79"/>
    </row>
    <row r="98" spans="3:9" s="77" customFormat="1" x14ac:dyDescent="0.25">
      <c r="C98" s="74"/>
      <c r="D98" s="79"/>
      <c r="E98" s="79"/>
      <c r="F98" s="79"/>
      <c r="G98" s="79"/>
      <c r="H98" s="79"/>
      <c r="I98" s="79"/>
    </row>
    <row r="99" spans="3:9" s="77" customFormat="1" x14ac:dyDescent="0.25">
      <c r="C99" s="74"/>
      <c r="D99" s="79"/>
      <c r="E99" s="79"/>
      <c r="F99" s="79"/>
      <c r="G99" s="79"/>
      <c r="H99" s="79"/>
      <c r="I99" s="79"/>
    </row>
    <row r="100" spans="3:9" s="77" customFormat="1" x14ac:dyDescent="0.25">
      <c r="C100" s="74"/>
      <c r="D100" s="79"/>
      <c r="E100" s="79"/>
      <c r="F100" s="79"/>
      <c r="G100" s="79"/>
      <c r="H100" s="79"/>
      <c r="I100" s="79"/>
    </row>
    <row r="101" spans="3:9" s="77" customFormat="1" x14ac:dyDescent="0.25">
      <c r="C101" s="74"/>
      <c r="D101" s="79"/>
      <c r="E101" s="79"/>
      <c r="F101" s="79"/>
      <c r="G101" s="79"/>
      <c r="H101" s="79"/>
      <c r="I101" s="79"/>
    </row>
    <row r="102" spans="3:9" s="77" customFormat="1" x14ac:dyDescent="0.25">
      <c r="C102" s="74"/>
      <c r="D102" s="79"/>
      <c r="E102" s="79"/>
      <c r="F102" s="79"/>
      <c r="G102" s="79"/>
      <c r="H102" s="79"/>
      <c r="I102" s="79"/>
    </row>
    <row r="103" spans="3:9" s="77" customFormat="1" x14ac:dyDescent="0.25">
      <c r="C103" s="74"/>
      <c r="D103" s="79"/>
      <c r="E103" s="79"/>
      <c r="F103" s="79"/>
      <c r="G103" s="79"/>
      <c r="H103" s="79"/>
      <c r="I103" s="79"/>
    </row>
    <row r="104" spans="3:9" s="77" customFormat="1" x14ac:dyDescent="0.25">
      <c r="C104" s="74"/>
      <c r="D104" s="79"/>
      <c r="E104" s="79"/>
      <c r="F104" s="79"/>
      <c r="G104" s="79"/>
      <c r="H104" s="79"/>
      <c r="I104" s="79"/>
    </row>
    <row r="105" spans="3:9" s="77" customFormat="1" x14ac:dyDescent="0.25">
      <c r="C105" s="74"/>
      <c r="D105" s="79"/>
      <c r="E105" s="79"/>
      <c r="F105" s="79"/>
      <c r="G105" s="79"/>
      <c r="H105" s="79"/>
      <c r="I105" s="79"/>
    </row>
    <row r="106" spans="3:9" s="77" customFormat="1" x14ac:dyDescent="0.25">
      <c r="C106" s="74"/>
      <c r="D106" s="79"/>
      <c r="E106" s="79"/>
      <c r="F106" s="79"/>
      <c r="G106" s="79"/>
      <c r="H106" s="79"/>
      <c r="I106" s="79"/>
    </row>
    <row r="107" spans="3:9" s="77" customFormat="1" x14ac:dyDescent="0.25">
      <c r="C107" s="74"/>
      <c r="D107" s="79"/>
      <c r="E107" s="79"/>
      <c r="F107" s="79"/>
      <c r="G107" s="79"/>
      <c r="H107" s="79"/>
      <c r="I107" s="79"/>
    </row>
    <row r="108" spans="3:9" s="77" customFormat="1" x14ac:dyDescent="0.25">
      <c r="C108" s="74"/>
      <c r="D108" s="79"/>
      <c r="E108" s="79"/>
      <c r="F108" s="79"/>
      <c r="G108" s="79"/>
      <c r="H108" s="79"/>
      <c r="I108" s="79"/>
    </row>
    <row r="109" spans="3:9" s="77" customFormat="1" x14ac:dyDescent="0.25">
      <c r="C109" s="74"/>
      <c r="D109" s="79"/>
      <c r="E109" s="79"/>
      <c r="F109" s="79"/>
      <c r="G109" s="79"/>
      <c r="H109" s="79"/>
      <c r="I109" s="79"/>
    </row>
    <row r="110" spans="3:9" s="77" customFormat="1" x14ac:dyDescent="0.25">
      <c r="C110" s="74"/>
      <c r="D110" s="79"/>
      <c r="E110" s="79"/>
      <c r="F110" s="79"/>
      <c r="G110" s="79"/>
      <c r="H110" s="79"/>
      <c r="I110" s="79"/>
    </row>
    <row r="111" spans="3:9" s="77" customFormat="1" x14ac:dyDescent="0.25">
      <c r="C111" s="74"/>
      <c r="D111" s="79"/>
      <c r="E111" s="79"/>
      <c r="F111" s="79"/>
      <c r="G111" s="79"/>
      <c r="H111" s="79"/>
      <c r="I111" s="79"/>
    </row>
    <row r="112" spans="3:9" s="77" customFormat="1" x14ac:dyDescent="0.25">
      <c r="C112" s="74"/>
      <c r="D112" s="79"/>
      <c r="E112" s="79"/>
      <c r="F112" s="79"/>
      <c r="G112" s="79"/>
      <c r="H112" s="79"/>
      <c r="I112" s="79"/>
    </row>
    <row r="113" spans="3:9" s="77" customFormat="1" x14ac:dyDescent="0.25">
      <c r="C113" s="74"/>
      <c r="D113" s="79"/>
      <c r="E113" s="79"/>
      <c r="F113" s="79"/>
      <c r="G113" s="79"/>
      <c r="H113" s="79"/>
      <c r="I113" s="79"/>
    </row>
    <row r="114" spans="3:9" s="77" customFormat="1" x14ac:dyDescent="0.25">
      <c r="C114" s="74"/>
      <c r="D114" s="79"/>
      <c r="E114" s="79"/>
      <c r="F114" s="79"/>
      <c r="G114" s="79"/>
      <c r="H114" s="79"/>
      <c r="I114" s="79"/>
    </row>
    <row r="115" spans="3:9" s="77" customFormat="1" x14ac:dyDescent="0.25">
      <c r="C115" s="74"/>
      <c r="D115" s="79"/>
      <c r="E115" s="79"/>
      <c r="F115" s="79"/>
      <c r="G115" s="79"/>
      <c r="H115" s="79"/>
      <c r="I115" s="79"/>
    </row>
    <row r="116" spans="3:9" s="77" customFormat="1" x14ac:dyDescent="0.25">
      <c r="C116" s="74"/>
      <c r="D116" s="79"/>
      <c r="E116" s="79"/>
      <c r="F116" s="79"/>
      <c r="G116" s="79"/>
      <c r="H116" s="79"/>
      <c r="I116" s="79"/>
    </row>
    <row r="117" spans="3:9" s="77" customFormat="1" x14ac:dyDescent="0.25">
      <c r="C117" s="74"/>
      <c r="D117" s="79"/>
      <c r="E117" s="79"/>
      <c r="F117" s="79"/>
      <c r="G117" s="79"/>
      <c r="H117" s="79"/>
      <c r="I117" s="79"/>
    </row>
    <row r="118" spans="3:9" s="77" customFormat="1" x14ac:dyDescent="0.25">
      <c r="C118" s="74"/>
      <c r="D118" s="79"/>
      <c r="E118" s="79"/>
      <c r="F118" s="79"/>
      <c r="G118" s="79"/>
      <c r="H118" s="79"/>
      <c r="I118" s="79"/>
    </row>
    <row r="119" spans="3:9" s="77" customFormat="1" x14ac:dyDescent="0.25">
      <c r="C119" s="74"/>
      <c r="D119" s="79"/>
      <c r="E119" s="79"/>
      <c r="F119" s="79"/>
      <c r="G119" s="79"/>
      <c r="H119" s="79"/>
      <c r="I119" s="79"/>
    </row>
    <row r="120" spans="3:9" s="77" customFormat="1" x14ac:dyDescent="0.25">
      <c r="C120" s="74"/>
      <c r="D120" s="79"/>
      <c r="E120" s="79"/>
      <c r="F120" s="79"/>
      <c r="G120" s="79"/>
      <c r="H120" s="79"/>
      <c r="I120" s="79"/>
    </row>
    <row r="121" spans="3:9" s="77" customFormat="1" x14ac:dyDescent="0.25">
      <c r="C121" s="74"/>
      <c r="D121" s="79"/>
      <c r="E121" s="79"/>
      <c r="F121" s="79"/>
      <c r="G121" s="79"/>
      <c r="H121" s="79"/>
      <c r="I121" s="79"/>
    </row>
    <row r="122" spans="3:9" s="77" customFormat="1" x14ac:dyDescent="0.25">
      <c r="C122" s="74"/>
      <c r="D122" s="79"/>
      <c r="E122" s="79"/>
      <c r="F122" s="79"/>
      <c r="G122" s="79"/>
      <c r="H122" s="79"/>
      <c r="I122" s="79"/>
    </row>
    <row r="123" spans="3:9" s="77" customFormat="1" x14ac:dyDescent="0.25">
      <c r="C123" s="74"/>
      <c r="D123" s="79"/>
      <c r="E123" s="79"/>
      <c r="F123" s="79"/>
      <c r="G123" s="79"/>
      <c r="H123" s="79"/>
      <c r="I123" s="79"/>
    </row>
    <row r="124" spans="3:9" s="77" customFormat="1" x14ac:dyDescent="0.25">
      <c r="C124" s="74"/>
      <c r="D124" s="79"/>
      <c r="E124" s="79"/>
      <c r="F124" s="79"/>
      <c r="G124" s="79"/>
      <c r="H124" s="79"/>
      <c r="I124" s="79"/>
    </row>
    <row r="125" spans="3:9" s="77" customFormat="1" x14ac:dyDescent="0.25">
      <c r="C125" s="74"/>
      <c r="D125" s="79"/>
      <c r="E125" s="79"/>
      <c r="F125" s="79"/>
      <c r="G125" s="79"/>
      <c r="H125" s="79"/>
      <c r="I125" s="79"/>
    </row>
    <row r="126" spans="3:9" s="77" customFormat="1" x14ac:dyDescent="0.25">
      <c r="C126" s="74"/>
      <c r="D126" s="79"/>
      <c r="E126" s="79"/>
      <c r="F126" s="79"/>
      <c r="G126" s="79"/>
      <c r="H126" s="79"/>
      <c r="I126" s="79"/>
    </row>
  </sheetData>
  <mergeCells count="4">
    <mergeCell ref="B21:C21"/>
    <mergeCell ref="B35:C35"/>
    <mergeCell ref="B44:C44"/>
    <mergeCell ref="B54:C54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2"/>
  <sheetViews>
    <sheetView topLeftCell="D13" zoomScale="90" zoomScaleNormal="90" workbookViewId="0">
      <selection sqref="A1:L42"/>
    </sheetView>
  </sheetViews>
  <sheetFormatPr defaultRowHeight="15.75" x14ac:dyDescent="0.25"/>
  <cols>
    <col min="1" max="1" width="2.28515625" style="23" bestFit="1" customWidth="1"/>
    <col min="2" max="2" width="43.140625" style="23" bestFit="1" customWidth="1"/>
    <col min="3" max="3" width="18.42578125" style="23" customWidth="1"/>
    <col min="4" max="4" width="21.85546875" style="27" customWidth="1"/>
    <col min="5" max="12" width="18.140625" style="23" customWidth="1"/>
    <col min="13" max="13" width="14.28515625" style="23" hidden="1" customWidth="1"/>
    <col min="14" max="16384" width="9.140625" style="23"/>
  </cols>
  <sheetData>
    <row r="1" spans="1:13" ht="16.5" thickBot="1" x14ac:dyDescent="0.3">
      <c r="A1" s="529"/>
      <c r="B1" s="569" t="s">
        <v>109</v>
      </c>
      <c r="C1" s="569" t="s">
        <v>109</v>
      </c>
      <c r="D1" s="569" t="s">
        <v>109</v>
      </c>
      <c r="E1" s="569" t="s">
        <v>109</v>
      </c>
      <c r="F1" s="569" t="s">
        <v>109</v>
      </c>
      <c r="G1" s="569" t="s">
        <v>109</v>
      </c>
      <c r="H1" s="569" t="s">
        <v>109</v>
      </c>
      <c r="I1" s="569" t="s">
        <v>109</v>
      </c>
      <c r="J1" s="569" t="s">
        <v>109</v>
      </c>
      <c r="K1" s="569" t="s">
        <v>109</v>
      </c>
      <c r="L1" s="569" t="s">
        <v>109</v>
      </c>
    </row>
    <row r="2" spans="1:13" s="18" customFormat="1" ht="27" thickBot="1" x14ac:dyDescent="0.3">
      <c r="A2" s="567">
        <v>1</v>
      </c>
      <c r="B2" s="584" t="s">
        <v>286</v>
      </c>
      <c r="C2" s="547"/>
      <c r="D2" s="547"/>
      <c r="E2" s="547" t="s">
        <v>23</v>
      </c>
      <c r="F2" s="547" t="s">
        <v>24</v>
      </c>
      <c r="G2" s="547" t="s">
        <v>144</v>
      </c>
      <c r="H2" s="547" t="s">
        <v>183</v>
      </c>
      <c r="I2" s="547" t="s">
        <v>184</v>
      </c>
      <c r="J2" s="547" t="s">
        <v>287</v>
      </c>
      <c r="K2" s="547" t="s">
        <v>221</v>
      </c>
      <c r="L2" s="548" t="s">
        <v>30</v>
      </c>
    </row>
    <row r="3" spans="1:13" s="20" customFormat="1" x14ac:dyDescent="0.25">
      <c r="A3" s="567">
        <v>2</v>
      </c>
      <c r="B3" s="585" t="s">
        <v>288</v>
      </c>
      <c r="C3" s="528"/>
      <c r="D3" s="532"/>
      <c r="E3" s="528" t="s">
        <v>18</v>
      </c>
      <c r="F3" s="528" t="s">
        <v>41</v>
      </c>
      <c r="G3" s="528"/>
      <c r="H3" s="528"/>
      <c r="I3" s="528"/>
      <c r="J3" s="528"/>
      <c r="K3" s="360" t="s">
        <v>18</v>
      </c>
      <c r="L3" s="533"/>
      <c r="M3" s="19" t="s">
        <v>31</v>
      </c>
    </row>
    <row r="4" spans="1:13" s="21" customFormat="1" x14ac:dyDescent="0.25">
      <c r="A4" s="567">
        <v>3</v>
      </c>
      <c r="B4" s="586" t="s">
        <v>185</v>
      </c>
      <c r="C4" s="528"/>
      <c r="D4" s="534" t="s">
        <v>18</v>
      </c>
      <c r="E4" s="558" t="s">
        <v>42</v>
      </c>
      <c r="F4" s="558" t="s">
        <v>42</v>
      </c>
      <c r="G4" s="403">
        <v>26934429.732053652</v>
      </c>
      <c r="H4" s="403">
        <v>10637919.72094347</v>
      </c>
      <c r="I4" s="403">
        <v>5229314.742966217</v>
      </c>
      <c r="J4" s="558" t="s">
        <v>42</v>
      </c>
      <c r="K4" s="403">
        <v>322725</v>
      </c>
      <c r="L4" s="363">
        <v>43124389.195963338</v>
      </c>
      <c r="M4" s="160"/>
    </row>
    <row r="5" spans="1:13" s="21" customFormat="1" x14ac:dyDescent="0.25">
      <c r="A5" s="567">
        <v>4</v>
      </c>
      <c r="B5" s="586" t="s">
        <v>186</v>
      </c>
      <c r="C5" s="528"/>
      <c r="D5" s="532"/>
      <c r="E5" s="403">
        <v>5037295612.0990791</v>
      </c>
      <c r="F5" s="403">
        <v>2071525043.7725279</v>
      </c>
      <c r="G5" s="403">
        <v>10268957200.243916</v>
      </c>
      <c r="H5" s="403">
        <v>4685622966.0834589</v>
      </c>
      <c r="I5" s="403">
        <v>2236665845.1326065</v>
      </c>
      <c r="J5" s="403">
        <v>52097298.71804408</v>
      </c>
      <c r="K5" s="403">
        <v>111260969.55848952</v>
      </c>
      <c r="L5" s="363">
        <v>24463424935.608124</v>
      </c>
      <c r="M5" s="22">
        <v>309550</v>
      </c>
    </row>
    <row r="6" spans="1:13" s="21" customFormat="1" x14ac:dyDescent="0.25">
      <c r="A6" s="567">
        <v>5</v>
      </c>
      <c r="B6" s="586" t="s">
        <v>289</v>
      </c>
      <c r="C6" s="529"/>
      <c r="D6" s="530"/>
      <c r="E6" s="364">
        <v>214201807.96374705</v>
      </c>
      <c r="F6" s="364">
        <v>67517973.173567116</v>
      </c>
      <c r="G6" s="364">
        <v>155422803.2829214</v>
      </c>
      <c r="H6" s="364">
        <v>46715661.297302388</v>
      </c>
      <c r="I6" s="364">
        <v>22627757.310828283</v>
      </c>
      <c r="J6" s="364">
        <v>3609676.2884375765</v>
      </c>
      <c r="K6" s="364">
        <v>11948664.184572298</v>
      </c>
      <c r="L6" s="535">
        <v>522044343.50137615</v>
      </c>
      <c r="M6" s="22">
        <v>0.1571044921875</v>
      </c>
    </row>
    <row r="7" spans="1:13" x14ac:dyDescent="0.25">
      <c r="A7" s="567">
        <v>6</v>
      </c>
      <c r="B7" s="585" t="s">
        <v>161</v>
      </c>
      <c r="C7" s="529"/>
      <c r="D7" s="530"/>
      <c r="E7" s="403" t="s">
        <v>18</v>
      </c>
      <c r="F7" s="403" t="s">
        <v>18</v>
      </c>
      <c r="G7" s="403" t="s">
        <v>18</v>
      </c>
      <c r="H7" s="403" t="s">
        <v>18</v>
      </c>
      <c r="I7" s="403" t="s">
        <v>18</v>
      </c>
      <c r="J7" s="403" t="s">
        <v>18</v>
      </c>
      <c r="K7" s="403" t="s">
        <v>18</v>
      </c>
      <c r="L7" s="363" t="s">
        <v>18</v>
      </c>
    </row>
    <row r="8" spans="1:13" x14ac:dyDescent="0.25">
      <c r="A8" s="567">
        <v>7</v>
      </c>
      <c r="B8" s="586" t="s">
        <v>290</v>
      </c>
      <c r="C8" s="529"/>
      <c r="D8" s="530" t="s">
        <v>18</v>
      </c>
      <c r="E8" s="563">
        <v>0.20591129922969062</v>
      </c>
      <c r="F8" s="563">
        <v>8.4678455662898083E-2</v>
      </c>
      <c r="G8" s="563">
        <v>0.41976776462304644</v>
      </c>
      <c r="H8" s="563">
        <v>0.19153585315289301</v>
      </c>
      <c r="I8" s="563">
        <v>9.1428974112164982E-2</v>
      </c>
      <c r="J8" s="563">
        <v>2.1295995493342814E-3</v>
      </c>
      <c r="K8" s="563">
        <v>4.5480536699725087E-3</v>
      </c>
      <c r="L8" s="536">
        <v>0.99999999999999978</v>
      </c>
    </row>
    <row r="9" spans="1:13" x14ac:dyDescent="0.25">
      <c r="A9" s="567">
        <v>8</v>
      </c>
      <c r="B9" s="586" t="s">
        <v>289</v>
      </c>
      <c r="C9" s="529"/>
      <c r="D9" s="530"/>
      <c r="E9" s="563">
        <v>0.41552012037807001</v>
      </c>
      <c r="F9" s="563">
        <v>0.13207838068084307</v>
      </c>
      <c r="G9" s="563">
        <v>0.29315710963247121</v>
      </c>
      <c r="H9" s="563">
        <v>8.7134437226845593E-2</v>
      </c>
      <c r="I9" s="563">
        <v>4.2588225661566809E-2</v>
      </c>
      <c r="J9" s="563">
        <v>6.9641681199567205E-3</v>
      </c>
      <c r="K9" s="563">
        <v>2.2557558300246673E-2</v>
      </c>
      <c r="L9" s="536">
        <v>1</v>
      </c>
    </row>
    <row r="10" spans="1:13" x14ac:dyDescent="0.25">
      <c r="A10" s="567">
        <v>9</v>
      </c>
      <c r="B10" s="586" t="s">
        <v>187</v>
      </c>
      <c r="C10" s="529"/>
      <c r="D10" s="530" t="s">
        <v>18</v>
      </c>
      <c r="E10" s="563">
        <v>0.41354171328755629</v>
      </c>
      <c r="F10" s="563">
        <v>0.13472728028595979</v>
      </c>
      <c r="G10" s="563">
        <v>0.28897249513324086</v>
      </c>
      <c r="H10" s="563">
        <v>9.1373437532729848E-2</v>
      </c>
      <c r="I10" s="563">
        <v>4.2440108399382455E-2</v>
      </c>
      <c r="J10" s="563">
        <v>6.3025124352309525E-3</v>
      </c>
      <c r="K10" s="563">
        <v>2.2642452925899885E-2</v>
      </c>
      <c r="L10" s="536">
        <v>1.0000000000000002</v>
      </c>
    </row>
    <row r="11" spans="1:13" x14ac:dyDescent="0.25">
      <c r="A11" s="567">
        <v>10</v>
      </c>
      <c r="B11" s="586" t="s">
        <v>291</v>
      </c>
      <c r="C11" s="529"/>
      <c r="D11" s="530"/>
      <c r="E11" s="587">
        <v>4.0549619050274356E-2</v>
      </c>
      <c r="F11" s="587">
        <v>3.1902764694227294E-2</v>
      </c>
      <c r="G11" s="587">
        <v>0.4636681411352539</v>
      </c>
      <c r="H11" s="587">
        <v>0.303913244442789</v>
      </c>
      <c r="I11" s="587">
        <v>0.15248513039326728</v>
      </c>
      <c r="J11" s="587">
        <v>0</v>
      </c>
      <c r="K11" s="587">
        <v>7.4811002841879866E-3</v>
      </c>
      <c r="L11" s="536">
        <v>0.99999999999999989</v>
      </c>
    </row>
    <row r="12" spans="1:13" x14ac:dyDescent="0.25">
      <c r="A12" s="567">
        <v>11</v>
      </c>
      <c r="B12" s="586" t="s">
        <v>292</v>
      </c>
      <c r="C12" s="529"/>
      <c r="D12" s="530"/>
      <c r="E12" s="587">
        <v>0.52558641828709896</v>
      </c>
      <c r="F12" s="587">
        <v>0.18876321134060201</v>
      </c>
      <c r="G12" s="587">
        <v>0.20460336278780686</v>
      </c>
      <c r="H12" s="587">
        <v>4.0796952072011408E-2</v>
      </c>
      <c r="I12" s="587">
        <v>1.5886221145977434E-2</v>
      </c>
      <c r="J12" s="587">
        <v>8.061647388557908E-3</v>
      </c>
      <c r="K12" s="587">
        <v>1.6302186977945658E-2</v>
      </c>
      <c r="L12" s="536">
        <v>1.0000000000000002</v>
      </c>
    </row>
    <row r="13" spans="1:13" s="18" customFormat="1" x14ac:dyDescent="0.25">
      <c r="A13" s="567">
        <v>12</v>
      </c>
      <c r="B13" s="586" t="s">
        <v>293</v>
      </c>
      <c r="C13" s="529"/>
      <c r="D13" s="530"/>
      <c r="E13" s="563">
        <v>0.45156248197800786</v>
      </c>
      <c r="F13" s="563">
        <v>0.1291255014279486</v>
      </c>
      <c r="G13" s="563">
        <v>0.22910415626083527</v>
      </c>
      <c r="H13" s="563">
        <v>0.1163287123044584</v>
      </c>
      <c r="I13" s="563">
        <v>6.6569152544805582E-2</v>
      </c>
      <c r="J13" s="563">
        <v>2.9587592843314135E-3</v>
      </c>
      <c r="K13" s="563">
        <v>4.3512361996127704E-3</v>
      </c>
      <c r="L13" s="536">
        <v>0.99999999999999978</v>
      </c>
      <c r="M13" s="24"/>
    </row>
    <row r="14" spans="1:13" s="18" customFormat="1" ht="16.5" thickBot="1" x14ac:dyDescent="0.3">
      <c r="A14" s="567">
        <v>13</v>
      </c>
      <c r="B14" s="537"/>
      <c r="C14" s="366"/>
      <c r="D14" s="532"/>
      <c r="E14" s="538" t="s">
        <v>18</v>
      </c>
      <c r="F14" s="538" t="s">
        <v>18</v>
      </c>
      <c r="G14" s="538"/>
      <c r="H14" s="538"/>
      <c r="I14" s="538"/>
      <c r="J14" s="538"/>
      <c r="K14" s="538"/>
      <c r="L14" s="539"/>
      <c r="M14" s="19" t="s">
        <v>31</v>
      </c>
    </row>
    <row r="15" spans="1:13" s="18" customFormat="1" ht="27" thickBot="1" x14ac:dyDescent="0.3">
      <c r="A15" s="567">
        <v>13</v>
      </c>
      <c r="B15" s="549"/>
      <c r="C15" s="547" t="s">
        <v>222</v>
      </c>
      <c r="D15" s="547" t="s">
        <v>181</v>
      </c>
      <c r="E15" s="547" t="s">
        <v>23</v>
      </c>
      <c r="F15" s="547" t="s">
        <v>24</v>
      </c>
      <c r="G15" s="547" t="s">
        <v>144</v>
      </c>
      <c r="H15" s="547" t="s">
        <v>183</v>
      </c>
      <c r="I15" s="547" t="s">
        <v>184</v>
      </c>
      <c r="J15" s="547" t="s">
        <v>287</v>
      </c>
      <c r="K15" s="547" t="s">
        <v>221</v>
      </c>
      <c r="L15" s="548" t="s">
        <v>30</v>
      </c>
      <c r="M15" s="157"/>
    </row>
    <row r="16" spans="1:13" x14ac:dyDescent="0.25">
      <c r="A16" s="567">
        <v>14</v>
      </c>
      <c r="B16" s="531"/>
      <c r="C16" s="540"/>
      <c r="D16" s="550"/>
      <c r="E16" s="572"/>
      <c r="F16" s="573" t="s">
        <v>18</v>
      </c>
      <c r="G16" s="572"/>
      <c r="H16" s="572"/>
      <c r="I16" s="572"/>
      <c r="J16" s="572"/>
      <c r="K16" s="572"/>
      <c r="L16" s="574"/>
    </row>
    <row r="17" spans="1:13" x14ac:dyDescent="0.25">
      <c r="A17" s="567">
        <v>15</v>
      </c>
      <c r="B17" s="561" t="s">
        <v>188</v>
      </c>
      <c r="C17" s="413">
        <v>-26811270.040564727</v>
      </c>
      <c r="D17" s="530" t="s">
        <v>294</v>
      </c>
      <c r="E17" s="575">
        <v>-5520743.4480507625</v>
      </c>
      <c r="F17" s="575">
        <v>-2270336.9413959477</v>
      </c>
      <c r="G17" s="575">
        <v>-11254506.891632712</v>
      </c>
      <c r="H17" s="575">
        <v>-5135319.4813321652</v>
      </c>
      <c r="I17" s="575">
        <v>-2451326.9144530571</v>
      </c>
      <c r="J17" s="575">
        <v>-57097.268595466361</v>
      </c>
      <c r="K17" s="575">
        <v>-121939.09510461437</v>
      </c>
      <c r="L17" s="576">
        <v>-26811270.040564723</v>
      </c>
    </row>
    <row r="18" spans="1:13" x14ac:dyDescent="0.25">
      <c r="A18" s="567">
        <v>16</v>
      </c>
      <c r="B18" s="561" t="s">
        <v>189</v>
      </c>
      <c r="C18" s="413">
        <v>7964379.3078225907</v>
      </c>
      <c r="D18" s="530" t="s">
        <v>294</v>
      </c>
      <c r="E18" s="575">
        <v>1639955.6908318137</v>
      </c>
      <c r="F18" s="575">
        <v>674411.34009995812</v>
      </c>
      <c r="G18" s="575">
        <v>3343189.6986547345</v>
      </c>
      <c r="H18" s="575">
        <v>1525464.1855570474</v>
      </c>
      <c r="I18" s="575">
        <v>728175.02955437405</v>
      </c>
      <c r="J18" s="575">
        <v>16960.938584666266</v>
      </c>
      <c r="K18" s="575">
        <v>36222.424539995642</v>
      </c>
      <c r="L18" s="576">
        <v>7964379.3078225898</v>
      </c>
    </row>
    <row r="19" spans="1:13" x14ac:dyDescent="0.25">
      <c r="A19" s="567">
        <v>17</v>
      </c>
      <c r="B19" s="561" t="s">
        <v>190</v>
      </c>
      <c r="C19" s="413">
        <v>3180671.6744143395</v>
      </c>
      <c r="D19" s="530" t="s">
        <v>294</v>
      </c>
      <c r="E19" s="575">
        <v>654936.23690173216</v>
      </c>
      <c r="F19" s="575">
        <v>269334.36536013044</v>
      </c>
      <c r="G19" s="575">
        <v>1335143.4387687494</v>
      </c>
      <c r="H19" s="575">
        <v>609212.66275819123</v>
      </c>
      <c r="I19" s="575">
        <v>290805.54817932507</v>
      </c>
      <c r="J19" s="575">
        <v>6773.5569644130919</v>
      </c>
      <c r="K19" s="575">
        <v>14465.86548179774</v>
      </c>
      <c r="L19" s="576">
        <v>3180671.674414339</v>
      </c>
    </row>
    <row r="20" spans="1:13" x14ac:dyDescent="0.25">
      <c r="A20" s="567">
        <v>18</v>
      </c>
      <c r="B20" s="561" t="s">
        <v>191</v>
      </c>
      <c r="C20" s="413">
        <v>190878.49035441666</v>
      </c>
      <c r="D20" s="530" t="s">
        <v>294</v>
      </c>
      <c r="E20" s="575">
        <v>39304.037943879906</v>
      </c>
      <c r="F20" s="575">
        <v>16163.295782477391</v>
      </c>
      <c r="G20" s="575">
        <v>80124.637210695219</v>
      </c>
      <c r="H20" s="575">
        <v>36560.074498569455</v>
      </c>
      <c r="I20" s="575">
        <v>17451.824553183094</v>
      </c>
      <c r="J20" s="575">
        <v>406.49474703637372</v>
      </c>
      <c r="K20" s="575">
        <v>868.12561857521678</v>
      </c>
      <c r="L20" s="576">
        <v>190878.49035441666</v>
      </c>
    </row>
    <row r="21" spans="1:13" ht="26.25" x14ac:dyDescent="0.25">
      <c r="A21" s="567">
        <v>19</v>
      </c>
      <c r="B21" s="561" t="s">
        <v>192</v>
      </c>
      <c r="C21" s="413">
        <v>-6297225.5692509804</v>
      </c>
      <c r="D21" s="530" t="s">
        <v>289</v>
      </c>
      <c r="E21" s="575">
        <v>-2616623.9265830279</v>
      </c>
      <c r="F21" s="575">
        <v>-831727.35596866976</v>
      </c>
      <c r="G21" s="575">
        <v>-1846076.4465853106</v>
      </c>
      <c r="H21" s="575">
        <v>-548705.20606718655</v>
      </c>
      <c r="I21" s="575">
        <v>-268187.66358504927</v>
      </c>
      <c r="J21" s="575">
        <v>-43854.937553553988</v>
      </c>
      <c r="K21" s="575">
        <v>-142050.03290818303</v>
      </c>
      <c r="L21" s="576">
        <v>-6297225.5692509804</v>
      </c>
    </row>
    <row r="22" spans="1:13" x14ac:dyDescent="0.25">
      <c r="A22" s="567">
        <v>20</v>
      </c>
      <c r="B22" s="561" t="s">
        <v>295</v>
      </c>
      <c r="C22" s="570">
        <v>5596.98</v>
      </c>
      <c r="D22" s="530" t="s">
        <v>294</v>
      </c>
      <c r="E22" s="575">
        <v>1152.4814235625938</v>
      </c>
      <c r="F22" s="575">
        <v>473.94362277612726</v>
      </c>
      <c r="G22" s="575">
        <v>2349.4317832398983</v>
      </c>
      <c r="H22" s="575">
        <v>1072.0223393796791</v>
      </c>
      <c r="I22" s="575">
        <v>511.72613952630513</v>
      </c>
      <c r="J22" s="575">
        <v>11.919326085632985</v>
      </c>
      <c r="K22" s="575">
        <v>25.455365429762729</v>
      </c>
      <c r="L22" s="576">
        <v>5596.9799999999987</v>
      </c>
    </row>
    <row r="23" spans="1:13" s="18" customFormat="1" ht="26.25" x14ac:dyDescent="0.25">
      <c r="A23" s="567">
        <v>21</v>
      </c>
      <c r="B23" s="561" t="s">
        <v>296</v>
      </c>
      <c r="C23" s="571">
        <v>535009.64035846724</v>
      </c>
      <c r="D23" s="530" t="s">
        <v>187</v>
      </c>
      <c r="E23" s="577">
        <v>221248.80329919985</v>
      </c>
      <c r="F23" s="577">
        <v>72080.393772265757</v>
      </c>
      <c r="G23" s="577">
        <v>154603.07069472413</v>
      </c>
      <c r="H23" s="577">
        <v>48885.669952702665</v>
      </c>
      <c r="I23" s="577">
        <v>22705.867131527972</v>
      </c>
      <c r="J23" s="577">
        <v>3371.9049113276797</v>
      </c>
      <c r="K23" s="577">
        <v>12113.930596719221</v>
      </c>
      <c r="L23" s="576">
        <v>535009.64035846735</v>
      </c>
      <c r="M23" s="157">
        <v>0</v>
      </c>
    </row>
    <row r="24" spans="1:13" s="18" customFormat="1" ht="26.25" x14ac:dyDescent="0.25">
      <c r="A24" s="567">
        <v>22</v>
      </c>
      <c r="B24" s="561" t="s">
        <v>297</v>
      </c>
      <c r="C24" s="571">
        <v>6374751.4679749999</v>
      </c>
      <c r="D24" s="530" t="s">
        <v>292</v>
      </c>
      <c r="E24" s="577">
        <v>3350482.7915234063</v>
      </c>
      <c r="F24" s="577">
        <v>1203318.5585931777</v>
      </c>
      <c r="G24" s="577">
        <v>1304295.5872841931</v>
      </c>
      <c r="H24" s="577">
        <v>260070.43010996043</v>
      </c>
      <c r="I24" s="577">
        <v>101270.71157089513</v>
      </c>
      <c r="J24" s="577">
        <v>51390.998524506351</v>
      </c>
      <c r="K24" s="577">
        <v>103922.39036886202</v>
      </c>
      <c r="L24" s="576">
        <v>6374751.4679750018</v>
      </c>
      <c r="M24" s="157"/>
    </row>
    <row r="25" spans="1:13" s="18" customFormat="1" ht="26.25" x14ac:dyDescent="0.25">
      <c r="A25" s="567">
        <v>23</v>
      </c>
      <c r="B25" s="561" t="s">
        <v>298</v>
      </c>
      <c r="C25" s="413">
        <v>-521235.49256253999</v>
      </c>
      <c r="D25" s="530" t="s">
        <v>293</v>
      </c>
      <c r="E25" s="575">
        <v>-235370.39271657</v>
      </c>
      <c r="F25" s="575">
        <v>-67304.794339181753</v>
      </c>
      <c r="G25" s="575">
        <v>-119417.2177367416</v>
      </c>
      <c r="H25" s="575">
        <v>-60634.653657180381</v>
      </c>
      <c r="I25" s="575">
        <v>-34698.205016162603</v>
      </c>
      <c r="J25" s="575">
        <v>-1542.2103529424726</v>
      </c>
      <c r="K25" s="575">
        <v>-2268.0187437611171</v>
      </c>
      <c r="L25" s="576">
        <v>-521235.49256253988</v>
      </c>
      <c r="M25" s="157"/>
    </row>
    <row r="26" spans="1:13" s="18" customFormat="1" ht="16.5" thickBot="1" x14ac:dyDescent="0.3">
      <c r="A26" s="567">
        <v>24</v>
      </c>
      <c r="B26" s="551" t="s">
        <v>83</v>
      </c>
      <c r="C26" s="559">
        <v>-15378443.541453434</v>
      </c>
      <c r="D26" s="552" t="s">
        <v>18</v>
      </c>
      <c r="E26" s="560">
        <v>-2465657.7254267652</v>
      </c>
      <c r="F26" s="560">
        <v>-933587.19447301317</v>
      </c>
      <c r="G26" s="560">
        <v>-7000294.6915584272</v>
      </c>
      <c r="H26" s="560">
        <v>-3263394.2958406806</v>
      </c>
      <c r="I26" s="560">
        <v>-1593292.0759254375</v>
      </c>
      <c r="J26" s="560">
        <v>-23578.603443927437</v>
      </c>
      <c r="K26" s="560">
        <v>-98638.95478517891</v>
      </c>
      <c r="L26" s="564">
        <v>-15378443.541453432</v>
      </c>
      <c r="M26" s="157"/>
    </row>
    <row r="27" spans="1:13" s="18" customFormat="1" x14ac:dyDescent="0.25">
      <c r="A27" s="529"/>
      <c r="B27" s="528"/>
      <c r="C27" s="388"/>
      <c r="D27" s="389"/>
      <c r="E27" s="390"/>
      <c r="F27" s="390"/>
      <c r="G27" s="390"/>
      <c r="H27" s="390"/>
      <c r="I27" s="390"/>
      <c r="J27" s="390"/>
      <c r="K27" s="390"/>
      <c r="L27" s="390"/>
      <c r="M27" s="157"/>
    </row>
    <row r="28" spans="1:13" s="18" customFormat="1" x14ac:dyDescent="0.25">
      <c r="A28" s="529"/>
      <c r="B28" s="528"/>
      <c r="C28" s="388"/>
      <c r="D28" s="389"/>
      <c r="E28" s="390"/>
      <c r="F28" s="390"/>
      <c r="G28" s="390"/>
      <c r="H28" s="390"/>
      <c r="I28" s="390"/>
      <c r="J28" s="390"/>
      <c r="K28" s="390"/>
      <c r="L28" s="390"/>
      <c r="M28" s="157"/>
    </row>
    <row r="29" spans="1:13" s="18" customFormat="1" ht="16.5" thickBot="1" x14ac:dyDescent="0.3">
      <c r="A29" s="527"/>
      <c r="B29" s="527"/>
      <c r="C29" s="527"/>
      <c r="D29" s="541"/>
      <c r="E29" s="542"/>
      <c r="F29" s="542"/>
      <c r="G29" s="542"/>
      <c r="H29" s="542"/>
      <c r="I29" s="542"/>
      <c r="J29" s="542"/>
      <c r="K29" s="542"/>
      <c r="L29" s="543"/>
      <c r="M29" s="157"/>
    </row>
    <row r="30" spans="1:13" ht="27" thickBot="1" x14ac:dyDescent="0.3">
      <c r="A30" s="568">
        <v>25</v>
      </c>
      <c r="B30" s="562" t="s">
        <v>299</v>
      </c>
      <c r="C30" s="547" t="s">
        <v>18</v>
      </c>
      <c r="D30" s="547" t="s">
        <v>193</v>
      </c>
      <c r="E30" s="547" t="s">
        <v>23</v>
      </c>
      <c r="F30" s="547" t="s">
        <v>24</v>
      </c>
      <c r="G30" s="547" t="s">
        <v>144</v>
      </c>
      <c r="H30" s="547" t="s">
        <v>183</v>
      </c>
      <c r="I30" s="547" t="s">
        <v>184</v>
      </c>
      <c r="J30" s="547" t="s">
        <v>287</v>
      </c>
      <c r="K30" s="547" t="s">
        <v>221</v>
      </c>
      <c r="L30" s="548"/>
      <c r="M30" s="159"/>
    </row>
    <row r="31" spans="1:13" s="158" customFormat="1" x14ac:dyDescent="0.25">
      <c r="A31" s="568">
        <v>26</v>
      </c>
      <c r="B31" s="553" t="s">
        <v>18</v>
      </c>
      <c r="C31" s="554"/>
      <c r="D31" s="555"/>
      <c r="E31" s="556" t="s">
        <v>18</v>
      </c>
      <c r="F31" s="556" t="s">
        <v>18</v>
      </c>
      <c r="G31" s="556" t="s">
        <v>18</v>
      </c>
      <c r="H31" s="556" t="s">
        <v>18</v>
      </c>
      <c r="I31" s="556" t="s">
        <v>18</v>
      </c>
      <c r="J31" s="556" t="s">
        <v>18</v>
      </c>
      <c r="K31" s="556" t="s">
        <v>18</v>
      </c>
      <c r="L31" s="557"/>
      <c r="M31"/>
    </row>
    <row r="32" spans="1:13" s="158" customFormat="1" x14ac:dyDescent="0.25">
      <c r="A32" s="568">
        <v>27</v>
      </c>
      <c r="B32" s="531" t="s">
        <v>188</v>
      </c>
      <c r="C32" s="528" t="s">
        <v>18</v>
      </c>
      <c r="D32" s="530" t="s">
        <v>300</v>
      </c>
      <c r="E32" s="566">
        <v>-1.0959736877046663E-3</v>
      </c>
      <c r="F32" s="566">
        <v>-1.0959736877046663E-3</v>
      </c>
      <c r="G32" s="565">
        <v>-0.41212439523603428</v>
      </c>
      <c r="H32" s="565">
        <v>-0.47612435250384905</v>
      </c>
      <c r="I32" s="565">
        <v>-0.4623449175552416</v>
      </c>
      <c r="J32" s="566">
        <v>-1.0959736877046665E-3</v>
      </c>
      <c r="K32" s="565">
        <v>-0.37266619115822286</v>
      </c>
      <c r="L32" s="533"/>
    </row>
    <row r="33" spans="1:12" s="158" customFormat="1" x14ac:dyDescent="0.25">
      <c r="A33" s="568">
        <v>28</v>
      </c>
      <c r="B33" s="531" t="s">
        <v>189</v>
      </c>
      <c r="C33" s="528" t="s">
        <v>18</v>
      </c>
      <c r="D33" s="530" t="s">
        <v>300</v>
      </c>
      <c r="E33" s="566">
        <v>3.2556272593826029E-4</v>
      </c>
      <c r="F33" s="566">
        <v>3.2556272593826029E-4</v>
      </c>
      <c r="G33" s="565">
        <v>0.12242295872969525</v>
      </c>
      <c r="H33" s="565">
        <v>0.14143436455247504</v>
      </c>
      <c r="I33" s="565">
        <v>0.13734113635358197</v>
      </c>
      <c r="J33" s="566">
        <v>3.2556272593826035E-4</v>
      </c>
      <c r="K33" s="565">
        <v>0.11070176448542055</v>
      </c>
      <c r="L33" s="533"/>
    </row>
    <row r="34" spans="1:12" s="158" customFormat="1" x14ac:dyDescent="0.25">
      <c r="A34" s="568">
        <v>29</v>
      </c>
      <c r="B34" s="531" t="s">
        <v>190</v>
      </c>
      <c r="C34" s="528" t="s">
        <v>18</v>
      </c>
      <c r="D34" s="530" t="s">
        <v>300</v>
      </c>
      <c r="E34" s="566">
        <v>1.3001743144250676E-4</v>
      </c>
      <c r="F34" s="566">
        <v>1.3001743144250676E-4</v>
      </c>
      <c r="G34" s="565">
        <v>4.8891096478426425E-2</v>
      </c>
      <c r="H34" s="565">
        <v>5.6483532455442118E-2</v>
      </c>
      <c r="I34" s="565">
        <v>5.4848852025751155E-2</v>
      </c>
      <c r="J34" s="566">
        <v>1.3001743144250676E-4</v>
      </c>
      <c r="K34" s="565">
        <v>4.4210095099391729E-2</v>
      </c>
      <c r="L34" s="533"/>
    </row>
    <row r="35" spans="1:12" s="158" customFormat="1" x14ac:dyDescent="0.25">
      <c r="A35" s="568">
        <v>30</v>
      </c>
      <c r="B35" s="531" t="s">
        <v>191</v>
      </c>
      <c r="C35" s="528" t="s">
        <v>18</v>
      </c>
      <c r="D35" s="530" t="s">
        <v>300</v>
      </c>
      <c r="E35" s="566">
        <v>7.8026069880583445E-6</v>
      </c>
      <c r="F35" s="566">
        <v>7.8026069880583428E-6</v>
      </c>
      <c r="G35" s="565">
        <v>2.9340528174108169E-3</v>
      </c>
      <c r="H35" s="565">
        <v>3.3896901373715966E-3</v>
      </c>
      <c r="I35" s="565">
        <v>3.2915896842059065E-3</v>
      </c>
      <c r="J35" s="566">
        <v>7.8026069880583428E-6</v>
      </c>
      <c r="K35" s="565">
        <v>2.6531365305257179E-3</v>
      </c>
      <c r="L35" s="533"/>
    </row>
    <row r="36" spans="1:12" s="158" customFormat="1" x14ac:dyDescent="0.25">
      <c r="A36" s="568">
        <v>31</v>
      </c>
      <c r="B36" s="531" t="s">
        <v>192</v>
      </c>
      <c r="C36" s="528"/>
      <c r="D36" s="530" t="s">
        <v>300</v>
      </c>
      <c r="E36" s="566">
        <v>-5.194501431081709E-4</v>
      </c>
      <c r="F36" s="566">
        <v>-4.0150485192975581E-4</v>
      </c>
      <c r="G36" s="565">
        <v>-6.7600752874752187E-2</v>
      </c>
      <c r="H36" s="565">
        <v>-5.0873545823960739E-2</v>
      </c>
      <c r="I36" s="565">
        <v>-5.0582891444827312E-2</v>
      </c>
      <c r="J36" s="566">
        <v>-8.4178908758593038E-4</v>
      </c>
      <c r="K36" s="565">
        <v>-0.43412856780982911</v>
      </c>
      <c r="L36" s="533"/>
    </row>
    <row r="37" spans="1:12" s="158" customFormat="1" x14ac:dyDescent="0.25">
      <c r="A37" s="568">
        <v>32</v>
      </c>
      <c r="B37" s="531" t="s">
        <v>295</v>
      </c>
      <c r="C37" s="528" t="s">
        <v>18</v>
      </c>
      <c r="D37" s="530" t="s">
        <v>300</v>
      </c>
      <c r="E37" s="566">
        <v>2.2878971422571448E-7</v>
      </c>
      <c r="F37" s="566">
        <v>2.2878971422571445E-7</v>
      </c>
      <c r="G37" s="565">
        <v>8.6032925488359051E-5</v>
      </c>
      <c r="H37" s="565">
        <v>9.9393220628680908E-5</v>
      </c>
      <c r="I37" s="565">
        <v>9.6516698117737876E-5</v>
      </c>
      <c r="J37" s="566">
        <v>2.2878971422571445E-7</v>
      </c>
      <c r="K37" s="565">
        <v>7.7795837923119002E-5</v>
      </c>
      <c r="L37" s="533"/>
    </row>
    <row r="38" spans="1:12" s="158" customFormat="1" x14ac:dyDescent="0.25">
      <c r="A38" s="568">
        <v>33</v>
      </c>
      <c r="B38" s="531" t="s">
        <v>296</v>
      </c>
      <c r="C38" s="528"/>
      <c r="D38" s="530" t="s">
        <v>300</v>
      </c>
      <c r="E38" s="566">
        <v>4.3922140040338786E-5</v>
      </c>
      <c r="F38" s="566">
        <v>3.4795810935984435E-5</v>
      </c>
      <c r="G38" s="565">
        <v>5.6613495042654571E-3</v>
      </c>
      <c r="H38" s="565">
        <v>4.5324654167201743E-3</v>
      </c>
      <c r="I38" s="565">
        <v>4.2825549725948658E-3</v>
      </c>
      <c r="J38" s="566">
        <v>6.4723219711961932E-5</v>
      </c>
      <c r="K38" s="565">
        <v>3.7022190229977978E-2</v>
      </c>
      <c r="L38" s="533"/>
    </row>
    <row r="39" spans="1:12" s="158" customFormat="1" x14ac:dyDescent="0.25">
      <c r="A39" s="568">
        <v>34</v>
      </c>
      <c r="B39" s="531" t="s">
        <v>297</v>
      </c>
      <c r="C39" s="528"/>
      <c r="D39" s="530" t="s">
        <v>300</v>
      </c>
      <c r="E39" s="566">
        <v>6.6513523317469848E-4</v>
      </c>
      <c r="F39" s="566">
        <v>5.808853541069296E-4</v>
      </c>
      <c r="G39" s="565">
        <v>4.7761491044815155E-2</v>
      </c>
      <c r="H39" s="565">
        <v>2.4112592330746377E-2</v>
      </c>
      <c r="I39" s="565">
        <v>1.9100675032751861E-2</v>
      </c>
      <c r="J39" s="566">
        <v>9.8644267148359651E-4</v>
      </c>
      <c r="K39" s="565">
        <v>0.31760413968625756</v>
      </c>
      <c r="L39" s="533"/>
    </row>
    <row r="40" spans="1:12" s="158" customFormat="1" ht="16.5" thickBot="1" x14ac:dyDescent="0.3">
      <c r="A40" s="568">
        <v>35</v>
      </c>
      <c r="B40" s="531" t="s">
        <v>298</v>
      </c>
      <c r="C40" s="528" t="s">
        <v>18</v>
      </c>
      <c r="D40" s="530" t="s">
        <v>300</v>
      </c>
      <c r="E40" s="566">
        <v>-4.6725546968344265E-5</v>
      </c>
      <c r="F40" s="566">
        <v>-3.2490456507641634E-5</v>
      </c>
      <c r="G40" s="565">
        <v>-4.3728924878186984E-3</v>
      </c>
      <c r="H40" s="565">
        <v>-5.621779777629534E-3</v>
      </c>
      <c r="I40" s="565">
        <v>-6.5444305461362737E-3</v>
      </c>
      <c r="J40" s="566">
        <v>-2.9602501298370059E-5</v>
      </c>
      <c r="K40" s="565">
        <v>-6.931443160110253E-3</v>
      </c>
      <c r="L40" s="578"/>
    </row>
    <row r="41" spans="1:12" ht="16.5" thickBot="1" x14ac:dyDescent="0.3">
      <c r="A41" s="568">
        <v>36</v>
      </c>
      <c r="B41" s="579" t="s">
        <v>301</v>
      </c>
      <c r="C41" s="580" t="s">
        <v>194</v>
      </c>
      <c r="D41" s="581" t="s">
        <v>300</v>
      </c>
      <c r="E41" s="582">
        <v>-4.8999999999999998E-4</v>
      </c>
      <c r="F41" s="582">
        <v>-4.4999999999999999E-4</v>
      </c>
      <c r="G41" s="582">
        <v>-0.25629999999999997</v>
      </c>
      <c r="H41" s="582">
        <v>-0.30259999999999998</v>
      </c>
      <c r="I41" s="582">
        <v>-0.30049999999999999</v>
      </c>
      <c r="J41" s="582">
        <v>-5.0000000000000001E-4</v>
      </c>
      <c r="K41" s="582">
        <v>-0.30149999999999999</v>
      </c>
      <c r="L41" s="583"/>
    </row>
    <row r="42" spans="1:12" x14ac:dyDescent="0.25">
      <c r="A42" s="527"/>
      <c r="B42" s="528"/>
      <c r="C42" s="528"/>
      <c r="D42" s="532"/>
      <c r="E42" s="544" t="s">
        <v>18</v>
      </c>
      <c r="F42" s="545" t="s">
        <v>18</v>
      </c>
      <c r="G42" s="546"/>
      <c r="H42" s="546" t="s">
        <v>18</v>
      </c>
      <c r="I42" s="546" t="s">
        <v>18</v>
      </c>
      <c r="J42" s="545" t="s">
        <v>18</v>
      </c>
      <c r="K42" s="546" t="s">
        <v>18</v>
      </c>
      <c r="L42" s="528"/>
    </row>
  </sheetData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workbookViewId="0">
      <selection sqref="A1:L42"/>
    </sheetView>
  </sheetViews>
  <sheetFormatPr defaultRowHeight="15" x14ac:dyDescent="0.25"/>
  <cols>
    <col min="4" max="4" width="19.7109375" customWidth="1"/>
    <col min="5" max="5" width="18.5703125" customWidth="1"/>
    <col min="6" max="6" width="20.140625" customWidth="1"/>
    <col min="7" max="7" width="17.42578125" customWidth="1"/>
    <col min="8" max="8" width="21.85546875" customWidth="1"/>
    <col min="9" max="10" width="14.7109375" customWidth="1"/>
    <col min="11" max="11" width="16.85546875" customWidth="1"/>
  </cols>
  <sheetData>
    <row r="1" spans="1:11" ht="16.5" thickBot="1" x14ac:dyDescent="0.3">
      <c r="A1" s="416"/>
      <c r="B1" s="417" t="s">
        <v>18</v>
      </c>
      <c r="C1" s="441" t="s">
        <v>18</v>
      </c>
      <c r="D1" s="417" t="s">
        <v>18</v>
      </c>
      <c r="E1" s="417"/>
      <c r="F1" s="417"/>
      <c r="G1" s="417"/>
      <c r="H1" s="417"/>
      <c r="I1" s="417"/>
      <c r="J1" s="417"/>
      <c r="K1" s="417"/>
    </row>
    <row r="2" spans="1:11" ht="48" thickBot="1" x14ac:dyDescent="0.3">
      <c r="A2" s="462" t="s">
        <v>311</v>
      </c>
      <c r="B2" s="426"/>
      <c r="C2" s="426"/>
      <c r="D2" s="426" t="s">
        <v>23</v>
      </c>
      <c r="E2" s="426" t="s">
        <v>24</v>
      </c>
      <c r="F2" s="426" t="s">
        <v>312</v>
      </c>
      <c r="G2" s="426" t="s">
        <v>26</v>
      </c>
      <c r="H2" s="426" t="s">
        <v>27</v>
      </c>
      <c r="I2" s="426" t="s">
        <v>28</v>
      </c>
      <c r="J2" s="426" t="s">
        <v>29</v>
      </c>
      <c r="K2" s="427" t="s">
        <v>30</v>
      </c>
    </row>
    <row r="3" spans="1:11" ht="15.75" x14ac:dyDescent="0.25">
      <c r="A3" s="449"/>
      <c r="B3" s="416"/>
      <c r="C3" s="442"/>
      <c r="D3" s="425" t="s">
        <v>34</v>
      </c>
      <c r="E3" s="425" t="s">
        <v>35</v>
      </c>
      <c r="F3" s="425"/>
      <c r="G3" s="425" t="s">
        <v>37</v>
      </c>
      <c r="H3" s="425" t="s">
        <v>38</v>
      </c>
      <c r="I3" s="425"/>
      <c r="J3" s="425" t="s">
        <v>39</v>
      </c>
      <c r="K3" s="451" t="s">
        <v>40</v>
      </c>
    </row>
    <row r="4" spans="1:11" ht="15.75" x14ac:dyDescent="0.25">
      <c r="A4" s="452" t="s">
        <v>313</v>
      </c>
      <c r="B4" s="416"/>
      <c r="C4" s="442"/>
      <c r="D4" s="416"/>
      <c r="E4" s="416" t="s">
        <v>41</v>
      </c>
      <c r="F4" s="416"/>
      <c r="G4" s="416"/>
      <c r="H4" s="416"/>
      <c r="I4" s="416"/>
      <c r="J4" s="416"/>
      <c r="K4" s="453"/>
    </row>
    <row r="5" spans="1:11" ht="15.75" x14ac:dyDescent="0.25">
      <c r="A5" s="454" t="s">
        <v>185</v>
      </c>
      <c r="B5" s="416"/>
      <c r="C5" s="443" t="s">
        <v>18</v>
      </c>
      <c r="D5" s="423" t="s">
        <v>42</v>
      </c>
      <c r="E5" s="423" t="s">
        <v>42</v>
      </c>
      <c r="F5" s="423">
        <v>26934429.732053652</v>
      </c>
      <c r="G5" s="423">
        <v>10637919.72094347</v>
      </c>
      <c r="H5" s="423">
        <v>5229314.742966217</v>
      </c>
      <c r="I5" s="423" t="s">
        <v>42</v>
      </c>
      <c r="J5" s="423">
        <v>322725</v>
      </c>
      <c r="K5" s="455">
        <v>43124389.195963338</v>
      </c>
    </row>
    <row r="6" spans="1:11" ht="15.75" x14ac:dyDescent="0.25">
      <c r="A6" s="454" t="s">
        <v>20</v>
      </c>
      <c r="B6" s="416"/>
      <c r="C6" s="442"/>
      <c r="D6" s="423">
        <v>5037295612.0990791</v>
      </c>
      <c r="E6" s="423">
        <v>2071525043.7725279</v>
      </c>
      <c r="F6" s="423">
        <v>10268957200.243916</v>
      </c>
      <c r="G6" s="423">
        <v>4685622966.0834589</v>
      </c>
      <c r="H6" s="423">
        <v>2236665845.1326065</v>
      </c>
      <c r="I6" s="423">
        <v>52097298.71804408</v>
      </c>
      <c r="J6" s="423">
        <v>111260969.55848952</v>
      </c>
      <c r="K6" s="455">
        <v>24463424935.608124</v>
      </c>
    </row>
    <row r="7" spans="1:11" ht="15.75" x14ac:dyDescent="0.25">
      <c r="A7" s="454" t="s">
        <v>44</v>
      </c>
      <c r="B7" s="416"/>
      <c r="C7" s="442"/>
      <c r="D7" s="424">
        <v>633121</v>
      </c>
      <c r="E7" s="424">
        <v>65907</v>
      </c>
      <c r="F7" s="424">
        <v>13776</v>
      </c>
      <c r="G7" s="424">
        <v>505</v>
      </c>
      <c r="H7" s="423">
        <v>50</v>
      </c>
      <c r="I7" s="423">
        <v>1107</v>
      </c>
      <c r="J7" s="423">
        <v>1</v>
      </c>
      <c r="K7" s="455">
        <v>714467</v>
      </c>
    </row>
    <row r="8" spans="1:11" ht="15.75" x14ac:dyDescent="0.25">
      <c r="A8" s="454"/>
      <c r="B8" s="416"/>
      <c r="C8" s="442"/>
      <c r="D8" s="471">
        <v>0.28081053528892047</v>
      </c>
      <c r="E8" s="471">
        <v>8.0664008837041015E-2</v>
      </c>
      <c r="F8" s="471">
        <v>0.28575557814985969</v>
      </c>
      <c r="G8" s="471">
        <v>0.16040894966506572</v>
      </c>
      <c r="H8" s="418">
        <v>0.19236092805911306</v>
      </c>
      <c r="I8" s="418"/>
      <c r="J8" s="418"/>
      <c r="K8" s="472">
        <v>1</v>
      </c>
    </row>
    <row r="9" spans="1:11" ht="16.5" thickBot="1" x14ac:dyDescent="0.3">
      <c r="A9" s="456"/>
      <c r="B9" s="420"/>
      <c r="C9" s="442"/>
      <c r="D9" s="419"/>
      <c r="E9" s="419"/>
      <c r="F9" s="419"/>
      <c r="G9" s="419"/>
      <c r="H9" s="419"/>
      <c r="I9" s="419"/>
      <c r="J9" s="419"/>
      <c r="K9" s="457"/>
    </row>
    <row r="10" spans="1:11" ht="48" thickBot="1" x14ac:dyDescent="0.3">
      <c r="A10" s="428"/>
      <c r="B10" s="426" t="s">
        <v>18</v>
      </c>
      <c r="C10" s="426" t="s">
        <v>181</v>
      </c>
      <c r="D10" s="426" t="s">
        <v>23</v>
      </c>
      <c r="E10" s="426" t="s">
        <v>24</v>
      </c>
      <c r="F10" s="426" t="s">
        <v>312</v>
      </c>
      <c r="G10" s="426" t="s">
        <v>26</v>
      </c>
      <c r="H10" s="426" t="s">
        <v>27</v>
      </c>
      <c r="I10" s="426" t="s">
        <v>28</v>
      </c>
      <c r="J10" s="426" t="s">
        <v>29</v>
      </c>
      <c r="K10" s="427" t="s">
        <v>30</v>
      </c>
    </row>
    <row r="11" spans="1:11" ht="18.75" x14ac:dyDescent="0.3">
      <c r="A11" s="463"/>
      <c r="B11" s="464"/>
      <c r="C11" s="465"/>
      <c r="D11" s="464"/>
      <c r="E11" s="466" t="s">
        <v>18</v>
      </c>
      <c r="F11" s="466"/>
      <c r="G11" s="464"/>
      <c r="H11" s="464"/>
      <c r="I11" s="464"/>
      <c r="J11" s="464"/>
      <c r="K11" s="467"/>
    </row>
    <row r="12" spans="1:11" ht="18.75" x14ac:dyDescent="0.3">
      <c r="A12" s="447" t="s">
        <v>314</v>
      </c>
      <c r="B12" s="421">
        <v>1978603.1659318339</v>
      </c>
      <c r="C12" s="448" t="s">
        <v>18</v>
      </c>
      <c r="D12" s="423">
        <v>555612.61414967105</v>
      </c>
      <c r="E12" s="423">
        <v>159602.06326172277</v>
      </c>
      <c r="F12" s="423">
        <v>565396.891609994</v>
      </c>
      <c r="G12" s="423">
        <v>317385.65565109922</v>
      </c>
      <c r="H12" s="423">
        <v>380605.94125934684</v>
      </c>
      <c r="I12" s="423">
        <v>0</v>
      </c>
      <c r="J12" s="423">
        <v>0</v>
      </c>
      <c r="K12" s="446">
        <v>1978603.1659318341</v>
      </c>
    </row>
    <row r="13" spans="1:11" ht="16.5" thickBot="1" x14ac:dyDescent="0.3">
      <c r="A13" s="468"/>
      <c r="B13" s="469"/>
      <c r="C13" s="450"/>
      <c r="D13" s="469"/>
      <c r="E13" s="469"/>
      <c r="F13" s="469"/>
      <c r="G13" s="469"/>
      <c r="H13" s="469"/>
      <c r="I13" s="469"/>
      <c r="J13" s="469"/>
      <c r="K13" s="470"/>
    </row>
    <row r="14" spans="1:11" ht="48" thickBot="1" x14ac:dyDescent="0.3">
      <c r="A14" s="428"/>
      <c r="B14" s="426" t="s">
        <v>18</v>
      </c>
      <c r="C14" s="426" t="s">
        <v>315</v>
      </c>
      <c r="D14" s="426" t="s">
        <v>23</v>
      </c>
      <c r="E14" s="426" t="s">
        <v>24</v>
      </c>
      <c r="F14" s="426" t="s">
        <v>312</v>
      </c>
      <c r="G14" s="426" t="s">
        <v>26</v>
      </c>
      <c r="H14" s="426" t="s">
        <v>27</v>
      </c>
      <c r="I14" s="426" t="s">
        <v>28</v>
      </c>
      <c r="J14" s="426" t="s">
        <v>29</v>
      </c>
      <c r="K14" s="427" t="s">
        <v>30</v>
      </c>
    </row>
    <row r="15" spans="1:11" ht="18.75" x14ac:dyDescent="0.3">
      <c r="A15" s="458"/>
      <c r="B15" s="429"/>
      <c r="C15" s="444"/>
      <c r="D15" s="430" t="s">
        <v>20</v>
      </c>
      <c r="E15" s="430" t="s">
        <v>20</v>
      </c>
      <c r="F15" s="430" t="s">
        <v>22</v>
      </c>
      <c r="G15" s="430" t="s">
        <v>22</v>
      </c>
      <c r="H15" s="430" t="s">
        <v>22</v>
      </c>
      <c r="I15" s="430" t="s">
        <v>20</v>
      </c>
      <c r="J15" s="430" t="s">
        <v>22</v>
      </c>
      <c r="K15" s="431"/>
    </row>
    <row r="16" spans="1:11" ht="18.75" x14ac:dyDescent="0.3">
      <c r="A16" s="458"/>
      <c r="B16" s="459"/>
      <c r="C16" s="459"/>
      <c r="D16" s="459"/>
      <c r="E16" s="459"/>
      <c r="F16" s="459"/>
      <c r="G16" s="459"/>
      <c r="H16" s="459"/>
      <c r="I16" s="459"/>
      <c r="J16" s="459"/>
      <c r="K16" s="433"/>
    </row>
    <row r="17" spans="1:11" ht="56.25" x14ac:dyDescent="0.3">
      <c r="A17" s="437" t="s">
        <v>301</v>
      </c>
      <c r="B17" s="422"/>
      <c r="C17" s="432" t="s">
        <v>316</v>
      </c>
      <c r="D17" s="460">
        <v>1.1E-4</v>
      </c>
      <c r="E17" s="460">
        <v>8.0000000000000007E-5</v>
      </c>
      <c r="F17" s="460">
        <v>2.07E-2</v>
      </c>
      <c r="G17" s="460">
        <v>2.9399999999999999E-2</v>
      </c>
      <c r="H17" s="460">
        <v>7.1800000000000003E-2</v>
      </c>
      <c r="I17" s="460">
        <v>0</v>
      </c>
      <c r="J17" s="461">
        <v>0</v>
      </c>
      <c r="K17" s="433"/>
    </row>
    <row r="18" spans="1:11" ht="19.5" thickBot="1" x14ac:dyDescent="0.35">
      <c r="A18" s="434"/>
      <c r="B18" s="435"/>
      <c r="C18" s="445"/>
      <c r="D18" s="440" t="s">
        <v>18</v>
      </c>
      <c r="E18" s="439" t="s">
        <v>18</v>
      </c>
      <c r="F18" s="439"/>
      <c r="G18" s="438" t="s">
        <v>18</v>
      </c>
      <c r="H18" s="438" t="s">
        <v>18</v>
      </c>
      <c r="I18" s="439" t="s">
        <v>18</v>
      </c>
      <c r="J18" s="438" t="s">
        <v>18</v>
      </c>
      <c r="K18" s="43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topLeftCell="E1" workbookViewId="0">
      <selection sqref="A1:L42"/>
    </sheetView>
  </sheetViews>
  <sheetFormatPr defaultRowHeight="15" x14ac:dyDescent="0.25"/>
  <cols>
    <col min="1" max="1" width="2.5703125" customWidth="1"/>
    <col min="4" max="4" width="31.42578125" customWidth="1"/>
    <col min="5" max="13" width="21.28515625" customWidth="1"/>
  </cols>
  <sheetData>
    <row r="1" spans="1:12" ht="16.5" thickBot="1" x14ac:dyDescent="0.3">
      <c r="A1" s="480"/>
      <c r="B1" s="481"/>
      <c r="C1" s="480" t="s">
        <v>18</v>
      </c>
      <c r="D1" s="482" t="s">
        <v>18</v>
      </c>
      <c r="E1" s="480" t="s">
        <v>18</v>
      </c>
      <c r="F1" s="480"/>
      <c r="G1" s="480"/>
      <c r="H1" s="480"/>
      <c r="I1" s="480"/>
      <c r="J1" s="480"/>
      <c r="K1" s="480"/>
      <c r="L1" s="480"/>
    </row>
    <row r="2" spans="1:12" ht="27" thickBot="1" x14ac:dyDescent="0.3">
      <c r="A2" s="477">
        <v>1</v>
      </c>
      <c r="B2" s="479" t="s">
        <v>317</v>
      </c>
      <c r="C2" s="483"/>
      <c r="D2" s="483"/>
      <c r="E2" s="515" t="s">
        <v>23</v>
      </c>
      <c r="F2" s="515" t="s">
        <v>24</v>
      </c>
      <c r="G2" s="515" t="s">
        <v>144</v>
      </c>
      <c r="H2" s="515" t="s">
        <v>183</v>
      </c>
      <c r="I2" s="515" t="s">
        <v>184</v>
      </c>
      <c r="J2" s="515" t="s">
        <v>287</v>
      </c>
      <c r="K2" s="515" t="s">
        <v>29</v>
      </c>
      <c r="L2" s="516" t="s">
        <v>30</v>
      </c>
    </row>
    <row r="3" spans="1:12" ht="15.75" x14ac:dyDescent="0.25">
      <c r="A3" s="477">
        <v>2</v>
      </c>
      <c r="B3" s="484"/>
      <c r="C3" s="481"/>
      <c r="D3" s="485"/>
      <c r="E3" s="486" t="s">
        <v>34</v>
      </c>
      <c r="F3" s="486" t="s">
        <v>35</v>
      </c>
      <c r="G3" s="486"/>
      <c r="H3" s="486" t="s">
        <v>37</v>
      </c>
      <c r="I3" s="486" t="s">
        <v>18</v>
      </c>
      <c r="J3" s="486"/>
      <c r="K3" s="486" t="s">
        <v>39</v>
      </c>
      <c r="L3" s="487" t="s">
        <v>40</v>
      </c>
    </row>
    <row r="4" spans="1:12" ht="15.75" x14ac:dyDescent="0.25">
      <c r="A4" s="477">
        <v>3</v>
      </c>
      <c r="B4" s="488" t="s">
        <v>288</v>
      </c>
      <c r="C4" s="481"/>
      <c r="D4" s="485"/>
      <c r="E4" s="481" t="s">
        <v>18</v>
      </c>
      <c r="F4" s="481" t="s">
        <v>41</v>
      </c>
      <c r="G4" s="481"/>
      <c r="H4" s="481"/>
      <c r="I4" s="481"/>
      <c r="J4" s="481"/>
      <c r="K4" s="489" t="s">
        <v>18</v>
      </c>
      <c r="L4" s="490"/>
    </row>
    <row r="5" spans="1:12" ht="15.75" x14ac:dyDescent="0.25">
      <c r="A5" s="477">
        <v>4</v>
      </c>
      <c r="B5" s="514" t="s">
        <v>186</v>
      </c>
      <c r="C5" s="481"/>
      <c r="D5" s="485"/>
      <c r="E5" s="491">
        <v>5037295612.0990791</v>
      </c>
      <c r="F5" s="491">
        <v>2071525043.7725279</v>
      </c>
      <c r="G5" s="491">
        <v>10268957200.243916</v>
      </c>
      <c r="H5" s="491">
        <v>4685622966.0834589</v>
      </c>
      <c r="I5" s="491">
        <v>2236665845.1326065</v>
      </c>
      <c r="J5" s="491">
        <v>52097298.71804408</v>
      </c>
      <c r="K5" s="491">
        <v>111260969.55848952</v>
      </c>
      <c r="L5" s="492">
        <v>24463424935.608124</v>
      </c>
    </row>
    <row r="6" spans="1:12" ht="15.75" x14ac:dyDescent="0.25">
      <c r="A6" s="477">
        <v>5</v>
      </c>
      <c r="B6" s="514" t="s">
        <v>318</v>
      </c>
      <c r="C6" s="481"/>
      <c r="D6" s="485"/>
      <c r="E6" s="491">
        <v>576867563.12435412</v>
      </c>
      <c r="F6" s="491">
        <v>423760583.39159161</v>
      </c>
      <c r="G6" s="491">
        <v>7004839233.5778809</v>
      </c>
      <c r="H6" s="491">
        <v>4230084681.4609909</v>
      </c>
      <c r="I6" s="491">
        <v>2138300703.3108418</v>
      </c>
      <c r="J6" s="491">
        <v>0</v>
      </c>
      <c r="K6" s="491">
        <v>111224157.66408922</v>
      </c>
      <c r="L6" s="492">
        <v>14485076922.529749</v>
      </c>
    </row>
    <row r="7" spans="1:12" ht="15.75" x14ac:dyDescent="0.25">
      <c r="A7" s="477">
        <v>6</v>
      </c>
      <c r="B7" s="488" t="s">
        <v>161</v>
      </c>
      <c r="C7" s="480"/>
      <c r="D7" s="482"/>
      <c r="E7" s="491" t="s">
        <v>18</v>
      </c>
      <c r="F7" s="491" t="s">
        <v>18</v>
      </c>
      <c r="G7" s="491" t="s">
        <v>18</v>
      </c>
      <c r="H7" s="491" t="s">
        <v>18</v>
      </c>
      <c r="I7" s="491" t="s">
        <v>18</v>
      </c>
      <c r="J7" s="491" t="s">
        <v>18</v>
      </c>
      <c r="K7" s="491" t="s">
        <v>18</v>
      </c>
      <c r="L7" s="492" t="s">
        <v>18</v>
      </c>
    </row>
    <row r="8" spans="1:12" ht="15.75" x14ac:dyDescent="0.25">
      <c r="A8" s="477">
        <v>7</v>
      </c>
      <c r="B8" s="514" t="s">
        <v>291</v>
      </c>
      <c r="C8" s="475"/>
      <c r="D8" s="475"/>
      <c r="E8" s="494">
        <v>4.0549619050274356E-2</v>
      </c>
      <c r="F8" s="494">
        <v>3.1902764694227294E-2</v>
      </c>
      <c r="G8" s="494">
        <v>0.4636681411352539</v>
      </c>
      <c r="H8" s="494">
        <v>0.303913244442789</v>
      </c>
      <c r="I8" s="494">
        <v>0.15248513039326728</v>
      </c>
      <c r="J8" s="494">
        <v>0</v>
      </c>
      <c r="K8" s="494">
        <v>7.4811002841879866E-3</v>
      </c>
      <c r="L8" s="495">
        <v>0.99999999999999989</v>
      </c>
    </row>
    <row r="9" spans="1:12" ht="15.75" x14ac:dyDescent="0.25">
      <c r="A9" s="477">
        <v>8</v>
      </c>
      <c r="B9" s="514" t="s">
        <v>319</v>
      </c>
      <c r="C9" s="475"/>
      <c r="D9" s="475"/>
      <c r="E9" s="494">
        <v>0.11451929915305666</v>
      </c>
      <c r="F9" s="494">
        <v>0.20456454758561168</v>
      </c>
      <c r="G9" s="494">
        <v>0.68213734822183281</v>
      </c>
      <c r="H9" s="494">
        <v>0.90277956892395128</v>
      </c>
      <c r="I9" s="494">
        <v>0.95602152997694079</v>
      </c>
      <c r="J9" s="494">
        <v>0</v>
      </c>
      <c r="K9" s="494">
        <v>0.99966913919098155</v>
      </c>
      <c r="L9" s="495"/>
    </row>
    <row r="10" spans="1:12" ht="16.5" thickBot="1" x14ac:dyDescent="0.3">
      <c r="A10" s="477">
        <v>9</v>
      </c>
      <c r="B10" s="496"/>
      <c r="C10" s="497"/>
      <c r="D10" s="485"/>
      <c r="E10" s="498" t="s">
        <v>18</v>
      </c>
      <c r="F10" s="498" t="s">
        <v>18</v>
      </c>
      <c r="G10" s="498"/>
      <c r="H10" s="498"/>
      <c r="I10" s="498"/>
      <c r="J10" s="498"/>
      <c r="K10" s="498"/>
      <c r="L10" s="499"/>
    </row>
    <row r="11" spans="1:12" ht="27" thickBot="1" x14ac:dyDescent="0.3">
      <c r="A11" s="477">
        <v>10</v>
      </c>
      <c r="B11" s="500"/>
      <c r="C11" s="483" t="s">
        <v>18</v>
      </c>
      <c r="D11" s="515" t="s">
        <v>181</v>
      </c>
      <c r="E11" s="515" t="s">
        <v>23</v>
      </c>
      <c r="F11" s="515" t="s">
        <v>24</v>
      </c>
      <c r="G11" s="515" t="s">
        <v>144</v>
      </c>
      <c r="H11" s="515" t="s">
        <v>183</v>
      </c>
      <c r="I11" s="515" t="s">
        <v>184</v>
      </c>
      <c r="J11" s="515" t="s">
        <v>287</v>
      </c>
      <c r="K11" s="515" t="s">
        <v>29</v>
      </c>
      <c r="L11" s="516" t="s">
        <v>30</v>
      </c>
    </row>
    <row r="12" spans="1:12" ht="18" x14ac:dyDescent="0.25">
      <c r="A12" s="477">
        <v>11</v>
      </c>
      <c r="B12" s="501"/>
      <c r="C12" s="502"/>
      <c r="D12" s="503"/>
      <c r="E12" s="502"/>
      <c r="F12" s="504" t="s">
        <v>18</v>
      </c>
      <c r="G12" s="502"/>
      <c r="H12" s="502"/>
      <c r="I12" s="502"/>
      <c r="J12" s="502"/>
      <c r="K12" s="502"/>
      <c r="L12" s="505"/>
    </row>
    <row r="13" spans="1:12" ht="30.75" thickBot="1" x14ac:dyDescent="0.3">
      <c r="A13" s="478">
        <v>12</v>
      </c>
      <c r="B13" s="517" t="s">
        <v>320</v>
      </c>
      <c r="C13" s="518">
        <v>20731172.370308373</v>
      </c>
      <c r="D13" s="519" t="s">
        <v>291</v>
      </c>
      <c r="E13" s="518">
        <v>840641.1420815778</v>
      </c>
      <c r="F13" s="518">
        <v>661381.71396541432</v>
      </c>
      <c r="G13" s="518">
        <v>9612384.1564954184</v>
      </c>
      <c r="H13" s="518">
        <v>6300477.8561631218</v>
      </c>
      <c r="I13" s="518">
        <v>3161195.5220917719</v>
      </c>
      <c r="J13" s="518">
        <v>0</v>
      </c>
      <c r="K13" s="518">
        <v>155091.9795110641</v>
      </c>
      <c r="L13" s="520">
        <v>20731172.370308369</v>
      </c>
    </row>
    <row r="14" spans="1:12" ht="16.5" thickBot="1" x14ac:dyDescent="0.3">
      <c r="A14" s="475"/>
      <c r="B14" s="475"/>
      <c r="C14" s="493" t="s">
        <v>18</v>
      </c>
      <c r="D14" s="506"/>
      <c r="E14" s="507"/>
      <c r="F14" s="507"/>
      <c r="G14" s="507"/>
      <c r="H14" s="507"/>
      <c r="I14" s="507"/>
      <c r="J14" s="507"/>
      <c r="K14" s="507"/>
      <c r="L14" s="508"/>
    </row>
    <row r="15" spans="1:12" ht="27" thickBot="1" x14ac:dyDescent="0.3">
      <c r="A15" s="477">
        <v>13</v>
      </c>
      <c r="B15" s="525" t="s">
        <v>320</v>
      </c>
      <c r="C15" s="483" t="s">
        <v>18</v>
      </c>
      <c r="D15" s="515" t="s">
        <v>193</v>
      </c>
      <c r="E15" s="515" t="s">
        <v>23</v>
      </c>
      <c r="F15" s="515" t="s">
        <v>24</v>
      </c>
      <c r="G15" s="515" t="s">
        <v>144</v>
      </c>
      <c r="H15" s="515" t="s">
        <v>183</v>
      </c>
      <c r="I15" s="515" t="s">
        <v>184</v>
      </c>
      <c r="J15" s="515" t="s">
        <v>287</v>
      </c>
      <c r="K15" s="515" t="s">
        <v>29</v>
      </c>
      <c r="L15" s="516" t="s">
        <v>30</v>
      </c>
    </row>
    <row r="16" spans="1:12" ht="18" x14ac:dyDescent="0.25">
      <c r="A16" s="477">
        <v>14</v>
      </c>
      <c r="B16" s="509" t="s">
        <v>18</v>
      </c>
      <c r="C16" s="510"/>
      <c r="D16" s="511"/>
      <c r="E16" s="512" t="s">
        <v>18</v>
      </c>
      <c r="F16" s="512" t="s">
        <v>18</v>
      </c>
      <c r="G16" s="512" t="s">
        <v>18</v>
      </c>
      <c r="H16" s="512" t="s">
        <v>18</v>
      </c>
      <c r="I16" s="512" t="s">
        <v>18</v>
      </c>
      <c r="J16" s="512" t="s">
        <v>18</v>
      </c>
      <c r="K16" s="512" t="s">
        <v>18</v>
      </c>
      <c r="L16" s="513"/>
    </row>
    <row r="17" spans="1:12" ht="18.75" thickBot="1" x14ac:dyDescent="0.3">
      <c r="A17" s="478">
        <v>15</v>
      </c>
      <c r="B17" s="476" t="s">
        <v>301</v>
      </c>
      <c r="C17" s="521"/>
      <c r="D17" s="522" t="s">
        <v>134</v>
      </c>
      <c r="E17" s="523">
        <v>1.4599999999999999E-3</v>
      </c>
      <c r="F17" s="523">
        <v>1.56E-3</v>
      </c>
      <c r="G17" s="523">
        <v>1.3699999999999999E-3</v>
      </c>
      <c r="H17" s="523">
        <v>1.49E-3</v>
      </c>
      <c r="I17" s="523">
        <v>1.48E-3</v>
      </c>
      <c r="J17" s="523">
        <v>0</v>
      </c>
      <c r="K17" s="523">
        <v>1.39E-3</v>
      </c>
      <c r="L17" s="52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6"/>
  <sheetViews>
    <sheetView topLeftCell="A10" workbookViewId="0">
      <selection sqref="A1:L42"/>
    </sheetView>
  </sheetViews>
  <sheetFormatPr defaultRowHeight="12.75" x14ac:dyDescent="0.2"/>
  <cols>
    <col min="1" max="1" width="9.140625" style="83"/>
    <col min="2" max="2" width="35.5703125" style="83" customWidth="1"/>
    <col min="3" max="3" width="20" style="83" customWidth="1"/>
    <col min="4" max="4" width="18.85546875" style="84" customWidth="1"/>
    <col min="5" max="5" width="14" style="83" customWidth="1"/>
    <col min="6" max="6" width="15.7109375" style="83" customWidth="1"/>
    <col min="7" max="8" width="15.7109375" style="83" hidden="1" customWidth="1"/>
    <col min="9" max="11" width="15.7109375" style="83" customWidth="1"/>
    <col min="12" max="13" width="14.5703125" style="83" customWidth="1"/>
    <col min="14" max="14" width="15.140625" style="83" customWidth="1"/>
    <col min="15" max="15" width="12.7109375" style="83" hidden="1" customWidth="1"/>
    <col min="16" max="16" width="14.28515625" style="83" customWidth="1"/>
    <col min="17" max="17" width="14.7109375" style="83" customWidth="1"/>
    <col min="18" max="16384" width="9.140625" style="83"/>
  </cols>
  <sheetData>
    <row r="1" spans="1:20" x14ac:dyDescent="0.2">
      <c r="A1" s="83" t="s">
        <v>18</v>
      </c>
    </row>
    <row r="2" spans="1:20" s="85" customFormat="1" ht="13.5" thickBot="1" x14ac:dyDescent="0.25">
      <c r="B2" s="85" t="s">
        <v>109</v>
      </c>
      <c r="C2" s="85" t="s">
        <v>110</v>
      </c>
      <c r="D2" s="85" t="s">
        <v>111</v>
      </c>
      <c r="E2" s="85" t="s">
        <v>112</v>
      </c>
      <c r="F2" s="85" t="s">
        <v>113</v>
      </c>
      <c r="G2" s="85" t="s">
        <v>114</v>
      </c>
      <c r="H2" s="85" t="s">
        <v>136</v>
      </c>
      <c r="I2" s="85" t="s">
        <v>114</v>
      </c>
      <c r="J2" s="85" t="s">
        <v>136</v>
      </c>
      <c r="K2" s="85" t="s">
        <v>137</v>
      </c>
      <c r="L2" s="85" t="s">
        <v>138</v>
      </c>
      <c r="M2" s="85" t="s">
        <v>139</v>
      </c>
      <c r="N2" s="85" t="s">
        <v>140</v>
      </c>
    </row>
    <row r="3" spans="1:20" s="91" customFormat="1" ht="39" thickBot="1" x14ac:dyDescent="0.25">
      <c r="A3" s="86" t="s">
        <v>141</v>
      </c>
      <c r="B3" s="87" t="s">
        <v>142</v>
      </c>
      <c r="C3" s="88"/>
      <c r="D3" s="88"/>
      <c r="E3" s="89" t="s">
        <v>125</v>
      </c>
      <c r="F3" s="89" t="s">
        <v>24</v>
      </c>
      <c r="G3" s="89" t="s">
        <v>143</v>
      </c>
      <c r="H3" s="89" t="s">
        <v>25</v>
      </c>
      <c r="I3" s="89" t="s">
        <v>144</v>
      </c>
      <c r="J3" s="89" t="s">
        <v>145</v>
      </c>
      <c r="K3" s="89" t="s">
        <v>129</v>
      </c>
      <c r="L3" s="89" t="s">
        <v>131</v>
      </c>
      <c r="M3" s="89" t="s">
        <v>146</v>
      </c>
      <c r="N3" s="90" t="s">
        <v>30</v>
      </c>
      <c r="O3" s="85" t="s">
        <v>31</v>
      </c>
    </row>
    <row r="4" spans="1:20" s="98" customFormat="1" x14ac:dyDescent="0.2">
      <c r="A4" s="86" t="s">
        <v>147</v>
      </c>
      <c r="B4" s="92"/>
      <c r="C4" s="93"/>
      <c r="D4" s="94"/>
      <c r="E4" s="95"/>
      <c r="F4" s="95"/>
      <c r="G4" s="95"/>
      <c r="H4" s="95"/>
      <c r="I4" s="95"/>
      <c r="J4" s="95"/>
      <c r="K4" s="95"/>
      <c r="L4" s="95"/>
      <c r="M4" s="95"/>
      <c r="N4" s="96"/>
      <c r="O4" s="97"/>
    </row>
    <row r="5" spans="1:20" s="98" customFormat="1" x14ac:dyDescent="0.2">
      <c r="A5" s="86" t="s">
        <v>148</v>
      </c>
      <c r="B5" s="99" t="s">
        <v>149</v>
      </c>
      <c r="C5" s="93"/>
      <c r="D5" s="94"/>
      <c r="E5" s="93"/>
      <c r="F5" s="93" t="s">
        <v>41</v>
      </c>
      <c r="G5" s="93"/>
      <c r="H5" s="93"/>
      <c r="I5" s="93"/>
      <c r="J5" s="93"/>
      <c r="K5" s="93"/>
      <c r="L5" s="93"/>
      <c r="M5" s="93" t="s">
        <v>18</v>
      </c>
      <c r="N5" s="100"/>
      <c r="O5" s="97"/>
    </row>
    <row r="6" spans="1:20" s="98" customFormat="1" x14ac:dyDescent="0.2">
      <c r="A6" s="86" t="s">
        <v>150</v>
      </c>
      <c r="B6" s="101" t="s">
        <v>44</v>
      </c>
      <c r="C6" s="93"/>
      <c r="D6" s="94"/>
      <c r="E6" s="102">
        <v>611808.19774826569</v>
      </c>
      <c r="F6" s="102">
        <v>66190.858495450593</v>
      </c>
      <c r="G6" s="102">
        <v>1924.6180242971368</v>
      </c>
      <c r="H6" s="102">
        <v>9794.1909770086113</v>
      </c>
      <c r="I6" s="102">
        <v>11718.809001305748</v>
      </c>
      <c r="J6" s="102">
        <v>530.20746188663281</v>
      </c>
      <c r="K6" s="103">
        <v>49</v>
      </c>
      <c r="L6" s="103">
        <v>24</v>
      </c>
      <c r="M6" s="103">
        <v>1</v>
      </c>
      <c r="N6" s="104">
        <v>690322.07270690869</v>
      </c>
      <c r="O6" s="97"/>
    </row>
    <row r="7" spans="1:20" s="98" customFormat="1" x14ac:dyDescent="0.2">
      <c r="A7" s="86" t="s">
        <v>151</v>
      </c>
      <c r="B7" s="101" t="s">
        <v>152</v>
      </c>
      <c r="C7" s="93"/>
      <c r="D7" s="94"/>
      <c r="E7" s="102"/>
      <c r="F7" s="102"/>
      <c r="G7" s="102"/>
      <c r="H7" s="102"/>
      <c r="I7" s="102"/>
      <c r="J7" s="102"/>
      <c r="K7" s="103"/>
      <c r="L7" s="103">
        <v>19907</v>
      </c>
      <c r="M7" s="103">
        <v>162449.62500000017</v>
      </c>
      <c r="N7" s="104">
        <v>182356.62500000017</v>
      </c>
      <c r="O7" s="97"/>
    </row>
    <row r="8" spans="1:20" s="98" customFormat="1" x14ac:dyDescent="0.2">
      <c r="A8" s="86" t="s">
        <v>153</v>
      </c>
      <c r="B8" s="101" t="s">
        <v>223</v>
      </c>
      <c r="C8" s="105"/>
      <c r="D8" s="106"/>
      <c r="E8" s="103">
        <v>611808.19774826604</v>
      </c>
      <c r="F8" s="103">
        <v>66190.858495450593</v>
      </c>
      <c r="G8" s="103">
        <v>524.68613910284864</v>
      </c>
      <c r="H8" s="103">
        <v>2278.0974148762652</v>
      </c>
      <c r="I8" s="103">
        <v>2802.783553979114</v>
      </c>
      <c r="J8" s="103">
        <v>12.076781201171926</v>
      </c>
      <c r="K8" s="103">
        <v>0.31919999999999998</v>
      </c>
      <c r="L8" s="103">
        <v>19907</v>
      </c>
      <c r="M8" s="103">
        <v>90025.555555555547</v>
      </c>
      <c r="N8" s="104">
        <v>790746.79133445246</v>
      </c>
      <c r="O8" s="97"/>
    </row>
    <row r="9" spans="1:20" s="98" customFormat="1" x14ac:dyDescent="0.2">
      <c r="A9" s="86" t="s">
        <v>154</v>
      </c>
      <c r="B9" s="99"/>
      <c r="C9" s="93"/>
      <c r="D9" s="93"/>
      <c r="E9" s="107"/>
      <c r="F9" s="107" t="s">
        <v>41</v>
      </c>
      <c r="G9" s="107"/>
      <c r="H9" s="107"/>
      <c r="I9" s="107"/>
      <c r="J9" s="107"/>
      <c r="K9" s="107"/>
      <c r="L9" s="107"/>
      <c r="M9" s="107"/>
      <c r="N9" s="100"/>
      <c r="O9" s="108">
        <v>0</v>
      </c>
    </row>
    <row r="10" spans="1:20" s="98" customFormat="1" x14ac:dyDescent="0.2">
      <c r="A10" s="86" t="s">
        <v>155</v>
      </c>
      <c r="B10" s="99" t="s">
        <v>156</v>
      </c>
      <c r="C10" s="93"/>
      <c r="D10" s="94"/>
      <c r="E10" s="107" t="s">
        <v>18</v>
      </c>
      <c r="F10" s="107" t="s">
        <v>18</v>
      </c>
      <c r="G10" s="107" t="s">
        <v>18</v>
      </c>
      <c r="H10" s="107" t="s">
        <v>18</v>
      </c>
      <c r="I10" s="107" t="s">
        <v>18</v>
      </c>
      <c r="J10" s="107" t="s">
        <v>18</v>
      </c>
      <c r="K10" s="107" t="s">
        <v>18</v>
      </c>
      <c r="L10" s="107" t="s">
        <v>18</v>
      </c>
      <c r="M10" s="107" t="s">
        <v>18</v>
      </c>
      <c r="N10" s="100"/>
      <c r="O10" s="108"/>
    </row>
    <row r="11" spans="1:20" x14ac:dyDescent="0.2">
      <c r="A11" s="86" t="s">
        <v>157</v>
      </c>
      <c r="B11" s="101" t="s">
        <v>44</v>
      </c>
      <c r="C11" s="93"/>
      <c r="D11" s="94"/>
      <c r="E11" s="102">
        <v>614841.07999999996</v>
      </c>
      <c r="F11" s="102">
        <v>65746.673999999999</v>
      </c>
      <c r="G11" s="102">
        <v>9457.0526315789411</v>
      </c>
      <c r="H11" s="102">
        <v>2818.6842105263177</v>
      </c>
      <c r="I11" s="102">
        <v>12275.73684210526</v>
      </c>
      <c r="J11" s="102">
        <v>516.89680099130101</v>
      </c>
      <c r="K11" s="103">
        <v>47</v>
      </c>
      <c r="L11" s="103">
        <v>24</v>
      </c>
      <c r="M11" s="103">
        <v>1</v>
      </c>
      <c r="N11" s="104">
        <v>693452.3876430965</v>
      </c>
      <c r="S11" s="83" t="s">
        <v>18</v>
      </c>
      <c r="T11" s="83" t="s">
        <v>18</v>
      </c>
    </row>
    <row r="12" spans="1:20" x14ac:dyDescent="0.2">
      <c r="A12" s="86" t="s">
        <v>158</v>
      </c>
      <c r="B12" s="101" t="s">
        <v>152</v>
      </c>
      <c r="C12" s="93"/>
      <c r="D12" s="94"/>
      <c r="E12" s="102"/>
      <c r="F12" s="102"/>
      <c r="G12" s="102"/>
      <c r="H12" s="102"/>
      <c r="I12" s="102"/>
      <c r="J12" s="102"/>
      <c r="K12" s="103"/>
      <c r="L12" s="103">
        <v>21782.091480730222</v>
      </c>
      <c r="M12" s="103">
        <v>162353.41599122723</v>
      </c>
      <c r="N12" s="104">
        <v>184135.50747195745</v>
      </c>
    </row>
    <row r="13" spans="1:20" x14ac:dyDescent="0.2">
      <c r="A13" s="86" t="s">
        <v>159</v>
      </c>
      <c r="B13" s="101"/>
      <c r="C13" s="105"/>
      <c r="D13" s="106"/>
      <c r="E13" s="102" t="s">
        <v>18</v>
      </c>
      <c r="F13" s="102" t="s">
        <v>18</v>
      </c>
      <c r="G13" s="102">
        <v>9457.0526315789411</v>
      </c>
      <c r="H13" s="102">
        <v>2818.6842105263177</v>
      </c>
      <c r="I13" s="102" t="s">
        <v>18</v>
      </c>
      <c r="J13" s="102" t="s">
        <v>18</v>
      </c>
      <c r="K13" s="103" t="s">
        <v>18</v>
      </c>
      <c r="L13" s="103" t="s">
        <v>18</v>
      </c>
      <c r="M13" s="103" t="s">
        <v>18</v>
      </c>
      <c r="N13" s="104"/>
    </row>
    <row r="14" spans="1:20" x14ac:dyDescent="0.2">
      <c r="A14" s="86" t="s">
        <v>160</v>
      </c>
      <c r="B14" s="99" t="s">
        <v>161</v>
      </c>
      <c r="C14" s="105"/>
      <c r="D14" s="106"/>
      <c r="E14" s="102"/>
      <c r="F14" s="102"/>
      <c r="G14" s="102"/>
      <c r="H14" s="102"/>
      <c r="I14" s="102"/>
      <c r="J14" s="102"/>
      <c r="K14" s="103"/>
      <c r="L14" s="103" t="s">
        <v>18</v>
      </c>
      <c r="M14" s="103" t="s">
        <v>18</v>
      </c>
      <c r="N14" s="104"/>
    </row>
    <row r="15" spans="1:20" x14ac:dyDescent="0.2">
      <c r="A15" s="86" t="s">
        <v>162</v>
      </c>
      <c r="B15" s="101" t="s">
        <v>224</v>
      </c>
      <c r="C15" s="105"/>
      <c r="D15" s="106"/>
      <c r="E15" s="109">
        <v>0.77370936493562958</v>
      </c>
      <c r="F15" s="109">
        <v>8.3706768362281803E-2</v>
      </c>
      <c r="G15" s="109"/>
      <c r="H15" s="109"/>
      <c r="I15" s="109">
        <v>3.5444766702741573E-3</v>
      </c>
      <c r="J15" s="109">
        <v>1.5272627513026427E-5</v>
      </c>
      <c r="K15" s="109">
        <v>4.0366904235086787E-7</v>
      </c>
      <c r="L15" s="109">
        <v>2.5174936171925837E-2</v>
      </c>
      <c r="M15" s="109">
        <v>0.11384877756333323</v>
      </c>
      <c r="N15" s="110">
        <v>0.99999999999999978</v>
      </c>
    </row>
    <row r="16" spans="1:20" ht="13.5" thickBot="1" x14ac:dyDescent="0.25">
      <c r="A16" s="86" t="s">
        <v>163</v>
      </c>
      <c r="B16" s="111" t="s">
        <v>225</v>
      </c>
      <c r="C16" s="112"/>
      <c r="D16" s="113"/>
      <c r="E16" s="114"/>
      <c r="F16" s="114"/>
      <c r="G16" s="114"/>
      <c r="H16" s="114"/>
      <c r="I16" s="114"/>
      <c r="J16" s="114"/>
      <c r="K16" s="114"/>
      <c r="L16" s="114">
        <v>0.18108375539345842</v>
      </c>
      <c r="M16" s="114">
        <v>0.81891624460654155</v>
      </c>
      <c r="N16" s="115">
        <v>1</v>
      </c>
    </row>
    <row r="17" spans="1:17" s="86" customFormat="1" ht="13.5" thickBot="1" x14ac:dyDescent="0.25">
      <c r="B17" s="116"/>
      <c r="C17" s="117"/>
      <c r="D17" s="118"/>
      <c r="E17" s="119"/>
      <c r="F17" s="119"/>
      <c r="G17" s="119"/>
      <c r="H17" s="119"/>
      <c r="I17" s="119"/>
      <c r="J17" s="119"/>
      <c r="K17" s="119"/>
      <c r="L17" s="119"/>
      <c r="M17" s="119"/>
      <c r="N17" s="120"/>
      <c r="O17" s="121"/>
      <c r="Q17" s="117"/>
    </row>
    <row r="18" spans="1:17" s="86" customFormat="1" ht="39.75" thickBot="1" x14ac:dyDescent="0.3">
      <c r="A18" s="86" t="s">
        <v>164</v>
      </c>
      <c r="B18" s="122" t="s">
        <v>165</v>
      </c>
      <c r="C18" s="88" t="s">
        <v>226</v>
      </c>
      <c r="D18" s="88" t="s">
        <v>167</v>
      </c>
      <c r="E18" s="89" t="s">
        <v>125</v>
      </c>
      <c r="F18" s="89" t="s">
        <v>24</v>
      </c>
      <c r="G18" s="89" t="s">
        <v>143</v>
      </c>
      <c r="H18" s="89" t="s">
        <v>25</v>
      </c>
      <c r="I18" s="89" t="s">
        <v>144</v>
      </c>
      <c r="J18" s="89" t="s">
        <v>145</v>
      </c>
      <c r="K18" s="89" t="s">
        <v>129</v>
      </c>
      <c r="L18" s="89" t="s">
        <v>131</v>
      </c>
      <c r="M18" s="89" t="s">
        <v>146</v>
      </c>
      <c r="N18" s="90" t="s">
        <v>30</v>
      </c>
      <c r="O18" s="85" t="s">
        <v>31</v>
      </c>
    </row>
    <row r="19" spans="1:17" s="86" customFormat="1" ht="38.25" customHeight="1" x14ac:dyDescent="0.2">
      <c r="A19" s="86" t="s">
        <v>168</v>
      </c>
      <c r="B19" s="92" t="s">
        <v>169</v>
      </c>
      <c r="C19" s="123">
        <v>2342131.4555084752</v>
      </c>
      <c r="D19" s="124" t="s">
        <v>227</v>
      </c>
      <c r="E19" s="123">
        <v>1812129.0410372242</v>
      </c>
      <c r="F19" s="123">
        <v>196052.25522026187</v>
      </c>
      <c r="G19" s="123">
        <v>0</v>
      </c>
      <c r="H19" s="123">
        <v>0</v>
      </c>
      <c r="I19" s="123">
        <v>8301.6303027650465</v>
      </c>
      <c r="J19" s="123">
        <v>35.770501306523371</v>
      </c>
      <c r="K19" s="123">
        <v>0.94544596170495043</v>
      </c>
      <c r="L19" s="123">
        <v>58963.009898685617</v>
      </c>
      <c r="M19" s="123">
        <v>266648.80310227029</v>
      </c>
      <c r="N19" s="125">
        <v>2342131.4555084752</v>
      </c>
      <c r="O19" s="126"/>
      <c r="P19" s="127" t="s">
        <v>18</v>
      </c>
    </row>
    <row r="20" spans="1:17" s="86" customFormat="1" ht="33.75" customHeight="1" thickBot="1" x14ac:dyDescent="0.25">
      <c r="A20" s="86" t="s">
        <v>170</v>
      </c>
      <c r="B20" s="92" t="s">
        <v>171</v>
      </c>
      <c r="C20" s="123">
        <v>2985512.1444915254</v>
      </c>
      <c r="D20" s="124" t="s">
        <v>227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540627.75089730287</v>
      </c>
      <c r="M20" s="123">
        <v>2444884.3935942226</v>
      </c>
      <c r="N20" s="125">
        <v>2985512.1444915254</v>
      </c>
      <c r="O20" s="126"/>
      <c r="P20" s="127" t="s">
        <v>18</v>
      </c>
    </row>
    <row r="21" spans="1:17" s="86" customFormat="1" ht="33.75" customHeight="1" thickBot="1" x14ac:dyDescent="0.25">
      <c r="A21" s="86" t="s">
        <v>172</v>
      </c>
      <c r="B21" s="128" t="s">
        <v>173</v>
      </c>
      <c r="C21" s="129">
        <v>5327643.6000000006</v>
      </c>
      <c r="D21" s="130"/>
      <c r="E21" s="129">
        <v>1812129.0410372242</v>
      </c>
      <c r="F21" s="129">
        <v>196052.25522026187</v>
      </c>
      <c r="G21" s="129">
        <v>0</v>
      </c>
      <c r="H21" s="129">
        <v>0</v>
      </c>
      <c r="I21" s="129">
        <v>8301.6303027650465</v>
      </c>
      <c r="J21" s="129">
        <v>35.770501306523371</v>
      </c>
      <c r="K21" s="129">
        <v>0.94544596170495043</v>
      </c>
      <c r="L21" s="129">
        <v>599590.76079598849</v>
      </c>
      <c r="M21" s="129">
        <v>2711533.1966964928</v>
      </c>
      <c r="N21" s="131">
        <v>5327643.6000000006</v>
      </c>
      <c r="O21" s="126"/>
      <c r="P21" s="127"/>
    </row>
    <row r="22" spans="1:17" s="86" customFormat="1" ht="33.75" customHeight="1" thickBot="1" x14ac:dyDescent="0.25">
      <c r="B22" s="83"/>
      <c r="C22" s="83" t="s">
        <v>18</v>
      </c>
      <c r="D22" s="132" t="s">
        <v>18</v>
      </c>
      <c r="E22" s="83"/>
      <c r="F22" s="83"/>
      <c r="G22" s="83"/>
      <c r="H22" s="83"/>
      <c r="I22" s="83"/>
      <c r="J22" s="83"/>
      <c r="K22" s="83"/>
      <c r="L22" s="133"/>
      <c r="M22" s="134" t="s">
        <v>18</v>
      </c>
      <c r="N22" s="83"/>
      <c r="O22" s="126"/>
      <c r="P22" s="127"/>
    </row>
    <row r="23" spans="1:17" ht="39.75" thickBot="1" x14ac:dyDescent="0.3">
      <c r="A23" s="83" t="s">
        <v>174</v>
      </c>
      <c r="B23" s="135" t="s">
        <v>228</v>
      </c>
      <c r="C23" s="136" t="s">
        <v>166</v>
      </c>
      <c r="D23" s="137" t="s">
        <v>175</v>
      </c>
      <c r="E23" s="136" t="s">
        <v>125</v>
      </c>
      <c r="F23" s="136" t="s">
        <v>24</v>
      </c>
      <c r="G23" s="136" t="s">
        <v>143</v>
      </c>
      <c r="H23" s="136" t="s">
        <v>25</v>
      </c>
      <c r="I23" s="136" t="s">
        <v>144</v>
      </c>
      <c r="J23" s="136" t="s">
        <v>145</v>
      </c>
      <c r="K23" s="136" t="s">
        <v>129</v>
      </c>
      <c r="L23" s="136" t="s">
        <v>131</v>
      </c>
      <c r="M23" s="136" t="s">
        <v>146</v>
      </c>
      <c r="N23" s="138"/>
    </row>
    <row r="24" spans="1:17" s="86" customFormat="1" ht="31.9" customHeight="1" x14ac:dyDescent="0.2">
      <c r="A24" s="83" t="s">
        <v>176</v>
      </c>
      <c r="B24" s="139" t="s">
        <v>169</v>
      </c>
      <c r="C24" s="127">
        <v>2342131.4555084752</v>
      </c>
      <c r="D24" s="140" t="s">
        <v>177</v>
      </c>
      <c r="E24" s="141">
        <v>0.16</v>
      </c>
      <c r="F24" s="141">
        <v>0.16</v>
      </c>
      <c r="G24" s="141">
        <v>0</v>
      </c>
      <c r="H24" s="141">
        <v>0</v>
      </c>
      <c r="I24" s="141">
        <v>0.04</v>
      </c>
      <c r="J24" s="141">
        <v>0</v>
      </c>
      <c r="K24" s="141">
        <v>0</v>
      </c>
      <c r="L24" s="141">
        <v>0.15</v>
      </c>
      <c r="M24" s="141">
        <v>0.09</v>
      </c>
      <c r="N24" s="142" t="s">
        <v>18</v>
      </c>
      <c r="O24" s="143">
        <v>184370.87318545172</v>
      </c>
    </row>
    <row r="25" spans="1:17" s="86" customFormat="1" ht="31.9" customHeight="1" x14ac:dyDescent="0.2">
      <c r="A25" s="83" t="s">
        <v>178</v>
      </c>
      <c r="B25" s="144" t="s">
        <v>171</v>
      </c>
      <c r="C25" s="145">
        <v>2985512.1444915254</v>
      </c>
      <c r="D25" s="146" t="s">
        <v>177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1.36</v>
      </c>
      <c r="M25" s="147">
        <v>0.83</v>
      </c>
      <c r="N25" s="148" t="s">
        <v>18</v>
      </c>
      <c r="O25" s="126"/>
      <c r="P25" s="127" t="s">
        <v>18</v>
      </c>
    </row>
    <row r="26" spans="1:17" s="86" customFormat="1" ht="21.6" customHeight="1" thickBot="1" x14ac:dyDescent="0.25">
      <c r="A26" s="83" t="s">
        <v>179</v>
      </c>
      <c r="B26" s="149" t="s">
        <v>180</v>
      </c>
      <c r="C26" s="150">
        <v>5327643.6000000006</v>
      </c>
      <c r="D26" s="151"/>
      <c r="E26" s="152">
        <v>0.16</v>
      </c>
      <c r="F26" s="152">
        <v>0.16</v>
      </c>
      <c r="G26" s="153"/>
      <c r="H26" s="153"/>
      <c r="I26" s="152">
        <v>0.04</v>
      </c>
      <c r="J26" s="152">
        <v>0</v>
      </c>
      <c r="K26" s="152">
        <v>0</v>
      </c>
      <c r="L26" s="152">
        <v>1.51</v>
      </c>
      <c r="M26" s="152">
        <v>0.91999999999999993</v>
      </c>
      <c r="N26" s="154"/>
      <c r="O26" s="126"/>
      <c r="P26" s="127"/>
    </row>
  </sheetData>
  <pageMargins left="0.70866141732283472" right="0.70866141732283472" top="0.74803149606299213" bottom="0.74803149606299213" header="0.31496062992125984" footer="0.31496062992125984"/>
  <pageSetup scale="55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6"/>
  <sheetViews>
    <sheetView zoomScale="80" zoomScaleNormal="80" workbookViewId="0">
      <selection activeCell="I30" sqref="I30"/>
    </sheetView>
  </sheetViews>
  <sheetFormatPr defaultColWidth="35.5703125" defaultRowHeight="12.75" x14ac:dyDescent="0.2"/>
  <cols>
    <col min="1" max="1" width="3" style="83" bestFit="1" customWidth="1"/>
    <col min="2" max="2" width="40.28515625" style="83" customWidth="1"/>
    <col min="3" max="3" width="20" style="83" customWidth="1"/>
    <col min="4" max="4" width="18.85546875" style="84" customWidth="1"/>
    <col min="5" max="5" width="14" style="83" customWidth="1"/>
    <col min="6" max="9" width="15.7109375" style="83" customWidth="1"/>
    <col min="10" max="11" width="14.5703125" style="83" customWidth="1"/>
    <col min="12" max="12" width="15.140625" style="83" customWidth="1"/>
    <col min="13" max="13" width="12.7109375" style="83" hidden="1" customWidth="1"/>
    <col min="14" max="14" width="14.28515625" style="83" customWidth="1"/>
    <col min="15" max="15" width="14.7109375" style="83" customWidth="1"/>
    <col min="16" max="255" width="8.85546875" style="83" customWidth="1"/>
    <col min="256" max="16384" width="35.5703125" style="83"/>
  </cols>
  <sheetData>
    <row r="1" spans="1:18" x14ac:dyDescent="0.2">
      <c r="A1" s="83" t="s">
        <v>18</v>
      </c>
    </row>
    <row r="2" spans="1:18" s="85" customFormat="1" ht="13.5" thickBot="1" x14ac:dyDescent="0.25">
      <c r="B2" s="85" t="s">
        <v>109</v>
      </c>
      <c r="C2" s="85" t="s">
        <v>110</v>
      </c>
      <c r="D2" s="85" t="s">
        <v>111</v>
      </c>
      <c r="E2" s="85" t="s">
        <v>112</v>
      </c>
      <c r="F2" s="85" t="s">
        <v>113</v>
      </c>
      <c r="G2" s="85" t="s">
        <v>114</v>
      </c>
      <c r="H2" s="85" t="s">
        <v>136</v>
      </c>
      <c r="I2" s="85" t="s">
        <v>137</v>
      </c>
      <c r="J2" s="85" t="s">
        <v>138</v>
      </c>
      <c r="K2" s="85" t="s">
        <v>139</v>
      </c>
      <c r="L2" s="85" t="s">
        <v>140</v>
      </c>
    </row>
    <row r="3" spans="1:18" s="91" customFormat="1" ht="39" thickBot="1" x14ac:dyDescent="0.25">
      <c r="A3" s="86">
        <v>1</v>
      </c>
      <c r="B3" s="197" t="s">
        <v>230</v>
      </c>
      <c r="C3" s="137"/>
      <c r="D3" s="137"/>
      <c r="E3" s="136" t="s">
        <v>125</v>
      </c>
      <c r="F3" s="136" t="s">
        <v>24</v>
      </c>
      <c r="G3" s="136" t="s">
        <v>144</v>
      </c>
      <c r="H3" s="136" t="s">
        <v>145</v>
      </c>
      <c r="I3" s="136" t="s">
        <v>129</v>
      </c>
      <c r="J3" s="136" t="s">
        <v>146</v>
      </c>
      <c r="K3" s="136" t="s">
        <v>131</v>
      </c>
      <c r="L3" s="138" t="s">
        <v>30</v>
      </c>
      <c r="M3" s="85" t="s">
        <v>31</v>
      </c>
    </row>
    <row r="4" spans="1:18" s="98" customFormat="1" x14ac:dyDescent="0.2">
      <c r="A4" s="86">
        <v>2</v>
      </c>
      <c r="B4" s="198"/>
      <c r="D4" s="118"/>
      <c r="E4" s="199"/>
      <c r="F4" s="199"/>
      <c r="G4" s="199"/>
      <c r="H4" s="199"/>
      <c r="I4" s="199"/>
      <c r="J4" s="199"/>
      <c r="K4" s="199"/>
      <c r="L4" s="200"/>
      <c r="M4" s="97"/>
    </row>
    <row r="5" spans="1:18" s="98" customFormat="1" x14ac:dyDescent="0.2">
      <c r="A5" s="86">
        <v>3</v>
      </c>
      <c r="B5" s="201" t="s">
        <v>231</v>
      </c>
      <c r="D5" s="118"/>
      <c r="E5" s="202" t="s">
        <v>18</v>
      </c>
      <c r="F5" s="202" t="s">
        <v>18</v>
      </c>
      <c r="G5" s="202" t="s">
        <v>18</v>
      </c>
      <c r="H5" s="202" t="s">
        <v>18</v>
      </c>
      <c r="I5" s="202" t="s">
        <v>18</v>
      </c>
      <c r="J5" s="202" t="s">
        <v>18</v>
      </c>
      <c r="K5" s="202" t="s">
        <v>18</v>
      </c>
      <c r="L5" s="203"/>
      <c r="M5" s="108"/>
    </row>
    <row r="6" spans="1:18" x14ac:dyDescent="0.2">
      <c r="A6" s="86">
        <v>4</v>
      </c>
      <c r="B6" s="156" t="s">
        <v>44</v>
      </c>
      <c r="C6" s="98"/>
      <c r="D6" s="118"/>
      <c r="E6" s="204">
        <f>+'[1]Purchased Energy'!B13</f>
        <v>611357</v>
      </c>
      <c r="F6" s="204">
        <f>+'[1]Purchased Energy'!C13</f>
        <v>65883</v>
      </c>
      <c r="G6" s="204">
        <f>+'[1]Purchased Energy'!D13</f>
        <v>12444</v>
      </c>
      <c r="H6" s="204">
        <f>+'[1]Purchased Energy'!E13</f>
        <v>509</v>
      </c>
      <c r="I6" s="205">
        <f>+'[1]Purchased Energy'!F13</f>
        <v>47</v>
      </c>
      <c r="J6" s="205">
        <v>1</v>
      </c>
      <c r="K6" s="205">
        <f>+'[1]Purchased Energy'!H13</f>
        <v>1131</v>
      </c>
      <c r="L6" s="206">
        <f>+E6+F6+G6+H6+I6+J6+K6</f>
        <v>691372</v>
      </c>
      <c r="Q6" s="83" t="s">
        <v>18</v>
      </c>
      <c r="R6" s="83" t="s">
        <v>18</v>
      </c>
    </row>
    <row r="7" spans="1:18" x14ac:dyDescent="0.2">
      <c r="A7" s="86">
        <v>5</v>
      </c>
      <c r="B7" s="156" t="s">
        <v>152</v>
      </c>
      <c r="C7" s="98"/>
      <c r="D7" s="118"/>
      <c r="E7" s="204"/>
      <c r="F7" s="204"/>
      <c r="G7" s="204"/>
      <c r="H7" s="204"/>
      <c r="I7" s="205"/>
      <c r="J7" s="205">
        <f>+'[1]Purchased Energy'!G13</f>
        <v>162476</v>
      </c>
      <c r="K7" s="205">
        <f>+'[1]Purchased Energy'!I13</f>
        <v>21472</v>
      </c>
      <c r="L7" s="206">
        <f>+E7+F7+G7+H7+I7+J7+K7</f>
        <v>183948</v>
      </c>
    </row>
    <row r="8" spans="1:18" x14ac:dyDescent="0.2">
      <c r="A8" s="86">
        <v>6</v>
      </c>
      <c r="B8" s="156"/>
      <c r="C8" s="86"/>
      <c r="D8" s="207"/>
      <c r="E8" s="204" t="s">
        <v>18</v>
      </c>
      <c r="F8" s="204" t="s">
        <v>18</v>
      </c>
      <c r="G8" s="204" t="s">
        <v>18</v>
      </c>
      <c r="H8" s="204" t="s">
        <v>18</v>
      </c>
      <c r="I8" s="205" t="s">
        <v>18</v>
      </c>
      <c r="J8" s="205" t="s">
        <v>18</v>
      </c>
      <c r="K8" s="205" t="s">
        <v>18</v>
      </c>
      <c r="L8" s="206"/>
    </row>
    <row r="9" spans="1:18" x14ac:dyDescent="0.2">
      <c r="A9" s="86">
        <v>7</v>
      </c>
      <c r="B9" s="208" t="s">
        <v>232</v>
      </c>
      <c r="C9" s="86"/>
      <c r="D9" s="207" t="s">
        <v>18</v>
      </c>
      <c r="E9" s="209">
        <f>+'[1]2009 Rev from Vasan'!L24+'[1]2009 Rev from Vasan'!L32</f>
        <v>192505451.25174811</v>
      </c>
      <c r="F9" s="209">
        <f>+'[1]2009 Rev from Vasan'!L25+'[1]2009 Rev from Vasan'!L33</f>
        <v>60127307.931026399</v>
      </c>
      <c r="G9" s="209">
        <f>+'[1]2009 Rev from Vasan'!L27+'[1]2009 Rev from Vasan'!L28</f>
        <v>137030008.61051285</v>
      </c>
      <c r="H9" s="209">
        <f>+'[1]2009 Rev from Vasan'!L29</f>
        <v>46765659.291986585</v>
      </c>
      <c r="I9" s="209">
        <f>+'[1]2009 Rev from Vasan'!L30</f>
        <v>18843322.150540274</v>
      </c>
      <c r="J9" s="209">
        <f>+'[1]2009 Rev from Vasan'!L31</f>
        <v>7500335.5960027575</v>
      </c>
      <c r="K9" s="209">
        <f>+'[1]2009 Rev from Vasan'!L26</f>
        <v>2427253.476487298</v>
      </c>
      <c r="L9" s="210">
        <f>+E9+F9+G9+H9+I9+J9+K9</f>
        <v>465199338.30830431</v>
      </c>
    </row>
    <row r="10" spans="1:18" ht="13.5" thickBot="1" x14ac:dyDescent="0.25">
      <c r="A10" s="86">
        <v>8</v>
      </c>
      <c r="B10" s="211"/>
      <c r="C10" s="212"/>
      <c r="D10" s="213"/>
      <c r="E10" s="214">
        <f t="shared" ref="E10:K10" si="0">+E9/$L$9</f>
        <v>0.41381282258868529</v>
      </c>
      <c r="F10" s="214">
        <f t="shared" si="0"/>
        <v>0.12925063081490859</v>
      </c>
      <c r="G10" s="214">
        <f t="shared" si="0"/>
        <v>0.29456191642237062</v>
      </c>
      <c r="H10" s="214">
        <f t="shared" si="0"/>
        <v>0.10052821541417005</v>
      </c>
      <c r="I10" s="214">
        <f t="shared" si="0"/>
        <v>4.0505909185219277E-2</v>
      </c>
      <c r="J10" s="214">
        <f t="shared" si="0"/>
        <v>1.6122842356736149E-2</v>
      </c>
      <c r="K10" s="214">
        <f t="shared" si="0"/>
        <v>5.2176632179099748E-3</v>
      </c>
      <c r="L10" s="215" t="s">
        <v>18</v>
      </c>
    </row>
    <row r="11" spans="1:18" s="86" customFormat="1" ht="22.15" customHeight="1" thickBot="1" x14ac:dyDescent="0.25">
      <c r="B11" s="216"/>
      <c r="C11" s="217"/>
      <c r="D11" s="118"/>
      <c r="E11" s="119"/>
      <c r="F11" s="119"/>
      <c r="G11" s="119"/>
      <c r="H11" s="119"/>
      <c r="I11" s="119"/>
      <c r="J11" s="119"/>
      <c r="K11" s="119"/>
      <c r="L11" s="218"/>
      <c r="M11" s="121"/>
      <c r="O11" s="217"/>
    </row>
    <row r="12" spans="1:18" s="86" customFormat="1" ht="39.75" thickBot="1" x14ac:dyDescent="0.3">
      <c r="A12" s="86">
        <v>9</v>
      </c>
      <c r="B12" s="135" t="s">
        <v>165</v>
      </c>
      <c r="C12" s="137" t="s">
        <v>166</v>
      </c>
      <c r="D12" s="137" t="s">
        <v>167</v>
      </c>
      <c r="E12" s="136" t="s">
        <v>125</v>
      </c>
      <c r="F12" s="136" t="s">
        <v>24</v>
      </c>
      <c r="G12" s="136" t="s">
        <v>144</v>
      </c>
      <c r="H12" s="136" t="s">
        <v>145</v>
      </c>
      <c r="I12" s="136" t="s">
        <v>129</v>
      </c>
      <c r="J12" s="136" t="s">
        <v>146</v>
      </c>
      <c r="K12" s="136" t="s">
        <v>131</v>
      </c>
      <c r="L12" s="138" t="s">
        <v>30</v>
      </c>
      <c r="M12" s="85" t="s">
        <v>31</v>
      </c>
    </row>
    <row r="13" spans="1:18" s="86" customFormat="1" ht="30.6" customHeight="1" thickBot="1" x14ac:dyDescent="0.25">
      <c r="A13" s="86">
        <v>10</v>
      </c>
      <c r="B13" s="219" t="s">
        <v>233</v>
      </c>
      <c r="C13" s="220">
        <v>7525588.8200000003</v>
      </c>
      <c r="D13" s="221" t="s">
        <v>234</v>
      </c>
      <c r="E13" s="220">
        <f t="shared" ref="E13:K13" si="1">E10*$C$13</f>
        <v>3114185.1512460536</v>
      </c>
      <c r="F13" s="220">
        <f t="shared" si="1"/>
        <v>972687.10223862366</v>
      </c>
      <c r="G13" s="220">
        <f t="shared" si="1"/>
        <v>2216751.8650259669</v>
      </c>
      <c r="H13" s="220">
        <f t="shared" si="1"/>
        <v>756534.01401542977</v>
      </c>
      <c r="I13" s="220">
        <f t="shared" si="1"/>
        <v>304830.81730822154</v>
      </c>
      <c r="J13" s="220">
        <f t="shared" si="1"/>
        <v>121333.88218647602</v>
      </c>
      <c r="K13" s="220">
        <f t="shared" si="1"/>
        <v>39265.987979228528</v>
      </c>
      <c r="L13" s="222">
        <f>+E13+F13+G13+H13+I13+J13+K13</f>
        <v>7525588.8200000012</v>
      </c>
      <c r="M13" s="126"/>
      <c r="N13" s="127"/>
    </row>
    <row r="14" spans="1:18" s="86" customFormat="1" ht="33.75" customHeight="1" thickBot="1" x14ac:dyDescent="0.25">
      <c r="B14" s="83"/>
      <c r="C14" s="83" t="s">
        <v>18</v>
      </c>
      <c r="D14" s="132" t="s">
        <v>18</v>
      </c>
      <c r="E14" s="83"/>
      <c r="F14" s="83"/>
      <c r="G14" s="83"/>
      <c r="H14" s="83"/>
      <c r="I14" s="83"/>
      <c r="J14" s="133"/>
      <c r="K14" s="134" t="s">
        <v>18</v>
      </c>
      <c r="L14" s="83"/>
      <c r="M14" s="126"/>
      <c r="N14" s="127"/>
    </row>
    <row r="15" spans="1:18" ht="39.75" thickBot="1" x14ac:dyDescent="0.3">
      <c r="A15" s="83">
        <v>11</v>
      </c>
      <c r="B15" s="135" t="s">
        <v>235</v>
      </c>
      <c r="C15" s="136" t="s">
        <v>18</v>
      </c>
      <c r="D15" s="137" t="s">
        <v>175</v>
      </c>
      <c r="E15" s="136" t="s">
        <v>125</v>
      </c>
      <c r="F15" s="136" t="s">
        <v>24</v>
      </c>
      <c r="G15" s="136" t="s">
        <v>144</v>
      </c>
      <c r="H15" s="136" t="s">
        <v>145</v>
      </c>
      <c r="I15" s="136" t="s">
        <v>129</v>
      </c>
      <c r="J15" s="136" t="s">
        <v>146</v>
      </c>
      <c r="K15" s="136" t="s">
        <v>131</v>
      </c>
      <c r="L15" s="138"/>
    </row>
    <row r="16" spans="1:18" s="86" customFormat="1" ht="31.9" customHeight="1" thickBot="1" x14ac:dyDescent="0.25">
      <c r="A16" s="83">
        <v>12</v>
      </c>
      <c r="B16" s="219"/>
      <c r="C16" s="150" t="s">
        <v>18</v>
      </c>
      <c r="D16" s="223" t="s">
        <v>236</v>
      </c>
      <c r="E16" s="152">
        <f>ROUND(E13/(E6*21)*(360/365),2)</f>
        <v>0.24</v>
      </c>
      <c r="F16" s="152">
        <f>ROUND(F13/(F6*21)*(360/365),2)</f>
        <v>0.69</v>
      </c>
      <c r="G16" s="152">
        <f>ROUND(G13/(G6*21)*(360/365),2)</f>
        <v>8.3699999999999992</v>
      </c>
      <c r="H16" s="152">
        <f>ROUND(H13/(H6*21)*(360/365),2)</f>
        <v>69.81</v>
      </c>
      <c r="I16" s="152">
        <f>ROUND(I13/(I6*21)*(360/365),2)</f>
        <v>304.62</v>
      </c>
      <c r="J16" s="152">
        <f>ROUND(J13/(J7*21)*(360/365),2)</f>
        <v>0.04</v>
      </c>
      <c r="K16" s="152">
        <f>ROUND(K13/(K7*21)*(360/365),2)</f>
        <v>0.09</v>
      </c>
      <c r="L16" s="224" t="s">
        <v>18</v>
      </c>
      <c r="M16" s="143" t="e">
        <f>(+#REF!+#REF!)/3</f>
        <v>#REF!</v>
      </c>
    </row>
    <row r="17" spans="2:12" x14ac:dyDescent="0.2">
      <c r="C17" s="155" t="s">
        <v>18</v>
      </c>
      <c r="E17" s="225" t="s">
        <v>18</v>
      </c>
    </row>
    <row r="18" spans="2:12" x14ac:dyDescent="0.2">
      <c r="E18" s="225" t="s">
        <v>18</v>
      </c>
      <c r="J18" s="133" t="s">
        <v>18</v>
      </c>
    </row>
    <row r="19" spans="2:12" ht="14.25" x14ac:dyDescent="0.2">
      <c r="B19" s="226" t="s">
        <v>237</v>
      </c>
      <c r="C19" s="226"/>
      <c r="D19" s="227"/>
      <c r="E19" s="228"/>
      <c r="F19" s="228"/>
      <c r="G19" s="228"/>
      <c r="H19" s="225"/>
      <c r="I19" s="225"/>
      <c r="J19" s="225"/>
      <c r="K19" s="225"/>
      <c r="L19" s="225"/>
    </row>
    <row r="20" spans="2:12" ht="32.450000000000003" customHeight="1" x14ac:dyDescent="0.2">
      <c r="B20" s="1144" t="s">
        <v>243</v>
      </c>
      <c r="C20" s="1144"/>
      <c r="D20" s="1144"/>
      <c r="E20" s="1144"/>
      <c r="F20" s="1144"/>
      <c r="G20" s="1144"/>
      <c r="H20" s="225"/>
      <c r="I20" s="225"/>
      <c r="J20" s="225"/>
      <c r="K20" s="225"/>
      <c r="L20" s="225"/>
    </row>
    <row r="21" spans="2:12" x14ac:dyDescent="0.2">
      <c r="E21" s="225"/>
      <c r="F21" s="225"/>
      <c r="G21" s="225"/>
      <c r="H21" s="225"/>
      <c r="I21" s="225"/>
      <c r="J21" s="225"/>
      <c r="K21" s="225"/>
      <c r="L21" s="225"/>
    </row>
    <row r="22" spans="2:12" x14ac:dyDescent="0.2">
      <c r="H22" s="225"/>
    </row>
    <row r="23" spans="2:12" x14ac:dyDescent="0.2">
      <c r="H23" s="225"/>
    </row>
    <row r="24" spans="2:12" x14ac:dyDescent="0.2">
      <c r="H24" s="225"/>
    </row>
    <row r="25" spans="2:12" x14ac:dyDescent="0.2">
      <c r="H25" s="225" t="s">
        <v>18</v>
      </c>
    </row>
    <row r="26" spans="2:12" x14ac:dyDescent="0.2">
      <c r="H26" s="225"/>
    </row>
  </sheetData>
  <mergeCells count="1">
    <mergeCell ref="B20:G20"/>
  </mergeCells>
  <pageMargins left="0.70866141732283472" right="0.70866141732283472" top="1.3385826771653544" bottom="0.74803149606299213" header="0.31496062992125984" footer="0.31496062992125984"/>
  <pageSetup scale="60" orientation="landscape" horizontalDpi="1200" verticalDpi="1200" r:id="rId1"/>
  <headerFooter>
    <oddHeader>&amp;RToronto Hydro-Electric System Limited
EB-2010-0142
Exhibit J1
Tab 2
Schedule 9
Filed: XXXXXXXXXXXX
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J13" sqref="J13"/>
    </sheetView>
  </sheetViews>
  <sheetFormatPr defaultRowHeight="15" x14ac:dyDescent="0.25"/>
  <cols>
    <col min="1" max="1" width="34.28515625" customWidth="1"/>
    <col min="2" max="2" width="29" customWidth="1"/>
    <col min="3" max="3" width="12.140625" customWidth="1"/>
    <col min="4" max="5" width="16.85546875" customWidth="1"/>
  </cols>
  <sheetData>
    <row r="1" spans="1:9" ht="19.5" thickBot="1" x14ac:dyDescent="0.35">
      <c r="A1" s="353" t="s">
        <v>411</v>
      </c>
      <c r="B1" s="353"/>
    </row>
    <row r="2" spans="1:9" x14ac:dyDescent="0.25">
      <c r="A2" s="170"/>
      <c r="B2" s="171"/>
      <c r="C2" s="1135"/>
      <c r="D2" s="1136"/>
      <c r="E2" s="1137"/>
    </row>
    <row r="3" spans="1:9" ht="30" x14ac:dyDescent="0.25">
      <c r="A3" s="172" t="s">
        <v>196</v>
      </c>
      <c r="B3" s="173" t="s">
        <v>197</v>
      </c>
      <c r="C3" s="185" t="s">
        <v>0</v>
      </c>
      <c r="D3" s="186" t="s">
        <v>198</v>
      </c>
      <c r="E3" s="187" t="s">
        <v>199</v>
      </c>
      <c r="G3" s="999"/>
      <c r="H3" s="999"/>
      <c r="I3" s="999"/>
    </row>
    <row r="4" spans="1:9" x14ac:dyDescent="0.25">
      <c r="A4" s="174" t="s">
        <v>125</v>
      </c>
      <c r="B4" s="175" t="s">
        <v>200</v>
      </c>
      <c r="C4" s="188">
        <f>+'Residential '!J4</f>
        <v>1.0062479447550178E-2</v>
      </c>
      <c r="D4" s="189">
        <f>+'Residential '!I24</f>
        <v>0.12894988828598791</v>
      </c>
      <c r="E4" s="190">
        <f>+'Residential '!I35</f>
        <v>4.5025115380411505E-2</v>
      </c>
      <c r="G4" s="999"/>
      <c r="H4" s="999"/>
      <c r="I4" s="999"/>
    </row>
    <row r="5" spans="1:9" x14ac:dyDescent="0.25">
      <c r="A5" s="174" t="s">
        <v>368</v>
      </c>
      <c r="B5" s="175" t="s">
        <v>382</v>
      </c>
      <c r="C5" s="191">
        <f>+'Multi Res'!J4</f>
        <v>0.11091105509542669</v>
      </c>
      <c r="D5" s="192">
        <f>+'Multi Res'!I24</f>
        <v>0.23848920269891288</v>
      </c>
      <c r="E5" s="193">
        <f>+'Multi Res'!I35</f>
        <v>0.10653371933998707</v>
      </c>
      <c r="G5" s="999"/>
      <c r="H5" s="999"/>
      <c r="I5" s="999"/>
    </row>
    <row r="6" spans="1:9" x14ac:dyDescent="0.25">
      <c r="A6" s="174" t="s">
        <v>201</v>
      </c>
      <c r="B6" s="175" t="s">
        <v>202</v>
      </c>
      <c r="C6" s="191">
        <f>+'GS &lt; 50 kWh'!J4</f>
        <v>1.3431542461005197E-2</v>
      </c>
      <c r="D6" s="192">
        <f>+'GS &lt; 50 kWh'!I24</f>
        <v>0.13411698059764904</v>
      </c>
      <c r="E6" s="193">
        <f>'GS &lt; 50 kWh'!I35</f>
        <v>4.222972348963662E-2</v>
      </c>
      <c r="G6" s="999"/>
      <c r="H6" s="999"/>
      <c r="I6" s="999"/>
    </row>
    <row r="7" spans="1:9" x14ac:dyDescent="0.25">
      <c r="A7" s="174" t="s">
        <v>203</v>
      </c>
      <c r="B7" s="175" t="s">
        <v>204</v>
      </c>
      <c r="C7" s="191">
        <f>+'GS &gt; 50 &lt; 1000'!J4</f>
        <v>1.3655614512622908E-2</v>
      </c>
      <c r="D7" s="192">
        <f>'GS &gt; 50 &lt; 1000'!I24</f>
        <v>0.13995595438160752</v>
      </c>
      <c r="E7" s="193">
        <f>'GS &gt; 50 &lt; 1000'!I35</f>
        <v>2.543513372950118E-2</v>
      </c>
      <c r="G7" s="999"/>
      <c r="H7" s="999"/>
      <c r="I7" s="999"/>
    </row>
    <row r="8" spans="1:9" x14ac:dyDescent="0.25">
      <c r="A8" s="174" t="s">
        <v>205</v>
      </c>
      <c r="B8" s="175" t="s">
        <v>206</v>
      </c>
      <c r="C8" s="191">
        <f>+'GS &gt; 1000 &lt; 5000'!J4</f>
        <v>1.3662716512182069E-2</v>
      </c>
      <c r="D8" s="192">
        <f>'GS &gt; 1000 &lt; 5000'!I24</f>
        <v>0.13587886536434624</v>
      </c>
      <c r="E8" s="193">
        <f>'GS &gt; 1000 &lt; 5000'!I35</f>
        <v>2.0164541198197331E-2</v>
      </c>
      <c r="G8" s="999"/>
      <c r="H8" s="999"/>
      <c r="I8" s="999"/>
    </row>
    <row r="9" spans="1:9" x14ac:dyDescent="0.25">
      <c r="A9" s="174" t="s">
        <v>129</v>
      </c>
      <c r="B9" s="175" t="s">
        <v>207</v>
      </c>
      <c r="C9" s="191">
        <f>+LU!J4</f>
        <v>1.3647882969342518E-2</v>
      </c>
      <c r="D9" s="192">
        <f>LU!I24</f>
        <v>0.13789262921369427</v>
      </c>
      <c r="E9" s="193">
        <f>LU!I35</f>
        <v>2.0950480940895772E-2</v>
      </c>
      <c r="G9" s="999"/>
      <c r="H9" s="999"/>
      <c r="I9" s="999"/>
    </row>
    <row r="10" spans="1:9" x14ac:dyDescent="0.25">
      <c r="A10" s="174" t="s">
        <v>208</v>
      </c>
      <c r="B10" s="175" t="s">
        <v>209</v>
      </c>
      <c r="C10" s="191">
        <f>+'St Lights'!J4</f>
        <v>1.40324914248531E-2</v>
      </c>
      <c r="D10" s="192">
        <f>'St Lights'!I22</f>
        <v>0.13700799794897367</v>
      </c>
      <c r="E10" s="193">
        <f>'St Lights'!I33</f>
        <v>7.0850937518390805E-2</v>
      </c>
      <c r="G10" s="999"/>
      <c r="H10" s="999"/>
      <c r="I10" s="999"/>
    </row>
    <row r="11" spans="1:9" ht="15.75" thickBot="1" x14ac:dyDescent="0.3">
      <c r="A11" s="176" t="s">
        <v>210</v>
      </c>
      <c r="B11" s="177" t="s">
        <v>211</v>
      </c>
      <c r="C11" s="194">
        <f>+USL!J5</f>
        <v>1.3800003638281969E-2</v>
      </c>
      <c r="D11" s="195">
        <f>USL!I29</f>
        <v>0.1398741636597704</v>
      </c>
      <c r="E11" s="196">
        <f>USL!I40</f>
        <v>6.5751241456925361E-2</v>
      </c>
      <c r="G11" s="999"/>
      <c r="H11" s="999"/>
      <c r="I11" s="999"/>
    </row>
    <row r="12" spans="1:9" x14ac:dyDescent="0.25">
      <c r="G12" s="999"/>
      <c r="H12" s="999"/>
      <c r="I12" s="999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"/>
  <sheetViews>
    <sheetView topLeftCell="B1" zoomScale="70" zoomScaleNormal="70" workbookViewId="0">
      <selection activeCell="E16" sqref="E16"/>
    </sheetView>
  </sheetViews>
  <sheetFormatPr defaultRowHeight="15" x14ac:dyDescent="0.25"/>
  <cols>
    <col min="1" max="1" width="88.28515625" bestFit="1" customWidth="1"/>
    <col min="4" max="11" width="17.28515625" customWidth="1"/>
  </cols>
  <sheetData>
    <row r="1" spans="1:11" s="181" customFormat="1" ht="32.25" thickBot="1" x14ac:dyDescent="0.3">
      <c r="A1" s="230" t="s">
        <v>238</v>
      </c>
      <c r="B1" s="231"/>
      <c r="C1" s="231"/>
      <c r="D1" s="232" t="s">
        <v>23</v>
      </c>
      <c r="E1" s="231" t="s">
        <v>24</v>
      </c>
      <c r="F1" s="231" t="s">
        <v>25</v>
      </c>
      <c r="G1" s="231" t="s">
        <v>26</v>
      </c>
      <c r="H1" s="231" t="s">
        <v>27</v>
      </c>
      <c r="I1" s="231" t="s">
        <v>28</v>
      </c>
      <c r="J1" s="231" t="s">
        <v>29</v>
      </c>
      <c r="K1" s="233" t="s">
        <v>30</v>
      </c>
    </row>
    <row r="2" spans="1:11" x14ac:dyDescent="0.25">
      <c r="A2" s="234" t="s">
        <v>239</v>
      </c>
      <c r="B2" s="235"/>
      <c r="C2" s="235"/>
      <c r="D2" s="236">
        <v>0</v>
      </c>
      <c r="E2" s="235">
        <v>0</v>
      </c>
      <c r="F2" s="235">
        <v>0.02</v>
      </c>
      <c r="G2" s="235">
        <v>8.98</v>
      </c>
      <c r="H2" s="235">
        <v>45.52</v>
      </c>
      <c r="I2" s="235">
        <v>-0.03</v>
      </c>
      <c r="J2" s="235">
        <v>0</v>
      </c>
      <c r="K2" s="237" t="s">
        <v>18</v>
      </c>
    </row>
    <row r="3" spans="1:11" x14ac:dyDescent="0.25">
      <c r="A3" s="238" t="s">
        <v>240</v>
      </c>
      <c r="B3" s="239"/>
      <c r="C3" s="239"/>
      <c r="D3" s="174"/>
      <c r="E3" s="239"/>
      <c r="F3" s="239"/>
      <c r="G3" s="239"/>
      <c r="H3" s="239"/>
      <c r="I3" s="239">
        <v>0</v>
      </c>
      <c r="J3" s="239">
        <v>-0.01</v>
      </c>
      <c r="K3" s="240" t="s">
        <v>18</v>
      </c>
    </row>
    <row r="4" spans="1:11" x14ac:dyDescent="0.25">
      <c r="A4" s="238" t="s">
        <v>241</v>
      </c>
      <c r="B4" s="239"/>
      <c r="C4" s="239"/>
      <c r="D4" s="174">
        <v>-1.7000000000000001E-4</v>
      </c>
      <c r="E4" s="239">
        <v>-8.0000000000000007E-5</v>
      </c>
      <c r="F4" s="239"/>
      <c r="G4" s="239"/>
      <c r="H4" s="239"/>
      <c r="I4" s="239">
        <v>-6.9999999999999994E-5</v>
      </c>
      <c r="J4" s="239">
        <v>0</v>
      </c>
      <c r="K4" s="240" t="s">
        <v>18</v>
      </c>
    </row>
    <row r="5" spans="1:11" ht="15.75" thickBot="1" x14ac:dyDescent="0.3">
      <c r="A5" s="241" t="s">
        <v>242</v>
      </c>
      <c r="B5" s="242"/>
      <c r="C5" s="242"/>
      <c r="D5" s="176"/>
      <c r="E5" s="242"/>
      <c r="F5" s="242">
        <v>4.1999999999999997E-3</v>
      </c>
      <c r="G5" s="242">
        <v>0.1492</v>
      </c>
      <c r="H5" s="242">
        <v>0.16089999999999999</v>
      </c>
      <c r="I5" s="242">
        <v>0</v>
      </c>
      <c r="J5" s="242">
        <v>-0.1658</v>
      </c>
      <c r="K5" s="243" t="s">
        <v>18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44"/>
  <sheetViews>
    <sheetView topLeftCell="A10" workbookViewId="0">
      <selection activeCell="J13" sqref="J12:J13"/>
    </sheetView>
  </sheetViews>
  <sheetFormatPr defaultRowHeight="15" x14ac:dyDescent="0.25"/>
  <cols>
    <col min="3" max="12" width="15.7109375" customWidth="1"/>
  </cols>
  <sheetData>
    <row r="4" spans="2:12" ht="16.5" thickBot="1" x14ac:dyDescent="0.3">
      <c r="B4" s="959"/>
      <c r="C4" s="959"/>
      <c r="D4" s="959"/>
      <c r="E4" s="959"/>
      <c r="F4" s="959"/>
      <c r="G4" s="959"/>
      <c r="H4" s="959"/>
      <c r="I4" s="959"/>
      <c r="J4" s="959"/>
      <c r="K4" s="959"/>
      <c r="L4" s="959"/>
    </row>
    <row r="5" spans="2:12" ht="16.5" thickBot="1" x14ac:dyDescent="0.3">
      <c r="B5" s="981" t="s">
        <v>339</v>
      </c>
      <c r="C5" s="982"/>
      <c r="D5" s="983"/>
      <c r="E5" s="959"/>
      <c r="F5" s="959"/>
      <c r="G5" s="959"/>
      <c r="H5" s="959"/>
      <c r="I5" s="959"/>
      <c r="J5" s="959"/>
      <c r="K5" s="959"/>
      <c r="L5" s="959"/>
    </row>
    <row r="6" spans="2:12" ht="16.5" thickBot="1" x14ac:dyDescent="0.3">
      <c r="B6" s="959"/>
      <c r="C6" s="959"/>
      <c r="D6" s="959"/>
      <c r="E6" s="959"/>
      <c r="F6" s="959"/>
      <c r="G6" s="959"/>
      <c r="H6" s="959"/>
      <c r="I6" s="959"/>
      <c r="J6" s="959"/>
      <c r="K6" s="959"/>
      <c r="L6" s="959"/>
    </row>
    <row r="7" spans="2:12" ht="16.5" thickBot="1" x14ac:dyDescent="0.3">
      <c r="B7" s="959"/>
      <c r="C7" s="996">
        <v>2012</v>
      </c>
      <c r="D7" s="997"/>
      <c r="E7" s="996">
        <v>2013</v>
      </c>
      <c r="F7" s="997"/>
      <c r="G7" s="996">
        <v>2014</v>
      </c>
      <c r="H7" s="997"/>
      <c r="I7" s="996">
        <v>2015</v>
      </c>
      <c r="J7" s="997"/>
      <c r="K7" s="996">
        <v>2016</v>
      </c>
      <c r="L7" s="997"/>
    </row>
    <row r="8" spans="2:12" ht="15.75" x14ac:dyDescent="0.25">
      <c r="B8" s="959" t="s">
        <v>340</v>
      </c>
      <c r="C8" s="965"/>
      <c r="D8" s="961">
        <v>13705660</v>
      </c>
      <c r="E8" s="965"/>
      <c r="F8" s="961">
        <v>43917652</v>
      </c>
      <c r="G8" s="965"/>
      <c r="H8" s="961">
        <v>75391348</v>
      </c>
      <c r="I8" s="965"/>
      <c r="J8" s="961">
        <v>98018357</v>
      </c>
      <c r="K8" s="965"/>
      <c r="L8" s="961">
        <v>112300310</v>
      </c>
    </row>
    <row r="9" spans="2:12" ht="15.75" x14ac:dyDescent="0.25">
      <c r="B9" s="959" t="s">
        <v>341</v>
      </c>
      <c r="C9" s="975">
        <v>800000</v>
      </c>
      <c r="D9" s="959"/>
      <c r="E9" s="975">
        <v>1050000</v>
      </c>
      <c r="F9" s="959"/>
      <c r="G9" s="975">
        <v>1050000</v>
      </c>
      <c r="H9" s="959"/>
      <c r="I9" s="975">
        <v>1050000</v>
      </c>
      <c r="J9" s="959"/>
      <c r="K9" s="975">
        <v>1050000</v>
      </c>
      <c r="L9" s="959"/>
    </row>
    <row r="10" spans="2:12" ht="15.75" x14ac:dyDescent="0.25">
      <c r="B10" s="959" t="s">
        <v>342</v>
      </c>
      <c r="C10" s="994">
        <v>0.127</v>
      </c>
      <c r="D10" s="970">
        <v>101760</v>
      </c>
      <c r="E10" s="984">
        <v>0.127</v>
      </c>
      <c r="F10" s="970">
        <v>133560</v>
      </c>
      <c r="G10" s="984">
        <v>0.127</v>
      </c>
      <c r="H10" s="970">
        <v>133560</v>
      </c>
      <c r="I10" s="984">
        <v>0.127</v>
      </c>
      <c r="J10" s="970">
        <v>133560</v>
      </c>
      <c r="K10" s="984">
        <v>0.127</v>
      </c>
      <c r="L10" s="970">
        <v>133560</v>
      </c>
    </row>
    <row r="11" spans="2:12" ht="15.75" x14ac:dyDescent="0.25">
      <c r="B11" s="959" t="s">
        <v>343</v>
      </c>
      <c r="C11" s="959"/>
      <c r="D11" s="962">
        <v>13807420</v>
      </c>
      <c r="E11" s="959"/>
      <c r="F11" s="962">
        <v>44051212</v>
      </c>
      <c r="G11" s="959"/>
      <c r="H11" s="962">
        <v>75524908</v>
      </c>
      <c r="I11" s="959"/>
      <c r="J11" s="962">
        <v>98151917</v>
      </c>
      <c r="K11" s="959"/>
      <c r="L11" s="962">
        <v>112433870</v>
      </c>
    </row>
    <row r="14" spans="2:12" ht="15.75" x14ac:dyDescent="0.25">
      <c r="B14" s="959" t="s">
        <v>344</v>
      </c>
      <c r="C14" s="976">
        <v>0.04</v>
      </c>
      <c r="D14" s="962">
        <v>552297</v>
      </c>
      <c r="E14" s="965">
        <v>0.04</v>
      </c>
      <c r="F14" s="962">
        <v>1762048</v>
      </c>
      <c r="G14" s="965">
        <v>0.04</v>
      </c>
      <c r="H14" s="962">
        <v>3020996</v>
      </c>
      <c r="I14" s="965">
        <v>0.04</v>
      </c>
      <c r="J14" s="962">
        <v>3926077</v>
      </c>
      <c r="K14" s="965">
        <v>0.04</v>
      </c>
      <c r="L14" s="962">
        <v>4497355</v>
      </c>
    </row>
    <row r="15" spans="2:12" ht="15.75" x14ac:dyDescent="0.25">
      <c r="B15" s="959" t="s">
        <v>345</v>
      </c>
      <c r="C15" s="977">
        <v>0.56000000000000005</v>
      </c>
      <c r="D15" s="962">
        <v>7732155</v>
      </c>
      <c r="E15" s="966">
        <v>0.56000000000000005</v>
      </c>
      <c r="F15" s="962">
        <v>24668679</v>
      </c>
      <c r="G15" s="966">
        <v>0.56000000000000005</v>
      </c>
      <c r="H15" s="962">
        <v>42293948</v>
      </c>
      <c r="I15" s="966">
        <v>0.56000000000000005</v>
      </c>
      <c r="J15" s="962">
        <v>54965073</v>
      </c>
      <c r="K15" s="966">
        <v>0.56000000000000005</v>
      </c>
      <c r="L15" s="962">
        <v>62962967</v>
      </c>
    </row>
    <row r="16" spans="2:12" ht="15.75" x14ac:dyDescent="0.25">
      <c r="B16" s="959" t="s">
        <v>346</v>
      </c>
      <c r="C16" s="978">
        <v>0.4</v>
      </c>
      <c r="D16" s="962">
        <v>5522968</v>
      </c>
      <c r="E16" s="967">
        <v>0.4</v>
      </c>
      <c r="F16" s="962">
        <v>17620485</v>
      </c>
      <c r="G16" s="967">
        <v>0.4</v>
      </c>
      <c r="H16" s="962">
        <v>30209963</v>
      </c>
      <c r="I16" s="967">
        <v>0.4</v>
      </c>
      <c r="J16" s="962">
        <v>39260767</v>
      </c>
      <c r="K16" s="967">
        <v>0.4</v>
      </c>
      <c r="L16" s="962">
        <v>44973548</v>
      </c>
    </row>
    <row r="17" spans="2:12" ht="15.75" x14ac:dyDescent="0.25">
      <c r="B17" s="959"/>
      <c r="C17" s="959"/>
      <c r="D17" s="960"/>
      <c r="E17" s="959"/>
      <c r="F17" s="960"/>
      <c r="G17" s="959"/>
      <c r="H17" s="960"/>
      <c r="I17" s="959"/>
      <c r="J17" s="960"/>
      <c r="K17" s="959"/>
      <c r="L17" s="960"/>
    </row>
    <row r="18" spans="2:12" ht="15.75" x14ac:dyDescent="0.25">
      <c r="B18" s="959" t="s">
        <v>347</v>
      </c>
      <c r="C18" s="979">
        <v>2.46E-2</v>
      </c>
      <c r="D18" s="962">
        <v>13587</v>
      </c>
      <c r="E18" s="968">
        <v>2.46E-2</v>
      </c>
      <c r="F18" s="962">
        <v>43346</v>
      </c>
      <c r="G18" s="968">
        <v>2.46E-2</v>
      </c>
      <c r="H18" s="962">
        <v>74317</v>
      </c>
      <c r="I18" s="968">
        <v>2.46E-2</v>
      </c>
      <c r="J18" s="962">
        <v>96581</v>
      </c>
      <c r="K18" s="968">
        <v>2.46E-2</v>
      </c>
      <c r="L18" s="962">
        <v>110635</v>
      </c>
    </row>
    <row r="19" spans="2:12" ht="15.75" x14ac:dyDescent="0.25">
      <c r="B19" s="959" t="s">
        <v>348</v>
      </c>
      <c r="C19" s="979">
        <v>5.0999999999999997E-2</v>
      </c>
      <c r="D19" s="962">
        <v>394340</v>
      </c>
      <c r="E19" s="968">
        <v>5.0999999999999997E-2</v>
      </c>
      <c r="F19" s="962">
        <v>1258103</v>
      </c>
      <c r="G19" s="968">
        <v>5.0999999999999997E-2</v>
      </c>
      <c r="H19" s="962">
        <v>2156991</v>
      </c>
      <c r="I19" s="968">
        <v>5.0999999999999997E-2</v>
      </c>
      <c r="J19" s="962">
        <v>2803219</v>
      </c>
      <c r="K19" s="968">
        <v>5.0999999999999997E-2</v>
      </c>
      <c r="L19" s="962">
        <v>3211111</v>
      </c>
    </row>
    <row r="20" spans="2:12" ht="15.75" x14ac:dyDescent="0.25">
      <c r="B20" s="959" t="s">
        <v>349</v>
      </c>
      <c r="C20" s="979">
        <v>9.5799999999999996E-2</v>
      </c>
      <c r="D20" s="962">
        <v>529100</v>
      </c>
      <c r="E20" s="968">
        <v>9.5799999999999996E-2</v>
      </c>
      <c r="F20" s="962">
        <v>1688042</v>
      </c>
      <c r="G20" s="968">
        <v>9.5799999999999996E-2</v>
      </c>
      <c r="H20" s="962">
        <v>2894114</v>
      </c>
      <c r="I20" s="968">
        <v>9.5799999999999996E-2</v>
      </c>
      <c r="J20" s="962">
        <v>3761181</v>
      </c>
      <c r="K20" s="968">
        <v>9.5799999999999996E-2</v>
      </c>
      <c r="L20" s="962">
        <v>4308466</v>
      </c>
    </row>
    <row r="21" spans="2:12" ht="15.75" x14ac:dyDescent="0.25">
      <c r="B21" s="959"/>
      <c r="C21" s="959"/>
      <c r="D21" s="969">
        <v>937027</v>
      </c>
      <c r="E21" s="959"/>
      <c r="F21" s="969">
        <v>2989491</v>
      </c>
      <c r="G21" s="959"/>
      <c r="H21" s="969">
        <v>5125422</v>
      </c>
      <c r="I21" s="959"/>
      <c r="J21" s="969">
        <v>6660982</v>
      </c>
      <c r="K21" s="959"/>
      <c r="L21" s="969">
        <v>7630212</v>
      </c>
    </row>
    <row r="23" spans="2:12" ht="15.75" x14ac:dyDescent="0.25">
      <c r="B23" s="959" t="s">
        <v>341</v>
      </c>
      <c r="C23" s="959"/>
      <c r="D23" s="974">
        <v>800000</v>
      </c>
      <c r="E23" s="959"/>
      <c r="F23" s="974">
        <v>1050000</v>
      </c>
      <c r="G23" s="959"/>
      <c r="H23" s="974">
        <v>1050000</v>
      </c>
      <c r="I23" s="959"/>
      <c r="J23" s="974">
        <v>1050000</v>
      </c>
      <c r="K23" s="959"/>
      <c r="L23" s="974">
        <v>1050000</v>
      </c>
    </row>
    <row r="24" spans="2:12" ht="15.75" x14ac:dyDescent="0.25">
      <c r="B24" s="959" t="s">
        <v>350</v>
      </c>
      <c r="C24" s="959"/>
      <c r="D24" s="972">
        <v>1191797</v>
      </c>
      <c r="E24" s="959"/>
      <c r="F24" s="972">
        <v>3922561</v>
      </c>
      <c r="G24" s="959"/>
      <c r="H24" s="972">
        <v>7000496</v>
      </c>
      <c r="I24" s="959"/>
      <c r="J24" s="972">
        <v>9576801</v>
      </c>
      <c r="K24" s="959"/>
      <c r="L24" s="972">
        <v>11651475</v>
      </c>
    </row>
    <row r="25" spans="2:12" ht="15.75" x14ac:dyDescent="0.25">
      <c r="B25" s="959" t="s">
        <v>351</v>
      </c>
      <c r="C25" s="959"/>
      <c r="D25" s="961">
        <v>205292</v>
      </c>
      <c r="E25" s="959"/>
      <c r="F25" s="961">
        <v>662820</v>
      </c>
      <c r="G25" s="959"/>
      <c r="H25" s="961">
        <v>1218385</v>
      </c>
      <c r="I25" s="959"/>
      <c r="J25" s="961">
        <v>1723908</v>
      </c>
      <c r="K25" s="959"/>
      <c r="L25" s="961">
        <v>2166954</v>
      </c>
    </row>
    <row r="27" spans="2:12" ht="16.5" thickBot="1" x14ac:dyDescent="0.3">
      <c r="B27" s="959" t="s">
        <v>352</v>
      </c>
      <c r="C27" s="959"/>
      <c r="D27" s="963">
        <v>3134115</v>
      </c>
      <c r="E27" s="959"/>
      <c r="F27" s="963">
        <v>8624872</v>
      </c>
      <c r="G27" s="959"/>
      <c r="H27" s="963">
        <v>14394303</v>
      </c>
      <c r="I27" s="959"/>
      <c r="J27" s="963">
        <v>19011690</v>
      </c>
      <c r="K27" s="959"/>
      <c r="L27" s="963">
        <v>22498641</v>
      </c>
    </row>
    <row r="29" spans="2:12" ht="15.75" x14ac:dyDescent="0.25">
      <c r="B29" s="986" t="s">
        <v>353</v>
      </c>
      <c r="C29" s="959"/>
      <c r="D29" s="962"/>
      <c r="E29" s="962"/>
      <c r="F29" s="962"/>
      <c r="G29" s="962"/>
      <c r="H29" s="962"/>
      <c r="I29" s="962"/>
      <c r="J29" s="962"/>
      <c r="K29" s="962"/>
      <c r="L29" s="962"/>
    </row>
    <row r="30" spans="2:12" ht="15.75" x14ac:dyDescent="0.25">
      <c r="B30" s="986" t="s">
        <v>341</v>
      </c>
      <c r="C30" s="959"/>
      <c r="D30" s="962">
        <v>800000</v>
      </c>
      <c r="E30" s="962"/>
      <c r="F30" s="962">
        <v>1050000</v>
      </c>
      <c r="G30" s="962"/>
      <c r="H30" s="962">
        <v>1050000</v>
      </c>
      <c r="I30" s="962"/>
      <c r="J30" s="962">
        <v>1050000</v>
      </c>
      <c r="K30" s="962"/>
      <c r="L30" s="962">
        <v>1050000</v>
      </c>
    </row>
    <row r="31" spans="2:12" ht="15.75" x14ac:dyDescent="0.25">
      <c r="B31" s="986" t="s">
        <v>354</v>
      </c>
      <c r="C31" s="959"/>
      <c r="D31" s="962">
        <v>2334115</v>
      </c>
      <c r="E31" s="959"/>
      <c r="F31" s="962">
        <v>7574872</v>
      </c>
      <c r="G31" s="959"/>
      <c r="H31" s="962">
        <v>13344303</v>
      </c>
      <c r="I31" s="959"/>
      <c r="J31" s="962">
        <v>17961690</v>
      </c>
      <c r="K31" s="959"/>
      <c r="L31" s="962">
        <v>21448641</v>
      </c>
    </row>
    <row r="32" spans="2:12" ht="15.75" x14ac:dyDescent="0.25">
      <c r="B32" s="986" t="s">
        <v>355</v>
      </c>
      <c r="C32" s="959"/>
      <c r="D32" s="964">
        <v>0.2306</v>
      </c>
      <c r="E32" s="964"/>
      <c r="F32" s="964">
        <v>0.23139999999999999</v>
      </c>
      <c r="G32" s="964"/>
      <c r="H32" s="964">
        <v>0.2321</v>
      </c>
      <c r="I32" s="964"/>
      <c r="J32" s="964">
        <v>0.2399</v>
      </c>
      <c r="K32" s="964"/>
      <c r="L32" s="964">
        <v>0.25159999999999999</v>
      </c>
    </row>
    <row r="33" spans="2:12" ht="15.75" x14ac:dyDescent="0.25">
      <c r="B33" s="986" t="s">
        <v>356</v>
      </c>
      <c r="C33" s="959"/>
      <c r="D33" s="962">
        <v>538255</v>
      </c>
      <c r="E33" s="962"/>
      <c r="F33" s="962">
        <v>1753121</v>
      </c>
      <c r="G33" s="962"/>
      <c r="H33" s="962">
        <v>3096890</v>
      </c>
      <c r="I33" s="962"/>
      <c r="J33" s="962">
        <v>4308754</v>
      </c>
      <c r="K33" s="962"/>
      <c r="L33" s="962">
        <v>5396730</v>
      </c>
    </row>
    <row r="34" spans="2:12" ht="15.75" x14ac:dyDescent="0.25">
      <c r="B34" s="987" t="s">
        <v>357</v>
      </c>
      <c r="C34" s="988"/>
      <c r="D34" s="989">
        <v>1338255</v>
      </c>
      <c r="E34" s="989"/>
      <c r="F34" s="989">
        <v>2803121</v>
      </c>
      <c r="G34" s="989"/>
      <c r="H34" s="989">
        <v>4146890</v>
      </c>
      <c r="I34" s="989"/>
      <c r="J34" s="989">
        <v>5358754</v>
      </c>
      <c r="K34" s="989"/>
      <c r="L34" s="989">
        <v>6446730</v>
      </c>
    </row>
    <row r="35" spans="2:12" ht="15.75" x14ac:dyDescent="0.25">
      <c r="B35" s="986"/>
      <c r="C35" s="959"/>
      <c r="D35" s="962"/>
      <c r="E35" s="959"/>
      <c r="F35" s="962"/>
      <c r="G35" s="959"/>
      <c r="H35" s="962"/>
      <c r="I35" s="959"/>
      <c r="J35" s="962"/>
      <c r="K35" s="959"/>
      <c r="L35" s="962"/>
    </row>
    <row r="36" spans="2:12" ht="15.75" x14ac:dyDescent="0.25">
      <c r="B36" s="959" t="s">
        <v>358</v>
      </c>
      <c r="C36" s="961"/>
      <c r="D36" s="993">
        <v>714467</v>
      </c>
      <c r="E36" s="959"/>
      <c r="F36" s="993">
        <v>714467</v>
      </c>
      <c r="G36" s="959"/>
      <c r="H36" s="993">
        <v>714467</v>
      </c>
      <c r="I36" s="959"/>
      <c r="J36" s="993">
        <v>714467</v>
      </c>
      <c r="K36" s="959"/>
      <c r="L36" s="993">
        <v>714467</v>
      </c>
    </row>
    <row r="37" spans="2:12" ht="15.75" x14ac:dyDescent="0.25">
      <c r="B37" s="959"/>
      <c r="C37" s="971"/>
      <c r="D37" s="964"/>
      <c r="E37" s="959"/>
      <c r="F37" s="959"/>
      <c r="G37" s="959"/>
      <c r="H37" s="959"/>
      <c r="I37" s="959"/>
      <c r="J37" s="959"/>
      <c r="K37" s="959"/>
      <c r="L37" s="959"/>
    </row>
    <row r="38" spans="2:12" ht="15.75" x14ac:dyDescent="0.25">
      <c r="B38" s="987" t="s">
        <v>359</v>
      </c>
      <c r="C38" s="990"/>
      <c r="D38" s="995">
        <v>0.15</v>
      </c>
      <c r="E38" s="992"/>
      <c r="F38" s="995">
        <v>0.32</v>
      </c>
      <c r="G38" s="991"/>
      <c r="H38" s="995">
        <v>0.48</v>
      </c>
      <c r="I38" s="991"/>
      <c r="J38" s="995">
        <v>0.62</v>
      </c>
      <c r="K38" s="991"/>
      <c r="L38" s="995">
        <v>0.74</v>
      </c>
    </row>
    <row r="39" spans="2:12" ht="15.75" x14ac:dyDescent="0.25">
      <c r="B39" s="959"/>
      <c r="C39" s="961"/>
      <c r="D39" s="960"/>
      <c r="E39" s="959"/>
      <c r="F39" s="985"/>
      <c r="G39" s="985"/>
      <c r="H39" s="985"/>
      <c r="I39" s="985"/>
      <c r="J39" s="985"/>
      <c r="K39" s="985"/>
      <c r="L39" s="985"/>
    </row>
    <row r="40" spans="2:12" ht="15.75" x14ac:dyDescent="0.25">
      <c r="B40" s="959"/>
      <c r="C40" s="959"/>
      <c r="D40" s="962"/>
      <c r="E40" s="959"/>
      <c r="F40" s="962"/>
      <c r="G40" s="959"/>
      <c r="H40" s="962"/>
      <c r="I40" s="959"/>
      <c r="J40" s="962"/>
      <c r="K40" s="959"/>
      <c r="L40" s="962"/>
    </row>
    <row r="41" spans="2:12" ht="15.75" x14ac:dyDescent="0.25">
      <c r="B41" s="959"/>
      <c r="C41" s="959"/>
      <c r="D41" s="959"/>
      <c r="E41" s="959"/>
      <c r="F41" s="959"/>
      <c r="G41" s="959"/>
      <c r="H41" s="959"/>
      <c r="I41" s="959"/>
      <c r="J41" s="959"/>
      <c r="K41" s="959"/>
      <c r="L41" s="959"/>
    </row>
    <row r="42" spans="2:12" ht="15.75" x14ac:dyDescent="0.25">
      <c r="B42" s="973" t="s">
        <v>360</v>
      </c>
      <c r="C42" s="959"/>
      <c r="D42" s="961">
        <v>149655.01737049114</v>
      </c>
      <c r="E42" s="961"/>
      <c r="F42" s="961">
        <v>485145.97288181313</v>
      </c>
      <c r="G42" s="961"/>
      <c r="H42" s="961">
        <v>853951.10215663712</v>
      </c>
      <c r="I42" s="961"/>
      <c r="J42" s="961">
        <v>1137744.6693401861</v>
      </c>
      <c r="K42" s="961"/>
      <c r="L42" s="961">
        <v>1337659.2789662266</v>
      </c>
    </row>
    <row r="44" spans="2:12" ht="15.75" x14ac:dyDescent="0.25">
      <c r="B44" s="980"/>
      <c r="C44" s="959"/>
      <c r="D44" s="959"/>
      <c r="E44" s="959"/>
      <c r="F44" s="959"/>
      <c r="G44" s="959"/>
      <c r="H44" s="959"/>
      <c r="I44" s="959"/>
      <c r="J44" s="959"/>
      <c r="K44" s="959"/>
      <c r="L44" s="9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Normal="100" workbookViewId="0">
      <selection activeCell="A22" sqref="A22"/>
    </sheetView>
  </sheetViews>
  <sheetFormatPr defaultRowHeight="15" x14ac:dyDescent="0.25"/>
  <cols>
    <col min="1" max="1" width="48.28515625" style="1" customWidth="1"/>
    <col min="2" max="3" width="10.7109375" customWidth="1"/>
    <col min="4" max="4" width="12.140625" customWidth="1"/>
    <col min="5" max="6" width="10.7109375" customWidth="1"/>
    <col min="7" max="7" width="12.28515625" customWidth="1"/>
    <col min="8" max="9" width="10.7109375" customWidth="1"/>
    <col min="10" max="10" width="6.28515625" hidden="1" customWidth="1"/>
    <col min="11" max="11" width="8.85546875" hidden="1" customWidth="1"/>
    <col min="12" max="14" width="13.28515625" hidden="1" customWidth="1"/>
    <col min="15" max="16" width="9.140625" hidden="1" customWidth="1"/>
    <col min="17" max="17" width="8.85546875" hidden="1" customWidth="1"/>
  </cols>
  <sheetData>
    <row r="1" spans="1:17" ht="15.75" thickBot="1" x14ac:dyDescent="0.3">
      <c r="A1" s="8" t="s">
        <v>125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5" t="s">
        <v>9</v>
      </c>
      <c r="P1" s="4"/>
    </row>
    <row r="2" spans="1:17" ht="15.75" thickBot="1" x14ac:dyDescent="0.3">
      <c r="A2" s="9"/>
      <c r="B2" s="11" t="s">
        <v>10</v>
      </c>
      <c r="C2" s="12" t="s">
        <v>11</v>
      </c>
      <c r="D2" s="12" t="s">
        <v>12</v>
      </c>
      <c r="E2" s="11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1" t="s">
        <v>10</v>
      </c>
      <c r="M2" s="12" t="s">
        <v>11</v>
      </c>
      <c r="N2" s="12" t="s">
        <v>12</v>
      </c>
      <c r="O2" s="12" t="s">
        <v>13</v>
      </c>
      <c r="P2" s="12" t="s">
        <v>14</v>
      </c>
    </row>
    <row r="3" spans="1:17" x14ac:dyDescent="0.25">
      <c r="A3" s="10" t="s">
        <v>105</v>
      </c>
      <c r="B3" s="48">
        <v>1</v>
      </c>
      <c r="C3" s="50">
        <v>18.25</v>
      </c>
      <c r="D3" s="28">
        <f>+B3*C3</f>
        <v>18.25</v>
      </c>
      <c r="E3" s="48">
        <v>1</v>
      </c>
      <c r="F3" s="50">
        <f>+'2012 - 2014 (With Dead Band)'!U4</f>
        <v>18.5</v>
      </c>
      <c r="G3" s="28">
        <f>+E3*F3</f>
        <v>18.5</v>
      </c>
      <c r="H3" s="51">
        <f t="shared" ref="H3:H13" si="0">+G3-D3</f>
        <v>0.25</v>
      </c>
      <c r="I3" s="14">
        <f t="shared" ref="I3:I13" si="1">IF(D3=0,"n/a",H3/D3)</f>
        <v>1.3698630136986301E-2</v>
      </c>
      <c r="L3" s="48">
        <f>E3</f>
        <v>1</v>
      </c>
      <c r="M3" s="50">
        <f t="shared" ref="M3:M34" si="2">F3</f>
        <v>18.5</v>
      </c>
      <c r="N3" s="28">
        <f>L3*M3</f>
        <v>18.5</v>
      </c>
      <c r="O3" s="51">
        <f>N3-D3</f>
        <v>0.25</v>
      </c>
      <c r="P3" s="14">
        <f t="shared" ref="P3:P13" si="3">IF(D3=0,"n/a",O3/D3)</f>
        <v>1.3698630136986301E-2</v>
      </c>
    </row>
    <row r="4" spans="1:17" x14ac:dyDescent="0.25">
      <c r="A4" s="10" t="s">
        <v>0</v>
      </c>
      <c r="B4" s="48">
        <f>+B37</f>
        <v>800</v>
      </c>
      <c r="C4" s="30">
        <v>1.52E-2</v>
      </c>
      <c r="D4" s="28">
        <f t="shared" ref="D4:D34" si="4">+B4*C4</f>
        <v>12.16</v>
      </c>
      <c r="E4" s="48">
        <f>+B37</f>
        <v>800</v>
      </c>
      <c r="F4" s="30">
        <f>+'2012 - 2014 (With Dead Band)'!V4</f>
        <v>1.5270000000000001E-2</v>
      </c>
      <c r="G4" s="28">
        <f t="shared" ref="G4:G34" si="5">+E4*F4</f>
        <v>12.216000000000001</v>
      </c>
      <c r="H4" s="51">
        <f t="shared" si="0"/>
        <v>5.6000000000000938E-2</v>
      </c>
      <c r="I4" s="14">
        <f t="shared" si="1"/>
        <v>4.6052631578948136E-3</v>
      </c>
      <c r="J4" s="178">
        <f>SUM(H3:H4)/SUM(D3:D4)</f>
        <v>1.0062479447550178E-2</v>
      </c>
      <c r="L4" s="48">
        <f t="shared" ref="L4:L34" si="6">E4</f>
        <v>800</v>
      </c>
      <c r="M4" s="30">
        <f t="shared" si="2"/>
        <v>1.5270000000000001E-2</v>
      </c>
      <c r="N4" s="28">
        <f t="shared" ref="N4:N34" si="7">L4*M4</f>
        <v>12.216000000000001</v>
      </c>
      <c r="O4" s="51">
        <f t="shared" ref="O4:O35" si="8">N4-D4</f>
        <v>5.6000000000000938E-2</v>
      </c>
      <c r="P4" s="14">
        <f t="shared" si="3"/>
        <v>4.6052631578948136E-3</v>
      </c>
      <c r="Q4" s="178">
        <f>SUM(O3:O4)/SUM(D3:D4)</f>
        <v>1.0062479447550178E-2</v>
      </c>
    </row>
    <row r="5" spans="1:17" ht="15" customHeight="1" x14ac:dyDescent="0.25">
      <c r="A5" s="10" t="s">
        <v>106</v>
      </c>
      <c r="B5" s="48">
        <v>1</v>
      </c>
      <c r="C5" s="50">
        <v>0.68</v>
      </c>
      <c r="D5" s="28">
        <f t="shared" si="4"/>
        <v>0.68</v>
      </c>
      <c r="E5" s="48">
        <v>1</v>
      </c>
      <c r="F5" s="50">
        <f>+C5</f>
        <v>0.68</v>
      </c>
      <c r="G5" s="28">
        <f t="shared" si="5"/>
        <v>0.68</v>
      </c>
      <c r="H5" s="51">
        <f t="shared" si="0"/>
        <v>0</v>
      </c>
      <c r="I5" s="14">
        <f t="shared" si="1"/>
        <v>0</v>
      </c>
      <c r="L5" s="48">
        <f t="shared" si="6"/>
        <v>1</v>
      </c>
      <c r="M5" s="50">
        <f t="shared" si="2"/>
        <v>0.68</v>
      </c>
      <c r="N5" s="28">
        <f t="shared" si="7"/>
        <v>0.68</v>
      </c>
      <c r="O5" s="51">
        <f t="shared" si="8"/>
        <v>0</v>
      </c>
      <c r="P5" s="14">
        <f t="shared" si="3"/>
        <v>0</v>
      </c>
    </row>
    <row r="6" spans="1:17" x14ac:dyDescent="0.25">
      <c r="A6" s="10" t="s">
        <v>16</v>
      </c>
      <c r="B6" s="48">
        <v>0</v>
      </c>
      <c r="C6" s="30">
        <v>0</v>
      </c>
      <c r="D6" s="28">
        <f t="shared" si="4"/>
        <v>0</v>
      </c>
      <c r="E6" s="48">
        <v>0</v>
      </c>
      <c r="F6" s="30">
        <v>0</v>
      </c>
      <c r="G6" s="28">
        <f>+E6*F6</f>
        <v>0</v>
      </c>
      <c r="H6" s="51">
        <f t="shared" si="0"/>
        <v>0</v>
      </c>
      <c r="I6" s="14" t="str">
        <f t="shared" si="1"/>
        <v>n/a</v>
      </c>
      <c r="L6" s="48">
        <f t="shared" si="6"/>
        <v>0</v>
      </c>
      <c r="M6" s="30">
        <f t="shared" si="2"/>
        <v>0</v>
      </c>
      <c r="N6" s="28">
        <f t="shared" si="7"/>
        <v>0</v>
      </c>
      <c r="O6" s="51">
        <f t="shared" si="8"/>
        <v>0</v>
      </c>
      <c r="P6" s="14" t="str">
        <f t="shared" si="3"/>
        <v>n/a</v>
      </c>
    </row>
    <row r="7" spans="1:17" x14ac:dyDescent="0.25">
      <c r="A7" s="10" t="s">
        <v>302</v>
      </c>
      <c r="B7" s="48">
        <v>0</v>
      </c>
      <c r="C7" s="30">
        <v>0</v>
      </c>
      <c r="D7" s="28">
        <f t="shared" si="4"/>
        <v>0</v>
      </c>
      <c r="E7" s="48">
        <v>0</v>
      </c>
      <c r="F7" s="30">
        <v>0</v>
      </c>
      <c r="G7" s="28">
        <f>+E7*F7</f>
        <v>0</v>
      </c>
      <c r="H7" s="51">
        <f t="shared" si="0"/>
        <v>0</v>
      </c>
      <c r="I7" s="14" t="str">
        <f t="shared" si="1"/>
        <v>n/a</v>
      </c>
      <c r="L7" s="48">
        <f t="shared" si="6"/>
        <v>0</v>
      </c>
      <c r="M7" s="30">
        <f>+'2012 RARA'!E41</f>
        <v>-4.8999999999999998E-4</v>
      </c>
      <c r="N7" s="28">
        <f t="shared" si="7"/>
        <v>0</v>
      </c>
      <c r="O7" s="51">
        <f t="shared" si="8"/>
        <v>0</v>
      </c>
      <c r="P7" s="14" t="str">
        <f t="shared" si="3"/>
        <v>n/a</v>
      </c>
    </row>
    <row r="8" spans="1:17" ht="15" customHeight="1" x14ac:dyDescent="0.25">
      <c r="A8" s="10" t="s">
        <v>337</v>
      </c>
      <c r="B8" s="48">
        <v>0</v>
      </c>
      <c r="C8" s="30">
        <v>0</v>
      </c>
      <c r="D8" s="28">
        <f t="shared" si="4"/>
        <v>0</v>
      </c>
      <c r="E8" s="48">
        <v>0</v>
      </c>
      <c r="F8" s="30">
        <v>0</v>
      </c>
      <c r="G8" s="28">
        <f t="shared" si="5"/>
        <v>0</v>
      </c>
      <c r="H8" s="51">
        <f t="shared" si="0"/>
        <v>0</v>
      </c>
      <c r="I8" s="14" t="str">
        <f t="shared" si="1"/>
        <v>n/a</v>
      </c>
      <c r="L8" s="48">
        <f t="shared" si="6"/>
        <v>0</v>
      </c>
      <c r="M8" s="30">
        <f t="shared" si="2"/>
        <v>0</v>
      </c>
      <c r="N8" s="43">
        <f t="shared" si="7"/>
        <v>0</v>
      </c>
      <c r="O8" s="51">
        <f t="shared" si="8"/>
        <v>0</v>
      </c>
      <c r="P8" s="14" t="str">
        <f t="shared" si="3"/>
        <v>n/a</v>
      </c>
    </row>
    <row r="9" spans="1:17" ht="15" customHeight="1" x14ac:dyDescent="0.25">
      <c r="A9" s="10" t="s">
        <v>182</v>
      </c>
      <c r="B9" s="48">
        <v>0</v>
      </c>
      <c r="C9" s="30">
        <v>0</v>
      </c>
      <c r="D9" s="28">
        <f t="shared" si="4"/>
        <v>0</v>
      </c>
      <c r="E9" s="48">
        <v>0</v>
      </c>
      <c r="F9" s="30">
        <v>0</v>
      </c>
      <c r="G9" s="28">
        <f t="shared" si="5"/>
        <v>0</v>
      </c>
      <c r="H9" s="51">
        <f t="shared" si="0"/>
        <v>0</v>
      </c>
      <c r="I9" s="14" t="str">
        <f t="shared" si="1"/>
        <v>n/a</v>
      </c>
      <c r="L9" s="48">
        <f t="shared" si="6"/>
        <v>0</v>
      </c>
      <c r="M9" s="30">
        <f t="shared" si="2"/>
        <v>0</v>
      </c>
      <c r="N9" s="28">
        <f t="shared" si="7"/>
        <v>0</v>
      </c>
      <c r="O9" s="51">
        <f t="shared" si="8"/>
        <v>0</v>
      </c>
      <c r="P9" s="14" t="str">
        <f t="shared" si="3"/>
        <v>n/a</v>
      </c>
    </row>
    <row r="10" spans="1:17" x14ac:dyDescent="0.25">
      <c r="A10" s="10" t="s">
        <v>15</v>
      </c>
      <c r="B10" s="48">
        <v>0</v>
      </c>
      <c r="C10" s="82">
        <v>0</v>
      </c>
      <c r="D10" s="28">
        <f t="shared" si="4"/>
        <v>0</v>
      </c>
      <c r="E10" s="48">
        <v>0</v>
      </c>
      <c r="F10" s="82">
        <v>0</v>
      </c>
      <c r="G10" s="28">
        <f t="shared" si="5"/>
        <v>0</v>
      </c>
      <c r="H10" s="51">
        <f t="shared" si="0"/>
        <v>0</v>
      </c>
      <c r="I10" s="14" t="str">
        <f t="shared" si="1"/>
        <v>n/a</v>
      </c>
      <c r="L10" s="48">
        <f t="shared" si="6"/>
        <v>0</v>
      </c>
      <c r="M10" s="82">
        <f t="shared" si="2"/>
        <v>0</v>
      </c>
      <c r="N10" s="70">
        <f t="shared" si="7"/>
        <v>0</v>
      </c>
      <c r="O10" s="51">
        <f t="shared" si="8"/>
        <v>0</v>
      </c>
      <c r="P10" s="14" t="str">
        <f t="shared" si="3"/>
        <v>n/a</v>
      </c>
    </row>
    <row r="11" spans="1:17" x14ac:dyDescent="0.25">
      <c r="A11" s="10" t="s">
        <v>229</v>
      </c>
      <c r="B11" s="48">
        <v>1</v>
      </c>
      <c r="C11" s="82">
        <f>+'LPP Rate Riders'!E16</f>
        <v>0.24</v>
      </c>
      <c r="D11" s="28">
        <f>+B11*C11</f>
        <v>0.24</v>
      </c>
      <c r="E11" s="48">
        <v>0</v>
      </c>
      <c r="F11" s="82">
        <v>0</v>
      </c>
      <c r="G11" s="28">
        <f>+E11*F11</f>
        <v>0</v>
      </c>
      <c r="H11" s="51">
        <f t="shared" si="0"/>
        <v>-0.24</v>
      </c>
      <c r="I11" s="14">
        <f t="shared" si="1"/>
        <v>-1</v>
      </c>
      <c r="L11" s="48">
        <f t="shared" si="6"/>
        <v>0</v>
      </c>
      <c r="M11" s="82">
        <f>F11</f>
        <v>0</v>
      </c>
      <c r="N11" s="70">
        <f t="shared" si="7"/>
        <v>0</v>
      </c>
      <c r="O11" s="51">
        <f>N11-D11</f>
        <v>-0.24</v>
      </c>
      <c r="P11" s="14">
        <f t="shared" si="3"/>
        <v>-1</v>
      </c>
    </row>
    <row r="12" spans="1:17" x14ac:dyDescent="0.25">
      <c r="A12" s="10" t="s">
        <v>217</v>
      </c>
      <c r="B12" s="48">
        <v>0</v>
      </c>
      <c r="C12" s="30">
        <v>0</v>
      </c>
      <c r="D12" s="28">
        <f t="shared" si="4"/>
        <v>0</v>
      </c>
      <c r="E12" s="48">
        <v>0</v>
      </c>
      <c r="F12" s="30">
        <v>0</v>
      </c>
      <c r="G12" s="28">
        <f t="shared" si="5"/>
        <v>0</v>
      </c>
      <c r="H12" s="51">
        <f t="shared" si="0"/>
        <v>0</v>
      </c>
      <c r="I12" s="14" t="str">
        <f t="shared" si="1"/>
        <v>n/a</v>
      </c>
      <c r="L12" s="48">
        <v>1</v>
      </c>
      <c r="M12" s="82">
        <f>'Foregone Rev Rate Rider'!D2</f>
        <v>0</v>
      </c>
      <c r="N12" s="70">
        <f t="shared" si="7"/>
        <v>0</v>
      </c>
      <c r="O12" s="51">
        <f t="shared" si="8"/>
        <v>0</v>
      </c>
      <c r="P12" s="14" t="str">
        <f t="shared" si="3"/>
        <v>n/a</v>
      </c>
    </row>
    <row r="13" spans="1:17" x14ac:dyDescent="0.25">
      <c r="A13" s="10" t="s">
        <v>218</v>
      </c>
      <c r="B13" s="48">
        <f>B9</f>
        <v>0</v>
      </c>
      <c r="C13" s="30">
        <v>0</v>
      </c>
      <c r="D13" s="28">
        <f t="shared" si="4"/>
        <v>0</v>
      </c>
      <c r="E13" s="48">
        <v>0</v>
      </c>
      <c r="F13" s="30">
        <v>0</v>
      </c>
      <c r="G13" s="28">
        <f t="shared" si="5"/>
        <v>0</v>
      </c>
      <c r="H13" s="51">
        <f t="shared" si="0"/>
        <v>0</v>
      </c>
      <c r="I13" s="14" t="str">
        <f t="shared" si="1"/>
        <v>n/a</v>
      </c>
      <c r="L13" s="48">
        <f>L9</f>
        <v>0</v>
      </c>
      <c r="M13" s="30">
        <f>'Foregone Rev Rate Rider'!D4</f>
        <v>-1.7000000000000001E-4</v>
      </c>
      <c r="N13" s="28">
        <f t="shared" si="7"/>
        <v>0</v>
      </c>
      <c r="O13" s="51">
        <f>N13-D13</f>
        <v>0</v>
      </c>
      <c r="P13" s="14" t="str">
        <f t="shared" si="3"/>
        <v>n/a</v>
      </c>
    </row>
    <row r="14" spans="1:17" x14ac:dyDescent="0.25">
      <c r="A14" s="998" t="s">
        <v>375</v>
      </c>
      <c r="B14" s="48">
        <v>0</v>
      </c>
      <c r="C14" s="30">
        <v>0</v>
      </c>
      <c r="D14" s="28">
        <f t="shared" ref="D14:D23" si="9">+B14*C14</f>
        <v>0</v>
      </c>
      <c r="E14" s="48">
        <v>1</v>
      </c>
      <c r="F14" s="50">
        <f>+'2012 - 2014 (With Dead Band)'!W4</f>
        <v>0.65</v>
      </c>
      <c r="G14" s="28">
        <f t="shared" si="5"/>
        <v>0.65</v>
      </c>
      <c r="H14" s="51">
        <f t="shared" ref="H14:H20" si="10">+G14-D14</f>
        <v>0.65</v>
      </c>
      <c r="I14" s="14" t="str">
        <f t="shared" ref="I14:I20" si="11">IF(D14=0,"n/a",H14/D14)</f>
        <v>n/a</v>
      </c>
      <c r="L14" s="48"/>
      <c r="M14" s="30"/>
      <c r="N14" s="28"/>
      <c r="O14" s="51"/>
      <c r="P14" s="14"/>
    </row>
    <row r="15" spans="1:17" ht="16.5" customHeight="1" x14ac:dyDescent="0.25">
      <c r="A15" s="998" t="s">
        <v>374</v>
      </c>
      <c r="B15" s="48">
        <v>0</v>
      </c>
      <c r="C15" s="30">
        <v>0</v>
      </c>
      <c r="D15" s="28">
        <f t="shared" si="9"/>
        <v>0</v>
      </c>
      <c r="E15" s="48">
        <v>800</v>
      </c>
      <c r="F15" s="30">
        <f>+'2012 - 2014 (With Dead Band)'!X4</f>
        <v>5.4000000000000001E-4</v>
      </c>
      <c r="G15" s="28">
        <f t="shared" si="5"/>
        <v>0.432</v>
      </c>
      <c r="H15" s="51">
        <f t="shared" si="10"/>
        <v>0.432</v>
      </c>
      <c r="I15" s="14" t="str">
        <f t="shared" si="11"/>
        <v>n/a</v>
      </c>
      <c r="L15" s="48"/>
      <c r="M15" s="30"/>
      <c r="N15" s="28"/>
      <c r="O15" s="51"/>
      <c r="P15" s="14"/>
    </row>
    <row r="16" spans="1:17" ht="16.5" customHeight="1" x14ac:dyDescent="0.25">
      <c r="A16" s="998" t="s">
        <v>384</v>
      </c>
      <c r="B16" s="48">
        <v>0</v>
      </c>
      <c r="C16" s="30">
        <v>0</v>
      </c>
      <c r="D16" s="28">
        <f t="shared" si="9"/>
        <v>0</v>
      </c>
      <c r="E16" s="48">
        <v>800</v>
      </c>
      <c r="F16" s="30">
        <f>+'2012 - 2014 (With Dead Band)'!Y4</f>
        <v>0</v>
      </c>
      <c r="G16" s="28">
        <f t="shared" si="5"/>
        <v>0</v>
      </c>
      <c r="H16" s="51">
        <f>+G16-D16</f>
        <v>0</v>
      </c>
      <c r="I16" s="14" t="str">
        <f>IF(D16=0,"n/a",H16/D16)</f>
        <v>n/a</v>
      </c>
      <c r="L16" s="48"/>
      <c r="M16" s="30"/>
      <c r="N16" s="28"/>
      <c r="O16" s="51"/>
      <c r="P16" s="14"/>
    </row>
    <row r="17" spans="1:18" ht="16.5" customHeight="1" x14ac:dyDescent="0.25">
      <c r="A17" s="998" t="str">
        <f>+'2012 - 2014 (With Dead Band)'!AG3</f>
        <v>2012 Foregone IRM Rate Rider - MFC</v>
      </c>
      <c r="B17" s="48">
        <v>0</v>
      </c>
      <c r="C17" s="30">
        <v>0</v>
      </c>
      <c r="D17" s="28">
        <f>+B17*C17</f>
        <v>0</v>
      </c>
      <c r="E17" s="48">
        <v>1</v>
      </c>
      <c r="F17" s="50">
        <f>+'2012 - 2014 (With Dead Band)'!AG4</f>
        <v>0.06</v>
      </c>
      <c r="G17" s="28">
        <f t="shared" si="5"/>
        <v>0.06</v>
      </c>
      <c r="H17" s="51">
        <f>+G17-D17</f>
        <v>0.06</v>
      </c>
      <c r="I17" s="14" t="str">
        <f>IF(D17=0,"n/a",H17/D17)</f>
        <v>n/a</v>
      </c>
      <c r="L17" s="48"/>
      <c r="M17" s="30"/>
      <c r="N17" s="28"/>
      <c r="O17" s="51"/>
      <c r="P17" s="14"/>
    </row>
    <row r="18" spans="1:18" ht="16.5" customHeight="1" x14ac:dyDescent="0.25">
      <c r="A18" s="998" t="str">
        <f>+'2012 - 2014 (With Dead Band)'!AH3</f>
        <v>2012 Foregone IRM Rate Rider - DVR</v>
      </c>
      <c r="B18" s="48">
        <v>0</v>
      </c>
      <c r="C18" s="30">
        <v>0</v>
      </c>
      <c r="D18" s="28">
        <f>+B18*C18</f>
        <v>0</v>
      </c>
      <c r="E18" s="48">
        <v>800</v>
      </c>
      <c r="F18" s="30">
        <f>+'2012 - 2014 (With Dead Band)'!AH4</f>
        <v>5.0000000000000002E-5</v>
      </c>
      <c r="G18" s="28">
        <f t="shared" si="5"/>
        <v>0.04</v>
      </c>
      <c r="H18" s="51">
        <f>+G18-D18</f>
        <v>0.04</v>
      </c>
      <c r="I18" s="14" t="str">
        <f>IF(D18=0,"n/a",H18/D18)</f>
        <v>n/a</v>
      </c>
      <c r="L18" s="48"/>
      <c r="M18" s="30"/>
      <c r="N18" s="28"/>
      <c r="O18" s="51"/>
      <c r="P18" s="14"/>
    </row>
    <row r="19" spans="1:18" x14ac:dyDescent="0.25">
      <c r="A19" s="998" t="str">
        <f>+'2012 - 2014 (With Dead Band)'!$Z$3</f>
        <v>2012 ICM Rate Adder - MFC</v>
      </c>
      <c r="B19" s="48">
        <v>0</v>
      </c>
      <c r="C19" s="30">
        <v>0</v>
      </c>
      <c r="D19" s="28">
        <f t="shared" si="9"/>
        <v>0</v>
      </c>
      <c r="E19" s="48">
        <v>1</v>
      </c>
      <c r="F19" s="50">
        <f>+'2012 - 2014 (With Dead Band)'!Z4</f>
        <v>0.52</v>
      </c>
      <c r="G19" s="28">
        <f t="shared" si="5"/>
        <v>0.52</v>
      </c>
      <c r="H19" s="51">
        <f t="shared" si="10"/>
        <v>0.52</v>
      </c>
      <c r="I19" s="14" t="str">
        <f t="shared" si="11"/>
        <v>n/a</v>
      </c>
      <c r="L19" s="48"/>
      <c r="M19" s="30"/>
      <c r="N19" s="28"/>
      <c r="O19" s="51"/>
      <c r="P19" s="14"/>
    </row>
    <row r="20" spans="1:18" x14ac:dyDescent="0.25">
      <c r="A20" s="998" t="str">
        <f>+'2012 - 2014 (With Dead Band)'!$AA$3</f>
        <v>2012 ICM Rate Adder - DVR</v>
      </c>
      <c r="B20" s="48">
        <v>0</v>
      </c>
      <c r="C20" s="30">
        <v>0</v>
      </c>
      <c r="D20" s="28">
        <f t="shared" si="9"/>
        <v>0</v>
      </c>
      <c r="E20" s="48">
        <v>800</v>
      </c>
      <c r="F20" s="30">
        <f>+'2012 - 2014 (With Dead Band)'!AA4</f>
        <v>4.2999999999999999E-4</v>
      </c>
      <c r="G20" s="28">
        <f t="shared" si="5"/>
        <v>0.34399999999999997</v>
      </c>
      <c r="H20" s="51">
        <f t="shared" si="10"/>
        <v>0.34399999999999997</v>
      </c>
      <c r="I20" s="14" t="str">
        <f t="shared" si="11"/>
        <v>n/a</v>
      </c>
      <c r="L20" s="48"/>
      <c r="M20" s="30"/>
      <c r="N20" s="28"/>
      <c r="O20" s="51"/>
      <c r="P20" s="14"/>
    </row>
    <row r="21" spans="1:18" x14ac:dyDescent="0.25">
      <c r="A21" s="998" t="str">
        <f>+'2012 - 2014 (With Dead Band)'!AE3</f>
        <v>2013 ICM Rate Adder - MFC</v>
      </c>
      <c r="B21" s="48">
        <v>0</v>
      </c>
      <c r="C21" s="30">
        <v>0</v>
      </c>
      <c r="D21" s="28">
        <f t="shared" si="9"/>
        <v>0</v>
      </c>
      <c r="E21" s="48">
        <v>1</v>
      </c>
      <c r="F21" s="50">
        <f>+'2012 - 2014 (With Dead Band)'!AE4</f>
        <v>1.36</v>
      </c>
      <c r="G21" s="28">
        <f t="shared" si="5"/>
        <v>1.36</v>
      </c>
      <c r="H21" s="51">
        <f>+G21-D21</f>
        <v>1.36</v>
      </c>
      <c r="I21" s="14" t="str">
        <f>IF(D21=0,"n/a",H21/D21)</f>
        <v>n/a</v>
      </c>
      <c r="L21" s="48"/>
      <c r="M21" s="30"/>
      <c r="N21" s="28"/>
      <c r="O21" s="51"/>
      <c r="P21" s="14"/>
    </row>
    <row r="22" spans="1:18" x14ac:dyDescent="0.25">
      <c r="A22" s="998" t="str">
        <f>+'2012 - 2014 (With Dead Band)'!AF3</f>
        <v>2013 ICM Rate Adder - DVR</v>
      </c>
      <c r="B22" s="48">
        <v>0</v>
      </c>
      <c r="C22" s="30">
        <v>0</v>
      </c>
      <c r="D22" s="28">
        <f t="shared" si="9"/>
        <v>0</v>
      </c>
      <c r="E22" s="48">
        <v>800</v>
      </c>
      <c r="F22" s="30">
        <f>+'2012 - 2014 (With Dead Band)'!AF4</f>
        <v>1.14E-3</v>
      </c>
      <c r="G22" s="28">
        <f t="shared" si="5"/>
        <v>0.91199999999999992</v>
      </c>
      <c r="H22" s="51">
        <f>+G22-D22</f>
        <v>0.91199999999999992</v>
      </c>
      <c r="I22" s="14" t="str">
        <f>IF(D22=0,"n/a",H22/D22)</f>
        <v>n/a</v>
      </c>
      <c r="L22" s="48"/>
      <c r="M22" s="30"/>
      <c r="N22" s="28"/>
      <c r="O22" s="51"/>
      <c r="P22" s="14"/>
    </row>
    <row r="23" spans="1:18" x14ac:dyDescent="0.25">
      <c r="A23" s="998" t="str">
        <f>+'2012 - 2014 (With Dead Band)'!$AD$3</f>
        <v>Deferral/Variance Account Rate Rider</v>
      </c>
      <c r="B23" s="48">
        <v>0</v>
      </c>
      <c r="C23" s="30">
        <v>0</v>
      </c>
      <c r="D23" s="28">
        <f t="shared" si="9"/>
        <v>0</v>
      </c>
      <c r="E23" s="48">
        <v>800</v>
      </c>
      <c r="F23" s="30">
        <f>+'2012 - 2014 (With Dead Band)'!AD4</f>
        <v>-4.2999999999999999E-4</v>
      </c>
      <c r="G23" s="28">
        <f t="shared" si="5"/>
        <v>-0.34399999999999997</v>
      </c>
      <c r="H23" s="51">
        <f>+G23-D23</f>
        <v>-0.34399999999999997</v>
      </c>
      <c r="I23" s="14" t="str">
        <f>IF(D23=0,"n/a",H23/D23)</f>
        <v>n/a</v>
      </c>
      <c r="L23" s="48"/>
      <c r="M23" s="30"/>
      <c r="N23" s="28"/>
      <c r="O23" s="51"/>
      <c r="P23" s="14"/>
    </row>
    <row r="24" spans="1:18" x14ac:dyDescent="0.25">
      <c r="A24" s="6" t="s">
        <v>1</v>
      </c>
      <c r="B24" s="46"/>
      <c r="C24" s="44"/>
      <c r="D24" s="54">
        <f>SUM(D3:D23)</f>
        <v>31.33</v>
      </c>
      <c r="E24" s="49"/>
      <c r="F24" s="44"/>
      <c r="G24" s="54">
        <f>SUM(G3:G23)</f>
        <v>35.370000000000005</v>
      </c>
      <c r="H24" s="57">
        <f>SUM(H3:H23)</f>
        <v>4.0400000000000009</v>
      </c>
      <c r="I24" s="15">
        <f>+H24/D24</f>
        <v>0.12894988828598791</v>
      </c>
      <c r="J24" t="s">
        <v>18</v>
      </c>
      <c r="L24" s="49">
        <f t="shared" si="6"/>
        <v>0</v>
      </c>
      <c r="M24" s="44"/>
      <c r="N24" s="54">
        <f>SUM(N3:N13)</f>
        <v>31.396000000000001</v>
      </c>
      <c r="O24" s="57">
        <f t="shared" si="8"/>
        <v>6.6000000000002501E-2</v>
      </c>
      <c r="P24" s="244">
        <f>O24/D24</f>
        <v>2.106607085860278E-3</v>
      </c>
      <c r="R24" s="161" t="s">
        <v>18</v>
      </c>
    </row>
    <row r="25" spans="1:18" x14ac:dyDescent="0.25">
      <c r="A25" s="10" t="s">
        <v>2</v>
      </c>
      <c r="B25" s="48">
        <f>+$B$37*B38</f>
        <v>830.08</v>
      </c>
      <c r="C25" s="42">
        <v>7.0299999999999998E-3</v>
      </c>
      <c r="D25" s="28">
        <f t="shared" si="4"/>
        <v>5.8354623999999999</v>
      </c>
      <c r="E25" s="48">
        <f>+B25</f>
        <v>830.08</v>
      </c>
      <c r="F25" s="42">
        <f>+'2012 - 2014 (With Dead Band)'!AB4</f>
        <v>8.0700000000000008E-3</v>
      </c>
      <c r="G25" s="28">
        <f t="shared" si="5"/>
        <v>6.6987456000000014</v>
      </c>
      <c r="H25" s="51">
        <f>+G25-D25</f>
        <v>0.86328320000000147</v>
      </c>
      <c r="I25" s="13">
        <f>+H25/D25</f>
        <v>0.14793741109530609</v>
      </c>
      <c r="L25" s="48">
        <f t="shared" si="6"/>
        <v>830.08</v>
      </c>
      <c r="M25" s="42">
        <f t="shared" si="2"/>
        <v>8.0700000000000008E-3</v>
      </c>
      <c r="N25" s="28">
        <f t="shared" si="7"/>
        <v>6.6987456000000014</v>
      </c>
      <c r="O25" s="51">
        <f t="shared" si="8"/>
        <v>0.86328320000000147</v>
      </c>
      <c r="P25" s="14">
        <f>O25/D25</f>
        <v>0.14793741109530609</v>
      </c>
    </row>
    <row r="26" spans="1:18" x14ac:dyDescent="0.25">
      <c r="A26" s="10" t="s">
        <v>3</v>
      </c>
      <c r="B26" s="48">
        <f>+$B$37*B38</f>
        <v>830.08</v>
      </c>
      <c r="C26" s="42">
        <v>5.13E-3</v>
      </c>
      <c r="D26" s="28">
        <f t="shared" si="4"/>
        <v>4.2583104000000001</v>
      </c>
      <c r="E26" s="48">
        <f>+B26</f>
        <v>830.08</v>
      </c>
      <c r="F26" s="42">
        <f>+'2012 - 2014 (With Dead Band)'!AC4</f>
        <v>5.6100000000000004E-3</v>
      </c>
      <c r="G26" s="28">
        <f t="shared" si="5"/>
        <v>4.6567488000000008</v>
      </c>
      <c r="H26" s="51">
        <f>+G26-D26</f>
        <v>0.39843840000000075</v>
      </c>
      <c r="I26" s="13">
        <f>+H26/D26</f>
        <v>9.3567251461988479E-2</v>
      </c>
      <c r="L26" s="48">
        <f t="shared" si="6"/>
        <v>830.08</v>
      </c>
      <c r="M26" s="42">
        <f t="shared" si="2"/>
        <v>5.6100000000000004E-3</v>
      </c>
      <c r="N26" s="28">
        <f t="shared" si="7"/>
        <v>4.6567488000000008</v>
      </c>
      <c r="O26" s="51">
        <f t="shared" si="8"/>
        <v>0.39843840000000075</v>
      </c>
      <c r="P26" s="14">
        <f>O26/D26</f>
        <v>9.3567251461988479E-2</v>
      </c>
    </row>
    <row r="27" spans="1:18" x14ac:dyDescent="0.25">
      <c r="A27" s="6" t="s">
        <v>4</v>
      </c>
      <c r="B27" s="46"/>
      <c r="C27" s="44"/>
      <c r="D27" s="54">
        <f>SUM(D24:D26)</f>
        <v>41.423772799999995</v>
      </c>
      <c r="E27" s="46"/>
      <c r="F27" s="44"/>
      <c r="G27" s="54">
        <f>SUM(G24:G26)</f>
        <v>46.725494400000009</v>
      </c>
      <c r="H27" s="57">
        <f>+G27-D27</f>
        <v>5.3017216000000147</v>
      </c>
      <c r="I27" s="15">
        <f>+H27/D27</f>
        <v>0.12798741499470603</v>
      </c>
      <c r="L27" s="46">
        <f t="shared" si="6"/>
        <v>0</v>
      </c>
      <c r="M27" s="44"/>
      <c r="N27" s="54">
        <f>SUM(N24:N26)</f>
        <v>42.751494400000006</v>
      </c>
      <c r="O27" s="57">
        <f t="shared" si="8"/>
        <v>1.3277216000000109</v>
      </c>
      <c r="P27" s="244">
        <f>O27/D27</f>
        <v>3.2052164982905931E-2</v>
      </c>
    </row>
    <row r="28" spans="1:18" x14ac:dyDescent="0.25">
      <c r="A28" s="10" t="s">
        <v>5</v>
      </c>
      <c r="B28" s="48">
        <f>+$B$37*B38</f>
        <v>830.08</v>
      </c>
      <c r="C28" s="52">
        <v>5.1999999999999998E-3</v>
      </c>
      <c r="D28" s="28">
        <f t="shared" si="4"/>
        <v>4.3164160000000003</v>
      </c>
      <c r="E28" s="48">
        <f t="shared" ref="E28:F31" si="12">+B28</f>
        <v>830.08</v>
      </c>
      <c r="F28" s="52">
        <f t="shared" si="12"/>
        <v>5.1999999999999998E-3</v>
      </c>
      <c r="G28" s="28">
        <f t="shared" si="5"/>
        <v>4.3164160000000003</v>
      </c>
      <c r="H28" s="51">
        <f t="shared" ref="H28:H34" si="13">+G28-D28</f>
        <v>0</v>
      </c>
      <c r="I28" s="14">
        <f t="shared" ref="I28:I34" si="14">IF(D28=0,"n/a",H28/D28)</f>
        <v>0</v>
      </c>
      <c r="L28" s="48">
        <f t="shared" si="6"/>
        <v>830.08</v>
      </c>
      <c r="M28" s="42">
        <f t="shared" si="2"/>
        <v>5.1999999999999998E-3</v>
      </c>
      <c r="N28" s="179">
        <f t="shared" si="7"/>
        <v>4.3164160000000003</v>
      </c>
      <c r="O28" s="51">
        <f t="shared" si="8"/>
        <v>0</v>
      </c>
      <c r="P28" s="14">
        <f t="shared" ref="P28:P34" si="15">IF(D28=0,"n/a",O28/D28)</f>
        <v>0</v>
      </c>
    </row>
    <row r="29" spans="1:18" x14ac:dyDescent="0.25">
      <c r="A29" s="10" t="s">
        <v>6</v>
      </c>
      <c r="B29" s="48">
        <f>+$B$37*B38</f>
        <v>830.08</v>
      </c>
      <c r="C29" s="52">
        <v>1.1000000000000001E-3</v>
      </c>
      <c r="D29" s="28">
        <f t="shared" si="4"/>
        <v>0.91308800000000012</v>
      </c>
      <c r="E29" s="48">
        <f t="shared" si="12"/>
        <v>830.08</v>
      </c>
      <c r="F29" s="52">
        <f t="shared" si="12"/>
        <v>1.1000000000000001E-3</v>
      </c>
      <c r="G29" s="28">
        <f t="shared" si="5"/>
        <v>0.91308800000000012</v>
      </c>
      <c r="H29" s="51">
        <f t="shared" si="13"/>
        <v>0</v>
      </c>
      <c r="I29" s="14">
        <f t="shared" si="14"/>
        <v>0</v>
      </c>
      <c r="L29" s="48">
        <f t="shared" si="6"/>
        <v>830.08</v>
      </c>
      <c r="M29" s="42">
        <f t="shared" si="2"/>
        <v>1.1000000000000001E-3</v>
      </c>
      <c r="N29" s="179">
        <f t="shared" si="7"/>
        <v>0.91308800000000012</v>
      </c>
      <c r="O29" s="51">
        <f t="shared" si="8"/>
        <v>0</v>
      </c>
      <c r="P29" s="14">
        <f t="shared" si="15"/>
        <v>0</v>
      </c>
    </row>
    <row r="30" spans="1:18" x14ac:dyDescent="0.25">
      <c r="A30" s="10" t="s">
        <v>7</v>
      </c>
      <c r="B30" s="48">
        <f>+B37</f>
        <v>800</v>
      </c>
      <c r="C30" s="52">
        <v>7.0000000000000001E-3</v>
      </c>
      <c r="D30" s="28">
        <f t="shared" si="4"/>
        <v>5.6000000000000005</v>
      </c>
      <c r="E30" s="48">
        <f t="shared" si="12"/>
        <v>800</v>
      </c>
      <c r="F30" s="52">
        <f t="shared" si="12"/>
        <v>7.0000000000000001E-3</v>
      </c>
      <c r="G30" s="28">
        <f t="shared" si="5"/>
        <v>5.6000000000000005</v>
      </c>
      <c r="H30" s="51">
        <f t="shared" si="13"/>
        <v>0</v>
      </c>
      <c r="I30" s="14">
        <f t="shared" si="14"/>
        <v>0</v>
      </c>
      <c r="L30" s="48">
        <f t="shared" si="6"/>
        <v>800</v>
      </c>
      <c r="M30" s="42">
        <f t="shared" si="2"/>
        <v>7.0000000000000001E-3</v>
      </c>
      <c r="N30" s="179">
        <f t="shared" si="7"/>
        <v>5.6000000000000005</v>
      </c>
      <c r="O30" s="51">
        <f t="shared" si="8"/>
        <v>0</v>
      </c>
      <c r="P30" s="14">
        <f t="shared" si="15"/>
        <v>0</v>
      </c>
    </row>
    <row r="31" spans="1:18" x14ac:dyDescent="0.25">
      <c r="A31" s="10" t="s">
        <v>19</v>
      </c>
      <c r="B31" s="48">
        <v>1</v>
      </c>
      <c r="C31" s="51">
        <v>0.25</v>
      </c>
      <c r="D31" s="28">
        <f t="shared" si="4"/>
        <v>0.25</v>
      </c>
      <c r="E31" s="48">
        <f t="shared" si="12"/>
        <v>1</v>
      </c>
      <c r="F31" s="51">
        <f t="shared" si="12"/>
        <v>0.25</v>
      </c>
      <c r="G31" s="28">
        <f>+E31*F31</f>
        <v>0.25</v>
      </c>
      <c r="H31" s="51">
        <f>+G31-D31</f>
        <v>0</v>
      </c>
      <c r="I31" s="14">
        <f t="shared" si="14"/>
        <v>0</v>
      </c>
      <c r="L31" s="48">
        <f t="shared" si="6"/>
        <v>1</v>
      </c>
      <c r="M31" s="51">
        <f t="shared" si="2"/>
        <v>0.25</v>
      </c>
      <c r="N31" s="179">
        <f t="shared" si="7"/>
        <v>0.25</v>
      </c>
      <c r="O31" s="51">
        <f t="shared" si="8"/>
        <v>0</v>
      </c>
      <c r="P31" s="14">
        <f t="shared" si="15"/>
        <v>0</v>
      </c>
    </row>
    <row r="32" spans="1:18" x14ac:dyDescent="0.25">
      <c r="A32" s="10" t="s">
        <v>107</v>
      </c>
      <c r="B32" s="48">
        <f>+B37*B38</f>
        <v>830.08</v>
      </c>
      <c r="C32" s="42">
        <v>0</v>
      </c>
      <c r="D32" s="70">
        <f t="shared" si="4"/>
        <v>0</v>
      </c>
      <c r="E32" s="48">
        <f>+B32</f>
        <v>830.08</v>
      </c>
      <c r="F32" s="42">
        <v>0</v>
      </c>
      <c r="G32" s="70">
        <f t="shared" si="5"/>
        <v>0</v>
      </c>
      <c r="H32" s="71">
        <f>+G32-D32</f>
        <v>0</v>
      </c>
      <c r="I32" s="14" t="str">
        <f t="shared" si="14"/>
        <v>n/a</v>
      </c>
      <c r="L32" s="48">
        <f t="shared" si="6"/>
        <v>830.08</v>
      </c>
      <c r="M32" s="42">
        <f t="shared" si="2"/>
        <v>0</v>
      </c>
      <c r="N32" s="180">
        <f t="shared" si="7"/>
        <v>0</v>
      </c>
      <c r="O32" s="71">
        <f t="shared" si="8"/>
        <v>0</v>
      </c>
      <c r="P32" s="14" t="str">
        <f t="shared" si="15"/>
        <v>n/a</v>
      </c>
    </row>
    <row r="33" spans="1:16" x14ac:dyDescent="0.25">
      <c r="A33" s="10" t="s">
        <v>212</v>
      </c>
      <c r="B33" s="48">
        <v>600</v>
      </c>
      <c r="C33" s="245">
        <v>7.4999999999999997E-2</v>
      </c>
      <c r="D33" s="28">
        <f t="shared" si="4"/>
        <v>45</v>
      </c>
      <c r="E33" s="48">
        <f>+B33</f>
        <v>600</v>
      </c>
      <c r="F33" s="245">
        <f>+C33</f>
        <v>7.4999999999999997E-2</v>
      </c>
      <c r="G33" s="28">
        <f t="shared" si="5"/>
        <v>45</v>
      </c>
      <c r="H33" s="51">
        <f t="shared" si="13"/>
        <v>0</v>
      </c>
      <c r="I33" s="14">
        <f t="shared" si="14"/>
        <v>0</v>
      </c>
      <c r="L33" s="48">
        <f t="shared" si="6"/>
        <v>600</v>
      </c>
      <c r="M33" s="245">
        <f t="shared" si="2"/>
        <v>7.4999999999999997E-2</v>
      </c>
      <c r="N33" s="179">
        <f t="shared" si="7"/>
        <v>45</v>
      </c>
      <c r="O33" s="51">
        <f t="shared" si="8"/>
        <v>0</v>
      </c>
      <c r="P33" s="14">
        <f t="shared" si="15"/>
        <v>0</v>
      </c>
    </row>
    <row r="34" spans="1:16" x14ac:dyDescent="0.25">
      <c r="A34" s="10" t="s">
        <v>213</v>
      </c>
      <c r="B34" s="48">
        <f>(+$B$37*B38)-B33</f>
        <v>230.08000000000004</v>
      </c>
      <c r="C34" s="245">
        <v>8.7999999999999995E-2</v>
      </c>
      <c r="D34" s="28">
        <f t="shared" si="4"/>
        <v>20.247040000000002</v>
      </c>
      <c r="E34" s="48">
        <f>+B34</f>
        <v>230.08000000000004</v>
      </c>
      <c r="F34" s="245">
        <f>+C34</f>
        <v>8.7999999999999995E-2</v>
      </c>
      <c r="G34" s="28">
        <f t="shared" si="5"/>
        <v>20.247040000000002</v>
      </c>
      <c r="H34" s="51">
        <f t="shared" si="13"/>
        <v>0</v>
      </c>
      <c r="I34" s="14">
        <f t="shared" si="14"/>
        <v>0</v>
      </c>
      <c r="L34" s="48">
        <f t="shared" si="6"/>
        <v>230.08000000000004</v>
      </c>
      <c r="M34" s="245">
        <f t="shared" si="2"/>
        <v>8.7999999999999995E-2</v>
      </c>
      <c r="N34" s="179">
        <f t="shared" si="7"/>
        <v>20.247040000000002</v>
      </c>
      <c r="O34" s="51">
        <f t="shared" si="8"/>
        <v>0</v>
      </c>
      <c r="P34" s="14">
        <f t="shared" si="15"/>
        <v>0</v>
      </c>
    </row>
    <row r="35" spans="1:16" ht="15.75" thickBot="1" x14ac:dyDescent="0.3">
      <c r="A35" s="7" t="s">
        <v>8</v>
      </c>
      <c r="B35" s="47"/>
      <c r="C35" s="45"/>
      <c r="D35" s="55">
        <f>SUM(D27:D34)</f>
        <v>117.75031680000001</v>
      </c>
      <c r="E35" s="47"/>
      <c r="F35" s="56"/>
      <c r="G35" s="55">
        <f>SUM(G27:G34)</f>
        <v>123.05203840000001</v>
      </c>
      <c r="H35" s="47">
        <f>+G35-D35</f>
        <v>5.3017216000000076</v>
      </c>
      <c r="I35" s="16">
        <f>+H35/D35</f>
        <v>4.5025115380411505E-2</v>
      </c>
      <c r="L35" s="47"/>
      <c r="M35" s="56"/>
      <c r="N35" s="55">
        <f>SUM(N27:N34)</f>
        <v>119.0780384</v>
      </c>
      <c r="O35" s="47">
        <f t="shared" si="8"/>
        <v>1.3277215999999896</v>
      </c>
      <c r="P35" s="16">
        <f>O35/D35</f>
        <v>1.1275736966849413E-2</v>
      </c>
    </row>
    <row r="36" spans="1:16" ht="15.75" thickBot="1" x14ac:dyDescent="0.3">
      <c r="B36" s="38" t="s">
        <v>20</v>
      </c>
    </row>
    <row r="37" spans="1:16" ht="16.5" thickTop="1" thickBot="1" x14ac:dyDescent="0.3">
      <c r="A37" s="31" t="s">
        <v>103</v>
      </c>
      <c r="B37" s="36">
        <v>800</v>
      </c>
      <c r="D37" s="161" t="s">
        <v>18</v>
      </c>
    </row>
    <row r="38" spans="1:16" ht="16.5" thickTop="1" thickBot="1" x14ac:dyDescent="0.3">
      <c r="A38" s="40" t="s">
        <v>104</v>
      </c>
      <c r="B38" s="41">
        <f>1.0376</f>
        <v>1.0376000000000001</v>
      </c>
    </row>
    <row r="39" spans="1:16" ht="15.75" thickTop="1" x14ac:dyDescent="0.25">
      <c r="A39" s="181"/>
      <c r="B39" s="182"/>
      <c r="C39" s="182"/>
      <c r="D39" s="182"/>
      <c r="E39" s="182"/>
    </row>
    <row r="40" spans="1:16" x14ac:dyDescent="0.25">
      <c r="A40" s="183"/>
      <c r="B40" s="182"/>
      <c r="C40" s="182"/>
      <c r="D40" s="182"/>
      <c r="E40" s="182"/>
    </row>
  </sheetData>
  <printOptions horizontalCentered="1"/>
  <pageMargins left="0.19685039370078741" right="0.19685039370078741" top="1.4960629921259843" bottom="0.31496062992125984" header="0.31496062992125984" footer="0.15748031496062992"/>
  <pageSetup scale="85" orientation="landscape" r:id="rId1"/>
  <headerFooter>
    <oddHeader>&amp;RToronto Hydro-Electric System Limited
EB-2012-0064
Tab 3
Schedule C2.2
Filed:  2012 May 10
Updated:  2012 Oct 31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workbookViewId="0">
      <selection activeCell="A16" sqref="A16"/>
    </sheetView>
  </sheetViews>
  <sheetFormatPr defaultRowHeight="15" x14ac:dyDescent="0.25"/>
  <cols>
    <col min="1" max="1" width="48.28515625" style="1" customWidth="1"/>
    <col min="2" max="3" width="10.7109375" customWidth="1"/>
    <col min="4" max="4" width="12.140625" customWidth="1"/>
    <col min="5" max="6" width="10.7109375" customWidth="1"/>
    <col min="7" max="7" width="12.28515625" customWidth="1"/>
    <col min="8" max="9" width="10.7109375" customWidth="1"/>
    <col min="10" max="10" width="6.28515625" hidden="1" customWidth="1"/>
    <col min="11" max="11" width="8.85546875" hidden="1" customWidth="1"/>
    <col min="12" max="14" width="13.28515625" hidden="1" customWidth="1"/>
    <col min="15" max="16" width="9.140625" hidden="1" customWidth="1"/>
    <col min="17" max="17" width="8.85546875" hidden="1" customWidth="1"/>
  </cols>
  <sheetData>
    <row r="1" spans="1:17" ht="15.75" thickBot="1" x14ac:dyDescent="0.3">
      <c r="A1" s="8" t="s">
        <v>393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5" t="s">
        <v>9</v>
      </c>
      <c r="P1" s="4"/>
    </row>
    <row r="2" spans="1:17" ht="15.75" thickBot="1" x14ac:dyDescent="0.3">
      <c r="A2" s="9"/>
      <c r="B2" s="11" t="s">
        <v>10</v>
      </c>
      <c r="C2" s="12" t="s">
        <v>11</v>
      </c>
      <c r="D2" s="12" t="s">
        <v>12</v>
      </c>
      <c r="E2" s="11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1" t="s">
        <v>10</v>
      </c>
      <c r="M2" s="12" t="s">
        <v>11</v>
      </c>
      <c r="N2" s="12" t="s">
        <v>12</v>
      </c>
      <c r="O2" s="12" t="s">
        <v>13</v>
      </c>
      <c r="P2" s="12" t="s">
        <v>14</v>
      </c>
    </row>
    <row r="3" spans="1:17" x14ac:dyDescent="0.25">
      <c r="A3" s="10" t="s">
        <v>105</v>
      </c>
      <c r="B3" s="48">
        <v>1</v>
      </c>
      <c r="C3" s="50">
        <v>18.25</v>
      </c>
      <c r="D3" s="28">
        <f>+B3*C3</f>
        <v>18.25</v>
      </c>
      <c r="E3" s="48">
        <v>1</v>
      </c>
      <c r="F3" s="50">
        <f>+'2012 - 2014 (With Dead Band)'!U5</f>
        <v>17.23</v>
      </c>
      <c r="G3" s="28">
        <f>+E3*F3</f>
        <v>17.23</v>
      </c>
      <c r="H3" s="51">
        <f>+G3-D3</f>
        <v>-1.0199999999999996</v>
      </c>
      <c r="I3" s="14">
        <f t="shared" ref="I3:I23" si="0">IF(D3=0,"n/a",H3/D3)</f>
        <v>-5.589041095890409E-2</v>
      </c>
      <c r="L3" s="48">
        <f>E3</f>
        <v>1</v>
      </c>
      <c r="M3" s="50">
        <f t="shared" ref="M3:M34" si="1">F3</f>
        <v>17.23</v>
      </c>
      <c r="N3" s="28">
        <f>L3*M3</f>
        <v>17.23</v>
      </c>
      <c r="O3" s="51">
        <f>N3-D3</f>
        <v>-1.0199999999999996</v>
      </c>
      <c r="P3" s="14">
        <f t="shared" ref="P3:P13" si="2">IF(D3=0,"n/a",O3/D3)</f>
        <v>-5.589041095890409E-2</v>
      </c>
    </row>
    <row r="4" spans="1:17" x14ac:dyDescent="0.25">
      <c r="A4" s="10" t="s">
        <v>0</v>
      </c>
      <c r="B4" s="48">
        <f>+$B$37</f>
        <v>334</v>
      </c>
      <c r="C4" s="30">
        <v>1.52E-2</v>
      </c>
      <c r="D4" s="28">
        <f t="shared" ref="D4:D34" si="3">+B4*C4</f>
        <v>5.0768000000000004</v>
      </c>
      <c r="E4" s="48">
        <f>+B37</f>
        <v>334</v>
      </c>
      <c r="F4" s="30">
        <f>+'2012 - 2014 (With Dead Band)'!V5</f>
        <v>2.5999999999999999E-2</v>
      </c>
      <c r="G4" s="28">
        <f t="shared" ref="G4:G34" si="4">+E4*F4</f>
        <v>8.6839999999999993</v>
      </c>
      <c r="H4" s="51">
        <f t="shared" ref="H4:H23" si="5">+G4-D4</f>
        <v>3.6071999999999989</v>
      </c>
      <c r="I4" s="14">
        <f t="shared" si="0"/>
        <v>0.71052631578947345</v>
      </c>
      <c r="J4" s="178">
        <f>SUM(H3:H4)/SUM(D3:D4)</f>
        <v>0.11091105509542669</v>
      </c>
      <c r="L4" s="48">
        <f t="shared" ref="L4:L34" si="6">E4</f>
        <v>334</v>
      </c>
      <c r="M4" s="30">
        <f t="shared" si="1"/>
        <v>2.5999999999999999E-2</v>
      </c>
      <c r="N4" s="28">
        <f t="shared" ref="N4:N34" si="7">L4*M4</f>
        <v>8.6839999999999993</v>
      </c>
      <c r="O4" s="51">
        <f t="shared" ref="O4:O35" si="8">N4-D4</f>
        <v>3.6071999999999989</v>
      </c>
      <c r="P4" s="14">
        <f t="shared" si="2"/>
        <v>0.71052631578947345</v>
      </c>
      <c r="Q4" s="178">
        <f>SUM(O3:O4)/SUM(D3:D4)</f>
        <v>0.11091105509542669</v>
      </c>
    </row>
    <row r="5" spans="1:17" ht="15" customHeight="1" x14ac:dyDescent="0.25">
      <c r="A5" s="10" t="s">
        <v>106</v>
      </c>
      <c r="B5" s="48">
        <v>1</v>
      </c>
      <c r="C5" s="50">
        <v>0.68</v>
      </c>
      <c r="D5" s="28">
        <f t="shared" si="3"/>
        <v>0.68</v>
      </c>
      <c r="E5" s="48">
        <v>1</v>
      </c>
      <c r="F5" s="50">
        <f>+C5</f>
        <v>0.68</v>
      </c>
      <c r="G5" s="28">
        <f t="shared" si="4"/>
        <v>0.68</v>
      </c>
      <c r="H5" s="51">
        <f t="shared" si="5"/>
        <v>0</v>
      </c>
      <c r="I5" s="14">
        <f t="shared" si="0"/>
        <v>0</v>
      </c>
      <c r="L5" s="48">
        <f t="shared" si="6"/>
        <v>1</v>
      </c>
      <c r="M5" s="50">
        <f t="shared" si="1"/>
        <v>0.68</v>
      </c>
      <c r="N5" s="28">
        <f t="shared" si="7"/>
        <v>0.68</v>
      </c>
      <c r="O5" s="51">
        <f t="shared" si="8"/>
        <v>0</v>
      </c>
      <c r="P5" s="14">
        <f t="shared" si="2"/>
        <v>0</v>
      </c>
    </row>
    <row r="6" spans="1:17" x14ac:dyDescent="0.25">
      <c r="A6" s="10" t="s">
        <v>16</v>
      </c>
      <c r="B6" s="48">
        <v>0</v>
      </c>
      <c r="C6" s="30">
        <v>0</v>
      </c>
      <c r="D6" s="28">
        <f t="shared" si="3"/>
        <v>0</v>
      </c>
      <c r="E6" s="48">
        <v>0</v>
      </c>
      <c r="F6" s="30">
        <v>0</v>
      </c>
      <c r="G6" s="28">
        <f>+E6*F6</f>
        <v>0</v>
      </c>
      <c r="H6" s="51">
        <f t="shared" si="5"/>
        <v>0</v>
      </c>
      <c r="I6" s="14" t="str">
        <f t="shared" si="0"/>
        <v>n/a</v>
      </c>
      <c r="L6" s="48">
        <f t="shared" si="6"/>
        <v>0</v>
      </c>
      <c r="M6" s="30">
        <f t="shared" si="1"/>
        <v>0</v>
      </c>
      <c r="N6" s="28">
        <f t="shared" si="7"/>
        <v>0</v>
      </c>
      <c r="O6" s="51">
        <f t="shared" si="8"/>
        <v>0</v>
      </c>
      <c r="P6" s="14" t="str">
        <f t="shared" si="2"/>
        <v>n/a</v>
      </c>
    </row>
    <row r="7" spans="1:17" x14ac:dyDescent="0.25">
      <c r="A7" s="10" t="s">
        <v>302</v>
      </c>
      <c r="B7" s="48">
        <v>0</v>
      </c>
      <c r="C7" s="30">
        <v>0</v>
      </c>
      <c r="D7" s="28">
        <f t="shared" si="3"/>
        <v>0</v>
      </c>
      <c r="E7" s="48">
        <v>0</v>
      </c>
      <c r="F7" s="30">
        <v>0</v>
      </c>
      <c r="G7" s="28">
        <f>+E7*F7</f>
        <v>0</v>
      </c>
      <c r="H7" s="51">
        <f t="shared" si="5"/>
        <v>0</v>
      </c>
      <c r="I7" s="14" t="str">
        <f t="shared" si="0"/>
        <v>n/a</v>
      </c>
      <c r="L7" s="48">
        <f t="shared" si="6"/>
        <v>0</v>
      </c>
      <c r="M7" s="30">
        <f>+'2012 RARA'!E41</f>
        <v>-4.8999999999999998E-4</v>
      </c>
      <c r="N7" s="28">
        <f t="shared" si="7"/>
        <v>0</v>
      </c>
      <c r="O7" s="51">
        <f t="shared" si="8"/>
        <v>0</v>
      </c>
      <c r="P7" s="14" t="str">
        <f t="shared" si="2"/>
        <v>n/a</v>
      </c>
    </row>
    <row r="8" spans="1:17" ht="15" customHeight="1" x14ac:dyDescent="0.25">
      <c r="A8" s="10" t="s">
        <v>337</v>
      </c>
      <c r="B8" s="48">
        <v>0</v>
      </c>
      <c r="C8" s="30">
        <v>0</v>
      </c>
      <c r="D8" s="28">
        <f t="shared" si="3"/>
        <v>0</v>
      </c>
      <c r="E8" s="48">
        <v>0</v>
      </c>
      <c r="F8" s="30">
        <v>0</v>
      </c>
      <c r="G8" s="28">
        <f t="shared" si="4"/>
        <v>0</v>
      </c>
      <c r="H8" s="51">
        <f t="shared" si="5"/>
        <v>0</v>
      </c>
      <c r="I8" s="14" t="str">
        <f t="shared" si="0"/>
        <v>n/a</v>
      </c>
      <c r="L8" s="48">
        <f t="shared" si="6"/>
        <v>0</v>
      </c>
      <c r="M8" s="30">
        <f t="shared" si="1"/>
        <v>0</v>
      </c>
      <c r="N8" s="43">
        <f t="shared" si="7"/>
        <v>0</v>
      </c>
      <c r="O8" s="51">
        <f t="shared" si="8"/>
        <v>0</v>
      </c>
      <c r="P8" s="14" t="str">
        <f t="shared" si="2"/>
        <v>n/a</v>
      </c>
    </row>
    <row r="9" spans="1:17" ht="15" customHeight="1" x14ac:dyDescent="0.25">
      <c r="A9" s="10" t="s">
        <v>182</v>
      </c>
      <c r="B9" s="48">
        <v>0</v>
      </c>
      <c r="C9" s="30">
        <v>0</v>
      </c>
      <c r="D9" s="28">
        <f t="shared" si="3"/>
        <v>0</v>
      </c>
      <c r="E9" s="48">
        <v>0</v>
      </c>
      <c r="F9" s="30">
        <v>0</v>
      </c>
      <c r="G9" s="28">
        <f t="shared" si="4"/>
        <v>0</v>
      </c>
      <c r="H9" s="51">
        <f t="shared" si="5"/>
        <v>0</v>
      </c>
      <c r="I9" s="14" t="str">
        <f t="shared" si="0"/>
        <v>n/a</v>
      </c>
      <c r="L9" s="48">
        <f t="shared" si="6"/>
        <v>0</v>
      </c>
      <c r="M9" s="30">
        <f t="shared" si="1"/>
        <v>0</v>
      </c>
      <c r="N9" s="28">
        <f t="shared" si="7"/>
        <v>0</v>
      </c>
      <c r="O9" s="51">
        <f t="shared" si="8"/>
        <v>0</v>
      </c>
      <c r="P9" s="14" t="str">
        <f t="shared" si="2"/>
        <v>n/a</v>
      </c>
    </row>
    <row r="10" spans="1:17" x14ac:dyDescent="0.25">
      <c r="A10" s="10" t="s">
        <v>15</v>
      </c>
      <c r="B10" s="48">
        <v>0</v>
      </c>
      <c r="C10" s="82">
        <v>0</v>
      </c>
      <c r="D10" s="28">
        <f t="shared" si="3"/>
        <v>0</v>
      </c>
      <c r="E10" s="48">
        <v>0</v>
      </c>
      <c r="F10" s="82">
        <v>0</v>
      </c>
      <c r="G10" s="28">
        <f t="shared" si="4"/>
        <v>0</v>
      </c>
      <c r="H10" s="51">
        <f t="shared" si="5"/>
        <v>0</v>
      </c>
      <c r="I10" s="14" t="str">
        <f t="shared" si="0"/>
        <v>n/a</v>
      </c>
      <c r="L10" s="48">
        <f t="shared" si="6"/>
        <v>0</v>
      </c>
      <c r="M10" s="82">
        <f t="shared" si="1"/>
        <v>0</v>
      </c>
      <c r="N10" s="70">
        <f t="shared" si="7"/>
        <v>0</v>
      </c>
      <c r="O10" s="51">
        <f t="shared" si="8"/>
        <v>0</v>
      </c>
      <c r="P10" s="14" t="str">
        <f t="shared" si="2"/>
        <v>n/a</v>
      </c>
    </row>
    <row r="11" spans="1:17" x14ac:dyDescent="0.25">
      <c r="A11" s="10" t="s">
        <v>229</v>
      </c>
      <c r="B11" s="48">
        <v>1</v>
      </c>
      <c r="C11" s="82">
        <f>+'LPP Rate Riders'!E16</f>
        <v>0.24</v>
      </c>
      <c r="D11" s="28">
        <f t="shared" si="3"/>
        <v>0.24</v>
      </c>
      <c r="E11" s="48">
        <v>0</v>
      </c>
      <c r="F11" s="82">
        <v>0</v>
      </c>
      <c r="G11" s="28">
        <f t="shared" si="4"/>
        <v>0</v>
      </c>
      <c r="H11" s="51">
        <f t="shared" si="5"/>
        <v>-0.24</v>
      </c>
      <c r="I11" s="14">
        <f t="shared" si="0"/>
        <v>-1</v>
      </c>
      <c r="L11" s="48">
        <f t="shared" si="6"/>
        <v>0</v>
      </c>
      <c r="M11" s="82">
        <f t="shared" si="1"/>
        <v>0</v>
      </c>
      <c r="N11" s="70">
        <f t="shared" si="7"/>
        <v>0</v>
      </c>
      <c r="O11" s="51">
        <f t="shared" si="8"/>
        <v>-0.24</v>
      </c>
      <c r="P11" s="14">
        <f t="shared" si="2"/>
        <v>-1</v>
      </c>
    </row>
    <row r="12" spans="1:17" x14ac:dyDescent="0.25">
      <c r="A12" s="10" t="s">
        <v>217</v>
      </c>
      <c r="B12" s="48">
        <v>0</v>
      </c>
      <c r="C12" s="30">
        <v>0</v>
      </c>
      <c r="D12" s="28">
        <f t="shared" si="3"/>
        <v>0</v>
      </c>
      <c r="E12" s="48">
        <v>0</v>
      </c>
      <c r="F12" s="30">
        <v>0</v>
      </c>
      <c r="G12" s="28">
        <f t="shared" si="4"/>
        <v>0</v>
      </c>
      <c r="H12" s="51">
        <f t="shared" si="5"/>
        <v>0</v>
      </c>
      <c r="I12" s="14" t="str">
        <f t="shared" si="0"/>
        <v>n/a</v>
      </c>
      <c r="L12" s="48">
        <v>1</v>
      </c>
      <c r="M12" s="82">
        <f>'Foregone Rev Rate Rider'!D2</f>
        <v>0</v>
      </c>
      <c r="N12" s="70">
        <f t="shared" si="7"/>
        <v>0</v>
      </c>
      <c r="O12" s="51">
        <f t="shared" si="8"/>
        <v>0</v>
      </c>
      <c r="P12" s="14" t="str">
        <f t="shared" si="2"/>
        <v>n/a</v>
      </c>
    </row>
    <row r="13" spans="1:17" x14ac:dyDescent="0.25">
      <c r="A13" s="10" t="s">
        <v>218</v>
      </c>
      <c r="B13" s="48">
        <f>B9</f>
        <v>0</v>
      </c>
      <c r="C13" s="30">
        <v>0</v>
      </c>
      <c r="D13" s="28">
        <f t="shared" si="3"/>
        <v>0</v>
      </c>
      <c r="E13" s="48">
        <v>0</v>
      </c>
      <c r="F13" s="30">
        <v>0</v>
      </c>
      <c r="G13" s="28">
        <f t="shared" si="4"/>
        <v>0</v>
      </c>
      <c r="H13" s="51">
        <f t="shared" si="5"/>
        <v>0</v>
      </c>
      <c r="I13" s="14" t="str">
        <f t="shared" si="0"/>
        <v>n/a</v>
      </c>
      <c r="L13" s="48">
        <f>L9</f>
        <v>0</v>
      </c>
      <c r="M13" s="30">
        <f>'Foregone Rev Rate Rider'!D4</f>
        <v>-1.7000000000000001E-4</v>
      </c>
      <c r="N13" s="28">
        <f t="shared" si="7"/>
        <v>0</v>
      </c>
      <c r="O13" s="51">
        <f t="shared" si="8"/>
        <v>0</v>
      </c>
      <c r="P13" s="14" t="str">
        <f t="shared" si="2"/>
        <v>n/a</v>
      </c>
    </row>
    <row r="14" spans="1:17" x14ac:dyDescent="0.25">
      <c r="A14" s="998" t="s">
        <v>375</v>
      </c>
      <c r="B14" s="48">
        <v>0</v>
      </c>
      <c r="C14" s="30">
        <v>0</v>
      </c>
      <c r="D14" s="28">
        <f t="shared" si="3"/>
        <v>0</v>
      </c>
      <c r="E14" s="48">
        <v>1</v>
      </c>
      <c r="F14" s="50">
        <f>+'2012 - 2014 (With Dead Band)'!W5</f>
        <v>0.6</v>
      </c>
      <c r="G14" s="28">
        <f t="shared" si="4"/>
        <v>0.6</v>
      </c>
      <c r="H14" s="51">
        <f t="shared" si="5"/>
        <v>0.6</v>
      </c>
      <c r="I14" s="14" t="str">
        <f t="shared" si="0"/>
        <v>n/a</v>
      </c>
      <c r="L14" s="48"/>
      <c r="M14" s="30"/>
      <c r="N14" s="28"/>
      <c r="O14" s="51"/>
      <c r="P14" s="14"/>
    </row>
    <row r="15" spans="1:17" x14ac:dyDescent="0.25">
      <c r="A15" s="998" t="s">
        <v>374</v>
      </c>
      <c r="B15" s="48">
        <v>0</v>
      </c>
      <c r="C15" s="30">
        <v>0</v>
      </c>
      <c r="D15" s="28">
        <f t="shared" si="3"/>
        <v>0</v>
      </c>
      <c r="E15" s="48">
        <f>+$B$37</f>
        <v>334</v>
      </c>
      <c r="F15" s="30">
        <f>+'2012 - 2014 (With Dead Band)'!X5</f>
        <v>9.2000000000000003E-4</v>
      </c>
      <c r="G15" s="28">
        <f t="shared" si="4"/>
        <v>0.30728</v>
      </c>
      <c r="H15" s="51">
        <f t="shared" si="5"/>
        <v>0.30728</v>
      </c>
      <c r="I15" s="14" t="str">
        <f t="shared" si="0"/>
        <v>n/a</v>
      </c>
      <c r="L15" s="48"/>
      <c r="M15" s="30"/>
      <c r="N15" s="28"/>
      <c r="O15" s="51"/>
      <c r="P15" s="14"/>
    </row>
    <row r="16" spans="1:17" x14ac:dyDescent="0.25">
      <c r="A16" s="998" t="s">
        <v>384</v>
      </c>
      <c r="B16" s="48">
        <v>0</v>
      </c>
      <c r="C16" s="30">
        <v>0</v>
      </c>
      <c r="D16" s="28">
        <f t="shared" si="3"/>
        <v>0</v>
      </c>
      <c r="E16" s="48">
        <f>+E15</f>
        <v>334</v>
      </c>
      <c r="F16" s="30">
        <f>+'2012 - 2014 (With Dead Band)'!Y5</f>
        <v>-1E-4</v>
      </c>
      <c r="G16" s="28">
        <f t="shared" si="4"/>
        <v>-3.3399999999999999E-2</v>
      </c>
      <c r="H16" s="51">
        <f>+G16-D16</f>
        <v>-3.3399999999999999E-2</v>
      </c>
      <c r="I16" s="14" t="str">
        <f>IF(D16=0,"n/a",H16/D16)</f>
        <v>n/a</v>
      </c>
      <c r="L16" s="48"/>
      <c r="M16" s="30"/>
      <c r="N16" s="28"/>
      <c r="O16" s="51"/>
      <c r="P16" s="14"/>
    </row>
    <row r="17" spans="1:18" x14ac:dyDescent="0.25">
      <c r="A17" s="998" t="str">
        <f>+'2012 - 2014 (With Dead Band)'!AG3</f>
        <v>2012 Foregone IRM Rate Rider - MFC</v>
      </c>
      <c r="B17" s="48">
        <v>0</v>
      </c>
      <c r="C17" s="30">
        <v>0</v>
      </c>
      <c r="D17" s="28">
        <f t="shared" si="3"/>
        <v>0</v>
      </c>
      <c r="E17" s="48">
        <v>1</v>
      </c>
      <c r="F17" s="50">
        <f>+'2012 - 2014 (With Dead Band)'!AG5</f>
        <v>0.05</v>
      </c>
      <c r="G17" s="28">
        <f t="shared" si="4"/>
        <v>0.05</v>
      </c>
      <c r="H17" s="51">
        <f>+G17-D17</f>
        <v>0.05</v>
      </c>
      <c r="I17" s="14" t="str">
        <f>IF(D17=0,"n/a",H17/D17)</f>
        <v>n/a</v>
      </c>
      <c r="L17" s="48"/>
      <c r="M17" s="30"/>
      <c r="N17" s="28"/>
      <c r="O17" s="51"/>
      <c r="P17" s="14"/>
    </row>
    <row r="18" spans="1:18" x14ac:dyDescent="0.25">
      <c r="A18" s="998" t="str">
        <f>+'2012 - 2014 (With Dead Band)'!AH3</f>
        <v>2012 Foregone IRM Rate Rider - DVR</v>
      </c>
      <c r="B18" s="48">
        <v>0</v>
      </c>
      <c r="C18" s="30">
        <v>0</v>
      </c>
      <c r="D18" s="28">
        <f t="shared" si="3"/>
        <v>0</v>
      </c>
      <c r="E18" s="48">
        <f>+$B$37</f>
        <v>334</v>
      </c>
      <c r="F18" s="30">
        <f>+'2012 - 2014 (With Dead Band)'!AH5</f>
        <v>8.0000000000000007E-5</v>
      </c>
      <c r="G18" s="28">
        <f t="shared" si="4"/>
        <v>2.6720000000000001E-2</v>
      </c>
      <c r="H18" s="51">
        <f>+G18-D18</f>
        <v>2.6720000000000001E-2</v>
      </c>
      <c r="I18" s="14" t="str">
        <f>IF(D18=0,"n/a",H18/D18)</f>
        <v>n/a</v>
      </c>
      <c r="L18" s="48"/>
      <c r="M18" s="30"/>
      <c r="N18" s="28"/>
      <c r="O18" s="51"/>
      <c r="P18" s="14"/>
    </row>
    <row r="19" spans="1:18" x14ac:dyDescent="0.25">
      <c r="A19" s="998" t="str">
        <f>+'2012 - 2014 (With Dead Band)'!$Z$3</f>
        <v>2012 ICM Rate Adder - MFC</v>
      </c>
      <c r="B19" s="48">
        <v>0</v>
      </c>
      <c r="C19" s="30">
        <v>0</v>
      </c>
      <c r="D19" s="28">
        <f t="shared" si="3"/>
        <v>0</v>
      </c>
      <c r="E19" s="48">
        <v>1</v>
      </c>
      <c r="F19" s="50">
        <f>+'2012 - 2014 (With Dead Band)'!Z5</f>
        <v>0.48</v>
      </c>
      <c r="G19" s="28">
        <f t="shared" si="4"/>
        <v>0.48</v>
      </c>
      <c r="H19" s="51">
        <f t="shared" si="5"/>
        <v>0.48</v>
      </c>
      <c r="I19" s="14" t="str">
        <f t="shared" si="0"/>
        <v>n/a</v>
      </c>
      <c r="L19" s="48"/>
      <c r="M19" s="30"/>
      <c r="N19" s="28"/>
      <c r="O19" s="51"/>
      <c r="P19" s="14"/>
    </row>
    <row r="20" spans="1:18" x14ac:dyDescent="0.25">
      <c r="A20" s="998" t="str">
        <f>+'2012 - 2014 (With Dead Band)'!$AA$3</f>
        <v>2012 ICM Rate Adder - DVR</v>
      </c>
      <c r="B20" s="48">
        <v>0</v>
      </c>
      <c r="C20" s="30">
        <v>0</v>
      </c>
      <c r="D20" s="28">
        <f t="shared" si="3"/>
        <v>0</v>
      </c>
      <c r="E20" s="48">
        <f>+$B$37</f>
        <v>334</v>
      </c>
      <c r="F20" s="30">
        <f>+'2012 - 2014 (With Dead Band)'!AA5</f>
        <v>7.2999999999999996E-4</v>
      </c>
      <c r="G20" s="28">
        <f t="shared" si="4"/>
        <v>0.24381999999999998</v>
      </c>
      <c r="H20" s="51">
        <f t="shared" si="5"/>
        <v>0.24381999999999998</v>
      </c>
      <c r="I20" s="14" t="str">
        <f t="shared" si="0"/>
        <v>n/a</v>
      </c>
      <c r="L20" s="48"/>
      <c r="M20" s="30"/>
      <c r="N20" s="28"/>
      <c r="O20" s="51"/>
      <c r="P20" s="14"/>
    </row>
    <row r="21" spans="1:18" x14ac:dyDescent="0.25">
      <c r="A21" s="998" t="str">
        <f>+'2012 - 2014 (With Dead Band)'!AE3</f>
        <v>2013 ICM Rate Adder - MFC</v>
      </c>
      <c r="B21" s="48">
        <v>0</v>
      </c>
      <c r="C21" s="30">
        <v>0</v>
      </c>
      <c r="D21" s="28">
        <f t="shared" si="3"/>
        <v>0</v>
      </c>
      <c r="E21" s="48">
        <v>1</v>
      </c>
      <c r="F21" s="50">
        <f>+'2012 - 2014 (With Dead Band)'!AE5</f>
        <v>1.27</v>
      </c>
      <c r="G21" s="28">
        <f t="shared" si="4"/>
        <v>1.27</v>
      </c>
      <c r="H21" s="51">
        <f>+G21-D21</f>
        <v>1.27</v>
      </c>
      <c r="I21" s="14" t="str">
        <f>IF(D21=0,"n/a",H21/D21)</f>
        <v>n/a</v>
      </c>
      <c r="L21" s="48"/>
      <c r="M21" s="30"/>
      <c r="N21" s="28"/>
      <c r="O21" s="51"/>
      <c r="P21" s="14"/>
    </row>
    <row r="22" spans="1:18" x14ac:dyDescent="0.25">
      <c r="A22" s="998" t="str">
        <f>+'2012 - 2014 (With Dead Band)'!AF3</f>
        <v>2013 ICM Rate Adder - DVR</v>
      </c>
      <c r="B22" s="48">
        <v>0</v>
      </c>
      <c r="C22" s="30">
        <v>0</v>
      </c>
      <c r="D22" s="28">
        <f t="shared" si="3"/>
        <v>0</v>
      </c>
      <c r="E22" s="48">
        <f>+$B$37</f>
        <v>334</v>
      </c>
      <c r="F22" s="30">
        <f>+'2012 - 2014 (With Dead Band)'!AF5</f>
        <v>1.9400000000000001E-3</v>
      </c>
      <c r="G22" s="28">
        <f t="shared" si="4"/>
        <v>0.64795999999999998</v>
      </c>
      <c r="H22" s="51">
        <f>+G22-D22</f>
        <v>0.64795999999999998</v>
      </c>
      <c r="I22" s="14" t="str">
        <f>IF(D22=0,"n/a",H22/D22)</f>
        <v>n/a</v>
      </c>
      <c r="L22" s="48"/>
      <c r="M22" s="30"/>
      <c r="N22" s="28"/>
      <c r="O22" s="51"/>
      <c r="P22" s="14"/>
    </row>
    <row r="23" spans="1:18" x14ac:dyDescent="0.25">
      <c r="A23" s="998" t="str">
        <f>+'2012 - 2014 (With Dead Band)'!$AD$3</f>
        <v>Deferral/Variance Account Rate Rider</v>
      </c>
      <c r="B23" s="48">
        <v>0</v>
      </c>
      <c r="C23" s="30">
        <v>0</v>
      </c>
      <c r="D23" s="28">
        <f t="shared" si="3"/>
        <v>0</v>
      </c>
      <c r="E23" s="48">
        <f>+$B$37</f>
        <v>334</v>
      </c>
      <c r="F23" s="30">
        <f>+'2012 - 2014 (With Dead Band)'!AD5</f>
        <v>-4.6999999999999999E-4</v>
      </c>
      <c r="G23" s="28">
        <f t="shared" si="4"/>
        <v>-0.15698000000000001</v>
      </c>
      <c r="H23" s="51">
        <f t="shared" si="5"/>
        <v>-0.15698000000000001</v>
      </c>
      <c r="I23" s="14" t="str">
        <f t="shared" si="0"/>
        <v>n/a</v>
      </c>
      <c r="L23" s="48"/>
      <c r="M23" s="30"/>
      <c r="N23" s="28"/>
      <c r="O23" s="51"/>
      <c r="P23" s="14"/>
    </row>
    <row r="24" spans="1:18" x14ac:dyDescent="0.25">
      <c r="A24" s="6" t="s">
        <v>1</v>
      </c>
      <c r="B24" s="46"/>
      <c r="C24" s="44"/>
      <c r="D24" s="54">
        <f>SUM(D3:D23)</f>
        <v>24.246799999999997</v>
      </c>
      <c r="E24" s="49"/>
      <c r="F24" s="44"/>
      <c r="G24" s="54">
        <f>SUM(G3:G23)</f>
        <v>30.029400000000003</v>
      </c>
      <c r="H24" s="57">
        <f>SUM(H3:H23)</f>
        <v>5.7826000000000004</v>
      </c>
      <c r="I24" s="15">
        <f>+H24/D24</f>
        <v>0.23848920269891288</v>
      </c>
      <c r="J24" t="s">
        <v>18</v>
      </c>
      <c r="L24" s="49">
        <f t="shared" si="6"/>
        <v>0</v>
      </c>
      <c r="M24" s="44"/>
      <c r="N24" s="54">
        <f>SUM(N3:N13)</f>
        <v>26.594000000000001</v>
      </c>
      <c r="O24" s="57">
        <f t="shared" si="8"/>
        <v>2.3472000000000044</v>
      </c>
      <c r="P24" s="244">
        <f>O24/D24</f>
        <v>9.6804526782915873E-2</v>
      </c>
      <c r="R24" s="161" t="s">
        <v>18</v>
      </c>
    </row>
    <row r="25" spans="1:18" x14ac:dyDescent="0.25">
      <c r="A25" s="10" t="s">
        <v>2</v>
      </c>
      <c r="B25" s="48">
        <f>+$B$37*B38</f>
        <v>346.55840000000001</v>
      </c>
      <c r="C25" s="42">
        <v>7.0299999999999998E-3</v>
      </c>
      <c r="D25" s="28">
        <f t="shared" si="3"/>
        <v>2.4363055519999999</v>
      </c>
      <c r="E25" s="48">
        <f>+B25</f>
        <v>346.55840000000001</v>
      </c>
      <c r="F25" s="42">
        <f>+'2012 - 2014 (With Dead Band)'!AB5</f>
        <v>8.0700000000000008E-3</v>
      </c>
      <c r="G25" s="28">
        <f t="shared" si="4"/>
        <v>2.7967262880000003</v>
      </c>
      <c r="H25" s="51">
        <f>+G25-D25</f>
        <v>0.36042073600000046</v>
      </c>
      <c r="I25" s="13">
        <f>+H25/D25</f>
        <v>0.14793741109530603</v>
      </c>
      <c r="L25" s="48">
        <f t="shared" si="6"/>
        <v>346.55840000000001</v>
      </c>
      <c r="M25" s="42">
        <f t="shared" si="1"/>
        <v>8.0700000000000008E-3</v>
      </c>
      <c r="N25" s="28">
        <f t="shared" si="7"/>
        <v>2.7967262880000003</v>
      </c>
      <c r="O25" s="51">
        <f t="shared" si="8"/>
        <v>0.36042073600000046</v>
      </c>
      <c r="P25" s="14">
        <f>O25/D25</f>
        <v>0.14793741109530603</v>
      </c>
    </row>
    <row r="26" spans="1:18" x14ac:dyDescent="0.25">
      <c r="A26" s="10" t="s">
        <v>3</v>
      </c>
      <c r="B26" s="48">
        <f>+$B$37*B38</f>
        <v>346.55840000000001</v>
      </c>
      <c r="C26" s="42">
        <v>5.13E-3</v>
      </c>
      <c r="D26" s="28">
        <f t="shared" si="3"/>
        <v>1.7778445920000001</v>
      </c>
      <c r="E26" s="48">
        <f>+B26</f>
        <v>346.55840000000001</v>
      </c>
      <c r="F26" s="42">
        <f>+'2012 - 2014 (With Dead Band)'!AC5</f>
        <v>5.6100000000000004E-3</v>
      </c>
      <c r="G26" s="28">
        <f t="shared" si="4"/>
        <v>1.9441926240000003</v>
      </c>
      <c r="H26" s="51">
        <f>+G26-D26</f>
        <v>0.16634803200000015</v>
      </c>
      <c r="I26" s="13">
        <f>+H26/D26</f>
        <v>9.3567251461988382E-2</v>
      </c>
      <c r="L26" s="48">
        <f t="shared" si="6"/>
        <v>346.55840000000001</v>
      </c>
      <c r="M26" s="42">
        <f t="shared" si="1"/>
        <v>5.6100000000000004E-3</v>
      </c>
      <c r="N26" s="28">
        <f t="shared" si="7"/>
        <v>1.9441926240000003</v>
      </c>
      <c r="O26" s="51">
        <f t="shared" si="8"/>
        <v>0.16634803200000015</v>
      </c>
      <c r="P26" s="14">
        <f>O26/D26</f>
        <v>9.3567251461988382E-2</v>
      </c>
    </row>
    <row r="27" spans="1:18" x14ac:dyDescent="0.25">
      <c r="A27" s="6" t="s">
        <v>4</v>
      </c>
      <c r="B27" s="46"/>
      <c r="C27" s="44"/>
      <c r="D27" s="54">
        <f>SUM(D24:D26)</f>
        <v>28.460950143999998</v>
      </c>
      <c r="E27" s="46"/>
      <c r="F27" s="44"/>
      <c r="G27" s="54">
        <f>SUM(G24:G26)</f>
        <v>34.770318912000008</v>
      </c>
      <c r="H27" s="57">
        <f>+G27-D27</f>
        <v>6.3093687680000095</v>
      </c>
      <c r="I27" s="15">
        <f>+H27/D27</f>
        <v>0.22168510664884181</v>
      </c>
      <c r="L27" s="46">
        <f t="shared" si="6"/>
        <v>0</v>
      </c>
      <c r="M27" s="44"/>
      <c r="N27" s="54">
        <f>SUM(N24:N26)</f>
        <v>31.334918912000003</v>
      </c>
      <c r="O27" s="57">
        <f t="shared" si="8"/>
        <v>2.8739687680000046</v>
      </c>
      <c r="P27" s="244">
        <f>O27/D27</f>
        <v>0.1009793683436068</v>
      </c>
    </row>
    <row r="28" spans="1:18" x14ac:dyDescent="0.25">
      <c r="A28" s="10" t="s">
        <v>5</v>
      </c>
      <c r="B28" s="48">
        <f>+$B$37*B38</f>
        <v>346.55840000000001</v>
      </c>
      <c r="C28" s="52">
        <v>5.1999999999999998E-3</v>
      </c>
      <c r="D28" s="28">
        <f t="shared" si="3"/>
        <v>1.8021036799999999</v>
      </c>
      <c r="E28" s="48">
        <f t="shared" ref="E28:F31" si="9">+B28</f>
        <v>346.55840000000001</v>
      </c>
      <c r="F28" s="52">
        <f t="shared" si="9"/>
        <v>5.1999999999999998E-3</v>
      </c>
      <c r="G28" s="28">
        <f t="shared" si="4"/>
        <v>1.8021036799999999</v>
      </c>
      <c r="H28" s="51">
        <f t="shared" ref="H28:H34" si="10">+G28-D28</f>
        <v>0</v>
      </c>
      <c r="I28" s="14">
        <f t="shared" ref="I28:I34" si="11">IF(D28=0,"n/a",H28/D28)</f>
        <v>0</v>
      </c>
      <c r="L28" s="48">
        <f t="shared" si="6"/>
        <v>346.55840000000001</v>
      </c>
      <c r="M28" s="42">
        <f t="shared" si="1"/>
        <v>5.1999999999999998E-3</v>
      </c>
      <c r="N28" s="179">
        <f t="shared" si="7"/>
        <v>1.8021036799999999</v>
      </c>
      <c r="O28" s="51">
        <f t="shared" si="8"/>
        <v>0</v>
      </c>
      <c r="P28" s="14">
        <f t="shared" ref="P28:P34" si="12">IF(D28=0,"n/a",O28/D28)</f>
        <v>0</v>
      </c>
    </row>
    <row r="29" spans="1:18" x14ac:dyDescent="0.25">
      <c r="A29" s="10" t="s">
        <v>6</v>
      </c>
      <c r="B29" s="48">
        <f>+$B$37*B38</f>
        <v>346.55840000000001</v>
      </c>
      <c r="C29" s="52">
        <v>1.1000000000000001E-3</v>
      </c>
      <c r="D29" s="28">
        <f t="shared" si="3"/>
        <v>0.38121424000000004</v>
      </c>
      <c r="E29" s="48">
        <f t="shared" si="9"/>
        <v>346.55840000000001</v>
      </c>
      <c r="F29" s="52">
        <f t="shared" si="9"/>
        <v>1.1000000000000001E-3</v>
      </c>
      <c r="G29" s="28">
        <f t="shared" si="4"/>
        <v>0.38121424000000004</v>
      </c>
      <c r="H29" s="51">
        <f t="shared" si="10"/>
        <v>0</v>
      </c>
      <c r="I29" s="14">
        <f t="shared" si="11"/>
        <v>0</v>
      </c>
      <c r="L29" s="48">
        <f t="shared" si="6"/>
        <v>346.55840000000001</v>
      </c>
      <c r="M29" s="42">
        <f t="shared" si="1"/>
        <v>1.1000000000000001E-3</v>
      </c>
      <c r="N29" s="179">
        <f t="shared" si="7"/>
        <v>0.38121424000000004</v>
      </c>
      <c r="O29" s="51">
        <f t="shared" si="8"/>
        <v>0</v>
      </c>
      <c r="P29" s="14">
        <f t="shared" si="12"/>
        <v>0</v>
      </c>
    </row>
    <row r="30" spans="1:18" x14ac:dyDescent="0.25">
      <c r="A30" s="10" t="s">
        <v>7</v>
      </c>
      <c r="B30" s="48">
        <f>+B37</f>
        <v>334</v>
      </c>
      <c r="C30" s="52">
        <v>7.0000000000000001E-3</v>
      </c>
      <c r="D30" s="28">
        <f t="shared" si="3"/>
        <v>2.3380000000000001</v>
      </c>
      <c r="E30" s="48">
        <f t="shared" si="9"/>
        <v>334</v>
      </c>
      <c r="F30" s="52">
        <f t="shared" si="9"/>
        <v>7.0000000000000001E-3</v>
      </c>
      <c r="G30" s="28">
        <f t="shared" si="4"/>
        <v>2.3380000000000001</v>
      </c>
      <c r="H30" s="51">
        <f t="shared" si="10"/>
        <v>0</v>
      </c>
      <c r="I30" s="14">
        <f t="shared" si="11"/>
        <v>0</v>
      </c>
      <c r="L30" s="48">
        <f t="shared" si="6"/>
        <v>334</v>
      </c>
      <c r="M30" s="42">
        <f t="shared" si="1"/>
        <v>7.0000000000000001E-3</v>
      </c>
      <c r="N30" s="179">
        <f t="shared" si="7"/>
        <v>2.3380000000000001</v>
      </c>
      <c r="O30" s="51">
        <f t="shared" si="8"/>
        <v>0</v>
      </c>
      <c r="P30" s="14">
        <f t="shared" si="12"/>
        <v>0</v>
      </c>
    </row>
    <row r="31" spans="1:18" x14ac:dyDescent="0.25">
      <c r="A31" s="10" t="s">
        <v>19</v>
      </c>
      <c r="B31" s="48">
        <v>1</v>
      </c>
      <c r="C31" s="51">
        <v>0.25</v>
      </c>
      <c r="D31" s="28">
        <f t="shared" si="3"/>
        <v>0.25</v>
      </c>
      <c r="E31" s="48">
        <f t="shared" si="9"/>
        <v>1</v>
      </c>
      <c r="F31" s="51">
        <f t="shared" si="9"/>
        <v>0.25</v>
      </c>
      <c r="G31" s="28">
        <f t="shared" si="4"/>
        <v>0.25</v>
      </c>
      <c r="H31" s="51">
        <f t="shared" si="10"/>
        <v>0</v>
      </c>
      <c r="I31" s="14">
        <f t="shared" si="11"/>
        <v>0</v>
      </c>
      <c r="L31" s="48">
        <f t="shared" si="6"/>
        <v>1</v>
      </c>
      <c r="M31" s="51">
        <f t="shared" si="1"/>
        <v>0.25</v>
      </c>
      <c r="N31" s="179">
        <f t="shared" si="7"/>
        <v>0.25</v>
      </c>
      <c r="O31" s="51">
        <f t="shared" si="8"/>
        <v>0</v>
      </c>
      <c r="P31" s="14">
        <f t="shared" si="12"/>
        <v>0</v>
      </c>
    </row>
    <row r="32" spans="1:18" x14ac:dyDescent="0.25">
      <c r="A32" s="10" t="s">
        <v>107</v>
      </c>
      <c r="B32" s="48">
        <f>+B37*B38</f>
        <v>346.55840000000001</v>
      </c>
      <c r="C32" s="42">
        <v>0</v>
      </c>
      <c r="D32" s="70">
        <f t="shared" si="3"/>
        <v>0</v>
      </c>
      <c r="E32" s="48">
        <f>+B32</f>
        <v>346.55840000000001</v>
      </c>
      <c r="F32" s="42">
        <v>0</v>
      </c>
      <c r="G32" s="70">
        <f t="shared" si="4"/>
        <v>0</v>
      </c>
      <c r="H32" s="71">
        <f t="shared" si="10"/>
        <v>0</v>
      </c>
      <c r="I32" s="14" t="str">
        <f t="shared" si="11"/>
        <v>n/a</v>
      </c>
      <c r="L32" s="48">
        <f t="shared" si="6"/>
        <v>346.55840000000001</v>
      </c>
      <c r="M32" s="42">
        <f t="shared" si="1"/>
        <v>0</v>
      </c>
      <c r="N32" s="180">
        <f t="shared" si="7"/>
        <v>0</v>
      </c>
      <c r="O32" s="71">
        <f t="shared" si="8"/>
        <v>0</v>
      </c>
      <c r="P32" s="14" t="str">
        <f t="shared" si="12"/>
        <v>n/a</v>
      </c>
    </row>
    <row r="33" spans="1:16" x14ac:dyDescent="0.25">
      <c r="A33" s="10" t="s">
        <v>212</v>
      </c>
      <c r="B33" s="48">
        <f>+B29</f>
        <v>346.55840000000001</v>
      </c>
      <c r="C33" s="245">
        <v>7.4999999999999997E-2</v>
      </c>
      <c r="D33" s="28">
        <f t="shared" si="3"/>
        <v>25.991879999999998</v>
      </c>
      <c r="E33" s="48">
        <f>+B33</f>
        <v>346.55840000000001</v>
      </c>
      <c r="F33" s="245">
        <f>+C33</f>
        <v>7.4999999999999997E-2</v>
      </c>
      <c r="G33" s="28">
        <f t="shared" si="4"/>
        <v>25.991879999999998</v>
      </c>
      <c r="H33" s="51">
        <f t="shared" si="10"/>
        <v>0</v>
      </c>
      <c r="I33" s="14">
        <f t="shared" si="11"/>
        <v>0</v>
      </c>
      <c r="L33" s="48">
        <f t="shared" si="6"/>
        <v>346.55840000000001</v>
      </c>
      <c r="M33" s="245">
        <f t="shared" si="1"/>
        <v>7.4999999999999997E-2</v>
      </c>
      <c r="N33" s="179">
        <f t="shared" si="7"/>
        <v>25.991879999999998</v>
      </c>
      <c r="O33" s="51">
        <f t="shared" si="8"/>
        <v>0</v>
      </c>
      <c r="P33" s="14">
        <f t="shared" si="12"/>
        <v>0</v>
      </c>
    </row>
    <row r="34" spans="1:16" x14ac:dyDescent="0.25">
      <c r="A34" s="10" t="s">
        <v>213</v>
      </c>
      <c r="B34" s="48">
        <v>0</v>
      </c>
      <c r="C34" s="245">
        <v>8.7999999999999995E-2</v>
      </c>
      <c r="D34" s="28">
        <f t="shared" si="3"/>
        <v>0</v>
      </c>
      <c r="E34" s="48">
        <f>+B34</f>
        <v>0</v>
      </c>
      <c r="F34" s="245">
        <f>+C34</f>
        <v>8.7999999999999995E-2</v>
      </c>
      <c r="G34" s="28">
        <f t="shared" si="4"/>
        <v>0</v>
      </c>
      <c r="H34" s="51">
        <f t="shared" si="10"/>
        <v>0</v>
      </c>
      <c r="I34" s="14" t="str">
        <f t="shared" si="11"/>
        <v>n/a</v>
      </c>
      <c r="L34" s="48">
        <f t="shared" si="6"/>
        <v>0</v>
      </c>
      <c r="M34" s="245">
        <f t="shared" si="1"/>
        <v>8.7999999999999995E-2</v>
      </c>
      <c r="N34" s="179">
        <f t="shared" si="7"/>
        <v>0</v>
      </c>
      <c r="O34" s="51">
        <f t="shared" si="8"/>
        <v>0</v>
      </c>
      <c r="P34" s="14" t="str">
        <f t="shared" si="12"/>
        <v>n/a</v>
      </c>
    </row>
    <row r="35" spans="1:16" ht="15.75" thickBot="1" x14ac:dyDescent="0.3">
      <c r="A35" s="7" t="s">
        <v>8</v>
      </c>
      <c r="B35" s="47"/>
      <c r="C35" s="45"/>
      <c r="D35" s="55">
        <f>SUM(D27:D34)</f>
        <v>59.224148063999991</v>
      </c>
      <c r="E35" s="47"/>
      <c r="F35" s="56"/>
      <c r="G35" s="55">
        <f>SUM(G27:G34)</f>
        <v>65.533516832000004</v>
      </c>
      <c r="H35" s="47">
        <f>+G35-D35</f>
        <v>6.309368768000013</v>
      </c>
      <c r="I35" s="16">
        <f>+H35/D35</f>
        <v>0.10653371933998707</v>
      </c>
      <c r="L35" s="47"/>
      <c r="M35" s="56"/>
      <c r="N35" s="55">
        <f>SUM(N27:N34)</f>
        <v>62.098116832000002</v>
      </c>
      <c r="O35" s="47">
        <f t="shared" si="8"/>
        <v>2.8739687680000117</v>
      </c>
      <c r="P35" s="16">
        <f>O35/D35</f>
        <v>4.85269752617511E-2</v>
      </c>
    </row>
    <row r="36" spans="1:16" ht="15.75" thickBot="1" x14ac:dyDescent="0.3">
      <c r="B36" s="38" t="s">
        <v>20</v>
      </c>
    </row>
    <row r="37" spans="1:16" ht="16.5" thickTop="1" thickBot="1" x14ac:dyDescent="0.3">
      <c r="A37" s="31" t="s">
        <v>103</v>
      </c>
      <c r="B37" s="36">
        <v>334</v>
      </c>
      <c r="D37" s="161" t="s">
        <v>18</v>
      </c>
    </row>
    <row r="38" spans="1:16" ht="16.5" thickTop="1" thickBot="1" x14ac:dyDescent="0.3">
      <c r="A38" s="40" t="s">
        <v>104</v>
      </c>
      <c r="B38" s="41">
        <f>1.0376</f>
        <v>1.0376000000000001</v>
      </c>
    </row>
    <row r="39" spans="1:16" ht="15.75" thickTop="1" x14ac:dyDescent="0.25">
      <c r="A39" s="181"/>
      <c r="B39" s="182"/>
      <c r="C39" s="182"/>
      <c r="D39" s="182"/>
      <c r="E39" s="182"/>
    </row>
    <row r="40" spans="1:16" x14ac:dyDescent="0.25">
      <c r="A40" s="183"/>
      <c r="B40" s="182"/>
      <c r="C40" s="182"/>
      <c r="D40" s="182"/>
      <c r="E40" s="182"/>
    </row>
  </sheetData>
  <printOptions horizontalCentered="1"/>
  <pageMargins left="0.19685039370078741" right="0.19685039370078741" top="1.4960629921259843" bottom="0.31496062992125984" header="0.31496062992125984" footer="0.15748031496062992"/>
  <pageSetup scale="86" orientation="landscape" r:id="rId1"/>
  <headerFooter>
    <oddHeader>&amp;RToronto Hydro-Electric System Limited
EB-2012-0064
Tab 3
Schedule C2.2
Filed:  2012 May 10
Updated:  2012 Oct 31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workbookViewId="0">
      <selection activeCell="A16" sqref="A16"/>
    </sheetView>
  </sheetViews>
  <sheetFormatPr defaultRowHeight="15" x14ac:dyDescent="0.25"/>
  <cols>
    <col min="1" max="1" width="48.28515625" style="1" customWidth="1"/>
    <col min="2" max="2" width="10.7109375" style="66" customWidth="1"/>
    <col min="3" max="3" width="10.7109375" customWidth="1"/>
    <col min="4" max="4" width="10.42578125" customWidth="1"/>
    <col min="5" max="5" width="10.7109375" style="66" customWidth="1"/>
    <col min="6" max="9" width="10.7109375" customWidth="1"/>
    <col min="10" max="10" width="9.140625" hidden="1" customWidth="1"/>
    <col min="11" max="11" width="8.85546875" hidden="1" customWidth="1"/>
    <col min="12" max="14" width="12.7109375" hidden="1" customWidth="1"/>
    <col min="15" max="16" width="9.140625" hidden="1" customWidth="1"/>
    <col min="17" max="17" width="0" hidden="1" customWidth="1"/>
  </cols>
  <sheetData>
    <row r="1" spans="1:16" ht="15.75" thickBot="1" x14ac:dyDescent="0.3">
      <c r="A1" s="8" t="s">
        <v>386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5" t="s">
        <v>9</v>
      </c>
      <c r="P1" s="4"/>
    </row>
    <row r="2" spans="1:16" ht="15.75" thickBot="1" x14ac:dyDescent="0.3">
      <c r="A2" s="9"/>
      <c r="B2" s="62" t="s">
        <v>10</v>
      </c>
      <c r="C2" s="12" t="s">
        <v>11</v>
      </c>
      <c r="D2" s="12" t="s">
        <v>12</v>
      </c>
      <c r="E2" s="62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1" t="s">
        <v>10</v>
      </c>
      <c r="M2" s="12" t="s">
        <v>11</v>
      </c>
      <c r="N2" s="12" t="s">
        <v>12</v>
      </c>
      <c r="O2" s="12" t="s">
        <v>13</v>
      </c>
      <c r="P2" s="12" t="s">
        <v>14</v>
      </c>
    </row>
    <row r="3" spans="1:16" x14ac:dyDescent="0.25">
      <c r="A3" s="10" t="s">
        <v>105</v>
      </c>
      <c r="B3" s="60">
        <v>1</v>
      </c>
      <c r="C3" s="50">
        <v>24.3</v>
      </c>
      <c r="D3" s="28">
        <f>+B3*C3</f>
        <v>24.3</v>
      </c>
      <c r="E3" s="60">
        <v>1</v>
      </c>
      <c r="F3" s="50">
        <f>+'2012 - 2014 (With Dead Band)'!U6</f>
        <v>24.63</v>
      </c>
      <c r="G3" s="28">
        <f t="shared" ref="G3:G13" si="0">+E3*F3</f>
        <v>24.63</v>
      </c>
      <c r="H3" s="51">
        <f t="shared" ref="H3:H13" si="1">+G3-D3</f>
        <v>0.32999999999999829</v>
      </c>
      <c r="I3" s="14">
        <f>IF(D3=0,"n/a",H3/D3)</f>
        <v>1.3580246913580176E-2</v>
      </c>
      <c r="J3" s="161" t="s">
        <v>18</v>
      </c>
      <c r="L3" s="48">
        <f>E3</f>
        <v>1</v>
      </c>
      <c r="M3" s="50">
        <f>F3</f>
        <v>24.63</v>
      </c>
      <c r="N3" s="28">
        <f>L3*M3</f>
        <v>24.63</v>
      </c>
      <c r="O3" s="51">
        <f>N3-D3</f>
        <v>0.32999999999999829</v>
      </c>
      <c r="P3" s="14">
        <f>IF(D3=0,"n/a",O3/D3)</f>
        <v>1.3580246913580176E-2</v>
      </c>
    </row>
    <row r="4" spans="1:16" x14ac:dyDescent="0.25">
      <c r="A4" s="10" t="s">
        <v>0</v>
      </c>
      <c r="B4" s="60">
        <f>+B37</f>
        <v>2000</v>
      </c>
      <c r="C4" s="30">
        <v>2.247E-2</v>
      </c>
      <c r="D4" s="28">
        <f t="shared" ref="D4:D34" si="2">+B4*C4</f>
        <v>44.94</v>
      </c>
      <c r="E4" s="60">
        <f>+B37</f>
        <v>2000</v>
      </c>
      <c r="F4" s="30">
        <f>+'2012 - 2014 (With Dead Band)'!V6</f>
        <v>2.2769999999999999E-2</v>
      </c>
      <c r="G4" s="28">
        <f t="shared" si="0"/>
        <v>45.54</v>
      </c>
      <c r="H4" s="51">
        <f t="shared" si="1"/>
        <v>0.60000000000000142</v>
      </c>
      <c r="I4" s="14">
        <f t="shared" ref="I4:I11" si="3">IF(D4=0,"n/a",H4/D4)</f>
        <v>1.3351134846461981E-2</v>
      </c>
      <c r="J4" s="178">
        <f>SUM(H3:H4)/SUM(D3:D4)</f>
        <v>1.3431542461005197E-2</v>
      </c>
      <c r="L4" s="48">
        <f t="shared" ref="L4:L34" si="4">E4</f>
        <v>2000</v>
      </c>
      <c r="M4" s="30">
        <f>F4</f>
        <v>2.2769999999999999E-2</v>
      </c>
      <c r="N4" s="28">
        <f t="shared" ref="N4:N34" si="5">L4*M4</f>
        <v>45.54</v>
      </c>
      <c r="O4" s="51">
        <f t="shared" ref="O4:O35" si="6">N4-D4</f>
        <v>0.60000000000000142</v>
      </c>
      <c r="P4" s="14">
        <f t="shared" ref="P4:P13" si="7">IF(D4=0,"n/a",O4/D4)</f>
        <v>1.3351134846461981E-2</v>
      </c>
    </row>
    <row r="5" spans="1:16" ht="15" customHeight="1" x14ac:dyDescent="0.25">
      <c r="A5" s="10" t="s">
        <v>106</v>
      </c>
      <c r="B5" s="60">
        <v>1</v>
      </c>
      <c r="C5" s="50">
        <v>0.68</v>
      </c>
      <c r="D5" s="28">
        <f t="shared" si="2"/>
        <v>0.68</v>
      </c>
      <c r="E5" s="60">
        <v>1</v>
      </c>
      <c r="F5" s="50">
        <f>+C5</f>
        <v>0.68</v>
      </c>
      <c r="G5" s="28">
        <f t="shared" si="0"/>
        <v>0.68</v>
      </c>
      <c r="H5" s="51">
        <f t="shared" si="1"/>
        <v>0</v>
      </c>
      <c r="I5" s="14">
        <f t="shared" si="3"/>
        <v>0</v>
      </c>
      <c r="L5" s="48">
        <f t="shared" si="4"/>
        <v>1</v>
      </c>
      <c r="M5" s="474">
        <f>+'2012 - 2014 SM'!F18</f>
        <v>1.01</v>
      </c>
      <c r="N5" s="28">
        <f t="shared" si="5"/>
        <v>1.01</v>
      </c>
      <c r="O5" s="51">
        <f t="shared" si="6"/>
        <v>0.32999999999999996</v>
      </c>
      <c r="P5" s="14">
        <f t="shared" si="7"/>
        <v>0.48529411764705871</v>
      </c>
    </row>
    <row r="6" spans="1:16" x14ac:dyDescent="0.25">
      <c r="A6" s="10" t="s">
        <v>16</v>
      </c>
      <c r="B6" s="58">
        <v>0</v>
      </c>
      <c r="C6" s="30">
        <v>0</v>
      </c>
      <c r="D6" s="28">
        <f t="shared" si="2"/>
        <v>0</v>
      </c>
      <c r="E6" s="58">
        <v>0</v>
      </c>
      <c r="F6" s="30">
        <v>0</v>
      </c>
      <c r="G6" s="28">
        <f t="shared" si="0"/>
        <v>0</v>
      </c>
      <c r="H6" s="51">
        <f t="shared" si="1"/>
        <v>0</v>
      </c>
      <c r="I6" s="14" t="str">
        <f t="shared" si="3"/>
        <v>n/a</v>
      </c>
      <c r="L6" s="48">
        <f t="shared" si="4"/>
        <v>0</v>
      </c>
      <c r="M6" s="30">
        <f>+'2012 LRAM'!E17</f>
        <v>8.0000000000000007E-5</v>
      </c>
      <c r="N6" s="28">
        <f t="shared" si="5"/>
        <v>0</v>
      </c>
      <c r="O6" s="51">
        <f t="shared" si="6"/>
        <v>0</v>
      </c>
      <c r="P6" s="14" t="str">
        <f t="shared" si="7"/>
        <v>n/a</v>
      </c>
    </row>
    <row r="7" spans="1:16" x14ac:dyDescent="0.25">
      <c r="A7" s="10" t="s">
        <v>302</v>
      </c>
      <c r="B7" s="58">
        <v>0</v>
      </c>
      <c r="C7" s="30">
        <v>0</v>
      </c>
      <c r="D7" s="28">
        <f t="shared" si="2"/>
        <v>0</v>
      </c>
      <c r="E7" s="58">
        <v>0</v>
      </c>
      <c r="F7" s="30">
        <v>0</v>
      </c>
      <c r="G7" s="28">
        <f t="shared" si="0"/>
        <v>0</v>
      </c>
      <c r="H7" s="51">
        <f t="shared" si="1"/>
        <v>0</v>
      </c>
      <c r="I7" s="14" t="str">
        <f t="shared" si="3"/>
        <v>n/a</v>
      </c>
      <c r="L7" s="48">
        <f>+B37</f>
        <v>2000</v>
      </c>
      <c r="M7" s="30">
        <f>+'2012 RARA'!F41</f>
        <v>-4.4999999999999999E-4</v>
      </c>
      <c r="N7" s="28">
        <f t="shared" si="5"/>
        <v>-0.9</v>
      </c>
      <c r="O7" s="51">
        <f t="shared" si="6"/>
        <v>-0.9</v>
      </c>
      <c r="P7" s="14" t="str">
        <f t="shared" si="7"/>
        <v>n/a</v>
      </c>
    </row>
    <row r="8" spans="1:16" ht="15" customHeight="1" x14ac:dyDescent="0.25">
      <c r="A8" s="10" t="s">
        <v>98</v>
      </c>
      <c r="B8" s="58">
        <v>0</v>
      </c>
      <c r="C8" s="30">
        <v>0</v>
      </c>
      <c r="D8" s="28">
        <f t="shared" si="2"/>
        <v>0</v>
      </c>
      <c r="E8" s="58">
        <v>0</v>
      </c>
      <c r="F8" s="30">
        <v>0</v>
      </c>
      <c r="G8" s="28">
        <f t="shared" si="0"/>
        <v>0</v>
      </c>
      <c r="H8" s="51">
        <f t="shared" si="1"/>
        <v>0</v>
      </c>
      <c r="I8" s="14" t="str">
        <f t="shared" si="3"/>
        <v>n/a</v>
      </c>
      <c r="L8" s="48">
        <f>+B37</f>
        <v>2000</v>
      </c>
      <c r="M8" s="473">
        <f>+'2012 GA Rate Rider'!F17</f>
        <v>1.56E-3</v>
      </c>
      <c r="N8" s="184">
        <f t="shared" si="5"/>
        <v>3.12</v>
      </c>
      <c r="O8" s="51">
        <f t="shared" si="6"/>
        <v>3.12</v>
      </c>
      <c r="P8" s="14" t="str">
        <f t="shared" si="7"/>
        <v>n/a</v>
      </c>
    </row>
    <row r="9" spans="1:16" ht="15" customHeight="1" x14ac:dyDescent="0.25">
      <c r="A9" s="10" t="s">
        <v>182</v>
      </c>
      <c r="B9" s="58">
        <v>0</v>
      </c>
      <c r="C9" s="30">
        <v>0</v>
      </c>
      <c r="D9" s="28">
        <f t="shared" si="2"/>
        <v>0</v>
      </c>
      <c r="E9" s="48">
        <v>0</v>
      </c>
      <c r="F9" s="30">
        <v>0</v>
      </c>
      <c r="G9" s="28">
        <f t="shared" si="0"/>
        <v>0</v>
      </c>
      <c r="H9" s="51">
        <f t="shared" si="1"/>
        <v>0</v>
      </c>
      <c r="I9" s="14" t="str">
        <f t="shared" si="3"/>
        <v>n/a</v>
      </c>
      <c r="L9" s="48">
        <v>0</v>
      </c>
      <c r="M9" s="30">
        <v>0</v>
      </c>
      <c r="N9" s="28">
        <f t="shared" si="5"/>
        <v>0</v>
      </c>
      <c r="O9" s="51">
        <f t="shared" si="6"/>
        <v>0</v>
      </c>
      <c r="P9" s="14" t="str">
        <f t="shared" si="7"/>
        <v>n/a</v>
      </c>
    </row>
    <row r="10" spans="1:16" x14ac:dyDescent="0.25">
      <c r="A10" s="10" t="s">
        <v>15</v>
      </c>
      <c r="B10" s="58">
        <v>0</v>
      </c>
      <c r="C10" s="50">
        <v>0</v>
      </c>
      <c r="D10" s="28">
        <f t="shared" si="2"/>
        <v>0</v>
      </c>
      <c r="E10" s="58">
        <v>0</v>
      </c>
      <c r="F10" s="50">
        <v>0</v>
      </c>
      <c r="G10" s="28">
        <f t="shared" si="0"/>
        <v>0</v>
      </c>
      <c r="H10" s="51">
        <f t="shared" si="1"/>
        <v>0</v>
      </c>
      <c r="I10" s="14" t="str">
        <f t="shared" si="3"/>
        <v>n/a</v>
      </c>
      <c r="L10" s="69">
        <f t="shared" si="4"/>
        <v>0</v>
      </c>
      <c r="M10" s="82">
        <f>F10</f>
        <v>0</v>
      </c>
      <c r="N10" s="70">
        <f t="shared" si="5"/>
        <v>0</v>
      </c>
      <c r="O10" s="51">
        <f t="shared" si="6"/>
        <v>0</v>
      </c>
      <c r="P10" s="14" t="str">
        <f t="shared" si="7"/>
        <v>n/a</v>
      </c>
    </row>
    <row r="11" spans="1:16" x14ac:dyDescent="0.25">
      <c r="A11" s="10" t="s">
        <v>229</v>
      </c>
      <c r="B11" s="69">
        <v>1</v>
      </c>
      <c r="C11" s="474">
        <f>+'LPP Rate Riders'!F16</f>
        <v>0.69</v>
      </c>
      <c r="D11" s="28">
        <f t="shared" si="2"/>
        <v>0.69</v>
      </c>
      <c r="E11" s="58">
        <v>0</v>
      </c>
      <c r="F11" s="50">
        <v>0</v>
      </c>
      <c r="G11" s="28">
        <f t="shared" si="0"/>
        <v>0</v>
      </c>
      <c r="H11" s="51">
        <f t="shared" si="1"/>
        <v>-0.69</v>
      </c>
      <c r="I11" s="14">
        <f t="shared" si="3"/>
        <v>-1</v>
      </c>
      <c r="L11" s="69">
        <f t="shared" si="4"/>
        <v>0</v>
      </c>
      <c r="M11" s="82">
        <f>F11</f>
        <v>0</v>
      </c>
      <c r="N11" s="70">
        <f t="shared" si="5"/>
        <v>0</v>
      </c>
      <c r="O11" s="51">
        <f>N11-D11</f>
        <v>-0.69</v>
      </c>
      <c r="P11" s="14">
        <f t="shared" si="7"/>
        <v>-1</v>
      </c>
    </row>
    <row r="12" spans="1:16" x14ac:dyDescent="0.25">
      <c r="A12" s="10" t="s">
        <v>217</v>
      </c>
      <c r="B12" s="58">
        <v>0</v>
      </c>
      <c r="C12" s="30">
        <v>0</v>
      </c>
      <c r="D12" s="28">
        <f>+B12*C12</f>
        <v>0</v>
      </c>
      <c r="E12" s="58">
        <v>0</v>
      </c>
      <c r="F12" s="30">
        <v>0</v>
      </c>
      <c r="G12" s="28">
        <f t="shared" si="0"/>
        <v>0</v>
      </c>
      <c r="H12" s="51">
        <f t="shared" si="1"/>
        <v>0</v>
      </c>
      <c r="I12" s="14" t="str">
        <f>IF(D12=0,"n/a",H12/D12)</f>
        <v>n/a</v>
      </c>
      <c r="L12" s="48">
        <v>0</v>
      </c>
      <c r="M12" s="30">
        <v>0</v>
      </c>
      <c r="N12" s="28">
        <f>L12*M12</f>
        <v>0</v>
      </c>
      <c r="O12" s="51">
        <f t="shared" si="6"/>
        <v>0</v>
      </c>
      <c r="P12" s="14" t="str">
        <f t="shared" si="7"/>
        <v>n/a</v>
      </c>
    </row>
    <row r="13" spans="1:16" x14ac:dyDescent="0.25">
      <c r="A13" s="10" t="s">
        <v>218</v>
      </c>
      <c r="B13" s="48">
        <f>B9</f>
        <v>0</v>
      </c>
      <c r="C13" s="30">
        <v>0</v>
      </c>
      <c r="D13" s="28">
        <f t="shared" si="2"/>
        <v>0</v>
      </c>
      <c r="E13" s="58">
        <v>0</v>
      </c>
      <c r="F13" s="30">
        <v>0</v>
      </c>
      <c r="G13" s="28">
        <f t="shared" si="0"/>
        <v>0</v>
      </c>
      <c r="H13" s="51">
        <f t="shared" si="1"/>
        <v>0</v>
      </c>
      <c r="I13" s="14" t="str">
        <f>IF(D13=0,"n/a",H13/D13)</f>
        <v>n/a</v>
      </c>
      <c r="L13" s="48">
        <v>0</v>
      </c>
      <c r="M13" s="30">
        <v>0</v>
      </c>
      <c r="N13" s="28">
        <f t="shared" si="5"/>
        <v>0</v>
      </c>
      <c r="O13" s="51">
        <f>N13-D13</f>
        <v>0</v>
      </c>
      <c r="P13" s="14" t="str">
        <f t="shared" si="7"/>
        <v>n/a</v>
      </c>
    </row>
    <row r="14" spans="1:16" x14ac:dyDescent="0.25">
      <c r="A14" s="998" t="s">
        <v>375</v>
      </c>
      <c r="B14" s="58">
        <v>0</v>
      </c>
      <c r="C14" s="30">
        <v>0</v>
      </c>
      <c r="D14" s="28">
        <f t="shared" ref="D14:D23" si="8">+B14*C14</f>
        <v>0</v>
      </c>
      <c r="E14" s="48">
        <v>1</v>
      </c>
      <c r="F14" s="50">
        <f>+'2012 - 2014 (With Dead Band)'!W6</f>
        <v>0.86</v>
      </c>
      <c r="G14" s="28">
        <f t="shared" ref="G14:G23" si="9">+E14*F14</f>
        <v>0.86</v>
      </c>
      <c r="H14" s="51">
        <f t="shared" ref="H14:H23" si="10">+G14-D14</f>
        <v>0.86</v>
      </c>
      <c r="I14" s="14" t="str">
        <f t="shared" ref="I14:I23" si="11">IF(D14=0,"n/a",H14/D14)</f>
        <v>n/a</v>
      </c>
      <c r="L14" s="48"/>
      <c r="M14" s="30"/>
      <c r="N14" s="28"/>
      <c r="O14" s="51"/>
      <c r="P14" s="14"/>
    </row>
    <row r="15" spans="1:16" x14ac:dyDescent="0.25">
      <c r="A15" s="998" t="s">
        <v>374</v>
      </c>
      <c r="B15" s="58">
        <v>0</v>
      </c>
      <c r="C15" s="30">
        <v>0</v>
      </c>
      <c r="D15" s="28">
        <f t="shared" si="8"/>
        <v>0</v>
      </c>
      <c r="E15" s="48">
        <v>2000</v>
      </c>
      <c r="F15" s="30">
        <f>+'2012 - 2014 (With Dead Band)'!X6</f>
        <v>8.0999999999999996E-4</v>
      </c>
      <c r="G15" s="28">
        <f t="shared" si="9"/>
        <v>1.6199999999999999</v>
      </c>
      <c r="H15" s="51">
        <f t="shared" si="10"/>
        <v>1.6199999999999999</v>
      </c>
      <c r="I15" s="14" t="str">
        <f t="shared" si="11"/>
        <v>n/a</v>
      </c>
      <c r="L15" s="48"/>
      <c r="M15" s="30"/>
      <c r="N15" s="28"/>
      <c r="O15" s="51"/>
      <c r="P15" s="14"/>
    </row>
    <row r="16" spans="1:16" x14ac:dyDescent="0.25">
      <c r="A16" s="998" t="s">
        <v>384</v>
      </c>
      <c r="B16" s="58">
        <v>0</v>
      </c>
      <c r="C16" s="30">
        <v>0</v>
      </c>
      <c r="D16" s="28">
        <f t="shared" si="8"/>
        <v>0</v>
      </c>
      <c r="E16" s="48">
        <v>0</v>
      </c>
      <c r="F16" s="30">
        <f>+'2012 - 2014 (With Dead Band)'!Y6</f>
        <v>0</v>
      </c>
      <c r="G16" s="28">
        <f t="shared" si="9"/>
        <v>0</v>
      </c>
      <c r="H16" s="51">
        <f>+G16-D16</f>
        <v>0</v>
      </c>
      <c r="I16" s="14" t="str">
        <f>IF(D16=0,"n/a",H16/D16)</f>
        <v>n/a</v>
      </c>
      <c r="L16" s="48"/>
      <c r="M16" s="30"/>
      <c r="N16" s="28"/>
      <c r="O16" s="51"/>
      <c r="P16" s="14"/>
    </row>
    <row r="17" spans="1:16" x14ac:dyDescent="0.25">
      <c r="A17" s="998" t="str">
        <f>+'2012 - 2014 (With Dead Band)'!AG3</f>
        <v>2012 Foregone IRM Rate Rider - MFC</v>
      </c>
      <c r="B17" s="48">
        <v>0</v>
      </c>
      <c r="C17" s="30">
        <v>0</v>
      </c>
      <c r="D17" s="28">
        <f t="shared" si="8"/>
        <v>0</v>
      </c>
      <c r="E17" s="48">
        <v>1</v>
      </c>
      <c r="F17" s="50">
        <f>+'2012 - 2014 (With Dead Band)'!AG6</f>
        <v>7.0000000000000007E-2</v>
      </c>
      <c r="G17" s="28">
        <f t="shared" si="9"/>
        <v>7.0000000000000007E-2</v>
      </c>
      <c r="H17" s="51">
        <f>+G17-D17</f>
        <v>7.0000000000000007E-2</v>
      </c>
      <c r="I17" s="14" t="str">
        <f>IF(D17=0,"n/a",H17/D17)</f>
        <v>n/a</v>
      </c>
      <c r="L17" s="48"/>
      <c r="M17" s="30"/>
      <c r="N17" s="28"/>
      <c r="O17" s="51"/>
      <c r="P17" s="14"/>
    </row>
    <row r="18" spans="1:16" x14ac:dyDescent="0.25">
      <c r="A18" s="998" t="str">
        <f>+'2012 - 2014 (With Dead Band)'!AH3</f>
        <v>2012 Foregone IRM Rate Rider - DVR</v>
      </c>
      <c r="B18" s="48">
        <v>0</v>
      </c>
      <c r="C18" s="30">
        <v>0</v>
      </c>
      <c r="D18" s="28">
        <f t="shared" si="8"/>
        <v>0</v>
      </c>
      <c r="E18" s="48">
        <v>2000</v>
      </c>
      <c r="F18" s="30">
        <f>+'2012 - 2014 (With Dead Band)'!AH6</f>
        <v>6.9999999999999994E-5</v>
      </c>
      <c r="G18" s="28">
        <f t="shared" si="9"/>
        <v>0.13999999999999999</v>
      </c>
      <c r="H18" s="51">
        <f>+G18-D18</f>
        <v>0.13999999999999999</v>
      </c>
      <c r="I18" s="14" t="str">
        <f>IF(D18=0,"n/a",H18/D18)</f>
        <v>n/a</v>
      </c>
      <c r="L18" s="48"/>
      <c r="M18" s="30"/>
      <c r="N18" s="28"/>
      <c r="O18" s="51"/>
      <c r="P18" s="14"/>
    </row>
    <row r="19" spans="1:16" x14ac:dyDescent="0.25">
      <c r="A19" s="998" t="str">
        <f>+'2012 - 2014 (With Dead Band)'!$Z$3</f>
        <v>2012 ICM Rate Adder - MFC</v>
      </c>
      <c r="B19" s="58">
        <v>0</v>
      </c>
      <c r="C19" s="30">
        <v>0</v>
      </c>
      <c r="D19" s="28">
        <f t="shared" si="8"/>
        <v>0</v>
      </c>
      <c r="E19" s="48">
        <v>1</v>
      </c>
      <c r="F19" s="50">
        <f>+'2012 - 2014 (With Dead Band)'!Z6</f>
        <v>0.69</v>
      </c>
      <c r="G19" s="28">
        <f t="shared" si="9"/>
        <v>0.69</v>
      </c>
      <c r="H19" s="51">
        <f t="shared" si="10"/>
        <v>0.69</v>
      </c>
      <c r="I19" s="14" t="str">
        <f t="shared" si="11"/>
        <v>n/a</v>
      </c>
      <c r="L19" s="48"/>
      <c r="M19" s="30"/>
      <c r="N19" s="28"/>
      <c r="O19" s="51"/>
      <c r="P19" s="14"/>
    </row>
    <row r="20" spans="1:16" x14ac:dyDescent="0.25">
      <c r="A20" s="998" t="str">
        <f>+'2012 - 2014 (With Dead Band)'!$AA$3</f>
        <v>2012 ICM Rate Adder - DVR</v>
      </c>
      <c r="B20" s="58">
        <v>0</v>
      </c>
      <c r="C20" s="30">
        <v>0</v>
      </c>
      <c r="D20" s="28">
        <f t="shared" si="8"/>
        <v>0</v>
      </c>
      <c r="E20" s="48">
        <v>2000</v>
      </c>
      <c r="F20" s="30">
        <f>+'2012 - 2014 (With Dead Band)'!AA6</f>
        <v>6.4000000000000005E-4</v>
      </c>
      <c r="G20" s="28">
        <f t="shared" si="9"/>
        <v>1.28</v>
      </c>
      <c r="H20" s="51">
        <f t="shared" si="10"/>
        <v>1.28</v>
      </c>
      <c r="I20" s="14" t="str">
        <f t="shared" si="11"/>
        <v>n/a</v>
      </c>
      <c r="L20" s="48"/>
      <c r="M20" s="30"/>
      <c r="N20" s="28"/>
      <c r="O20" s="51"/>
      <c r="P20" s="14"/>
    </row>
    <row r="21" spans="1:16" x14ac:dyDescent="0.25">
      <c r="A21" s="998" t="str">
        <f>+'2012 - 2014 (With Dead Band)'!AE3</f>
        <v>2013 ICM Rate Adder - MFC</v>
      </c>
      <c r="B21" s="58">
        <v>0</v>
      </c>
      <c r="C21" s="30">
        <v>0</v>
      </c>
      <c r="D21" s="28">
        <f>+B21*C21</f>
        <v>0</v>
      </c>
      <c r="E21" s="48">
        <v>1</v>
      </c>
      <c r="F21" s="50">
        <f>+'2012 - 2014 (With Dead Band)'!AE6</f>
        <v>1.81</v>
      </c>
      <c r="G21" s="28">
        <f t="shared" si="9"/>
        <v>1.81</v>
      </c>
      <c r="H21" s="51">
        <f>+G21-D21</f>
        <v>1.81</v>
      </c>
      <c r="I21" s="14" t="str">
        <f>IF(D21=0,"n/a",H21/D21)</f>
        <v>n/a</v>
      </c>
      <c r="L21" s="48"/>
      <c r="M21" s="30"/>
      <c r="N21" s="28"/>
      <c r="O21" s="51"/>
      <c r="P21" s="14"/>
    </row>
    <row r="22" spans="1:16" x14ac:dyDescent="0.25">
      <c r="A22" s="998" t="str">
        <f>+'2012 - 2014 (With Dead Band)'!AF3</f>
        <v>2013 ICM Rate Adder - DVR</v>
      </c>
      <c r="B22" s="58">
        <v>0</v>
      </c>
      <c r="C22" s="30">
        <v>0</v>
      </c>
      <c r="D22" s="28">
        <f>+B22*C22</f>
        <v>0</v>
      </c>
      <c r="E22" s="48">
        <v>2000</v>
      </c>
      <c r="F22" s="30">
        <f>+'2012 - 2014 (With Dead Band)'!AF6</f>
        <v>1.6999999999999999E-3</v>
      </c>
      <c r="G22" s="28">
        <f t="shared" si="9"/>
        <v>3.4</v>
      </c>
      <c r="H22" s="51">
        <f>+G22-D22</f>
        <v>3.4</v>
      </c>
      <c r="I22" s="14" t="str">
        <f>IF(D22=0,"n/a",H22/D22)</f>
        <v>n/a</v>
      </c>
      <c r="L22" s="48"/>
      <c r="M22" s="30"/>
      <c r="N22" s="28"/>
      <c r="O22" s="51"/>
      <c r="P22" s="14"/>
    </row>
    <row r="23" spans="1:16" x14ac:dyDescent="0.25">
      <c r="A23" s="998" t="str">
        <f>+'2012 - 2014 (With Dead Band)'!$AD$3</f>
        <v>Deferral/Variance Account Rate Rider</v>
      </c>
      <c r="B23" s="58">
        <v>0</v>
      </c>
      <c r="C23" s="30">
        <v>0</v>
      </c>
      <c r="D23" s="28">
        <f t="shared" si="8"/>
        <v>0</v>
      </c>
      <c r="E23" s="48">
        <v>2000</v>
      </c>
      <c r="F23" s="30">
        <f>+'2012 - 2014 (With Dead Band)'!AD6</f>
        <v>-3.2000000000000003E-4</v>
      </c>
      <c r="G23" s="28">
        <f t="shared" si="9"/>
        <v>-0.64</v>
      </c>
      <c r="H23" s="51">
        <f t="shared" si="10"/>
        <v>-0.64</v>
      </c>
      <c r="I23" s="14" t="str">
        <f t="shared" si="11"/>
        <v>n/a</v>
      </c>
      <c r="L23" s="48"/>
      <c r="M23" s="30"/>
      <c r="N23" s="28"/>
      <c r="O23" s="51"/>
      <c r="P23" s="14"/>
    </row>
    <row r="24" spans="1:16" x14ac:dyDescent="0.25">
      <c r="A24" s="6" t="s">
        <v>1</v>
      </c>
      <c r="B24" s="59"/>
      <c r="C24" s="44"/>
      <c r="D24" s="54">
        <f>SUM(D3:D23)</f>
        <v>70.61</v>
      </c>
      <c r="E24" s="59"/>
      <c r="F24" s="44"/>
      <c r="G24" s="54">
        <f>SUM(G3:G23)</f>
        <v>80.080000000000013</v>
      </c>
      <c r="H24" s="57">
        <f>SUM(H3:H23)</f>
        <v>9.4699999999999989</v>
      </c>
      <c r="I24" s="244">
        <f>+H24/D24</f>
        <v>0.13411698059764904</v>
      </c>
      <c r="J24" s="161" t="s">
        <v>18</v>
      </c>
      <c r="L24" s="49">
        <f t="shared" si="4"/>
        <v>0</v>
      </c>
      <c r="M24" s="44"/>
      <c r="N24" s="54">
        <f>SUM(N3:N13)</f>
        <v>73.400000000000006</v>
      </c>
      <c r="O24" s="57">
        <f>SUM(O3:O13)</f>
        <v>2.79</v>
      </c>
      <c r="P24" s="15">
        <f>O24/D24</f>
        <v>3.9512816881461549E-2</v>
      </c>
    </row>
    <row r="25" spans="1:16" x14ac:dyDescent="0.25">
      <c r="A25" s="10" t="s">
        <v>2</v>
      </c>
      <c r="B25" s="60">
        <f>+$B$37*B38</f>
        <v>2075.2000000000003</v>
      </c>
      <c r="C25" s="42">
        <v>6.7999999999999996E-3</v>
      </c>
      <c r="D25" s="28">
        <f t="shared" si="2"/>
        <v>14.111360000000001</v>
      </c>
      <c r="E25" s="60">
        <f>+B25</f>
        <v>2075.2000000000003</v>
      </c>
      <c r="F25" s="42">
        <f>+'2012 - 2014 (With Dead Band)'!AB6</f>
        <v>7.7999999999999996E-3</v>
      </c>
      <c r="G25" s="28">
        <f>+E25*F25</f>
        <v>16.18656</v>
      </c>
      <c r="H25" s="51">
        <f>+G25-D25</f>
        <v>2.0751999999999988</v>
      </c>
      <c r="I25" s="14">
        <f>+H25/D25</f>
        <v>0.14705882352941166</v>
      </c>
      <c r="L25" s="60">
        <f t="shared" si="4"/>
        <v>2075.2000000000003</v>
      </c>
      <c r="M25" s="42">
        <f>F25</f>
        <v>7.7999999999999996E-3</v>
      </c>
      <c r="N25" s="28">
        <f t="shared" si="5"/>
        <v>16.18656</v>
      </c>
      <c r="O25" s="51">
        <f t="shared" si="6"/>
        <v>2.0751999999999988</v>
      </c>
      <c r="P25" s="13">
        <f>O25/D25</f>
        <v>0.14705882352941166</v>
      </c>
    </row>
    <row r="26" spans="1:16" x14ac:dyDescent="0.25">
      <c r="A26" s="10" t="s">
        <v>3</v>
      </c>
      <c r="B26" s="60">
        <f>+$B$37*B38</f>
        <v>2075.2000000000003</v>
      </c>
      <c r="C26" s="42">
        <v>4.6300000000000004E-3</v>
      </c>
      <c r="D26" s="28">
        <f t="shared" si="2"/>
        <v>9.608176000000002</v>
      </c>
      <c r="E26" s="60">
        <f>+B26</f>
        <v>2075.2000000000003</v>
      </c>
      <c r="F26" s="42">
        <f>+'2012 - 2014 (With Dead Band)'!AC6</f>
        <v>5.0600000000000003E-3</v>
      </c>
      <c r="G26" s="28">
        <f>+E26*F26</f>
        <v>10.500512000000002</v>
      </c>
      <c r="H26" s="51">
        <f>+G26-D26</f>
        <v>0.89233600000000024</v>
      </c>
      <c r="I26" s="14">
        <f>+H26/D26</f>
        <v>9.2872570194384454E-2</v>
      </c>
      <c r="L26" s="60">
        <f t="shared" si="4"/>
        <v>2075.2000000000003</v>
      </c>
      <c r="M26" s="42">
        <f>F26</f>
        <v>5.0600000000000003E-3</v>
      </c>
      <c r="N26" s="28">
        <f t="shared" si="5"/>
        <v>10.500512000000002</v>
      </c>
      <c r="O26" s="51">
        <f t="shared" si="6"/>
        <v>0.89233600000000024</v>
      </c>
      <c r="P26" s="13">
        <f>O26/D26</f>
        <v>9.2872570194384454E-2</v>
      </c>
    </row>
    <row r="27" spans="1:16" x14ac:dyDescent="0.25">
      <c r="A27" s="6" t="s">
        <v>4</v>
      </c>
      <c r="B27" s="59"/>
      <c r="C27" s="44"/>
      <c r="D27" s="54">
        <f>SUM(D24:D26)</f>
        <v>94.329536000000004</v>
      </c>
      <c r="E27" s="59"/>
      <c r="F27" s="44"/>
      <c r="G27" s="54">
        <f>SUM(G24:G26)</f>
        <v>106.76707200000001</v>
      </c>
      <c r="H27" s="57">
        <f>+G27-D27</f>
        <v>12.437536000000009</v>
      </c>
      <c r="I27" s="244">
        <f>+H27/D27</f>
        <v>0.13185197900263187</v>
      </c>
      <c r="L27" s="59">
        <f t="shared" si="4"/>
        <v>0</v>
      </c>
      <c r="M27" s="44"/>
      <c r="N27" s="54">
        <f>SUM(N24:N26)</f>
        <v>100.08707200000001</v>
      </c>
      <c r="O27" s="57">
        <f t="shared" si="6"/>
        <v>5.7575360000000018</v>
      </c>
      <c r="P27" s="15">
        <f>O27/D27</f>
        <v>6.1036407515033274E-2</v>
      </c>
    </row>
    <row r="28" spans="1:16" x14ac:dyDescent="0.25">
      <c r="A28" s="10" t="s">
        <v>5</v>
      </c>
      <c r="B28" s="60">
        <f>+$B$37*B38</f>
        <v>2075.2000000000003</v>
      </c>
      <c r="C28" s="52">
        <v>5.1999999999999998E-3</v>
      </c>
      <c r="D28" s="28">
        <f t="shared" si="2"/>
        <v>10.791040000000001</v>
      </c>
      <c r="E28" s="60">
        <f t="shared" ref="E28:F31" si="12">+B28</f>
        <v>2075.2000000000003</v>
      </c>
      <c r="F28" s="52">
        <f t="shared" si="12"/>
        <v>5.1999999999999998E-3</v>
      </c>
      <c r="G28" s="28">
        <f t="shared" ref="G28:G34" si="13">+E28*F28</f>
        <v>10.791040000000001</v>
      </c>
      <c r="H28" s="51">
        <f t="shared" ref="H28:H34" si="14">+G28-D28</f>
        <v>0</v>
      </c>
      <c r="I28" s="14">
        <f t="shared" ref="I28:I34" si="15">IF(D28=0,"n/a",H28/D28)</f>
        <v>0</v>
      </c>
      <c r="L28" s="60">
        <f t="shared" si="4"/>
        <v>2075.2000000000003</v>
      </c>
      <c r="M28" s="52">
        <f t="shared" ref="M28:M34" si="16">F28</f>
        <v>5.1999999999999998E-3</v>
      </c>
      <c r="N28" s="179">
        <f t="shared" si="5"/>
        <v>10.791040000000001</v>
      </c>
      <c r="O28" s="51">
        <f t="shared" si="6"/>
        <v>0</v>
      </c>
      <c r="P28" s="14">
        <f t="shared" ref="P28:P34" si="17">IF(D28=0,"n/a",O28/D28)</f>
        <v>0</v>
      </c>
    </row>
    <row r="29" spans="1:16" x14ac:dyDescent="0.25">
      <c r="A29" s="10" t="s">
        <v>6</v>
      </c>
      <c r="B29" s="60">
        <f>+$B$37*B38</f>
        <v>2075.2000000000003</v>
      </c>
      <c r="C29" s="52">
        <v>1.1000000000000001E-3</v>
      </c>
      <c r="D29" s="28">
        <f t="shared" si="2"/>
        <v>2.2827200000000003</v>
      </c>
      <c r="E29" s="60">
        <f t="shared" si="12"/>
        <v>2075.2000000000003</v>
      </c>
      <c r="F29" s="52">
        <f t="shared" si="12"/>
        <v>1.1000000000000001E-3</v>
      </c>
      <c r="G29" s="28">
        <f t="shared" si="13"/>
        <v>2.2827200000000003</v>
      </c>
      <c r="H29" s="51">
        <f t="shared" si="14"/>
        <v>0</v>
      </c>
      <c r="I29" s="14">
        <f t="shared" si="15"/>
        <v>0</v>
      </c>
      <c r="L29" s="60">
        <f t="shared" si="4"/>
        <v>2075.2000000000003</v>
      </c>
      <c r="M29" s="52">
        <f t="shared" si="16"/>
        <v>1.1000000000000001E-3</v>
      </c>
      <c r="N29" s="179">
        <f t="shared" si="5"/>
        <v>2.2827200000000003</v>
      </c>
      <c r="O29" s="51">
        <f t="shared" si="6"/>
        <v>0</v>
      </c>
      <c r="P29" s="14">
        <f t="shared" si="17"/>
        <v>0</v>
      </c>
    </row>
    <row r="30" spans="1:16" x14ac:dyDescent="0.25">
      <c r="A30" s="10" t="s">
        <v>7</v>
      </c>
      <c r="B30" s="60">
        <f>+B37</f>
        <v>2000</v>
      </c>
      <c r="C30" s="52">
        <v>7.0000000000000001E-3</v>
      </c>
      <c r="D30" s="28">
        <f t="shared" si="2"/>
        <v>14</v>
      </c>
      <c r="E30" s="60">
        <f t="shared" si="12"/>
        <v>2000</v>
      </c>
      <c r="F30" s="52">
        <f t="shared" si="12"/>
        <v>7.0000000000000001E-3</v>
      </c>
      <c r="G30" s="28">
        <f t="shared" si="13"/>
        <v>14</v>
      </c>
      <c r="H30" s="51">
        <f t="shared" si="14"/>
        <v>0</v>
      </c>
      <c r="I30" s="14">
        <f t="shared" si="15"/>
        <v>0</v>
      </c>
      <c r="L30" s="60">
        <f t="shared" si="4"/>
        <v>2000</v>
      </c>
      <c r="M30" s="52">
        <f t="shared" si="16"/>
        <v>7.0000000000000001E-3</v>
      </c>
      <c r="N30" s="179">
        <f t="shared" si="5"/>
        <v>14</v>
      </c>
      <c r="O30" s="51">
        <f t="shared" si="6"/>
        <v>0</v>
      </c>
      <c r="P30" s="14">
        <f t="shared" si="17"/>
        <v>0</v>
      </c>
    </row>
    <row r="31" spans="1:16" x14ac:dyDescent="0.25">
      <c r="A31" s="10" t="s">
        <v>19</v>
      </c>
      <c r="B31" s="60">
        <v>1</v>
      </c>
      <c r="C31" s="51">
        <v>0.25</v>
      </c>
      <c r="D31" s="28">
        <f t="shared" si="2"/>
        <v>0.25</v>
      </c>
      <c r="E31" s="60">
        <f t="shared" si="12"/>
        <v>1</v>
      </c>
      <c r="F31" s="51">
        <f t="shared" si="12"/>
        <v>0.25</v>
      </c>
      <c r="G31" s="28">
        <f t="shared" si="13"/>
        <v>0.25</v>
      </c>
      <c r="H31" s="51">
        <f>+G31-D31</f>
        <v>0</v>
      </c>
      <c r="I31" s="14">
        <f t="shared" si="15"/>
        <v>0</v>
      </c>
      <c r="L31" s="58">
        <f t="shared" si="4"/>
        <v>1</v>
      </c>
      <c r="M31" s="51">
        <f t="shared" si="16"/>
        <v>0.25</v>
      </c>
      <c r="N31" s="179">
        <f t="shared" si="5"/>
        <v>0.25</v>
      </c>
      <c r="O31" s="51">
        <f t="shared" si="6"/>
        <v>0</v>
      </c>
      <c r="P31" s="14">
        <f t="shared" si="17"/>
        <v>0</v>
      </c>
    </row>
    <row r="32" spans="1:16" x14ac:dyDescent="0.25">
      <c r="A32" s="10" t="s">
        <v>108</v>
      </c>
      <c r="B32" s="60">
        <f>+B37*B38</f>
        <v>2075.2000000000003</v>
      </c>
      <c r="C32" s="42">
        <v>0</v>
      </c>
      <c r="D32" s="70">
        <f t="shared" si="2"/>
        <v>0</v>
      </c>
      <c r="E32" s="60">
        <f>+B32</f>
        <v>2075.2000000000003</v>
      </c>
      <c r="F32" s="42">
        <v>0</v>
      </c>
      <c r="G32" s="70">
        <f t="shared" si="13"/>
        <v>0</v>
      </c>
      <c r="H32" s="71">
        <f>+G32-D32</f>
        <v>0</v>
      </c>
      <c r="I32" s="14" t="str">
        <f t="shared" si="15"/>
        <v>n/a</v>
      </c>
      <c r="L32" s="60">
        <f t="shared" si="4"/>
        <v>2075.2000000000003</v>
      </c>
      <c r="M32" s="42">
        <f t="shared" si="16"/>
        <v>0</v>
      </c>
      <c r="N32" s="180">
        <f t="shared" si="5"/>
        <v>0</v>
      </c>
      <c r="O32" s="71">
        <f t="shared" si="6"/>
        <v>0</v>
      </c>
      <c r="P32" s="14" t="str">
        <f t="shared" si="17"/>
        <v>n/a</v>
      </c>
    </row>
    <row r="33" spans="1:16" x14ac:dyDescent="0.25">
      <c r="A33" s="10" t="s">
        <v>212</v>
      </c>
      <c r="B33" s="60">
        <v>750</v>
      </c>
      <c r="C33" s="245">
        <v>7.4999999999999997E-2</v>
      </c>
      <c r="D33" s="28">
        <f t="shared" si="2"/>
        <v>56.25</v>
      </c>
      <c r="E33" s="60">
        <f>+B33</f>
        <v>750</v>
      </c>
      <c r="F33" s="245">
        <f>+C33</f>
        <v>7.4999999999999997E-2</v>
      </c>
      <c r="G33" s="28">
        <f t="shared" si="13"/>
        <v>56.25</v>
      </c>
      <c r="H33" s="51">
        <f t="shared" si="14"/>
        <v>0</v>
      </c>
      <c r="I33" s="14">
        <f t="shared" si="15"/>
        <v>0</v>
      </c>
      <c r="L33" s="60">
        <f t="shared" si="4"/>
        <v>750</v>
      </c>
      <c r="M33" s="245">
        <f t="shared" si="16"/>
        <v>7.4999999999999997E-2</v>
      </c>
      <c r="N33" s="179">
        <f t="shared" si="5"/>
        <v>56.25</v>
      </c>
      <c r="O33" s="51">
        <f t="shared" si="6"/>
        <v>0</v>
      </c>
      <c r="P33" s="14">
        <f t="shared" si="17"/>
        <v>0</v>
      </c>
    </row>
    <row r="34" spans="1:16" x14ac:dyDescent="0.25">
      <c r="A34" s="10" t="s">
        <v>213</v>
      </c>
      <c r="B34" s="60">
        <f>(+$B$37*1.0376)-B33</f>
        <v>1325.2000000000003</v>
      </c>
      <c r="C34" s="245">
        <v>8.7999999999999995E-2</v>
      </c>
      <c r="D34" s="28">
        <f t="shared" si="2"/>
        <v>116.61760000000001</v>
      </c>
      <c r="E34" s="60">
        <f>+B34</f>
        <v>1325.2000000000003</v>
      </c>
      <c r="F34" s="245">
        <f>+C34</f>
        <v>8.7999999999999995E-2</v>
      </c>
      <c r="G34" s="28">
        <f t="shared" si="13"/>
        <v>116.61760000000001</v>
      </c>
      <c r="H34" s="51">
        <f t="shared" si="14"/>
        <v>0</v>
      </c>
      <c r="I34" s="14">
        <f t="shared" si="15"/>
        <v>0</v>
      </c>
      <c r="L34" s="60">
        <f t="shared" si="4"/>
        <v>1325.2000000000003</v>
      </c>
      <c r="M34" s="245">
        <f t="shared" si="16"/>
        <v>8.7999999999999995E-2</v>
      </c>
      <c r="N34" s="179">
        <f t="shared" si="5"/>
        <v>116.61760000000001</v>
      </c>
      <c r="O34" s="51">
        <f t="shared" si="6"/>
        <v>0</v>
      </c>
      <c r="P34" s="14">
        <f t="shared" si="17"/>
        <v>0</v>
      </c>
    </row>
    <row r="35" spans="1:16" ht="15.75" thickBot="1" x14ac:dyDescent="0.3">
      <c r="A35" s="7" t="s">
        <v>8</v>
      </c>
      <c r="B35" s="63"/>
      <c r="C35" s="45"/>
      <c r="D35" s="55">
        <f>SUM(D27:D34)</f>
        <v>294.52089599999999</v>
      </c>
      <c r="E35" s="63"/>
      <c r="F35" s="45"/>
      <c r="G35" s="55">
        <f>SUM(G27:G34)</f>
        <v>306.95843200000002</v>
      </c>
      <c r="H35" s="47">
        <f>+G35-D35</f>
        <v>12.437536000000023</v>
      </c>
      <c r="I35" s="16">
        <f>+H35/D35</f>
        <v>4.222972348963662E-2</v>
      </c>
      <c r="L35" s="47"/>
      <c r="M35" s="56"/>
      <c r="N35" s="55">
        <f>SUM(N27:N34)</f>
        <v>300.27843200000001</v>
      </c>
      <c r="O35" s="47">
        <f t="shared" si="6"/>
        <v>5.757536000000016</v>
      </c>
      <c r="P35" s="16">
        <f>O35/D35</f>
        <v>1.9548820060631678E-2</v>
      </c>
    </row>
    <row r="36" spans="1:16" ht="15.75" thickBot="1" x14ac:dyDescent="0.3">
      <c r="B36" s="68" t="s">
        <v>20</v>
      </c>
    </row>
    <row r="37" spans="1:16" ht="16.5" thickTop="1" thickBot="1" x14ac:dyDescent="0.3">
      <c r="A37" s="31" t="s">
        <v>103</v>
      </c>
      <c r="B37" s="1127">
        <v>2000</v>
      </c>
      <c r="D37" s="161"/>
      <c r="G37" s="161"/>
    </row>
    <row r="38" spans="1:16" ht="16.5" thickTop="1" thickBot="1" x14ac:dyDescent="0.3">
      <c r="A38" s="40" t="s">
        <v>104</v>
      </c>
      <c r="B38" s="67">
        <f>1.0376</f>
        <v>1.0376000000000001</v>
      </c>
      <c r="D38" s="161"/>
      <c r="G38" s="161"/>
    </row>
    <row r="39" spans="1:16" ht="15.75" thickTop="1" x14ac:dyDescent="0.25"/>
  </sheetData>
  <printOptions horizontalCentered="1"/>
  <pageMargins left="0.19685039370078741" right="0.19685039370078741" top="1.4960629921259843" bottom="0.31496062992125984" header="0.31496062992125984" footer="0.15748031496062992"/>
  <pageSetup scale="86" orientation="landscape" r:id="rId1"/>
  <headerFooter>
    <oddHeader>&amp;RToronto Hydro-Electric System Limited
EB-2012-0064
Tab 3
Schedule C2.2
Filed:  2012 May 10
Updated:  2012 Oct 31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view="pageBreakPreview" topLeftCell="A6" zoomScale="60" zoomScaleNormal="100" workbookViewId="0">
      <selection activeCell="S39" sqref="S39"/>
    </sheetView>
  </sheetViews>
  <sheetFormatPr defaultRowHeight="15" x14ac:dyDescent="0.25"/>
  <cols>
    <col min="1" max="1" width="48.28515625" style="1" customWidth="1"/>
    <col min="2" max="2" width="14.7109375" customWidth="1"/>
    <col min="3" max="3" width="10.7109375" customWidth="1"/>
    <col min="4" max="4" width="11.42578125" customWidth="1"/>
    <col min="5" max="5" width="15.140625" customWidth="1"/>
    <col min="6" max="9" width="10.7109375" customWidth="1"/>
    <col min="10" max="10" width="9.5703125" hidden="1" customWidth="1"/>
    <col min="11" max="11" width="8.85546875" hidden="1" customWidth="1"/>
    <col min="12" max="14" width="12.42578125" hidden="1" customWidth="1"/>
    <col min="15" max="16" width="9.140625" hidden="1" customWidth="1"/>
  </cols>
  <sheetData>
    <row r="1" spans="1:16" ht="15.75" thickBot="1" x14ac:dyDescent="0.3">
      <c r="A1" s="8" t="s">
        <v>387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3" t="s">
        <v>9</v>
      </c>
      <c r="P1" s="4"/>
    </row>
    <row r="2" spans="1:16" ht="15.75" thickBot="1" x14ac:dyDescent="0.3">
      <c r="A2" s="9"/>
      <c r="B2" s="11" t="s">
        <v>10</v>
      </c>
      <c r="C2" s="12" t="s">
        <v>11</v>
      </c>
      <c r="D2" s="12" t="s">
        <v>12</v>
      </c>
      <c r="E2" s="11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2" t="s">
        <v>10</v>
      </c>
      <c r="M2" s="12" t="s">
        <v>11</v>
      </c>
      <c r="N2" s="12" t="s">
        <v>12</v>
      </c>
      <c r="O2" s="252" t="s">
        <v>13</v>
      </c>
      <c r="P2" s="12" t="s">
        <v>14</v>
      </c>
    </row>
    <row r="3" spans="1:16" x14ac:dyDescent="0.25">
      <c r="A3" s="10" t="s">
        <v>105</v>
      </c>
      <c r="B3" s="60">
        <v>1</v>
      </c>
      <c r="C3" s="50">
        <v>35.56</v>
      </c>
      <c r="D3" s="28">
        <f>+B3*C3</f>
        <v>35.56</v>
      </c>
      <c r="E3" s="60">
        <v>1</v>
      </c>
      <c r="F3" s="50">
        <f>+'2012 - 2014 (With Dead Band)'!U7</f>
        <v>36.049999999999997</v>
      </c>
      <c r="G3" s="28">
        <f t="shared" ref="G3:G8" si="0">+E3*F3</f>
        <v>36.049999999999997</v>
      </c>
      <c r="H3" s="51">
        <f t="shared" ref="H3:H13" si="1">+G3-D3</f>
        <v>0.48999999999999488</v>
      </c>
      <c r="I3" s="14">
        <f>IF(D3=0,"n/a",H3/D3)</f>
        <v>1.3779527559054974E-2</v>
      </c>
      <c r="J3" s="161"/>
      <c r="L3" s="253">
        <f>E3</f>
        <v>1</v>
      </c>
      <c r="M3" s="50">
        <f t="shared" ref="M3:M34" si="2">F3</f>
        <v>36.049999999999997</v>
      </c>
      <c r="N3" s="254">
        <f>L3*M3</f>
        <v>36.049999999999997</v>
      </c>
      <c r="O3" s="51">
        <f>N3-D3</f>
        <v>0.48999999999999488</v>
      </c>
      <c r="P3" s="14">
        <f>IF(D3=0,"n/a",O3/D3)</f>
        <v>1.3779527559054974E-2</v>
      </c>
    </row>
    <row r="4" spans="1:16" x14ac:dyDescent="0.25">
      <c r="A4" s="10" t="s">
        <v>0</v>
      </c>
      <c r="B4" s="60">
        <f>+D37</f>
        <v>388</v>
      </c>
      <c r="C4" s="53">
        <v>5.5956000000000001</v>
      </c>
      <c r="D4" s="28">
        <f t="shared" ref="D4:D34" si="3">+B4*C4</f>
        <v>2171.0927999999999</v>
      </c>
      <c r="E4" s="60">
        <f>D37</f>
        <v>388</v>
      </c>
      <c r="F4" s="53">
        <f>+'2012 - 2014 (With Dead Band)'!V7</f>
        <v>5.6719999999999997</v>
      </c>
      <c r="G4" s="28">
        <f t="shared" si="0"/>
        <v>2200.7359999999999</v>
      </c>
      <c r="H4" s="51">
        <f t="shared" si="1"/>
        <v>29.643199999999979</v>
      </c>
      <c r="I4" s="14">
        <f t="shared" ref="I4:I11" si="4">IF(D4=0,"n/a",H4/D4)</f>
        <v>1.3653584959611114E-2</v>
      </c>
      <c r="J4" s="178">
        <f>SUM(H3:H4)/SUM(D3:D4)</f>
        <v>1.3655614512622908E-2</v>
      </c>
      <c r="L4" s="253">
        <f t="shared" ref="L4:L34" si="5">E4</f>
        <v>388</v>
      </c>
      <c r="M4" s="53">
        <f t="shared" si="2"/>
        <v>5.6719999999999997</v>
      </c>
      <c r="N4" s="254">
        <f t="shared" ref="N4:N34" si="6">L4*M4</f>
        <v>2200.7359999999999</v>
      </c>
      <c r="O4" s="51">
        <f t="shared" ref="O4:O35" si="7">N4-D4</f>
        <v>29.643199999999979</v>
      </c>
      <c r="P4" s="14">
        <f t="shared" ref="P4:P13" si="8">IF(D4=0,"n/a",O4/D4)</f>
        <v>1.3653584959611114E-2</v>
      </c>
    </row>
    <row r="5" spans="1:16" ht="15" customHeight="1" x14ac:dyDescent="0.25">
      <c r="A5" s="10" t="s">
        <v>106</v>
      </c>
      <c r="B5" s="60">
        <v>1</v>
      </c>
      <c r="C5" s="50">
        <v>0.68</v>
      </c>
      <c r="D5" s="28">
        <f t="shared" si="3"/>
        <v>0.68</v>
      </c>
      <c r="E5" s="60">
        <v>1</v>
      </c>
      <c r="F5" s="50">
        <f>+C5</f>
        <v>0.68</v>
      </c>
      <c r="G5" s="28">
        <f t="shared" si="0"/>
        <v>0.68</v>
      </c>
      <c r="H5" s="51">
        <f t="shared" si="1"/>
        <v>0</v>
      </c>
      <c r="I5" s="14">
        <f t="shared" si="4"/>
        <v>0</v>
      </c>
      <c r="L5" s="253">
        <f t="shared" si="5"/>
        <v>1</v>
      </c>
      <c r="M5" s="50">
        <f t="shared" si="2"/>
        <v>0.68</v>
      </c>
      <c r="N5" s="254">
        <f t="shared" si="6"/>
        <v>0.68</v>
      </c>
      <c r="O5" s="51">
        <f t="shared" si="7"/>
        <v>0</v>
      </c>
      <c r="P5" s="14">
        <f t="shared" si="8"/>
        <v>0</v>
      </c>
    </row>
    <row r="6" spans="1:16" x14ac:dyDescent="0.25">
      <c r="A6" s="10" t="s">
        <v>16</v>
      </c>
      <c r="B6" s="58">
        <v>0</v>
      </c>
      <c r="C6" s="30">
        <v>0</v>
      </c>
      <c r="D6" s="28">
        <f t="shared" si="3"/>
        <v>0</v>
      </c>
      <c r="E6" s="48">
        <v>0</v>
      </c>
      <c r="F6" s="30">
        <v>0</v>
      </c>
      <c r="G6" s="28">
        <f t="shared" si="0"/>
        <v>0</v>
      </c>
      <c r="H6" s="51">
        <f t="shared" si="1"/>
        <v>0</v>
      </c>
      <c r="I6" s="14" t="str">
        <f t="shared" si="4"/>
        <v>n/a</v>
      </c>
      <c r="L6" s="253">
        <f t="shared" si="5"/>
        <v>0</v>
      </c>
      <c r="M6" s="30">
        <f t="shared" si="2"/>
        <v>0</v>
      </c>
      <c r="N6" s="254">
        <f t="shared" si="6"/>
        <v>0</v>
      </c>
      <c r="O6" s="51">
        <f t="shared" si="7"/>
        <v>0</v>
      </c>
      <c r="P6" s="14" t="str">
        <f t="shared" si="8"/>
        <v>n/a</v>
      </c>
    </row>
    <row r="7" spans="1:16" x14ac:dyDescent="0.25">
      <c r="A7" s="10" t="s">
        <v>302</v>
      </c>
      <c r="B7" s="58">
        <v>0</v>
      </c>
      <c r="C7" s="30">
        <v>0</v>
      </c>
      <c r="D7" s="28">
        <f t="shared" si="3"/>
        <v>0</v>
      </c>
      <c r="E7" s="48">
        <v>0</v>
      </c>
      <c r="F7" s="30">
        <v>0</v>
      </c>
      <c r="G7" s="28">
        <f t="shared" si="0"/>
        <v>0</v>
      </c>
      <c r="H7" s="51">
        <f t="shared" si="1"/>
        <v>0</v>
      </c>
      <c r="I7" s="14" t="str">
        <f t="shared" si="4"/>
        <v>n/a</v>
      </c>
      <c r="L7" s="253">
        <f t="shared" si="5"/>
        <v>0</v>
      </c>
      <c r="M7" s="53">
        <f t="shared" si="2"/>
        <v>0</v>
      </c>
      <c r="N7" s="254">
        <f t="shared" si="6"/>
        <v>0</v>
      </c>
      <c r="O7" s="51">
        <f t="shared" si="7"/>
        <v>0</v>
      </c>
      <c r="P7" s="14" t="str">
        <f t="shared" si="8"/>
        <v>n/a</v>
      </c>
    </row>
    <row r="8" spans="1:16" ht="15" customHeight="1" x14ac:dyDescent="0.25">
      <c r="A8" s="10" t="s">
        <v>17</v>
      </c>
      <c r="B8" s="58">
        <v>0</v>
      </c>
      <c r="C8" s="30">
        <v>0</v>
      </c>
      <c r="D8" s="28">
        <f t="shared" si="3"/>
        <v>0</v>
      </c>
      <c r="E8" s="48">
        <v>0</v>
      </c>
      <c r="F8" s="30">
        <v>0</v>
      </c>
      <c r="G8" s="28">
        <f t="shared" si="0"/>
        <v>0</v>
      </c>
      <c r="H8" s="51">
        <f t="shared" si="1"/>
        <v>0</v>
      </c>
      <c r="I8" s="14" t="str">
        <f t="shared" si="4"/>
        <v>n/a</v>
      </c>
      <c r="L8" s="253">
        <f t="shared" si="5"/>
        <v>0</v>
      </c>
      <c r="M8" s="30">
        <f t="shared" si="2"/>
        <v>0</v>
      </c>
      <c r="N8" s="255">
        <f t="shared" si="6"/>
        <v>0</v>
      </c>
      <c r="O8" s="51">
        <f t="shared" si="7"/>
        <v>0</v>
      </c>
      <c r="P8" s="14" t="str">
        <f t="shared" si="8"/>
        <v>n/a</v>
      </c>
    </row>
    <row r="9" spans="1:16" ht="15" customHeight="1" x14ac:dyDescent="0.25">
      <c r="A9" s="10" t="s">
        <v>182</v>
      </c>
      <c r="B9" s="58">
        <v>0</v>
      </c>
      <c r="C9" s="30">
        <v>0</v>
      </c>
      <c r="D9" s="28">
        <f t="shared" si="3"/>
        <v>0</v>
      </c>
      <c r="E9" s="48">
        <v>0</v>
      </c>
      <c r="F9" s="30">
        <v>0</v>
      </c>
      <c r="G9" s="28">
        <f t="shared" ref="G9:G23" si="9">+E9*F9</f>
        <v>0</v>
      </c>
      <c r="H9" s="51">
        <f t="shared" si="1"/>
        <v>0</v>
      </c>
      <c r="I9" s="14" t="str">
        <f t="shared" si="4"/>
        <v>n/a</v>
      </c>
      <c r="L9" s="253">
        <f t="shared" si="5"/>
        <v>0</v>
      </c>
      <c r="M9" s="53">
        <f t="shared" si="2"/>
        <v>0</v>
      </c>
      <c r="N9" s="254">
        <f t="shared" si="6"/>
        <v>0</v>
      </c>
      <c r="O9" s="51">
        <f t="shared" si="7"/>
        <v>0</v>
      </c>
      <c r="P9" s="14" t="str">
        <f t="shared" si="8"/>
        <v>n/a</v>
      </c>
    </row>
    <row r="10" spans="1:16" x14ac:dyDescent="0.25">
      <c r="A10" s="10" t="s">
        <v>15</v>
      </c>
      <c r="B10" s="58">
        <v>0</v>
      </c>
      <c r="C10" s="50">
        <v>0</v>
      </c>
      <c r="D10" s="28">
        <f t="shared" si="3"/>
        <v>0</v>
      </c>
      <c r="E10" s="48">
        <v>0</v>
      </c>
      <c r="F10" s="50">
        <v>0</v>
      </c>
      <c r="G10" s="28">
        <f t="shared" si="9"/>
        <v>0</v>
      </c>
      <c r="H10" s="51">
        <f t="shared" si="1"/>
        <v>0</v>
      </c>
      <c r="I10" s="14" t="str">
        <f t="shared" si="4"/>
        <v>n/a</v>
      </c>
      <c r="L10" s="253">
        <f t="shared" si="5"/>
        <v>0</v>
      </c>
      <c r="M10" s="82">
        <f t="shared" si="2"/>
        <v>0</v>
      </c>
      <c r="N10" s="256">
        <f t="shared" si="6"/>
        <v>0</v>
      </c>
      <c r="O10" s="51">
        <f t="shared" si="7"/>
        <v>0</v>
      </c>
      <c r="P10" s="14" t="str">
        <f t="shared" si="8"/>
        <v>n/a</v>
      </c>
    </row>
    <row r="11" spans="1:16" x14ac:dyDescent="0.25">
      <c r="A11" s="10" t="s">
        <v>229</v>
      </c>
      <c r="B11" s="48">
        <v>1</v>
      </c>
      <c r="C11" s="474">
        <f>+'LPP Rate Riders'!G16</f>
        <v>8.3699999999999992</v>
      </c>
      <c r="D11" s="28">
        <f t="shared" si="3"/>
        <v>8.3699999999999992</v>
      </c>
      <c r="E11" s="48">
        <v>0</v>
      </c>
      <c r="F11" s="50">
        <v>0</v>
      </c>
      <c r="G11" s="28">
        <f>+E11*F11</f>
        <v>0</v>
      </c>
      <c r="H11" s="51">
        <f t="shared" si="1"/>
        <v>-8.3699999999999992</v>
      </c>
      <c r="I11" s="14">
        <f t="shared" si="4"/>
        <v>-1</v>
      </c>
      <c r="L11" s="253">
        <f>E11</f>
        <v>0</v>
      </c>
      <c r="M11" s="82">
        <f>F11</f>
        <v>0</v>
      </c>
      <c r="N11" s="256">
        <f t="shared" si="6"/>
        <v>0</v>
      </c>
      <c r="O11" s="51">
        <f>N11-D11</f>
        <v>-8.3699999999999992</v>
      </c>
      <c r="P11" s="14">
        <f t="shared" si="8"/>
        <v>-1</v>
      </c>
    </row>
    <row r="12" spans="1:16" x14ac:dyDescent="0.25">
      <c r="A12" s="10" t="s">
        <v>217</v>
      </c>
      <c r="B12" s="48">
        <f>B8</f>
        <v>0</v>
      </c>
      <c r="C12" s="30">
        <v>0</v>
      </c>
      <c r="D12" s="28">
        <f t="shared" si="3"/>
        <v>0</v>
      </c>
      <c r="E12" s="48">
        <v>0</v>
      </c>
      <c r="F12" s="30">
        <v>0</v>
      </c>
      <c r="G12" s="28">
        <f t="shared" si="9"/>
        <v>0</v>
      </c>
      <c r="H12" s="51">
        <f t="shared" si="1"/>
        <v>0</v>
      </c>
      <c r="I12" s="14" t="str">
        <f>IF(D12=0,"n/a",H12/D12)</f>
        <v>n/a</v>
      </c>
      <c r="L12" s="253">
        <v>1</v>
      </c>
      <c r="M12" s="50">
        <f>'Foregone Rev Rate Rider'!F2</f>
        <v>0.02</v>
      </c>
      <c r="N12" s="254">
        <f t="shared" si="6"/>
        <v>0.02</v>
      </c>
      <c r="O12" s="51">
        <f t="shared" si="7"/>
        <v>0.02</v>
      </c>
      <c r="P12" s="14" t="str">
        <f t="shared" si="8"/>
        <v>n/a</v>
      </c>
    </row>
    <row r="13" spans="1:16" x14ac:dyDescent="0.25">
      <c r="A13" s="10" t="s">
        <v>218</v>
      </c>
      <c r="B13" s="48">
        <f>B9</f>
        <v>0</v>
      </c>
      <c r="C13" s="30">
        <v>0</v>
      </c>
      <c r="D13" s="28">
        <f t="shared" si="3"/>
        <v>0</v>
      </c>
      <c r="E13" s="48">
        <v>0</v>
      </c>
      <c r="F13" s="30">
        <v>0</v>
      </c>
      <c r="G13" s="28">
        <f t="shared" si="9"/>
        <v>0</v>
      </c>
      <c r="H13" s="51">
        <f t="shared" si="1"/>
        <v>0</v>
      </c>
      <c r="I13" s="14" t="str">
        <f>IF(D13=0,"n/a",H13/D13)</f>
        <v>n/a</v>
      </c>
      <c r="L13" s="253">
        <f>L9</f>
        <v>0</v>
      </c>
      <c r="M13" s="53">
        <f>'Foregone Rev Rate Rider'!F5</f>
        <v>4.1999999999999997E-3</v>
      </c>
      <c r="N13" s="254">
        <f t="shared" si="6"/>
        <v>0</v>
      </c>
      <c r="O13" s="51">
        <f>N13-D13</f>
        <v>0</v>
      </c>
      <c r="P13" s="14" t="str">
        <f t="shared" si="8"/>
        <v>n/a</v>
      </c>
    </row>
    <row r="14" spans="1:16" x14ac:dyDescent="0.25">
      <c r="A14" s="998" t="s">
        <v>375</v>
      </c>
      <c r="B14" s="58">
        <v>0</v>
      </c>
      <c r="C14" s="30">
        <v>0</v>
      </c>
      <c r="D14" s="28">
        <f t="shared" ref="D14:D23" si="10">+B14*C14</f>
        <v>0</v>
      </c>
      <c r="E14" s="48">
        <v>1</v>
      </c>
      <c r="F14" s="50">
        <f>+'2012 - 2014 (With Dead Band)'!W7</f>
        <v>1.26</v>
      </c>
      <c r="G14" s="28">
        <f t="shared" si="9"/>
        <v>1.26</v>
      </c>
      <c r="H14" s="51">
        <f t="shared" ref="H14:H23" si="11">+G14-D14</f>
        <v>1.26</v>
      </c>
      <c r="I14" s="14" t="str">
        <f t="shared" ref="I14:I23" si="12">IF(D14=0,"n/a",H14/D14)</f>
        <v>n/a</v>
      </c>
      <c r="L14" s="253"/>
      <c r="M14" s="53"/>
      <c r="N14" s="254"/>
      <c r="O14" s="51"/>
      <c r="P14" s="14"/>
    </row>
    <row r="15" spans="1:16" x14ac:dyDescent="0.25">
      <c r="A15" s="998" t="s">
        <v>374</v>
      </c>
      <c r="B15" s="58">
        <v>0</v>
      </c>
      <c r="C15" s="30">
        <v>0</v>
      </c>
      <c r="D15" s="28">
        <f t="shared" si="10"/>
        <v>0</v>
      </c>
      <c r="E15" s="48">
        <v>388</v>
      </c>
      <c r="F15" s="53">
        <f>+'2012 - 2014 (With Dead Band)'!X7</f>
        <v>0.1988</v>
      </c>
      <c r="G15" s="28">
        <f t="shared" si="9"/>
        <v>77.134399999999999</v>
      </c>
      <c r="H15" s="51">
        <f t="shared" si="11"/>
        <v>77.134399999999999</v>
      </c>
      <c r="I15" s="14" t="str">
        <f t="shared" si="12"/>
        <v>n/a</v>
      </c>
      <c r="L15" s="253"/>
      <c r="M15" s="53"/>
      <c r="N15" s="254"/>
      <c r="O15" s="51"/>
      <c r="P15" s="14"/>
    </row>
    <row r="16" spans="1:16" x14ac:dyDescent="0.25">
      <c r="A16" s="998" t="s">
        <v>384</v>
      </c>
      <c r="B16" s="58">
        <v>0</v>
      </c>
      <c r="C16" s="30">
        <v>0</v>
      </c>
      <c r="D16" s="28">
        <f t="shared" si="10"/>
        <v>0</v>
      </c>
      <c r="E16" s="48">
        <f>+E15</f>
        <v>388</v>
      </c>
      <c r="F16" s="53">
        <f>+'2012 - 2014 (With Dead Band)'!Y7</f>
        <v>-6.7000000000000002E-3</v>
      </c>
      <c r="G16" s="28">
        <f t="shared" si="9"/>
        <v>-2.5996000000000001</v>
      </c>
      <c r="H16" s="51">
        <f>+G16-D16</f>
        <v>-2.5996000000000001</v>
      </c>
      <c r="I16" s="14" t="str">
        <f>IF(D16=0,"n/a",H16/D16)</f>
        <v>n/a</v>
      </c>
      <c r="L16" s="253"/>
      <c r="M16" s="53"/>
      <c r="N16" s="254"/>
      <c r="O16" s="51"/>
      <c r="P16" s="14"/>
    </row>
    <row r="17" spans="1:16" x14ac:dyDescent="0.25">
      <c r="A17" s="998" t="str">
        <f>+'2012 - 2014 (With Dead Band)'!AG3</f>
        <v>2012 Foregone IRM Rate Rider - MFC</v>
      </c>
      <c r="B17" s="48">
        <v>0</v>
      </c>
      <c r="C17" s="30">
        <v>0</v>
      </c>
      <c r="D17" s="28">
        <f t="shared" si="10"/>
        <v>0</v>
      </c>
      <c r="E17" s="48">
        <v>1</v>
      </c>
      <c r="F17" s="50">
        <f>+'2012 - 2014 (With Dead Band)'!AG7</f>
        <v>0.11</v>
      </c>
      <c r="G17" s="28">
        <f>+E17*F17</f>
        <v>0.11</v>
      </c>
      <c r="H17" s="51">
        <f>+G17-D17</f>
        <v>0.11</v>
      </c>
      <c r="I17" s="14" t="str">
        <f>IF(D17=0,"n/a",H17/D17)</f>
        <v>n/a</v>
      </c>
      <c r="L17" s="253"/>
      <c r="M17" s="53"/>
      <c r="N17" s="254"/>
      <c r="O17" s="51"/>
      <c r="P17" s="14"/>
    </row>
    <row r="18" spans="1:16" x14ac:dyDescent="0.25">
      <c r="A18" s="998" t="str">
        <f>+'2012 - 2014 (With Dead Band)'!AH3</f>
        <v>2012 Foregone IRM Rate Rider - DVR</v>
      </c>
      <c r="B18" s="48">
        <v>0</v>
      </c>
      <c r="C18" s="30">
        <v>0</v>
      </c>
      <c r="D18" s="28">
        <f t="shared" si="10"/>
        <v>0</v>
      </c>
      <c r="E18" s="48">
        <v>388</v>
      </c>
      <c r="F18" s="53">
        <f>+'2012 - 2014 (With Dead Band)'!AH7</f>
        <v>1.72E-2</v>
      </c>
      <c r="G18" s="28">
        <f>+E18*F18</f>
        <v>6.6736000000000004</v>
      </c>
      <c r="H18" s="51">
        <f>+G18-D18</f>
        <v>6.6736000000000004</v>
      </c>
      <c r="I18" s="14" t="str">
        <f>IF(D18=0,"n/a",H18/D18)</f>
        <v>n/a</v>
      </c>
      <c r="L18" s="253"/>
      <c r="M18" s="53"/>
      <c r="N18" s="254"/>
      <c r="O18" s="51"/>
      <c r="P18" s="14"/>
    </row>
    <row r="19" spans="1:16" x14ac:dyDescent="0.25">
      <c r="A19" s="998" t="str">
        <f>+'2012 - 2014 (With Dead Band)'!$Z$3</f>
        <v>2012 ICM Rate Adder - MFC</v>
      </c>
      <c r="B19" s="58">
        <v>0</v>
      </c>
      <c r="C19" s="30">
        <v>0</v>
      </c>
      <c r="D19" s="28">
        <f t="shared" si="10"/>
        <v>0</v>
      </c>
      <c r="E19" s="48">
        <v>1</v>
      </c>
      <c r="F19" s="50">
        <f>+'2012 - 2014 (With Dead Band)'!Z7</f>
        <v>1</v>
      </c>
      <c r="G19" s="28">
        <f t="shared" si="9"/>
        <v>1</v>
      </c>
      <c r="H19" s="51">
        <f t="shared" si="11"/>
        <v>1</v>
      </c>
      <c r="I19" s="14" t="str">
        <f t="shared" si="12"/>
        <v>n/a</v>
      </c>
      <c r="L19" s="253"/>
      <c r="M19" s="53"/>
      <c r="N19" s="254"/>
      <c r="O19" s="51"/>
      <c r="P19" s="14"/>
    </row>
    <row r="20" spans="1:16" x14ac:dyDescent="0.25">
      <c r="A20" s="998" t="str">
        <f>+'2012 - 2014 (With Dead Band)'!$AA$3</f>
        <v>2012 ICM Rate Adder - DVR</v>
      </c>
      <c r="B20" s="58">
        <v>0</v>
      </c>
      <c r="C20" s="30">
        <v>0</v>
      </c>
      <c r="D20" s="28">
        <f t="shared" si="10"/>
        <v>0</v>
      </c>
      <c r="E20" s="48">
        <v>388</v>
      </c>
      <c r="F20" s="53">
        <f>+'2012 - 2014 (With Dead Band)'!AA7</f>
        <v>0.158</v>
      </c>
      <c r="G20" s="28">
        <f t="shared" si="9"/>
        <v>61.304000000000002</v>
      </c>
      <c r="H20" s="51">
        <f t="shared" si="11"/>
        <v>61.304000000000002</v>
      </c>
      <c r="I20" s="14" t="str">
        <f t="shared" si="12"/>
        <v>n/a</v>
      </c>
      <c r="L20" s="253"/>
      <c r="M20" s="53"/>
      <c r="N20" s="254"/>
      <c r="O20" s="51"/>
      <c r="P20" s="14"/>
    </row>
    <row r="21" spans="1:16" x14ac:dyDescent="0.25">
      <c r="A21" s="998" t="str">
        <f>+'2012 - 2014 (With Dead Band)'!AE3</f>
        <v>2013 ICM Rate Adder - MFC</v>
      </c>
      <c r="B21" s="58">
        <v>0</v>
      </c>
      <c r="C21" s="30">
        <v>0</v>
      </c>
      <c r="D21" s="28">
        <f>+B21*C21</f>
        <v>0</v>
      </c>
      <c r="E21" s="48">
        <v>1</v>
      </c>
      <c r="F21" s="50">
        <f>+'2012 - 2014 (With Dead Band)'!AE7</f>
        <v>2.65</v>
      </c>
      <c r="G21" s="28">
        <f t="shared" si="9"/>
        <v>2.65</v>
      </c>
      <c r="H21" s="51">
        <f>+G21-D21</f>
        <v>2.65</v>
      </c>
      <c r="I21" s="14" t="str">
        <f>IF(D21=0,"n/a",H21/D21)</f>
        <v>n/a</v>
      </c>
      <c r="L21" s="253"/>
      <c r="M21" s="53"/>
      <c r="N21" s="254"/>
      <c r="O21" s="51"/>
      <c r="P21" s="14"/>
    </row>
    <row r="22" spans="1:16" x14ac:dyDescent="0.25">
      <c r="A22" s="998" t="str">
        <f>+'2012 - 2014 (With Dead Band)'!AF3</f>
        <v>2013 ICM Rate Adder - DVR</v>
      </c>
      <c r="B22" s="58">
        <v>0</v>
      </c>
      <c r="C22" s="30">
        <v>0</v>
      </c>
      <c r="D22" s="28">
        <f>+B22*C22</f>
        <v>0</v>
      </c>
      <c r="E22" s="48">
        <v>388</v>
      </c>
      <c r="F22" s="53">
        <f>+'2012 - 2014 (With Dead Band)'!AF7</f>
        <v>0.4168</v>
      </c>
      <c r="G22" s="28">
        <f t="shared" si="9"/>
        <v>161.7184</v>
      </c>
      <c r="H22" s="51">
        <f>+G22-D22</f>
        <v>161.7184</v>
      </c>
      <c r="I22" s="14" t="str">
        <f>IF(D22=0,"n/a",H22/D22)</f>
        <v>n/a</v>
      </c>
      <c r="L22" s="253"/>
      <c r="M22" s="53"/>
      <c r="N22" s="254"/>
      <c r="O22" s="51"/>
      <c r="P22" s="14"/>
    </row>
    <row r="23" spans="1:16" x14ac:dyDescent="0.25">
      <c r="A23" s="998" t="str">
        <f>+'2012 - 2014 (With Dead Band)'!$AD$3</f>
        <v>Deferral/Variance Account Rate Rider</v>
      </c>
      <c r="B23" s="58">
        <v>0</v>
      </c>
      <c r="C23" s="30">
        <v>0</v>
      </c>
      <c r="D23" s="28">
        <f t="shared" si="10"/>
        <v>0</v>
      </c>
      <c r="E23" s="48">
        <v>388</v>
      </c>
      <c r="F23" s="53">
        <f>+'2012 - 2014 (With Dead Band)'!AD7</f>
        <v>-5.3900000000000003E-2</v>
      </c>
      <c r="G23" s="28">
        <f t="shared" si="9"/>
        <v>-20.9132</v>
      </c>
      <c r="H23" s="51">
        <f t="shared" si="11"/>
        <v>-20.9132</v>
      </c>
      <c r="I23" s="14" t="str">
        <f t="shared" si="12"/>
        <v>n/a</v>
      </c>
      <c r="L23" s="253"/>
      <c r="M23" s="53"/>
      <c r="N23" s="254"/>
      <c r="O23" s="51"/>
      <c r="P23" s="14"/>
    </row>
    <row r="24" spans="1:16" x14ac:dyDescent="0.25">
      <c r="A24" s="6" t="s">
        <v>1</v>
      </c>
      <c r="B24" s="59"/>
      <c r="C24" s="44"/>
      <c r="D24" s="54">
        <f>SUM(D3:D23)</f>
        <v>2215.7027999999996</v>
      </c>
      <c r="E24" s="59"/>
      <c r="F24" s="44"/>
      <c r="G24" s="54">
        <f>SUM(G3:G23)</f>
        <v>2525.8036000000006</v>
      </c>
      <c r="H24" s="57">
        <f>SUM(H3:H23)</f>
        <v>310.10079999999999</v>
      </c>
      <c r="I24" s="15">
        <f>+H24/D24</f>
        <v>0.13995595438160752</v>
      </c>
      <c r="J24" s="161"/>
      <c r="L24" s="257">
        <f t="shared" si="5"/>
        <v>0</v>
      </c>
      <c r="M24" s="44"/>
      <c r="N24" s="258">
        <f>SUM(N3:N13)</f>
        <v>2237.4859999999999</v>
      </c>
      <c r="O24" s="57">
        <f t="shared" si="7"/>
        <v>21.783200000000306</v>
      </c>
      <c r="P24" s="15">
        <f>O24/D24</f>
        <v>9.8312824265060772E-3</v>
      </c>
    </row>
    <row r="25" spans="1:16" x14ac:dyDescent="0.25">
      <c r="A25" s="10" t="s">
        <v>2</v>
      </c>
      <c r="B25" s="60">
        <f>C37</f>
        <v>349</v>
      </c>
      <c r="C25" s="52">
        <v>2.4350999999999998</v>
      </c>
      <c r="D25" s="28">
        <f t="shared" si="3"/>
        <v>849.84989999999993</v>
      </c>
      <c r="E25" s="60">
        <f>+B25</f>
        <v>349</v>
      </c>
      <c r="F25" s="52">
        <f>+'2012 - 2014 (With Dead Band)'!AB7</f>
        <v>2.7947000000000002</v>
      </c>
      <c r="G25" s="28">
        <f>+E25*F25</f>
        <v>975.35030000000006</v>
      </c>
      <c r="H25" s="51">
        <f>+G25-D25</f>
        <v>125.50040000000013</v>
      </c>
      <c r="I25" s="13">
        <f>+H25/D25</f>
        <v>0.14767360683339509</v>
      </c>
      <c r="L25" s="253">
        <f t="shared" si="5"/>
        <v>349</v>
      </c>
      <c r="M25" s="52">
        <f t="shared" si="2"/>
        <v>2.7947000000000002</v>
      </c>
      <c r="N25" s="254">
        <f t="shared" si="6"/>
        <v>975.35030000000006</v>
      </c>
      <c r="O25" s="51">
        <f t="shared" si="7"/>
        <v>125.50040000000013</v>
      </c>
      <c r="P25" s="13">
        <f>O25/D25</f>
        <v>0.14767360683339509</v>
      </c>
    </row>
    <row r="26" spans="1:16" x14ac:dyDescent="0.25">
      <c r="A26" s="10" t="s">
        <v>3</v>
      </c>
      <c r="B26" s="60">
        <f>+C37</f>
        <v>349</v>
      </c>
      <c r="C26" s="52">
        <v>1.7629999999999999</v>
      </c>
      <c r="D26" s="28">
        <f t="shared" si="3"/>
        <v>615.28699999999992</v>
      </c>
      <c r="E26" s="60">
        <f>+B26</f>
        <v>349</v>
      </c>
      <c r="F26" s="52">
        <f>+'2012 - 2014 (With Dead Band)'!AC7</f>
        <v>1.9286000000000001</v>
      </c>
      <c r="G26" s="28">
        <f>+E26*F26</f>
        <v>673.08140000000003</v>
      </c>
      <c r="H26" s="51">
        <f>+G26-D26</f>
        <v>57.79440000000011</v>
      </c>
      <c r="I26" s="13">
        <f>+H26/D26</f>
        <v>9.3930799773114207E-2</v>
      </c>
      <c r="L26" s="253">
        <f t="shared" si="5"/>
        <v>349</v>
      </c>
      <c r="M26" s="52">
        <f t="shared" si="2"/>
        <v>1.9286000000000001</v>
      </c>
      <c r="N26" s="254">
        <f t="shared" si="6"/>
        <v>673.08140000000003</v>
      </c>
      <c r="O26" s="51">
        <f t="shared" si="7"/>
        <v>57.79440000000011</v>
      </c>
      <c r="P26" s="13">
        <f>O26/D26</f>
        <v>9.3930799773114207E-2</v>
      </c>
    </row>
    <row r="27" spans="1:16" x14ac:dyDescent="0.25">
      <c r="A27" s="6" t="s">
        <v>4</v>
      </c>
      <c r="B27" s="59"/>
      <c r="C27" s="44"/>
      <c r="D27" s="54">
        <f>SUM(D24:D26)</f>
        <v>3680.8396999999991</v>
      </c>
      <c r="E27" s="59"/>
      <c r="F27" s="44"/>
      <c r="G27" s="54">
        <f>SUM(G24:G26)</f>
        <v>4174.2353000000003</v>
      </c>
      <c r="H27" s="57">
        <f>+G27-D27</f>
        <v>493.3956000000012</v>
      </c>
      <c r="I27" s="15">
        <f>+H27/D27</f>
        <v>0.13404430516221646</v>
      </c>
      <c r="L27" s="259">
        <f t="shared" si="5"/>
        <v>0</v>
      </c>
      <c r="M27" s="44"/>
      <c r="N27" s="258">
        <f>SUM(N24:N26)</f>
        <v>3885.9177</v>
      </c>
      <c r="O27" s="57">
        <f t="shared" si="7"/>
        <v>205.07800000000088</v>
      </c>
      <c r="P27" s="15">
        <f>O27/D27</f>
        <v>5.5715004377941517E-2</v>
      </c>
    </row>
    <row r="28" spans="1:16" x14ac:dyDescent="0.25">
      <c r="A28" s="10" t="s">
        <v>5</v>
      </c>
      <c r="B28" s="60">
        <f>+$B$37*B38</f>
        <v>155640</v>
      </c>
      <c r="C28" s="52">
        <v>5.1999999999999998E-3</v>
      </c>
      <c r="D28" s="28">
        <f t="shared" si="3"/>
        <v>809.32799999999997</v>
      </c>
      <c r="E28" s="60">
        <f t="shared" ref="E28:E34" si="13">+B28</f>
        <v>155640</v>
      </c>
      <c r="F28" s="52">
        <f t="shared" ref="F28:F33" si="14">C28</f>
        <v>5.1999999999999998E-3</v>
      </c>
      <c r="G28" s="28">
        <f t="shared" ref="G28:G34" si="15">+E28*F28</f>
        <v>809.32799999999997</v>
      </c>
      <c r="H28" s="51">
        <f t="shared" ref="H28:H34" si="16">+G28-D28</f>
        <v>0</v>
      </c>
      <c r="I28" s="14">
        <f t="shared" ref="I28:I34" si="17">IF(D28=0,"n/a",H28/D28)</f>
        <v>0</v>
      </c>
      <c r="L28" s="253">
        <f t="shared" si="5"/>
        <v>155640</v>
      </c>
      <c r="M28" s="52">
        <f t="shared" si="2"/>
        <v>5.1999999999999998E-3</v>
      </c>
      <c r="N28" s="260">
        <f t="shared" si="6"/>
        <v>809.32799999999997</v>
      </c>
      <c r="O28" s="51">
        <f t="shared" si="7"/>
        <v>0</v>
      </c>
      <c r="P28" s="14">
        <f t="shared" ref="P28:P34" si="18">IF(D28=0,"n/a",O28/D28)</f>
        <v>0</v>
      </c>
    </row>
    <row r="29" spans="1:16" x14ac:dyDescent="0.25">
      <c r="A29" s="10" t="s">
        <v>6</v>
      </c>
      <c r="B29" s="60">
        <f>+$B$37*B38</f>
        <v>155640</v>
      </c>
      <c r="C29" s="52">
        <v>1.1000000000000001E-3</v>
      </c>
      <c r="D29" s="28">
        <f t="shared" si="3"/>
        <v>171.20400000000001</v>
      </c>
      <c r="E29" s="60">
        <f t="shared" si="13"/>
        <v>155640</v>
      </c>
      <c r="F29" s="52">
        <f t="shared" si="14"/>
        <v>1.1000000000000001E-3</v>
      </c>
      <c r="G29" s="28">
        <f t="shared" si="15"/>
        <v>171.20400000000001</v>
      </c>
      <c r="H29" s="51">
        <f t="shared" si="16"/>
        <v>0</v>
      </c>
      <c r="I29" s="14">
        <f t="shared" si="17"/>
        <v>0</v>
      </c>
      <c r="L29" s="253">
        <f t="shared" si="5"/>
        <v>155640</v>
      </c>
      <c r="M29" s="52">
        <f t="shared" si="2"/>
        <v>1.1000000000000001E-3</v>
      </c>
      <c r="N29" s="260">
        <f t="shared" si="6"/>
        <v>171.20400000000001</v>
      </c>
      <c r="O29" s="51">
        <f t="shared" si="7"/>
        <v>0</v>
      </c>
      <c r="P29" s="14">
        <f t="shared" si="18"/>
        <v>0</v>
      </c>
    </row>
    <row r="30" spans="1:16" x14ac:dyDescent="0.25">
      <c r="A30" s="10" t="s">
        <v>7</v>
      </c>
      <c r="B30" s="60">
        <f>+B37</f>
        <v>150000</v>
      </c>
      <c r="C30" s="52">
        <v>7.0000000000000001E-3</v>
      </c>
      <c r="D30" s="28">
        <f t="shared" si="3"/>
        <v>1050</v>
      </c>
      <c r="E30" s="60">
        <f t="shared" si="13"/>
        <v>150000</v>
      </c>
      <c r="F30" s="52">
        <f t="shared" si="14"/>
        <v>7.0000000000000001E-3</v>
      </c>
      <c r="G30" s="28">
        <f t="shared" si="15"/>
        <v>1050</v>
      </c>
      <c r="H30" s="51">
        <f t="shared" si="16"/>
        <v>0</v>
      </c>
      <c r="I30" s="14">
        <f t="shared" si="17"/>
        <v>0</v>
      </c>
      <c r="L30" s="253">
        <f t="shared" si="5"/>
        <v>150000</v>
      </c>
      <c r="M30" s="52">
        <f t="shared" si="2"/>
        <v>7.0000000000000001E-3</v>
      </c>
      <c r="N30" s="260">
        <f t="shared" si="6"/>
        <v>1050</v>
      </c>
      <c r="O30" s="51">
        <f t="shared" si="7"/>
        <v>0</v>
      </c>
      <c r="P30" s="14">
        <f t="shared" si="18"/>
        <v>0</v>
      </c>
    </row>
    <row r="31" spans="1:16" x14ac:dyDescent="0.25">
      <c r="A31" s="10" t="s">
        <v>19</v>
      </c>
      <c r="B31" s="60">
        <v>1</v>
      </c>
      <c r="C31" s="51">
        <v>0.25</v>
      </c>
      <c r="D31" s="28">
        <f t="shared" si="3"/>
        <v>0.25</v>
      </c>
      <c r="E31" s="60">
        <f t="shared" si="13"/>
        <v>1</v>
      </c>
      <c r="F31" s="51">
        <f t="shared" si="14"/>
        <v>0.25</v>
      </c>
      <c r="G31" s="28">
        <f t="shared" si="15"/>
        <v>0.25</v>
      </c>
      <c r="H31" s="51">
        <f>+G31-D31</f>
        <v>0</v>
      </c>
      <c r="I31" s="14">
        <f t="shared" si="17"/>
        <v>0</v>
      </c>
      <c r="L31" s="253">
        <f t="shared" si="5"/>
        <v>1</v>
      </c>
      <c r="M31" s="51">
        <f t="shared" si="2"/>
        <v>0.25</v>
      </c>
      <c r="N31" s="260">
        <f t="shared" si="6"/>
        <v>0.25</v>
      </c>
      <c r="O31" s="51">
        <f t="shared" si="7"/>
        <v>0</v>
      </c>
      <c r="P31" s="14">
        <f t="shared" si="18"/>
        <v>0</v>
      </c>
    </row>
    <row r="32" spans="1:16" x14ac:dyDescent="0.25">
      <c r="A32" s="10" t="s">
        <v>108</v>
      </c>
      <c r="B32" s="60">
        <f>+B37*B38</f>
        <v>155640</v>
      </c>
      <c r="C32" s="52">
        <v>0</v>
      </c>
      <c r="D32" s="70">
        <f t="shared" si="3"/>
        <v>0</v>
      </c>
      <c r="E32" s="60">
        <f t="shared" si="13"/>
        <v>155640</v>
      </c>
      <c r="F32" s="52">
        <v>0</v>
      </c>
      <c r="G32" s="70">
        <f t="shared" si="15"/>
        <v>0</v>
      </c>
      <c r="H32" s="71">
        <f>+G32-D32</f>
        <v>0</v>
      </c>
      <c r="I32" s="14" t="str">
        <f t="shared" si="17"/>
        <v>n/a</v>
      </c>
      <c r="L32" s="253">
        <f t="shared" si="5"/>
        <v>155640</v>
      </c>
      <c r="M32" s="52">
        <f t="shared" si="2"/>
        <v>0</v>
      </c>
      <c r="N32" s="261">
        <f t="shared" si="6"/>
        <v>0</v>
      </c>
      <c r="O32" s="71">
        <f t="shared" si="7"/>
        <v>0</v>
      </c>
      <c r="P32" s="14" t="str">
        <f t="shared" si="18"/>
        <v>n/a</v>
      </c>
    </row>
    <row r="33" spans="1:16" x14ac:dyDescent="0.25">
      <c r="A33" s="10" t="s">
        <v>212</v>
      </c>
      <c r="B33" s="60">
        <v>750</v>
      </c>
      <c r="C33" s="245">
        <v>7.4999999999999997E-2</v>
      </c>
      <c r="D33" s="28">
        <f t="shared" si="3"/>
        <v>56.25</v>
      </c>
      <c r="E33" s="60">
        <f t="shared" si="13"/>
        <v>750</v>
      </c>
      <c r="F33" s="245">
        <f t="shared" si="14"/>
        <v>7.4999999999999997E-2</v>
      </c>
      <c r="G33" s="28">
        <f t="shared" si="15"/>
        <v>56.25</v>
      </c>
      <c r="H33" s="51">
        <f t="shared" si="16"/>
        <v>0</v>
      </c>
      <c r="I33" s="14">
        <f t="shared" si="17"/>
        <v>0</v>
      </c>
      <c r="L33" s="253">
        <f t="shared" si="5"/>
        <v>750</v>
      </c>
      <c r="M33" s="245">
        <f t="shared" si="2"/>
        <v>7.4999999999999997E-2</v>
      </c>
      <c r="N33" s="260">
        <f t="shared" si="6"/>
        <v>56.25</v>
      </c>
      <c r="O33" s="51">
        <f t="shared" si="7"/>
        <v>0</v>
      </c>
      <c r="P33" s="14">
        <f t="shared" si="18"/>
        <v>0</v>
      </c>
    </row>
    <row r="34" spans="1:16" x14ac:dyDescent="0.25">
      <c r="A34" s="10" t="s">
        <v>213</v>
      </c>
      <c r="B34" s="60">
        <f>(+$B$37*B38)-B33</f>
        <v>154890</v>
      </c>
      <c r="C34" s="245">
        <v>8.7999999999999995E-2</v>
      </c>
      <c r="D34" s="28">
        <f t="shared" si="3"/>
        <v>13630.32</v>
      </c>
      <c r="E34" s="60">
        <f t="shared" si="13"/>
        <v>154890</v>
      </c>
      <c r="F34" s="245">
        <f>+C34</f>
        <v>8.7999999999999995E-2</v>
      </c>
      <c r="G34" s="28">
        <f t="shared" si="15"/>
        <v>13630.32</v>
      </c>
      <c r="H34" s="51">
        <f t="shared" si="16"/>
        <v>0</v>
      </c>
      <c r="I34" s="14">
        <f t="shared" si="17"/>
        <v>0</v>
      </c>
      <c r="L34" s="253">
        <f t="shared" si="5"/>
        <v>154890</v>
      </c>
      <c r="M34" s="245">
        <f t="shared" si="2"/>
        <v>8.7999999999999995E-2</v>
      </c>
      <c r="N34" s="260">
        <f t="shared" si="6"/>
        <v>13630.32</v>
      </c>
      <c r="O34" s="51">
        <f t="shared" si="7"/>
        <v>0</v>
      </c>
      <c r="P34" s="14">
        <f t="shared" si="18"/>
        <v>0</v>
      </c>
    </row>
    <row r="35" spans="1:16" ht="15.75" thickBot="1" x14ac:dyDescent="0.3">
      <c r="A35" s="7" t="s">
        <v>8</v>
      </c>
      <c r="B35" s="47"/>
      <c r="C35" s="45"/>
      <c r="D35" s="55">
        <f>SUM(D27:D34)</f>
        <v>19398.191699999999</v>
      </c>
      <c r="E35" s="47"/>
      <c r="F35" s="56"/>
      <c r="G35" s="55">
        <f>SUM(G27:G34)</f>
        <v>19891.587299999999</v>
      </c>
      <c r="H35" s="47">
        <f>+G35-D35</f>
        <v>493.39559999999983</v>
      </c>
      <c r="I35" s="16">
        <f>+H35/D35</f>
        <v>2.543513372950118E-2</v>
      </c>
      <c r="L35" s="262"/>
      <c r="M35" s="56"/>
      <c r="N35" s="263">
        <f>SUM(N27:N34)</f>
        <v>19603.269699999997</v>
      </c>
      <c r="O35" s="56">
        <f t="shared" si="7"/>
        <v>205.0779999999977</v>
      </c>
      <c r="P35" s="16">
        <f>O35/D35</f>
        <v>1.0572016359648499E-2</v>
      </c>
    </row>
    <row r="36" spans="1:16" ht="15.75" thickBot="1" x14ac:dyDescent="0.3">
      <c r="A36" s="17"/>
      <c r="B36" s="38" t="s">
        <v>20</v>
      </c>
      <c r="C36" s="38" t="s">
        <v>21</v>
      </c>
      <c r="D36" s="39" t="s">
        <v>22</v>
      </c>
      <c r="E36" s="38" t="s">
        <v>100</v>
      </c>
      <c r="F36" s="38" t="s">
        <v>101</v>
      </c>
      <c r="G36" s="38" t="s">
        <v>102</v>
      </c>
    </row>
    <row r="37" spans="1:16" ht="16.5" thickTop="1" thickBot="1" x14ac:dyDescent="0.3">
      <c r="A37" s="31" t="s">
        <v>103</v>
      </c>
      <c r="B37" s="32">
        <v>150000</v>
      </c>
      <c r="C37" s="32">
        <f>ROUND(+B37/E37,0)</f>
        <v>349</v>
      </c>
      <c r="D37" s="32">
        <f>ROUND(+C37/F37,0)</f>
        <v>388</v>
      </c>
      <c r="E37" s="33">
        <v>430</v>
      </c>
      <c r="F37" s="34">
        <v>0.9</v>
      </c>
      <c r="G37" s="35">
        <v>1</v>
      </c>
    </row>
    <row r="38" spans="1:16" ht="16.5" thickTop="1" thickBot="1" x14ac:dyDescent="0.3">
      <c r="A38" s="40" t="s">
        <v>104</v>
      </c>
      <c r="B38" s="41">
        <f>1.0376</f>
        <v>1.0376000000000001</v>
      </c>
    </row>
    <row r="39" spans="1:16" ht="15.75" thickTop="1" x14ac:dyDescent="0.25">
      <c r="C39" t="s">
        <v>18</v>
      </c>
      <c r="D39" s="161"/>
      <c r="G39" s="161"/>
    </row>
    <row r="40" spans="1:16" x14ac:dyDescent="0.25">
      <c r="C40" t="s">
        <v>18</v>
      </c>
      <c r="D40" s="161"/>
      <c r="G40" s="161"/>
    </row>
    <row r="48" spans="1:16" x14ac:dyDescent="0.25">
      <c r="A48"/>
      <c r="B48" t="s">
        <v>18</v>
      </c>
    </row>
  </sheetData>
  <printOptions horizontalCentered="1"/>
  <pageMargins left="0.19685039370078741" right="0.19685039370078741" top="1.4960629921259843" bottom="0.31496062992125984" header="0.31496062992125984" footer="0.15748031496062992"/>
  <pageSetup scale="86" orientation="landscape" r:id="rId1"/>
  <headerFooter>
    <oddHeader>&amp;RToronto Hydro-Electric System Limited
EB-2012-0064
Tab 3
Schedule C2.2
Filed:  2012 May 10
Updated:  2012 Oct 31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workbookViewId="0">
      <selection activeCell="A16" sqref="A16"/>
    </sheetView>
  </sheetViews>
  <sheetFormatPr defaultRowHeight="15" x14ac:dyDescent="0.25"/>
  <cols>
    <col min="1" max="1" width="48.28515625" style="1" customWidth="1"/>
    <col min="2" max="2" width="17.42578125" customWidth="1"/>
    <col min="3" max="3" width="10.7109375" customWidth="1"/>
    <col min="4" max="4" width="15.85546875" customWidth="1"/>
    <col min="5" max="5" width="15.42578125" customWidth="1"/>
    <col min="6" max="6" width="10.7109375" customWidth="1"/>
    <col min="7" max="7" width="14.140625" customWidth="1"/>
    <col min="8" max="8" width="14.85546875" customWidth="1"/>
    <col min="9" max="9" width="10.7109375" customWidth="1"/>
    <col min="10" max="10" width="9.5703125" hidden="1" customWidth="1"/>
    <col min="11" max="11" width="8.85546875" hidden="1" customWidth="1"/>
    <col min="12" max="14" width="11.7109375" hidden="1" customWidth="1"/>
    <col min="15" max="15" width="10.28515625" hidden="1" customWidth="1"/>
    <col min="16" max="16" width="9.140625" hidden="1" customWidth="1"/>
  </cols>
  <sheetData>
    <row r="1" spans="1:16" ht="15.75" thickBot="1" x14ac:dyDescent="0.3">
      <c r="A1" s="8" t="s">
        <v>388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5" t="s">
        <v>9</v>
      </c>
      <c r="P1" s="4"/>
    </row>
    <row r="2" spans="1:16" ht="15.75" thickBot="1" x14ac:dyDescent="0.3">
      <c r="A2" s="9"/>
      <c r="B2" s="11" t="s">
        <v>10</v>
      </c>
      <c r="C2" s="12" t="s">
        <v>11</v>
      </c>
      <c r="D2" s="12" t="s">
        <v>12</v>
      </c>
      <c r="E2" s="11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1" t="s">
        <v>10</v>
      </c>
      <c r="M2" s="12" t="s">
        <v>11</v>
      </c>
      <c r="N2" s="12" t="s">
        <v>12</v>
      </c>
      <c r="O2" s="12" t="s">
        <v>13</v>
      </c>
      <c r="P2" s="12" t="s">
        <v>14</v>
      </c>
    </row>
    <row r="3" spans="1:16" x14ac:dyDescent="0.25">
      <c r="A3" s="10" t="s">
        <v>105</v>
      </c>
      <c r="B3" s="48">
        <v>1</v>
      </c>
      <c r="C3" s="50">
        <v>686.46</v>
      </c>
      <c r="D3" s="28">
        <f>+B3*C3</f>
        <v>686.46</v>
      </c>
      <c r="E3" s="48">
        <v>1</v>
      </c>
      <c r="F3" s="50">
        <f>+'2012 - 2014 (With Dead Band)'!U8</f>
        <v>695.83</v>
      </c>
      <c r="G3" s="28">
        <f>+E3*F3</f>
        <v>695.83</v>
      </c>
      <c r="H3" s="51">
        <f>+G3-D3</f>
        <v>9.3700000000000045</v>
      </c>
      <c r="I3" s="14">
        <f t="shared" ref="I3:I11" si="0">IF(D3=0,"n/a",H3/D3)</f>
        <v>1.3649739241907764E-2</v>
      </c>
      <c r="J3" s="161"/>
      <c r="L3" s="48">
        <f>E3</f>
        <v>1</v>
      </c>
      <c r="M3" s="50">
        <f t="shared" ref="M3:M34" si="1">F3</f>
        <v>695.83</v>
      </c>
      <c r="N3" s="28">
        <f>L3*M3</f>
        <v>695.83</v>
      </c>
      <c r="O3" s="51">
        <f>N3-D3</f>
        <v>9.3700000000000045</v>
      </c>
      <c r="P3" s="14">
        <f t="shared" ref="P3:P13" si="2">IF(D3=0,"n/a",O3/D3)</f>
        <v>1.3649739241907764E-2</v>
      </c>
    </row>
    <row r="4" spans="1:16" x14ac:dyDescent="0.25">
      <c r="A4" s="10" t="s">
        <v>0</v>
      </c>
      <c r="B4" s="60">
        <f>D37</f>
        <v>1778</v>
      </c>
      <c r="C4" s="53">
        <v>4.4497</v>
      </c>
      <c r="D4" s="28">
        <f t="shared" ref="D4:D34" si="3">+B4*C4</f>
        <v>7911.5666000000001</v>
      </c>
      <c r="E4" s="60">
        <f>D37</f>
        <v>1778</v>
      </c>
      <c r="F4" s="53">
        <f>+'2012 - 2014 (With Dead Band)'!V8</f>
        <v>4.5105000000000004</v>
      </c>
      <c r="G4" s="28">
        <f t="shared" ref="G4:G34" si="4">+E4*F4</f>
        <v>8019.6690000000008</v>
      </c>
      <c r="H4" s="51">
        <f t="shared" ref="H4:H10" si="5">+G4-D4</f>
        <v>108.10240000000067</v>
      </c>
      <c r="I4" s="14">
        <f t="shared" si="0"/>
        <v>1.366384250623646E-2</v>
      </c>
      <c r="J4" s="178">
        <f>SUM(H3:H4)/SUM(D3:D4)</f>
        <v>1.3662716512182069E-2</v>
      </c>
      <c r="L4" s="48">
        <f t="shared" ref="L4:L34" si="6">E4</f>
        <v>1778</v>
      </c>
      <c r="M4" s="53">
        <f t="shared" si="1"/>
        <v>4.5105000000000004</v>
      </c>
      <c r="N4" s="28">
        <f t="shared" ref="N4:N34" si="7">L4*M4</f>
        <v>8019.6690000000008</v>
      </c>
      <c r="O4" s="51">
        <f t="shared" ref="O4:O35" si="8">N4-D4</f>
        <v>108.10240000000067</v>
      </c>
      <c r="P4" s="14">
        <f t="shared" si="2"/>
        <v>1.366384250623646E-2</v>
      </c>
    </row>
    <row r="5" spans="1:16" ht="15" customHeight="1" x14ac:dyDescent="0.25">
      <c r="A5" s="10" t="s">
        <v>106</v>
      </c>
      <c r="B5" s="60">
        <v>1</v>
      </c>
      <c r="C5" s="50">
        <v>0.68</v>
      </c>
      <c r="D5" s="28">
        <f t="shared" si="3"/>
        <v>0.68</v>
      </c>
      <c r="E5" s="60">
        <f>+B5</f>
        <v>1</v>
      </c>
      <c r="F5" s="50">
        <f>+C5</f>
        <v>0.68</v>
      </c>
      <c r="G5" s="28">
        <f t="shared" si="4"/>
        <v>0.68</v>
      </c>
      <c r="H5" s="51">
        <f t="shared" si="5"/>
        <v>0</v>
      </c>
      <c r="I5" s="14">
        <f t="shared" si="0"/>
        <v>0</v>
      </c>
      <c r="L5" s="48">
        <f t="shared" si="6"/>
        <v>1</v>
      </c>
      <c r="M5" s="50">
        <f t="shared" si="1"/>
        <v>0.68</v>
      </c>
      <c r="N5" s="28">
        <f t="shared" si="7"/>
        <v>0.68</v>
      </c>
      <c r="O5" s="51">
        <f t="shared" si="8"/>
        <v>0</v>
      </c>
      <c r="P5" s="14">
        <f t="shared" si="2"/>
        <v>0</v>
      </c>
    </row>
    <row r="6" spans="1:16" x14ac:dyDescent="0.25">
      <c r="A6" s="10" t="s">
        <v>16</v>
      </c>
      <c r="B6" s="58">
        <v>0</v>
      </c>
      <c r="C6" s="30">
        <v>0</v>
      </c>
      <c r="D6" s="28">
        <f t="shared" si="3"/>
        <v>0</v>
      </c>
      <c r="E6" s="60">
        <v>0</v>
      </c>
      <c r="F6" s="30">
        <v>0</v>
      </c>
      <c r="G6" s="28">
        <f t="shared" si="4"/>
        <v>0</v>
      </c>
      <c r="H6" s="51">
        <f t="shared" si="5"/>
        <v>0</v>
      </c>
      <c r="I6" s="14" t="str">
        <f t="shared" si="0"/>
        <v>n/a</v>
      </c>
      <c r="L6" s="48">
        <f t="shared" si="6"/>
        <v>0</v>
      </c>
      <c r="M6" s="30">
        <f t="shared" si="1"/>
        <v>0</v>
      </c>
      <c r="N6" s="28">
        <f t="shared" si="7"/>
        <v>0</v>
      </c>
      <c r="O6" s="51">
        <f t="shared" si="8"/>
        <v>0</v>
      </c>
      <c r="P6" s="14" t="str">
        <f t="shared" si="2"/>
        <v>n/a</v>
      </c>
    </row>
    <row r="7" spans="1:16" x14ac:dyDescent="0.25">
      <c r="A7" s="10" t="s">
        <v>302</v>
      </c>
      <c r="B7" s="58">
        <v>0</v>
      </c>
      <c r="C7" s="30">
        <v>0</v>
      </c>
      <c r="D7" s="28">
        <f t="shared" si="3"/>
        <v>0</v>
      </c>
      <c r="E7" s="60">
        <v>0</v>
      </c>
      <c r="F7" s="30">
        <v>0</v>
      </c>
      <c r="G7" s="28">
        <f t="shared" si="4"/>
        <v>0</v>
      </c>
      <c r="H7" s="51">
        <f t="shared" si="5"/>
        <v>0</v>
      </c>
      <c r="I7" s="14" t="str">
        <f t="shared" si="0"/>
        <v>n/a</v>
      </c>
      <c r="L7" s="48">
        <f t="shared" si="6"/>
        <v>0</v>
      </c>
      <c r="M7" s="53">
        <f t="shared" si="1"/>
        <v>0</v>
      </c>
      <c r="N7" s="28">
        <f t="shared" si="7"/>
        <v>0</v>
      </c>
      <c r="O7" s="51">
        <f t="shared" si="8"/>
        <v>0</v>
      </c>
      <c r="P7" s="14" t="str">
        <f t="shared" si="2"/>
        <v>n/a</v>
      </c>
    </row>
    <row r="8" spans="1:16" ht="15" customHeight="1" x14ac:dyDescent="0.25">
      <c r="A8" s="10" t="s">
        <v>17</v>
      </c>
      <c r="B8" s="58">
        <v>0</v>
      </c>
      <c r="C8" s="30">
        <v>0</v>
      </c>
      <c r="D8" s="28">
        <f t="shared" si="3"/>
        <v>0</v>
      </c>
      <c r="E8" s="60">
        <v>0</v>
      </c>
      <c r="F8" s="30">
        <v>0</v>
      </c>
      <c r="G8" s="28">
        <f t="shared" si="4"/>
        <v>0</v>
      </c>
      <c r="H8" s="51">
        <f>+G8-D8</f>
        <v>0</v>
      </c>
      <c r="I8" s="14" t="str">
        <f t="shared" si="0"/>
        <v>n/a</v>
      </c>
      <c r="L8" s="48">
        <f t="shared" si="6"/>
        <v>0</v>
      </c>
      <c r="M8" s="30">
        <f t="shared" si="1"/>
        <v>0</v>
      </c>
      <c r="N8" s="43">
        <f t="shared" si="7"/>
        <v>0</v>
      </c>
      <c r="O8" s="51">
        <f t="shared" si="8"/>
        <v>0</v>
      </c>
      <c r="P8" s="14" t="str">
        <f t="shared" si="2"/>
        <v>n/a</v>
      </c>
    </row>
    <row r="9" spans="1:16" ht="15" customHeight="1" x14ac:dyDescent="0.25">
      <c r="A9" s="10" t="s">
        <v>182</v>
      </c>
      <c r="B9" s="58">
        <v>0</v>
      </c>
      <c r="C9" s="30">
        <v>0</v>
      </c>
      <c r="D9" s="28">
        <f t="shared" si="3"/>
        <v>0</v>
      </c>
      <c r="E9" s="60">
        <v>0</v>
      </c>
      <c r="F9" s="30">
        <v>0</v>
      </c>
      <c r="G9" s="28">
        <f>+E9*F9</f>
        <v>0</v>
      </c>
      <c r="H9" s="51">
        <f>+G9-D9</f>
        <v>0</v>
      </c>
      <c r="I9" s="14" t="str">
        <f t="shared" si="0"/>
        <v>n/a</v>
      </c>
      <c r="L9" s="48">
        <f t="shared" si="6"/>
        <v>0</v>
      </c>
      <c r="M9" s="53">
        <f t="shared" si="1"/>
        <v>0</v>
      </c>
      <c r="N9" s="28">
        <f t="shared" si="7"/>
        <v>0</v>
      </c>
      <c r="O9" s="51">
        <f t="shared" si="8"/>
        <v>0</v>
      </c>
      <c r="P9" s="14" t="str">
        <f t="shared" si="2"/>
        <v>n/a</v>
      </c>
    </row>
    <row r="10" spans="1:16" x14ac:dyDescent="0.25">
      <c r="A10" s="10" t="s">
        <v>15</v>
      </c>
      <c r="B10" s="58">
        <v>0</v>
      </c>
      <c r="C10" s="30">
        <f>'Contact Voltage'!G26</f>
        <v>0</v>
      </c>
      <c r="D10" s="28">
        <f t="shared" si="3"/>
        <v>0</v>
      </c>
      <c r="E10" s="58">
        <v>0</v>
      </c>
      <c r="F10" s="30">
        <f>'Contact Voltage'!J26</f>
        <v>0</v>
      </c>
      <c r="G10" s="28">
        <f t="shared" si="4"/>
        <v>0</v>
      </c>
      <c r="H10" s="51">
        <f t="shared" si="5"/>
        <v>0</v>
      </c>
      <c r="I10" s="14" t="str">
        <f t="shared" si="0"/>
        <v>n/a</v>
      </c>
      <c r="L10" s="48">
        <f t="shared" si="6"/>
        <v>0</v>
      </c>
      <c r="M10" s="82">
        <f t="shared" si="1"/>
        <v>0</v>
      </c>
      <c r="N10" s="70">
        <f t="shared" si="7"/>
        <v>0</v>
      </c>
      <c r="O10" s="51">
        <f t="shared" si="8"/>
        <v>0</v>
      </c>
      <c r="P10" s="14" t="str">
        <f t="shared" si="2"/>
        <v>n/a</v>
      </c>
    </row>
    <row r="11" spans="1:16" x14ac:dyDescent="0.25">
      <c r="A11" s="10" t="s">
        <v>229</v>
      </c>
      <c r="B11" s="58">
        <v>1</v>
      </c>
      <c r="C11" s="474">
        <f>+'LPP Rate Riders'!H16</f>
        <v>69.81</v>
      </c>
      <c r="D11" s="28">
        <f t="shared" si="3"/>
        <v>69.81</v>
      </c>
      <c r="E11" s="58">
        <v>0</v>
      </c>
      <c r="F11" s="30">
        <f>'Contact Voltage'!J27</f>
        <v>0</v>
      </c>
      <c r="G11" s="28">
        <f>+E11*F11</f>
        <v>0</v>
      </c>
      <c r="H11" s="51">
        <f>+G11-D11</f>
        <v>-69.81</v>
      </c>
      <c r="I11" s="14">
        <f t="shared" si="0"/>
        <v>-1</v>
      </c>
      <c r="L11" s="48">
        <f>E11</f>
        <v>0</v>
      </c>
      <c r="M11" s="82">
        <f>F11</f>
        <v>0</v>
      </c>
      <c r="N11" s="70">
        <f t="shared" si="7"/>
        <v>0</v>
      </c>
      <c r="O11" s="51">
        <f>N11-D11</f>
        <v>-69.81</v>
      </c>
      <c r="P11" s="14">
        <f t="shared" si="2"/>
        <v>-1</v>
      </c>
    </row>
    <row r="12" spans="1:16" x14ac:dyDescent="0.25">
      <c r="A12" s="10" t="s">
        <v>217</v>
      </c>
      <c r="B12" s="58">
        <v>0</v>
      </c>
      <c r="C12" s="30">
        <v>0</v>
      </c>
      <c r="D12" s="28">
        <f t="shared" si="3"/>
        <v>0</v>
      </c>
      <c r="E12" s="58">
        <v>0</v>
      </c>
      <c r="F12" s="30">
        <v>0</v>
      </c>
      <c r="G12" s="28">
        <f t="shared" si="4"/>
        <v>0</v>
      </c>
      <c r="H12" s="51">
        <f>+G12-D12</f>
        <v>0</v>
      </c>
      <c r="I12" s="14" t="str">
        <f>IF(D12=0,"n/a",H12/D12)</f>
        <v>n/a</v>
      </c>
      <c r="L12" s="48">
        <v>1</v>
      </c>
      <c r="M12" s="50">
        <f>'Foregone Rev Rate Rider'!G2</f>
        <v>8.98</v>
      </c>
      <c r="N12" s="28">
        <f t="shared" si="7"/>
        <v>8.98</v>
      </c>
      <c r="O12" s="51">
        <f t="shared" si="8"/>
        <v>8.98</v>
      </c>
      <c r="P12" s="14" t="str">
        <f t="shared" si="2"/>
        <v>n/a</v>
      </c>
    </row>
    <row r="13" spans="1:16" x14ac:dyDescent="0.25">
      <c r="A13" s="10" t="s">
        <v>218</v>
      </c>
      <c r="B13" s="58">
        <v>0</v>
      </c>
      <c r="C13" s="30">
        <v>0</v>
      </c>
      <c r="D13" s="28">
        <f t="shared" si="3"/>
        <v>0</v>
      </c>
      <c r="E13" s="60">
        <v>0</v>
      </c>
      <c r="F13" s="30">
        <v>0</v>
      </c>
      <c r="G13" s="28">
        <f t="shared" si="4"/>
        <v>0</v>
      </c>
      <c r="H13" s="51">
        <f>+G13-D13</f>
        <v>0</v>
      </c>
      <c r="I13" s="14" t="str">
        <f>IF(D13=0,"n/a",H13/D13)</f>
        <v>n/a</v>
      </c>
      <c r="L13" s="48">
        <f>L9</f>
        <v>0</v>
      </c>
      <c r="M13" s="53">
        <f>'Foregone Rev Rate Rider'!G5</f>
        <v>0.1492</v>
      </c>
      <c r="N13" s="28">
        <f t="shared" si="7"/>
        <v>0</v>
      </c>
      <c r="O13" s="51">
        <f>N13-D13</f>
        <v>0</v>
      </c>
      <c r="P13" s="14" t="str">
        <f t="shared" si="2"/>
        <v>n/a</v>
      </c>
    </row>
    <row r="14" spans="1:16" x14ac:dyDescent="0.25">
      <c r="A14" s="998" t="s">
        <v>375</v>
      </c>
      <c r="B14" s="58">
        <v>0</v>
      </c>
      <c r="C14" s="30">
        <v>0</v>
      </c>
      <c r="D14" s="28">
        <f t="shared" ref="D14:D23" si="9">+B14*C14</f>
        <v>0</v>
      </c>
      <c r="E14" s="60">
        <v>1</v>
      </c>
      <c r="F14" s="50">
        <f>+'2012 - 2014 (With Dead Band)'!W8</f>
        <v>24.39</v>
      </c>
      <c r="G14" s="28">
        <f t="shared" si="4"/>
        <v>24.39</v>
      </c>
      <c r="H14" s="51">
        <f t="shared" ref="H14:H23" si="10">+G14-D14</f>
        <v>24.39</v>
      </c>
      <c r="I14" s="14" t="str">
        <f t="shared" ref="I14:I23" si="11">IF(D14=0,"n/a",H14/D14)</f>
        <v>n/a</v>
      </c>
      <c r="L14" s="48"/>
      <c r="M14" s="53"/>
      <c r="N14" s="28"/>
      <c r="O14" s="51"/>
      <c r="P14" s="14"/>
    </row>
    <row r="15" spans="1:16" x14ac:dyDescent="0.25">
      <c r="A15" s="998" t="s">
        <v>374</v>
      </c>
      <c r="B15" s="58">
        <v>0</v>
      </c>
      <c r="C15" s="30">
        <v>0</v>
      </c>
      <c r="D15" s="28">
        <f t="shared" si="9"/>
        <v>0</v>
      </c>
      <c r="E15" s="60">
        <v>1778</v>
      </c>
      <c r="F15" s="53">
        <f>+'2012 - 2014 (With Dead Band)'!X8</f>
        <v>0.15809999999999999</v>
      </c>
      <c r="G15" s="28">
        <f t="shared" si="4"/>
        <v>281.10179999999997</v>
      </c>
      <c r="H15" s="51">
        <f t="shared" si="10"/>
        <v>281.10179999999997</v>
      </c>
      <c r="I15" s="14" t="str">
        <f t="shared" si="11"/>
        <v>n/a</v>
      </c>
      <c r="L15" s="48"/>
      <c r="M15" s="53"/>
      <c r="N15" s="28"/>
      <c r="O15" s="51"/>
      <c r="P15" s="14"/>
    </row>
    <row r="16" spans="1:16" x14ac:dyDescent="0.25">
      <c r="A16" s="998" t="s">
        <v>384</v>
      </c>
      <c r="B16" s="58">
        <v>0</v>
      </c>
      <c r="C16" s="30">
        <v>0</v>
      </c>
      <c r="D16" s="28">
        <f t="shared" si="9"/>
        <v>0</v>
      </c>
      <c r="E16" s="60">
        <f>+E15</f>
        <v>1778</v>
      </c>
      <c r="F16" s="53">
        <f>+'2012 - 2014 (With Dead Band)'!Y8</f>
        <v>-5.5999999999999999E-3</v>
      </c>
      <c r="G16" s="28">
        <f t="shared" si="4"/>
        <v>-9.9567999999999994</v>
      </c>
      <c r="H16" s="51">
        <f>+G16-D16</f>
        <v>-9.9567999999999994</v>
      </c>
      <c r="I16" s="14" t="str">
        <f>IF(D16=0,"n/a",H16/D16)</f>
        <v>n/a</v>
      </c>
      <c r="L16" s="48"/>
      <c r="M16" s="53"/>
      <c r="N16" s="28"/>
      <c r="O16" s="51"/>
      <c r="P16" s="14"/>
    </row>
    <row r="17" spans="1:16" x14ac:dyDescent="0.25">
      <c r="A17" s="998" t="str">
        <f>+'2012 - 2014 (With Dead Band)'!AG3</f>
        <v>2012 Foregone IRM Rate Rider - MFC</v>
      </c>
      <c r="B17" s="48">
        <v>0</v>
      </c>
      <c r="C17" s="30">
        <v>0</v>
      </c>
      <c r="D17" s="28">
        <f t="shared" si="9"/>
        <v>0</v>
      </c>
      <c r="E17" s="60">
        <v>1</v>
      </c>
      <c r="F17" s="50">
        <f>+'2012 - 2014 (With Dead Band)'!AG8</f>
        <v>2.11</v>
      </c>
      <c r="G17" s="28">
        <f t="shared" si="4"/>
        <v>2.11</v>
      </c>
      <c r="H17" s="51">
        <f>+G17-D17</f>
        <v>2.11</v>
      </c>
      <c r="I17" s="14" t="str">
        <f>IF(D17=0,"n/a",H17/D17)</f>
        <v>n/a</v>
      </c>
      <c r="L17" s="48"/>
      <c r="M17" s="53"/>
      <c r="N17" s="28"/>
      <c r="O17" s="51"/>
      <c r="P17" s="14"/>
    </row>
    <row r="18" spans="1:16" x14ac:dyDescent="0.25">
      <c r="A18" s="998" t="str">
        <f>+'2012 - 2014 (With Dead Band)'!AH3</f>
        <v>2012 Foregone IRM Rate Rider - DVR</v>
      </c>
      <c r="B18" s="48">
        <v>0</v>
      </c>
      <c r="C18" s="30">
        <v>0</v>
      </c>
      <c r="D18" s="28">
        <f t="shared" si="9"/>
        <v>0</v>
      </c>
      <c r="E18" s="60">
        <v>1778</v>
      </c>
      <c r="F18" s="53">
        <f>+'2012 - 2014 (With Dead Band)'!AH8</f>
        <v>1.37E-2</v>
      </c>
      <c r="G18" s="28">
        <f t="shared" si="4"/>
        <v>24.358599999999999</v>
      </c>
      <c r="H18" s="51">
        <f>+G18-D18</f>
        <v>24.358599999999999</v>
      </c>
      <c r="I18" s="14" t="str">
        <f>IF(D18=0,"n/a",H18/D18)</f>
        <v>n/a</v>
      </c>
      <c r="L18" s="48"/>
      <c r="M18" s="53"/>
      <c r="N18" s="28"/>
      <c r="O18" s="51"/>
      <c r="P18" s="14"/>
    </row>
    <row r="19" spans="1:16" x14ac:dyDescent="0.25">
      <c r="A19" s="998" t="str">
        <f>+'2012 - 2014 (With Dead Band)'!$Z$3</f>
        <v>2012 ICM Rate Adder - MFC</v>
      </c>
      <c r="B19" s="58">
        <v>0</v>
      </c>
      <c r="C19" s="30">
        <v>0</v>
      </c>
      <c r="D19" s="28">
        <f t="shared" si="9"/>
        <v>0</v>
      </c>
      <c r="E19" s="60">
        <v>1</v>
      </c>
      <c r="F19" s="50">
        <f>+'2012 - 2014 (With Dead Band)'!Z8</f>
        <v>19.38</v>
      </c>
      <c r="G19" s="28">
        <f t="shared" si="4"/>
        <v>19.38</v>
      </c>
      <c r="H19" s="51">
        <f t="shared" si="10"/>
        <v>19.38</v>
      </c>
      <c r="I19" s="14" t="str">
        <f t="shared" si="11"/>
        <v>n/a</v>
      </c>
      <c r="L19" s="48"/>
      <c r="M19" s="53"/>
      <c r="N19" s="28"/>
      <c r="O19" s="51"/>
      <c r="P19" s="14"/>
    </row>
    <row r="20" spans="1:16" x14ac:dyDescent="0.25">
      <c r="A20" s="998" t="str">
        <f>+'2012 - 2014 (With Dead Band)'!$AA$3</f>
        <v>2012 ICM Rate Adder - DVR</v>
      </c>
      <c r="B20" s="58">
        <v>0</v>
      </c>
      <c r="C20" s="30">
        <v>0</v>
      </c>
      <c r="D20" s="28">
        <f t="shared" si="9"/>
        <v>0</v>
      </c>
      <c r="E20" s="60">
        <v>1778</v>
      </c>
      <c r="F20" s="53">
        <f>+'2012 - 2014 (With Dead Band)'!AA8</f>
        <v>0.12559999999999999</v>
      </c>
      <c r="G20" s="28">
        <f t="shared" si="4"/>
        <v>223.31679999999997</v>
      </c>
      <c r="H20" s="51">
        <f t="shared" si="10"/>
        <v>223.31679999999997</v>
      </c>
      <c r="I20" s="14" t="str">
        <f t="shared" si="11"/>
        <v>n/a</v>
      </c>
      <c r="L20" s="48"/>
      <c r="M20" s="53"/>
      <c r="N20" s="28"/>
      <c r="O20" s="51"/>
      <c r="P20" s="14"/>
    </row>
    <row r="21" spans="1:16" x14ac:dyDescent="0.25">
      <c r="A21" s="998" t="str">
        <f>+'2012 - 2014 (With Dead Band)'!AE3</f>
        <v>2013 ICM Rate Adder - MFC</v>
      </c>
      <c r="B21" s="58">
        <v>0</v>
      </c>
      <c r="C21" s="30">
        <v>0</v>
      </c>
      <c r="D21" s="28">
        <f>+B21*C21</f>
        <v>0</v>
      </c>
      <c r="E21" s="60">
        <v>1</v>
      </c>
      <c r="F21" s="50">
        <f>+'2012 - 2014 (With Dead Band)'!AE8</f>
        <v>51.13</v>
      </c>
      <c r="G21" s="28">
        <f t="shared" si="4"/>
        <v>51.13</v>
      </c>
      <c r="H21" s="51">
        <f>+G21-D21</f>
        <v>51.13</v>
      </c>
      <c r="I21" s="14" t="str">
        <f>IF(D21=0,"n/a",H21/D21)</f>
        <v>n/a</v>
      </c>
      <c r="L21" s="48"/>
      <c r="M21" s="53"/>
      <c r="N21" s="28"/>
      <c r="O21" s="51"/>
      <c r="P21" s="14"/>
    </row>
    <row r="22" spans="1:16" x14ac:dyDescent="0.25">
      <c r="A22" s="998" t="str">
        <f>+'2012 - 2014 (With Dead Band)'!AF3</f>
        <v>2013 ICM Rate Adder - DVR</v>
      </c>
      <c r="B22" s="58">
        <v>0</v>
      </c>
      <c r="C22" s="30">
        <v>0</v>
      </c>
      <c r="D22" s="28">
        <f>+B22*C22</f>
        <v>0</v>
      </c>
      <c r="E22" s="60">
        <v>1778</v>
      </c>
      <c r="F22" s="53">
        <f>+'2012 - 2014 (With Dead Band)'!AF8</f>
        <v>0.33139999999999997</v>
      </c>
      <c r="G22" s="28">
        <f t="shared" si="4"/>
        <v>589.22919999999999</v>
      </c>
      <c r="H22" s="51">
        <f>+G22-D22</f>
        <v>589.22919999999999</v>
      </c>
      <c r="I22" s="14" t="str">
        <f>IF(D22=0,"n/a",H22/D22)</f>
        <v>n/a</v>
      </c>
      <c r="L22" s="48"/>
      <c r="M22" s="53"/>
      <c r="N22" s="28"/>
      <c r="O22" s="51"/>
      <c r="P22" s="14"/>
    </row>
    <row r="23" spans="1:16" x14ac:dyDescent="0.25">
      <c r="A23" s="998" t="str">
        <f>+'2012 - 2014 (With Dead Band)'!$AD$3</f>
        <v>Deferral/Variance Account Rate Rider</v>
      </c>
      <c r="B23" s="58">
        <v>0</v>
      </c>
      <c r="C23" s="30">
        <v>0</v>
      </c>
      <c r="D23" s="28">
        <f t="shared" si="9"/>
        <v>0</v>
      </c>
      <c r="E23" s="60">
        <v>1778</v>
      </c>
      <c r="F23" s="53">
        <f>+'2012 - 2014 (With Dead Band)'!AD8</f>
        <v>-4.2099999999999999E-2</v>
      </c>
      <c r="G23" s="28">
        <f t="shared" si="4"/>
        <v>-74.853799999999993</v>
      </c>
      <c r="H23" s="51">
        <f t="shared" si="10"/>
        <v>-74.853799999999993</v>
      </c>
      <c r="I23" s="14" t="str">
        <f t="shared" si="11"/>
        <v>n/a</v>
      </c>
      <c r="L23" s="48"/>
      <c r="M23" s="53"/>
      <c r="N23" s="28"/>
      <c r="O23" s="51"/>
      <c r="P23" s="14"/>
    </row>
    <row r="24" spans="1:16" x14ac:dyDescent="0.25">
      <c r="A24" s="6" t="s">
        <v>1</v>
      </c>
      <c r="B24" s="59"/>
      <c r="C24" s="44"/>
      <c r="D24" s="54">
        <f>SUM(D3:D23)</f>
        <v>8668.5166000000008</v>
      </c>
      <c r="E24" s="59"/>
      <c r="F24" s="44"/>
      <c r="G24" s="54">
        <f>SUM(G3:G23)</f>
        <v>9846.3847999999998</v>
      </c>
      <c r="H24" s="57">
        <f>SUM(H3:H23)</f>
        <v>1177.8682000000006</v>
      </c>
      <c r="I24" s="15">
        <f>+H24/D24</f>
        <v>0.13587886536434624</v>
      </c>
      <c r="J24" s="161"/>
      <c r="L24" s="49">
        <f t="shared" si="6"/>
        <v>0</v>
      </c>
      <c r="M24" s="44"/>
      <c r="N24" s="54">
        <f>SUM(N3:N13)</f>
        <v>8725.1590000000015</v>
      </c>
      <c r="O24" s="57">
        <f t="shared" si="8"/>
        <v>56.642400000000634</v>
      </c>
      <c r="P24" s="15">
        <f>O24/D24</f>
        <v>6.534266774086887E-3</v>
      </c>
    </row>
    <row r="25" spans="1:16" x14ac:dyDescent="0.25">
      <c r="A25" s="10" t="s">
        <v>2</v>
      </c>
      <c r="B25" s="60">
        <f>C37</f>
        <v>1600</v>
      </c>
      <c r="C25" s="52">
        <v>2.3527</v>
      </c>
      <c r="D25" s="28">
        <f t="shared" si="3"/>
        <v>3764.32</v>
      </c>
      <c r="E25" s="60">
        <f>+B25</f>
        <v>1600</v>
      </c>
      <c r="F25" s="52">
        <f>+'2012 - 2014 (With Dead Band)'!AB8</f>
        <v>2.7002000000000002</v>
      </c>
      <c r="G25" s="28">
        <f t="shared" si="4"/>
        <v>4320.3200000000006</v>
      </c>
      <c r="H25" s="51">
        <f>+G25-D25</f>
        <v>556.00000000000045</v>
      </c>
      <c r="I25" s="13">
        <f>+H25/D25</f>
        <v>0.14770263952055096</v>
      </c>
      <c r="L25" s="48">
        <f t="shared" si="6"/>
        <v>1600</v>
      </c>
      <c r="M25" s="52">
        <f t="shared" si="1"/>
        <v>2.7002000000000002</v>
      </c>
      <c r="N25" s="28">
        <f t="shared" si="7"/>
        <v>4320.3200000000006</v>
      </c>
      <c r="O25" s="51">
        <f t="shared" si="8"/>
        <v>556.00000000000045</v>
      </c>
      <c r="P25" s="13">
        <f>O25/D25</f>
        <v>0.14770263952055096</v>
      </c>
    </row>
    <row r="26" spans="1:16" x14ac:dyDescent="0.25">
      <c r="A26" s="10" t="s">
        <v>3</v>
      </c>
      <c r="B26" s="60">
        <f>C37</f>
        <v>1600</v>
      </c>
      <c r="C26" s="52">
        <v>1.7612999999999999</v>
      </c>
      <c r="D26" s="28">
        <f t="shared" si="3"/>
        <v>2818.08</v>
      </c>
      <c r="E26" s="60">
        <f>+B26</f>
        <v>1600</v>
      </c>
      <c r="F26" s="52">
        <f>+'2012 - 2014 (With Dead Band)'!AC8</f>
        <v>1.9268000000000001</v>
      </c>
      <c r="G26" s="28">
        <f t="shared" si="4"/>
        <v>3082.88</v>
      </c>
      <c r="H26" s="51">
        <f>+G26-D26</f>
        <v>264.80000000000018</v>
      </c>
      <c r="I26" s="13">
        <f>+H26/D26</f>
        <v>9.396468517572254E-2</v>
      </c>
      <c r="L26" s="48">
        <f t="shared" si="6"/>
        <v>1600</v>
      </c>
      <c r="M26" s="52">
        <f t="shared" si="1"/>
        <v>1.9268000000000001</v>
      </c>
      <c r="N26" s="28">
        <f t="shared" si="7"/>
        <v>3082.88</v>
      </c>
      <c r="O26" s="51">
        <f t="shared" si="8"/>
        <v>264.80000000000018</v>
      </c>
      <c r="P26" s="13">
        <f>O26/D26</f>
        <v>9.396468517572254E-2</v>
      </c>
    </row>
    <row r="27" spans="1:16" x14ac:dyDescent="0.25">
      <c r="A27" s="6" t="s">
        <v>4</v>
      </c>
      <c r="B27" s="59"/>
      <c r="C27" s="44"/>
      <c r="D27" s="54">
        <f>SUM(D24:D26)</f>
        <v>15250.9166</v>
      </c>
      <c r="E27" s="59"/>
      <c r="F27" s="44"/>
      <c r="G27" s="54">
        <f>SUM(G24:G26)</f>
        <v>17249.584800000001</v>
      </c>
      <c r="H27" s="57">
        <f>+G27-D27</f>
        <v>1998.6682000000001</v>
      </c>
      <c r="I27" s="15">
        <f>+H27/D27</f>
        <v>0.13105233294633584</v>
      </c>
      <c r="L27" s="46">
        <f t="shared" si="6"/>
        <v>0</v>
      </c>
      <c r="M27" s="44"/>
      <c r="N27" s="54">
        <f>SUM(N24:N26)</f>
        <v>16128.359000000004</v>
      </c>
      <c r="O27" s="57">
        <f t="shared" si="8"/>
        <v>877.44240000000354</v>
      </c>
      <c r="P27" s="15">
        <f>O27/D27</f>
        <v>5.7533748496139799E-2</v>
      </c>
    </row>
    <row r="28" spans="1:16" x14ac:dyDescent="0.25">
      <c r="A28" s="10" t="s">
        <v>5</v>
      </c>
      <c r="B28" s="60">
        <f>+B37*B38</f>
        <v>830080.00000000012</v>
      </c>
      <c r="C28" s="52">
        <v>5.1999999999999998E-3</v>
      </c>
      <c r="D28" s="28">
        <f t="shared" si="3"/>
        <v>4316.4160000000002</v>
      </c>
      <c r="E28" s="60">
        <f t="shared" ref="E28:E34" si="12">+B28</f>
        <v>830080.00000000012</v>
      </c>
      <c r="F28" s="52">
        <f t="shared" ref="F28:F34" si="13">C28</f>
        <v>5.1999999999999998E-3</v>
      </c>
      <c r="G28" s="28">
        <f t="shared" si="4"/>
        <v>4316.4160000000002</v>
      </c>
      <c r="H28" s="51">
        <f t="shared" ref="H28:H34" si="14">+G28-D28</f>
        <v>0</v>
      </c>
      <c r="I28" s="14">
        <f t="shared" ref="I28:I34" si="15">IF(D28=0,"n/a",H28/D28)</f>
        <v>0</v>
      </c>
      <c r="L28" s="48">
        <f t="shared" si="6"/>
        <v>830080.00000000012</v>
      </c>
      <c r="M28" s="52">
        <f t="shared" si="1"/>
        <v>5.1999999999999998E-3</v>
      </c>
      <c r="N28" s="179">
        <f t="shared" si="7"/>
        <v>4316.4160000000002</v>
      </c>
      <c r="O28" s="51">
        <f t="shared" si="8"/>
        <v>0</v>
      </c>
      <c r="P28" s="14">
        <f t="shared" ref="P28:P34" si="16">IF(D28=0,"n/a",O28/D28)</f>
        <v>0</v>
      </c>
    </row>
    <row r="29" spans="1:16" x14ac:dyDescent="0.25">
      <c r="A29" s="10" t="s">
        <v>6</v>
      </c>
      <c r="B29" s="60">
        <f>+B37*B38</f>
        <v>830080.00000000012</v>
      </c>
      <c r="C29" s="52">
        <v>1.1000000000000001E-3</v>
      </c>
      <c r="D29" s="28">
        <f t="shared" si="3"/>
        <v>913.08800000000019</v>
      </c>
      <c r="E29" s="60">
        <f t="shared" si="12"/>
        <v>830080.00000000012</v>
      </c>
      <c r="F29" s="52">
        <f t="shared" si="13"/>
        <v>1.1000000000000001E-3</v>
      </c>
      <c r="G29" s="28">
        <f t="shared" si="4"/>
        <v>913.08800000000019</v>
      </c>
      <c r="H29" s="51">
        <f t="shared" si="14"/>
        <v>0</v>
      </c>
      <c r="I29" s="14">
        <f t="shared" si="15"/>
        <v>0</v>
      </c>
      <c r="L29" s="48">
        <f t="shared" si="6"/>
        <v>830080.00000000012</v>
      </c>
      <c r="M29" s="52">
        <f t="shared" si="1"/>
        <v>1.1000000000000001E-3</v>
      </c>
      <c r="N29" s="179">
        <f t="shared" si="7"/>
        <v>913.08800000000019</v>
      </c>
      <c r="O29" s="51">
        <f t="shared" si="8"/>
        <v>0</v>
      </c>
      <c r="P29" s="14">
        <f t="shared" si="16"/>
        <v>0</v>
      </c>
    </row>
    <row r="30" spans="1:16" x14ac:dyDescent="0.25">
      <c r="A30" s="10" t="s">
        <v>7</v>
      </c>
      <c r="B30" s="60">
        <f>+B37</f>
        <v>800000</v>
      </c>
      <c r="C30" s="52">
        <v>7.0000000000000001E-3</v>
      </c>
      <c r="D30" s="28">
        <f t="shared" si="3"/>
        <v>5600</v>
      </c>
      <c r="E30" s="60">
        <f t="shared" si="12"/>
        <v>800000</v>
      </c>
      <c r="F30" s="52">
        <f t="shared" si="13"/>
        <v>7.0000000000000001E-3</v>
      </c>
      <c r="G30" s="28">
        <f t="shared" si="4"/>
        <v>5600</v>
      </c>
      <c r="H30" s="51">
        <f t="shared" si="14"/>
        <v>0</v>
      </c>
      <c r="I30" s="14">
        <f t="shared" si="15"/>
        <v>0</v>
      </c>
      <c r="L30" s="48">
        <f t="shared" si="6"/>
        <v>800000</v>
      </c>
      <c r="M30" s="52">
        <f t="shared" si="1"/>
        <v>7.0000000000000001E-3</v>
      </c>
      <c r="N30" s="179">
        <f t="shared" si="7"/>
        <v>5600</v>
      </c>
      <c r="O30" s="51">
        <f t="shared" si="8"/>
        <v>0</v>
      </c>
      <c r="P30" s="14">
        <f t="shared" si="16"/>
        <v>0</v>
      </c>
    </row>
    <row r="31" spans="1:16" x14ac:dyDescent="0.25">
      <c r="A31" s="10" t="s">
        <v>19</v>
      </c>
      <c r="B31" s="60">
        <v>1</v>
      </c>
      <c r="C31" s="51">
        <v>0.25</v>
      </c>
      <c r="D31" s="28">
        <f t="shared" si="3"/>
        <v>0.25</v>
      </c>
      <c r="E31" s="60">
        <f t="shared" si="12"/>
        <v>1</v>
      </c>
      <c r="F31" s="51">
        <f t="shared" si="13"/>
        <v>0.25</v>
      </c>
      <c r="G31" s="28">
        <f t="shared" si="4"/>
        <v>0.25</v>
      </c>
      <c r="H31" s="51">
        <f>+G31-D31</f>
        <v>0</v>
      </c>
      <c r="I31" s="14">
        <f t="shared" si="15"/>
        <v>0</v>
      </c>
      <c r="L31" s="48">
        <f t="shared" si="6"/>
        <v>1</v>
      </c>
      <c r="M31" s="51">
        <f t="shared" si="1"/>
        <v>0.25</v>
      </c>
      <c r="N31" s="179">
        <f t="shared" si="7"/>
        <v>0.25</v>
      </c>
      <c r="O31" s="51">
        <f t="shared" si="8"/>
        <v>0</v>
      </c>
      <c r="P31" s="14">
        <f t="shared" si="16"/>
        <v>0</v>
      </c>
    </row>
    <row r="32" spans="1:16" x14ac:dyDescent="0.25">
      <c r="A32" s="10" t="s">
        <v>108</v>
      </c>
      <c r="B32" s="60">
        <f>+B37*B38</f>
        <v>830080.00000000012</v>
      </c>
      <c r="C32" s="42">
        <v>0</v>
      </c>
      <c r="D32" s="70">
        <f t="shared" si="3"/>
        <v>0</v>
      </c>
      <c r="E32" s="60">
        <f t="shared" si="12"/>
        <v>830080.00000000012</v>
      </c>
      <c r="F32" s="42">
        <v>0</v>
      </c>
      <c r="G32" s="70">
        <f t="shared" si="4"/>
        <v>0</v>
      </c>
      <c r="H32" s="71">
        <f>+G32-D32</f>
        <v>0</v>
      </c>
      <c r="I32" s="14" t="str">
        <f t="shared" si="15"/>
        <v>n/a</v>
      </c>
      <c r="L32" s="48">
        <f t="shared" si="6"/>
        <v>830080.00000000012</v>
      </c>
      <c r="M32" s="52">
        <f t="shared" si="1"/>
        <v>0</v>
      </c>
      <c r="N32" s="180">
        <f t="shared" si="7"/>
        <v>0</v>
      </c>
      <c r="O32" s="71">
        <f t="shared" si="8"/>
        <v>0</v>
      </c>
      <c r="P32" s="14" t="str">
        <f t="shared" si="16"/>
        <v>n/a</v>
      </c>
    </row>
    <row r="33" spans="1:16" x14ac:dyDescent="0.25">
      <c r="A33" s="10" t="s">
        <v>212</v>
      </c>
      <c r="B33" s="60">
        <v>750</v>
      </c>
      <c r="C33" s="245">
        <v>7.4999999999999997E-2</v>
      </c>
      <c r="D33" s="28">
        <f t="shared" si="3"/>
        <v>56.25</v>
      </c>
      <c r="E33" s="60">
        <f t="shared" si="12"/>
        <v>750</v>
      </c>
      <c r="F33" s="245">
        <f t="shared" si="13"/>
        <v>7.4999999999999997E-2</v>
      </c>
      <c r="G33" s="28">
        <f t="shared" si="4"/>
        <v>56.25</v>
      </c>
      <c r="H33" s="51">
        <f t="shared" si="14"/>
        <v>0</v>
      </c>
      <c r="I33" s="14">
        <f t="shared" si="15"/>
        <v>0</v>
      </c>
      <c r="L33" s="48">
        <f t="shared" si="6"/>
        <v>750</v>
      </c>
      <c r="M33" s="245">
        <f t="shared" si="1"/>
        <v>7.4999999999999997E-2</v>
      </c>
      <c r="N33" s="179">
        <f t="shared" si="7"/>
        <v>56.25</v>
      </c>
      <c r="O33" s="51">
        <f t="shared" si="8"/>
        <v>0</v>
      </c>
      <c r="P33" s="14">
        <f t="shared" si="16"/>
        <v>0</v>
      </c>
    </row>
    <row r="34" spans="1:16" x14ac:dyDescent="0.25">
      <c r="A34" s="10" t="s">
        <v>213</v>
      </c>
      <c r="B34" s="60">
        <f>(+$B$37*B38)-B33</f>
        <v>829330.00000000012</v>
      </c>
      <c r="C34" s="245">
        <v>8.7999999999999995E-2</v>
      </c>
      <c r="D34" s="28">
        <f t="shared" si="3"/>
        <v>72981.040000000008</v>
      </c>
      <c r="E34" s="60">
        <f t="shared" si="12"/>
        <v>829330.00000000012</v>
      </c>
      <c r="F34" s="245">
        <f t="shared" si="13"/>
        <v>8.7999999999999995E-2</v>
      </c>
      <c r="G34" s="28">
        <f t="shared" si="4"/>
        <v>72981.040000000008</v>
      </c>
      <c r="H34" s="51">
        <f t="shared" si="14"/>
        <v>0</v>
      </c>
      <c r="I34" s="14">
        <f t="shared" si="15"/>
        <v>0</v>
      </c>
      <c r="L34" s="48">
        <f t="shared" si="6"/>
        <v>829330.00000000012</v>
      </c>
      <c r="M34" s="245">
        <f t="shared" si="1"/>
        <v>8.7999999999999995E-2</v>
      </c>
      <c r="N34" s="179">
        <f t="shared" si="7"/>
        <v>72981.040000000008</v>
      </c>
      <c r="O34" s="51">
        <f t="shared" si="8"/>
        <v>0</v>
      </c>
      <c r="P34" s="14">
        <f t="shared" si="16"/>
        <v>0</v>
      </c>
    </row>
    <row r="35" spans="1:16" ht="15.75" thickBot="1" x14ac:dyDescent="0.3">
      <c r="A35" s="7" t="s">
        <v>8</v>
      </c>
      <c r="B35" s="47"/>
      <c r="C35" s="45"/>
      <c r="D35" s="55">
        <f>SUM(D27:D34)</f>
        <v>99117.960600000006</v>
      </c>
      <c r="E35" s="47"/>
      <c r="F35" s="56"/>
      <c r="G35" s="55">
        <f>SUM(G27:G34)</f>
        <v>101116.62880000001</v>
      </c>
      <c r="H35" s="47">
        <f>+G35-D35</f>
        <v>1998.6682000000001</v>
      </c>
      <c r="I35" s="16">
        <f>+H35/D35</f>
        <v>2.0164541198197331E-2</v>
      </c>
      <c r="L35" s="47"/>
      <c r="M35" s="56"/>
      <c r="N35" s="55">
        <f>SUM(N27:N34)</f>
        <v>99995.40300000002</v>
      </c>
      <c r="O35" s="47">
        <f t="shared" si="8"/>
        <v>877.44240000001446</v>
      </c>
      <c r="P35" s="16">
        <f>O35/D35</f>
        <v>8.8525065960650372E-3</v>
      </c>
    </row>
    <row r="36" spans="1:16" ht="15.75" thickBot="1" x14ac:dyDescent="0.3">
      <c r="A36" s="17"/>
      <c r="B36" s="38" t="s">
        <v>20</v>
      </c>
      <c r="C36" s="38" t="s">
        <v>21</v>
      </c>
      <c r="D36" s="39" t="s">
        <v>22</v>
      </c>
      <c r="E36" s="38" t="s">
        <v>100</v>
      </c>
      <c r="F36" s="38" t="s">
        <v>101</v>
      </c>
      <c r="G36" s="38" t="s">
        <v>102</v>
      </c>
    </row>
    <row r="37" spans="1:16" ht="16.5" thickTop="1" thickBot="1" x14ac:dyDescent="0.3">
      <c r="A37" s="31" t="s">
        <v>103</v>
      </c>
      <c r="B37" s="32">
        <v>800000</v>
      </c>
      <c r="C37" s="32">
        <f>ROUND(+B37/E37,0)</f>
        <v>1600</v>
      </c>
      <c r="D37" s="32">
        <f>ROUND(+C37/F37,0)</f>
        <v>1778</v>
      </c>
      <c r="E37" s="33">
        <v>500</v>
      </c>
      <c r="F37" s="34">
        <v>0.9</v>
      </c>
      <c r="G37" s="35">
        <v>1</v>
      </c>
    </row>
    <row r="38" spans="1:16" ht="16.5" thickTop="1" thickBot="1" x14ac:dyDescent="0.3">
      <c r="A38" s="40" t="s">
        <v>104</v>
      </c>
      <c r="B38" s="41">
        <f>1.0376</f>
        <v>1.0376000000000001</v>
      </c>
      <c r="G38" t="s">
        <v>18</v>
      </c>
    </row>
    <row r="39" spans="1:16" ht="15.75" thickTop="1" x14ac:dyDescent="0.25">
      <c r="D39" s="161"/>
      <c r="G39" s="161"/>
    </row>
    <row r="40" spans="1:16" x14ac:dyDescent="0.25">
      <c r="D40" s="161"/>
      <c r="G40" s="161"/>
    </row>
  </sheetData>
  <printOptions horizontalCentered="1"/>
  <pageMargins left="0.19685039370078741" right="0.19685039370078741" top="1.4960629921259843" bottom="0.31496062992125984" header="0.31496062992125984" footer="0.15748031496062992"/>
  <pageSetup scale="86" orientation="landscape" r:id="rId1"/>
  <headerFooter>
    <oddHeader>&amp;RToronto Hydro-Electric System Limited
EB-2012-0064
Tab 3
Schedule C2.2
Filed:  2012 May 10
Updated:  2012 Oct 31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workbookViewId="0">
      <selection activeCell="A16" sqref="A16"/>
    </sheetView>
  </sheetViews>
  <sheetFormatPr defaultRowHeight="15" x14ac:dyDescent="0.25"/>
  <cols>
    <col min="1" max="1" width="48.28515625" style="1" customWidth="1"/>
    <col min="2" max="2" width="17.42578125" customWidth="1"/>
    <col min="3" max="3" width="10.7109375" customWidth="1"/>
    <col min="4" max="4" width="16.85546875" customWidth="1"/>
    <col min="5" max="5" width="15.42578125" customWidth="1"/>
    <col min="6" max="6" width="10.7109375" customWidth="1"/>
    <col min="7" max="7" width="14.140625" customWidth="1"/>
    <col min="8" max="8" width="11" customWidth="1"/>
    <col min="9" max="9" width="10.7109375" customWidth="1"/>
    <col min="10" max="10" width="10.5703125" hidden="1" customWidth="1"/>
    <col min="11" max="11" width="8.85546875" hidden="1" customWidth="1"/>
    <col min="12" max="14" width="13.7109375" hidden="1" customWidth="1"/>
    <col min="15" max="15" width="11.140625" hidden="1" customWidth="1"/>
    <col min="16" max="16" width="9.140625" hidden="1" customWidth="1"/>
  </cols>
  <sheetData>
    <row r="1" spans="1:16" ht="15.75" thickBot="1" x14ac:dyDescent="0.3">
      <c r="A1" s="8" t="s">
        <v>389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5" t="s">
        <v>9</v>
      </c>
      <c r="P1" s="4"/>
    </row>
    <row r="2" spans="1:16" ht="15.75" thickBot="1" x14ac:dyDescent="0.3">
      <c r="A2" s="9"/>
      <c r="B2" s="11" t="s">
        <v>10</v>
      </c>
      <c r="C2" s="12" t="s">
        <v>11</v>
      </c>
      <c r="D2" s="12" t="s">
        <v>12</v>
      </c>
      <c r="E2" s="11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1" t="s">
        <v>10</v>
      </c>
      <c r="M2" s="12" t="s">
        <v>11</v>
      </c>
      <c r="N2" s="12" t="s">
        <v>12</v>
      </c>
      <c r="O2" s="12" t="s">
        <v>13</v>
      </c>
      <c r="P2" s="12" t="s">
        <v>14</v>
      </c>
    </row>
    <row r="3" spans="1:16" x14ac:dyDescent="0.25">
      <c r="A3" s="10" t="s">
        <v>105</v>
      </c>
      <c r="B3" s="48">
        <v>1</v>
      </c>
      <c r="C3" s="50">
        <v>3009.11</v>
      </c>
      <c r="D3" s="28">
        <f>+B3*C3</f>
        <v>3009.11</v>
      </c>
      <c r="E3" s="48">
        <v>1</v>
      </c>
      <c r="F3" s="50">
        <f>+'2012 - 2014 (With Dead Band)'!U9</f>
        <v>3050.17</v>
      </c>
      <c r="G3" s="28">
        <f>+E3*F3</f>
        <v>3050.17</v>
      </c>
      <c r="H3" s="51">
        <f>+G3-D3</f>
        <v>41.059999999999945</v>
      </c>
      <c r="I3" s="14">
        <f t="shared" ref="I3:I11" si="0">IF(D3=0,"n/a",H3/D3)</f>
        <v>1.3645230649594046E-2</v>
      </c>
      <c r="J3" s="161"/>
      <c r="L3" s="48">
        <f>E3</f>
        <v>1</v>
      </c>
      <c r="M3" s="50">
        <f t="shared" ref="M3:M34" si="1">F3</f>
        <v>3050.17</v>
      </c>
      <c r="N3" s="28">
        <f>L3*M3</f>
        <v>3050.17</v>
      </c>
      <c r="O3" s="51">
        <f>N3-D3</f>
        <v>41.059999999999945</v>
      </c>
      <c r="P3" s="14">
        <f t="shared" ref="P3:P13" si="2">IF(D3=0,"n/a",O3/D3)</f>
        <v>1.3645230649594046E-2</v>
      </c>
    </row>
    <row r="4" spans="1:16" x14ac:dyDescent="0.25">
      <c r="A4" s="10" t="s">
        <v>0</v>
      </c>
      <c r="B4" s="48">
        <f>D37</f>
        <v>9434</v>
      </c>
      <c r="C4" s="53">
        <v>4.7405999999999997</v>
      </c>
      <c r="D4" s="28">
        <f t="shared" ref="D4:D34" si="3">+B4*C4</f>
        <v>44722.820399999997</v>
      </c>
      <c r="E4" s="48">
        <f>B4</f>
        <v>9434</v>
      </c>
      <c r="F4" s="53">
        <f>+'2012 - 2014 (With Dead Band)'!V9</f>
        <v>4.8052999999999999</v>
      </c>
      <c r="G4" s="28">
        <f t="shared" ref="G4:G34" si="4">+E4*F4</f>
        <v>45333.200199999999</v>
      </c>
      <c r="H4" s="51">
        <f t="shared" ref="H4:H10" si="5">+G4-D4</f>
        <v>610.37980000000243</v>
      </c>
      <c r="I4" s="14">
        <f t="shared" si="0"/>
        <v>1.3648061426823664E-2</v>
      </c>
      <c r="J4" s="178">
        <f>SUM(H3:H4)/SUM(D3:D4)</f>
        <v>1.3647882969342518E-2</v>
      </c>
      <c r="L4" s="48">
        <f t="shared" ref="L4:L34" si="6">E4</f>
        <v>9434</v>
      </c>
      <c r="M4" s="53">
        <f t="shared" si="1"/>
        <v>4.8052999999999999</v>
      </c>
      <c r="N4" s="28">
        <f t="shared" ref="N4:N34" si="7">L4*M4</f>
        <v>45333.200199999999</v>
      </c>
      <c r="O4" s="51">
        <f t="shared" ref="O4:O35" si="8">N4-D4</f>
        <v>610.37980000000243</v>
      </c>
      <c r="P4" s="14">
        <f t="shared" si="2"/>
        <v>1.3648061426823664E-2</v>
      </c>
    </row>
    <row r="5" spans="1:16" ht="15" customHeight="1" x14ac:dyDescent="0.25">
      <c r="A5" s="10" t="s">
        <v>106</v>
      </c>
      <c r="B5" s="48">
        <v>1</v>
      </c>
      <c r="C5" s="50">
        <v>0.68</v>
      </c>
      <c r="D5" s="28">
        <f t="shared" si="3"/>
        <v>0.68</v>
      </c>
      <c r="E5" s="48">
        <f>+B5</f>
        <v>1</v>
      </c>
      <c r="F5" s="50">
        <f>+C5</f>
        <v>0.68</v>
      </c>
      <c r="G5" s="28">
        <f t="shared" si="4"/>
        <v>0.68</v>
      </c>
      <c r="H5" s="51">
        <f t="shared" si="5"/>
        <v>0</v>
      </c>
      <c r="I5" s="14">
        <f t="shared" si="0"/>
        <v>0</v>
      </c>
      <c r="L5" s="48">
        <f t="shared" si="6"/>
        <v>1</v>
      </c>
      <c r="M5" s="50">
        <f t="shared" si="1"/>
        <v>0.68</v>
      </c>
      <c r="N5" s="28">
        <f t="shared" si="7"/>
        <v>0.68</v>
      </c>
      <c r="O5" s="51">
        <f t="shared" si="8"/>
        <v>0</v>
      </c>
      <c r="P5" s="14">
        <f t="shared" si="2"/>
        <v>0</v>
      </c>
    </row>
    <row r="6" spans="1:16" x14ac:dyDescent="0.25">
      <c r="A6" s="10" t="s">
        <v>16</v>
      </c>
      <c r="B6" s="58">
        <v>0</v>
      </c>
      <c r="C6" s="30">
        <v>0</v>
      </c>
      <c r="D6" s="28">
        <f t="shared" si="3"/>
        <v>0</v>
      </c>
      <c r="E6" s="48">
        <v>0</v>
      </c>
      <c r="F6" s="30">
        <v>0</v>
      </c>
      <c r="G6" s="28">
        <f>+E6*F6</f>
        <v>0</v>
      </c>
      <c r="H6" s="51">
        <f t="shared" si="5"/>
        <v>0</v>
      </c>
      <c r="I6" s="14" t="str">
        <f t="shared" si="0"/>
        <v>n/a</v>
      </c>
      <c r="L6" s="48">
        <f t="shared" si="6"/>
        <v>0</v>
      </c>
      <c r="M6" s="30">
        <f t="shared" si="1"/>
        <v>0</v>
      </c>
      <c r="N6" s="28">
        <f t="shared" si="7"/>
        <v>0</v>
      </c>
      <c r="O6" s="51">
        <f t="shared" si="8"/>
        <v>0</v>
      </c>
      <c r="P6" s="14" t="str">
        <f t="shared" si="2"/>
        <v>n/a</v>
      </c>
    </row>
    <row r="7" spans="1:16" x14ac:dyDescent="0.25">
      <c r="A7" s="10" t="s">
        <v>302</v>
      </c>
      <c r="B7" s="58">
        <v>0</v>
      </c>
      <c r="C7" s="30">
        <v>0</v>
      </c>
      <c r="D7" s="28">
        <f t="shared" si="3"/>
        <v>0</v>
      </c>
      <c r="E7" s="48">
        <v>0</v>
      </c>
      <c r="F7" s="30">
        <v>0</v>
      </c>
      <c r="G7" s="28">
        <f>+E7*F7</f>
        <v>0</v>
      </c>
      <c r="H7" s="51">
        <f>+G7-D7</f>
        <v>0</v>
      </c>
      <c r="I7" s="14" t="str">
        <f t="shared" si="0"/>
        <v>n/a</v>
      </c>
      <c r="L7" s="48">
        <f t="shared" si="6"/>
        <v>0</v>
      </c>
      <c r="M7" s="53">
        <f t="shared" si="1"/>
        <v>0</v>
      </c>
      <c r="N7" s="28">
        <f t="shared" si="7"/>
        <v>0</v>
      </c>
      <c r="O7" s="51">
        <f t="shared" si="8"/>
        <v>0</v>
      </c>
      <c r="P7" s="14" t="str">
        <f t="shared" si="2"/>
        <v>n/a</v>
      </c>
    </row>
    <row r="8" spans="1:16" ht="15" customHeight="1" x14ac:dyDescent="0.25">
      <c r="A8" s="10" t="s">
        <v>17</v>
      </c>
      <c r="B8" s="58">
        <v>0</v>
      </c>
      <c r="C8" s="30">
        <v>0</v>
      </c>
      <c r="D8" s="28">
        <f t="shared" si="3"/>
        <v>0</v>
      </c>
      <c r="E8" s="48">
        <v>0</v>
      </c>
      <c r="F8" s="30">
        <v>0</v>
      </c>
      <c r="G8" s="28">
        <f>+E8*F8</f>
        <v>0</v>
      </c>
      <c r="H8" s="51">
        <f>+G8-D8</f>
        <v>0</v>
      </c>
      <c r="I8" s="14" t="str">
        <f t="shared" si="0"/>
        <v>n/a</v>
      </c>
      <c r="L8" s="48">
        <f t="shared" si="6"/>
        <v>0</v>
      </c>
      <c r="M8" s="30">
        <f t="shared" si="1"/>
        <v>0</v>
      </c>
      <c r="N8" s="184">
        <f t="shared" si="7"/>
        <v>0</v>
      </c>
      <c r="O8" s="51">
        <f t="shared" si="8"/>
        <v>0</v>
      </c>
      <c r="P8" s="14" t="str">
        <f t="shared" si="2"/>
        <v>n/a</v>
      </c>
    </row>
    <row r="9" spans="1:16" ht="15" customHeight="1" x14ac:dyDescent="0.25">
      <c r="A9" s="10" t="s">
        <v>182</v>
      </c>
      <c r="B9" s="58">
        <v>0</v>
      </c>
      <c r="C9" s="30">
        <v>0</v>
      </c>
      <c r="D9" s="28">
        <f t="shared" si="3"/>
        <v>0</v>
      </c>
      <c r="E9" s="48">
        <v>0</v>
      </c>
      <c r="F9" s="30">
        <v>0</v>
      </c>
      <c r="G9" s="28">
        <f t="shared" si="4"/>
        <v>0</v>
      </c>
      <c r="H9" s="51">
        <f>+G9-D9</f>
        <v>0</v>
      </c>
      <c r="I9" s="14" t="str">
        <f t="shared" si="0"/>
        <v>n/a</v>
      </c>
      <c r="L9" s="48">
        <f t="shared" si="6"/>
        <v>0</v>
      </c>
      <c r="M9" s="53">
        <f t="shared" si="1"/>
        <v>0</v>
      </c>
      <c r="N9" s="28">
        <f t="shared" si="7"/>
        <v>0</v>
      </c>
      <c r="O9" s="51">
        <f t="shared" si="8"/>
        <v>0</v>
      </c>
      <c r="P9" s="14" t="str">
        <f t="shared" si="2"/>
        <v>n/a</v>
      </c>
    </row>
    <row r="10" spans="1:16" x14ac:dyDescent="0.25">
      <c r="A10" s="10" t="s">
        <v>15</v>
      </c>
      <c r="B10" s="58">
        <v>0</v>
      </c>
      <c r="C10" s="30">
        <f>'Contact Voltage'!H26</f>
        <v>0</v>
      </c>
      <c r="D10" s="28">
        <f t="shared" si="3"/>
        <v>0</v>
      </c>
      <c r="E10" s="48">
        <v>0</v>
      </c>
      <c r="F10" s="30">
        <f>'Contact Voltage'!K26</f>
        <v>0</v>
      </c>
      <c r="G10" s="28">
        <f t="shared" si="4"/>
        <v>0</v>
      </c>
      <c r="H10" s="51">
        <f t="shared" si="5"/>
        <v>0</v>
      </c>
      <c r="I10" s="14" t="str">
        <f t="shared" si="0"/>
        <v>n/a</v>
      </c>
      <c r="L10" s="48">
        <f t="shared" si="6"/>
        <v>0</v>
      </c>
      <c r="M10" s="82">
        <f t="shared" si="1"/>
        <v>0</v>
      </c>
      <c r="N10" s="70">
        <f t="shared" si="7"/>
        <v>0</v>
      </c>
      <c r="O10" s="51">
        <f t="shared" si="8"/>
        <v>0</v>
      </c>
      <c r="P10" s="14" t="str">
        <f t="shared" si="2"/>
        <v>n/a</v>
      </c>
    </row>
    <row r="11" spans="1:16" x14ac:dyDescent="0.25">
      <c r="A11" s="10" t="s">
        <v>229</v>
      </c>
      <c r="B11" s="48">
        <v>1</v>
      </c>
      <c r="C11" s="474">
        <f>+'LPP Rate Riders'!I16</f>
        <v>304.62</v>
      </c>
      <c r="D11" s="28">
        <f t="shared" si="3"/>
        <v>304.62</v>
      </c>
      <c r="E11" s="48">
        <v>1</v>
      </c>
      <c r="F11" s="30">
        <f>'Contact Voltage'!K27</f>
        <v>0</v>
      </c>
      <c r="G11" s="28">
        <f>+E11*F11</f>
        <v>0</v>
      </c>
      <c r="H11" s="51">
        <f>+G11-D11</f>
        <v>-304.62</v>
      </c>
      <c r="I11" s="14">
        <f t="shared" si="0"/>
        <v>-1</v>
      </c>
      <c r="L11" s="48">
        <f>E11</f>
        <v>1</v>
      </c>
      <c r="M11" s="82">
        <f>F11</f>
        <v>0</v>
      </c>
      <c r="N11" s="70">
        <f t="shared" si="7"/>
        <v>0</v>
      </c>
      <c r="O11" s="51">
        <f>N11-D11</f>
        <v>-304.62</v>
      </c>
      <c r="P11" s="14">
        <f t="shared" si="2"/>
        <v>-1</v>
      </c>
    </row>
    <row r="12" spans="1:16" x14ac:dyDescent="0.25">
      <c r="A12" s="10" t="s">
        <v>217</v>
      </c>
      <c r="B12" s="48">
        <f>B8</f>
        <v>0</v>
      </c>
      <c r="C12" s="50">
        <v>0</v>
      </c>
      <c r="D12" s="28">
        <f t="shared" si="3"/>
        <v>0</v>
      </c>
      <c r="E12" s="48">
        <v>0</v>
      </c>
      <c r="F12" s="50">
        <v>0</v>
      </c>
      <c r="G12" s="28">
        <f t="shared" si="4"/>
        <v>0</v>
      </c>
      <c r="H12" s="51">
        <f>+G12-D12</f>
        <v>0</v>
      </c>
      <c r="I12" s="14" t="str">
        <f>IF(D12=0,"n/a",H12/D12)</f>
        <v>n/a</v>
      </c>
      <c r="L12" s="48">
        <v>1</v>
      </c>
      <c r="M12" s="50">
        <f>'Foregone Rev Rate Rider'!H2</f>
        <v>45.52</v>
      </c>
      <c r="N12" s="28">
        <f t="shared" si="7"/>
        <v>45.52</v>
      </c>
      <c r="O12" s="51">
        <f t="shared" si="8"/>
        <v>45.52</v>
      </c>
      <c r="P12" s="14" t="str">
        <f t="shared" si="2"/>
        <v>n/a</v>
      </c>
    </row>
    <row r="13" spans="1:16" x14ac:dyDescent="0.25">
      <c r="A13" s="10" t="s">
        <v>218</v>
      </c>
      <c r="B13" s="48">
        <f>B9</f>
        <v>0</v>
      </c>
      <c r="C13" s="30">
        <v>0</v>
      </c>
      <c r="D13" s="28">
        <f t="shared" si="3"/>
        <v>0</v>
      </c>
      <c r="E13" s="48">
        <v>0</v>
      </c>
      <c r="F13" s="30">
        <v>0</v>
      </c>
      <c r="G13" s="28">
        <f t="shared" si="4"/>
        <v>0</v>
      </c>
      <c r="H13" s="51">
        <f>+G13-D13</f>
        <v>0</v>
      </c>
      <c r="I13" s="14" t="str">
        <f>IF(D13=0,"n/a",H13/D13)</f>
        <v>n/a</v>
      </c>
      <c r="L13" s="48">
        <f>L9</f>
        <v>0</v>
      </c>
      <c r="M13" s="53">
        <f>'Foregone Rev Rate Rider'!H5</f>
        <v>0.16089999999999999</v>
      </c>
      <c r="N13" s="28">
        <f t="shared" si="7"/>
        <v>0</v>
      </c>
      <c r="O13" s="51">
        <f>N13-D13</f>
        <v>0</v>
      </c>
      <c r="P13" s="14" t="str">
        <f t="shared" si="2"/>
        <v>n/a</v>
      </c>
    </row>
    <row r="14" spans="1:16" x14ac:dyDescent="0.25">
      <c r="A14" s="998" t="s">
        <v>375</v>
      </c>
      <c r="B14" s="58">
        <v>0</v>
      </c>
      <c r="C14" s="30">
        <v>0</v>
      </c>
      <c r="D14" s="28">
        <f t="shared" ref="D14:D23" si="9">+B14*C14</f>
        <v>0</v>
      </c>
      <c r="E14" s="48">
        <v>1</v>
      </c>
      <c r="F14" s="50">
        <f>+'2012 - 2014 (With Dead Band)'!W9</f>
        <v>106.92</v>
      </c>
      <c r="G14" s="28">
        <f t="shared" si="4"/>
        <v>106.92</v>
      </c>
      <c r="H14" s="51">
        <f t="shared" ref="H14:H23" si="10">+G14-D14</f>
        <v>106.92</v>
      </c>
      <c r="I14" s="14" t="str">
        <f t="shared" ref="I14:I23" si="11">IF(D14=0,"n/a",H14/D14)</f>
        <v>n/a</v>
      </c>
      <c r="L14" s="48"/>
      <c r="M14" s="53"/>
      <c r="N14" s="28"/>
      <c r="O14" s="51"/>
      <c r="P14" s="14"/>
    </row>
    <row r="15" spans="1:16" x14ac:dyDescent="0.25">
      <c r="A15" s="998" t="s">
        <v>374</v>
      </c>
      <c r="B15" s="58">
        <v>0</v>
      </c>
      <c r="C15" s="30">
        <v>0</v>
      </c>
      <c r="D15" s="28">
        <f t="shared" si="9"/>
        <v>0</v>
      </c>
      <c r="E15" s="48">
        <v>9434</v>
      </c>
      <c r="F15" s="53">
        <f>+'2012 - 2014 (With Dead Band)'!X9</f>
        <v>0.16839999999999999</v>
      </c>
      <c r="G15" s="28">
        <f t="shared" si="4"/>
        <v>1588.6856</v>
      </c>
      <c r="H15" s="51">
        <f t="shared" si="10"/>
        <v>1588.6856</v>
      </c>
      <c r="I15" s="14" t="str">
        <f t="shared" si="11"/>
        <v>n/a</v>
      </c>
      <c r="L15" s="48"/>
      <c r="M15" s="53"/>
      <c r="N15" s="28"/>
      <c r="O15" s="51"/>
      <c r="P15" s="14"/>
    </row>
    <row r="16" spans="1:16" x14ac:dyDescent="0.25">
      <c r="A16" s="998" t="s">
        <v>384</v>
      </c>
      <c r="B16" s="58">
        <v>0</v>
      </c>
      <c r="C16" s="30">
        <v>0</v>
      </c>
      <c r="D16" s="28">
        <f t="shared" si="9"/>
        <v>0</v>
      </c>
      <c r="E16" s="48">
        <f>+E15</f>
        <v>9434</v>
      </c>
      <c r="F16" s="53">
        <f>+'2012 - 2014 (With Dead Band)'!Y9</f>
        <v>-5.8999999999999999E-3</v>
      </c>
      <c r="G16" s="28">
        <f t="shared" si="4"/>
        <v>-55.660599999999995</v>
      </c>
      <c r="H16" s="51">
        <f>+G16-D16</f>
        <v>-55.660599999999995</v>
      </c>
      <c r="I16" s="14" t="str">
        <f>IF(D16=0,"n/a",H16/D16)</f>
        <v>n/a</v>
      </c>
      <c r="L16" s="48"/>
      <c r="M16" s="53"/>
      <c r="N16" s="28"/>
      <c r="O16" s="51"/>
      <c r="P16" s="14"/>
    </row>
    <row r="17" spans="1:16" x14ac:dyDescent="0.25">
      <c r="A17" s="998" t="str">
        <f>+'2012 - 2014 (With Dead Band)'!AG3</f>
        <v>2012 Foregone IRM Rate Rider - MFC</v>
      </c>
      <c r="B17" s="48">
        <v>0</v>
      </c>
      <c r="C17" s="30">
        <v>0</v>
      </c>
      <c r="D17" s="28">
        <f t="shared" si="9"/>
        <v>0</v>
      </c>
      <c r="E17" s="48">
        <v>1</v>
      </c>
      <c r="F17" s="50">
        <f>+'2012 - 2014 (With Dead Band)'!AG9</f>
        <v>9.25</v>
      </c>
      <c r="G17" s="28">
        <f>+E17*F17</f>
        <v>9.25</v>
      </c>
      <c r="H17" s="51">
        <f>+G17-D17</f>
        <v>9.25</v>
      </c>
      <c r="I17" s="14" t="str">
        <f>IF(D17=0,"n/a",H17/D17)</f>
        <v>n/a</v>
      </c>
      <c r="L17" s="48"/>
      <c r="M17" s="53"/>
      <c r="N17" s="28"/>
      <c r="O17" s="51"/>
      <c r="P17" s="14"/>
    </row>
    <row r="18" spans="1:16" x14ac:dyDescent="0.25">
      <c r="A18" s="998" t="str">
        <f>+'2012 - 2014 (With Dead Band)'!AH3</f>
        <v>2012 Foregone IRM Rate Rider - DVR</v>
      </c>
      <c r="B18" s="48">
        <v>0</v>
      </c>
      <c r="C18" s="30">
        <v>0</v>
      </c>
      <c r="D18" s="28">
        <f t="shared" si="9"/>
        <v>0</v>
      </c>
      <c r="E18" s="48">
        <v>9434</v>
      </c>
      <c r="F18" s="53">
        <f>+'2012 - 2014 (With Dead Band)'!AH9</f>
        <v>1.46E-2</v>
      </c>
      <c r="G18" s="28">
        <f>+E18*F18</f>
        <v>137.7364</v>
      </c>
      <c r="H18" s="51">
        <f>+G18-D18</f>
        <v>137.7364</v>
      </c>
      <c r="I18" s="14" t="str">
        <f>IF(D18=0,"n/a",H18/D18)</f>
        <v>n/a</v>
      </c>
      <c r="L18" s="48"/>
      <c r="M18" s="53"/>
      <c r="N18" s="28"/>
      <c r="O18" s="51"/>
      <c r="P18" s="14"/>
    </row>
    <row r="19" spans="1:16" x14ac:dyDescent="0.25">
      <c r="A19" s="998" t="str">
        <f>+'2012 - 2014 (With Dead Band)'!$Z$3</f>
        <v>2012 ICM Rate Adder - MFC</v>
      </c>
      <c r="B19" s="58">
        <v>0</v>
      </c>
      <c r="C19" s="30">
        <v>0</v>
      </c>
      <c r="D19" s="28">
        <f t="shared" si="9"/>
        <v>0</v>
      </c>
      <c r="E19" s="48">
        <v>1</v>
      </c>
      <c r="F19" s="50">
        <f>+'2012 - 2014 (With Dead Band)'!Z9</f>
        <v>84.96</v>
      </c>
      <c r="G19" s="28">
        <f t="shared" si="4"/>
        <v>84.96</v>
      </c>
      <c r="H19" s="51">
        <f t="shared" si="10"/>
        <v>84.96</v>
      </c>
      <c r="I19" s="14" t="str">
        <f t="shared" si="11"/>
        <v>n/a</v>
      </c>
      <c r="L19" s="48"/>
      <c r="M19" s="53"/>
      <c r="N19" s="28"/>
      <c r="O19" s="51"/>
      <c r="P19" s="14"/>
    </row>
    <row r="20" spans="1:16" x14ac:dyDescent="0.25">
      <c r="A20" s="998" t="str">
        <f>+'2012 - 2014 (With Dead Band)'!$AA$3</f>
        <v>2012 ICM Rate Adder - DVR</v>
      </c>
      <c r="B20" s="58">
        <v>0</v>
      </c>
      <c r="C20" s="30">
        <v>0</v>
      </c>
      <c r="D20" s="28">
        <f t="shared" si="9"/>
        <v>0</v>
      </c>
      <c r="E20" s="48">
        <v>9434</v>
      </c>
      <c r="F20" s="53">
        <f>+'2012 - 2014 (With Dead Band)'!AA9</f>
        <v>0.1338</v>
      </c>
      <c r="G20" s="28">
        <f t="shared" si="4"/>
        <v>1262.2692</v>
      </c>
      <c r="H20" s="51">
        <f t="shared" si="10"/>
        <v>1262.2692</v>
      </c>
      <c r="I20" s="14" t="str">
        <f t="shared" si="11"/>
        <v>n/a</v>
      </c>
      <c r="L20" s="48"/>
      <c r="M20" s="53"/>
      <c r="N20" s="28"/>
      <c r="O20" s="51"/>
      <c r="P20" s="14"/>
    </row>
    <row r="21" spans="1:16" x14ac:dyDescent="0.25">
      <c r="A21" s="998" t="str">
        <f>+'2012 - 2014 (With Dead Band)'!AE3</f>
        <v>2013 ICM Rate Adder - MFC</v>
      </c>
      <c r="B21" s="58">
        <v>0</v>
      </c>
      <c r="C21" s="30">
        <v>0</v>
      </c>
      <c r="D21" s="28">
        <f>+B21*C21</f>
        <v>0</v>
      </c>
      <c r="E21" s="48">
        <v>1</v>
      </c>
      <c r="F21" s="50">
        <f>+'2012 - 2014 (With Dead Band)'!AE9</f>
        <v>224.12</v>
      </c>
      <c r="G21" s="28">
        <f t="shared" si="4"/>
        <v>224.12</v>
      </c>
      <c r="H21" s="51">
        <f>+G21-D21</f>
        <v>224.12</v>
      </c>
      <c r="I21" s="14" t="str">
        <f>IF(D21=0,"n/a",H21/D21)</f>
        <v>n/a</v>
      </c>
      <c r="L21" s="48"/>
      <c r="M21" s="53"/>
      <c r="N21" s="28"/>
      <c r="O21" s="51"/>
      <c r="P21" s="14"/>
    </row>
    <row r="22" spans="1:16" x14ac:dyDescent="0.25">
      <c r="A22" s="998" t="str">
        <f>+'2012 - 2014 (With Dead Band)'!AF3</f>
        <v>2013 ICM Rate Adder - DVR</v>
      </c>
      <c r="B22" s="58">
        <v>0</v>
      </c>
      <c r="C22" s="30">
        <v>0</v>
      </c>
      <c r="D22" s="28">
        <f>+B22*C22</f>
        <v>0</v>
      </c>
      <c r="E22" s="48">
        <v>9434</v>
      </c>
      <c r="F22" s="53">
        <f>+'2012 - 2014 (With Dead Band)'!AF9</f>
        <v>0.35310000000000002</v>
      </c>
      <c r="G22" s="28">
        <f t="shared" si="4"/>
        <v>3331.1454000000003</v>
      </c>
      <c r="H22" s="51">
        <f>+G22-D22</f>
        <v>3331.1454000000003</v>
      </c>
      <c r="I22" s="14" t="str">
        <f>IF(D22=0,"n/a",H22/D22)</f>
        <v>n/a</v>
      </c>
      <c r="L22" s="48"/>
      <c r="M22" s="53"/>
      <c r="N22" s="28"/>
      <c r="O22" s="51"/>
      <c r="P22" s="14"/>
    </row>
    <row r="23" spans="1:16" x14ac:dyDescent="0.25">
      <c r="A23" s="998" t="str">
        <f>+'2012 - 2014 (With Dead Band)'!$AD$3</f>
        <v>Deferral/Variance Account Rate Rider</v>
      </c>
      <c r="B23" s="58">
        <v>0</v>
      </c>
      <c r="C23" s="30">
        <v>0</v>
      </c>
      <c r="D23" s="28">
        <f t="shared" si="9"/>
        <v>0</v>
      </c>
      <c r="E23" s="48">
        <v>9434</v>
      </c>
      <c r="F23" s="53">
        <f>+'2012 - 2014 (With Dead Band)'!AD9</f>
        <v>-4.3700000000000003E-2</v>
      </c>
      <c r="G23" s="28">
        <f t="shared" si="4"/>
        <v>-412.26580000000001</v>
      </c>
      <c r="H23" s="51">
        <f t="shared" si="10"/>
        <v>-412.26580000000001</v>
      </c>
      <c r="I23" s="14" t="str">
        <f t="shared" si="11"/>
        <v>n/a</v>
      </c>
      <c r="L23" s="48"/>
      <c r="M23" s="53"/>
      <c r="N23" s="28"/>
      <c r="O23" s="51"/>
      <c r="P23" s="14"/>
    </row>
    <row r="24" spans="1:16" x14ac:dyDescent="0.25">
      <c r="A24" s="6" t="s">
        <v>1</v>
      </c>
      <c r="B24" s="61"/>
      <c r="C24" s="44"/>
      <c r="D24" s="54">
        <f>SUM(D3:D23)</f>
        <v>48037.2304</v>
      </c>
      <c r="E24" s="61"/>
      <c r="F24" s="44"/>
      <c r="G24" s="54">
        <f>SUM(G3:G23)</f>
        <v>54661.210399999996</v>
      </c>
      <c r="H24" s="57">
        <f>SUM(H3:H23)</f>
        <v>6623.9800000000023</v>
      </c>
      <c r="I24" s="15">
        <f>+H24/D24</f>
        <v>0.13789262921369427</v>
      </c>
      <c r="J24" s="161"/>
      <c r="L24" s="49"/>
      <c r="M24" s="44"/>
      <c r="N24" s="54">
        <f>SUM(N3:N13)</f>
        <v>48429.570199999995</v>
      </c>
      <c r="O24" s="57">
        <f t="shared" si="8"/>
        <v>392.33979999999428</v>
      </c>
      <c r="P24" s="15">
        <f>O24/D24</f>
        <v>8.167410917178819E-3</v>
      </c>
    </row>
    <row r="25" spans="1:16" x14ac:dyDescent="0.25">
      <c r="A25" s="10" t="s">
        <v>2</v>
      </c>
      <c r="B25" s="60">
        <f>C37</f>
        <v>8491</v>
      </c>
      <c r="C25" s="52">
        <v>2.6819999999999999</v>
      </c>
      <c r="D25" s="28">
        <f t="shared" si="3"/>
        <v>22772.862000000001</v>
      </c>
      <c r="E25" s="60">
        <f>+B25</f>
        <v>8491</v>
      </c>
      <c r="F25" s="52">
        <f>+'2012 - 2014 (With Dead Band)'!AB9</f>
        <v>3.0781000000000001</v>
      </c>
      <c r="G25" s="28">
        <f t="shared" si="4"/>
        <v>26136.147100000002</v>
      </c>
      <c r="H25" s="51">
        <f>+G25-D25</f>
        <v>3363.285100000001</v>
      </c>
      <c r="I25" s="13">
        <f>+H25/D25</f>
        <v>0.14768829231916483</v>
      </c>
      <c r="L25" s="48">
        <f t="shared" si="6"/>
        <v>8491</v>
      </c>
      <c r="M25" s="52">
        <f t="shared" si="1"/>
        <v>3.0781000000000001</v>
      </c>
      <c r="N25" s="28">
        <f t="shared" si="7"/>
        <v>26136.147100000002</v>
      </c>
      <c r="O25" s="51">
        <f t="shared" si="8"/>
        <v>3363.285100000001</v>
      </c>
      <c r="P25" s="13">
        <f>O25/D25</f>
        <v>0.14768829231916483</v>
      </c>
    </row>
    <row r="26" spans="1:16" x14ac:dyDescent="0.25">
      <c r="A26" s="10" t="s">
        <v>3</v>
      </c>
      <c r="B26" s="60">
        <f>C37</f>
        <v>8491</v>
      </c>
      <c r="C26" s="52">
        <v>1.9567000000000001</v>
      </c>
      <c r="D26" s="28">
        <f t="shared" si="3"/>
        <v>16614.3397</v>
      </c>
      <c r="E26" s="60">
        <f>+B26</f>
        <v>8491</v>
      </c>
      <c r="F26" s="52">
        <f>+'2012 - 2014 (With Dead Band)'!AC9</f>
        <v>2.1404999999999998</v>
      </c>
      <c r="G26" s="28">
        <f t="shared" si="4"/>
        <v>18174.985499999999</v>
      </c>
      <c r="H26" s="51">
        <f>+G26-D26</f>
        <v>1560.6457999999984</v>
      </c>
      <c r="I26" s="13">
        <f>+H26/D26</f>
        <v>9.3933663821740593E-2</v>
      </c>
      <c r="L26" s="48">
        <f t="shared" si="6"/>
        <v>8491</v>
      </c>
      <c r="M26" s="52">
        <f t="shared" si="1"/>
        <v>2.1404999999999998</v>
      </c>
      <c r="N26" s="28">
        <f t="shared" si="7"/>
        <v>18174.985499999999</v>
      </c>
      <c r="O26" s="51">
        <f t="shared" si="8"/>
        <v>1560.6457999999984</v>
      </c>
      <c r="P26" s="13">
        <f>O26/D26</f>
        <v>9.3933663821740593E-2</v>
      </c>
    </row>
    <row r="27" spans="1:16" x14ac:dyDescent="0.25">
      <c r="A27" s="6" t="s">
        <v>4</v>
      </c>
      <c r="B27" s="61"/>
      <c r="C27" s="44"/>
      <c r="D27" s="54">
        <f>SUM(D24:D26)</f>
        <v>87424.432099999991</v>
      </c>
      <c r="E27" s="61"/>
      <c r="F27" s="44"/>
      <c r="G27" s="54">
        <f>SUM(G24:G26)</f>
        <v>98972.342999999993</v>
      </c>
      <c r="H27" s="57">
        <f>+G27-D27</f>
        <v>11547.910900000003</v>
      </c>
      <c r="I27" s="15">
        <f>+H27/D27</f>
        <v>0.13209020204776376</v>
      </c>
      <c r="L27" s="46">
        <f t="shared" si="6"/>
        <v>0</v>
      </c>
      <c r="M27" s="44"/>
      <c r="N27" s="54">
        <f>SUM(N24:N26)</f>
        <v>92740.702799999985</v>
      </c>
      <c r="O27" s="57">
        <f t="shared" si="8"/>
        <v>5316.2706999999937</v>
      </c>
      <c r="P27" s="15">
        <f>O27/D27</f>
        <v>6.0809896870922815E-2</v>
      </c>
    </row>
    <row r="28" spans="1:16" x14ac:dyDescent="0.25">
      <c r="A28" s="10" t="s">
        <v>5</v>
      </c>
      <c r="B28" s="60">
        <f>+$B$37*B38</f>
        <v>4584150</v>
      </c>
      <c r="C28" s="52">
        <v>5.1999999999999998E-3</v>
      </c>
      <c r="D28" s="28">
        <f t="shared" si="3"/>
        <v>23837.579999999998</v>
      </c>
      <c r="E28" s="60">
        <f t="shared" ref="E28:E34" si="12">+B28</f>
        <v>4584150</v>
      </c>
      <c r="F28" s="52">
        <f>C28</f>
        <v>5.1999999999999998E-3</v>
      </c>
      <c r="G28" s="28">
        <f t="shared" si="4"/>
        <v>23837.579999999998</v>
      </c>
      <c r="H28" s="51">
        <f t="shared" ref="H28:H34" si="13">+G28-D28</f>
        <v>0</v>
      </c>
      <c r="I28" s="14">
        <f t="shared" ref="I28:I34" si="14">IF(D28=0,"n/a",H28/D28)</f>
        <v>0</v>
      </c>
      <c r="L28" s="60">
        <f t="shared" si="6"/>
        <v>4584150</v>
      </c>
      <c r="M28" s="52">
        <f t="shared" si="1"/>
        <v>5.1999999999999998E-3</v>
      </c>
      <c r="N28" s="179">
        <f t="shared" si="7"/>
        <v>23837.579999999998</v>
      </c>
      <c r="O28" s="51">
        <f t="shared" si="8"/>
        <v>0</v>
      </c>
      <c r="P28" s="14">
        <f t="shared" ref="P28:P34" si="15">IF(D28=0,"n/a",O28/D28)</f>
        <v>0</v>
      </c>
    </row>
    <row r="29" spans="1:16" x14ac:dyDescent="0.25">
      <c r="A29" s="10" t="s">
        <v>6</v>
      </c>
      <c r="B29" s="60">
        <f>+$B$37*B38</f>
        <v>4584150</v>
      </c>
      <c r="C29" s="52">
        <v>1.1000000000000001E-3</v>
      </c>
      <c r="D29" s="28">
        <f t="shared" si="3"/>
        <v>5042.5650000000005</v>
      </c>
      <c r="E29" s="60">
        <f t="shared" si="12"/>
        <v>4584150</v>
      </c>
      <c r="F29" s="52">
        <f t="shared" ref="F29:F34" si="16">C29</f>
        <v>1.1000000000000001E-3</v>
      </c>
      <c r="G29" s="28">
        <f t="shared" si="4"/>
        <v>5042.5650000000005</v>
      </c>
      <c r="H29" s="51">
        <f t="shared" si="13"/>
        <v>0</v>
      </c>
      <c r="I29" s="14">
        <f t="shared" si="14"/>
        <v>0</v>
      </c>
      <c r="L29" s="60">
        <f t="shared" si="6"/>
        <v>4584150</v>
      </c>
      <c r="M29" s="52">
        <f t="shared" si="1"/>
        <v>1.1000000000000001E-3</v>
      </c>
      <c r="N29" s="179">
        <f t="shared" si="7"/>
        <v>5042.5650000000005</v>
      </c>
      <c r="O29" s="51">
        <f t="shared" si="8"/>
        <v>0</v>
      </c>
      <c r="P29" s="14">
        <f t="shared" si="15"/>
        <v>0</v>
      </c>
    </row>
    <row r="30" spans="1:16" x14ac:dyDescent="0.25">
      <c r="A30" s="10" t="s">
        <v>7</v>
      </c>
      <c r="B30" s="60">
        <f>+B37</f>
        <v>4500000</v>
      </c>
      <c r="C30" s="52">
        <v>7.0000000000000001E-3</v>
      </c>
      <c r="D30" s="28">
        <f t="shared" si="3"/>
        <v>31500</v>
      </c>
      <c r="E30" s="60">
        <f t="shared" si="12"/>
        <v>4500000</v>
      </c>
      <c r="F30" s="52">
        <f t="shared" si="16"/>
        <v>7.0000000000000001E-3</v>
      </c>
      <c r="G30" s="28">
        <f t="shared" si="4"/>
        <v>31500</v>
      </c>
      <c r="H30" s="51">
        <f t="shared" si="13"/>
        <v>0</v>
      </c>
      <c r="I30" s="14">
        <f t="shared" si="14"/>
        <v>0</v>
      </c>
      <c r="L30" s="60">
        <f t="shared" si="6"/>
        <v>4500000</v>
      </c>
      <c r="M30" s="52">
        <f t="shared" si="1"/>
        <v>7.0000000000000001E-3</v>
      </c>
      <c r="N30" s="179">
        <f t="shared" si="7"/>
        <v>31500</v>
      </c>
      <c r="O30" s="51">
        <f t="shared" si="8"/>
        <v>0</v>
      </c>
      <c r="P30" s="14">
        <f t="shared" si="15"/>
        <v>0</v>
      </c>
    </row>
    <row r="31" spans="1:16" x14ac:dyDescent="0.25">
      <c r="A31" s="10" t="s">
        <v>19</v>
      </c>
      <c r="B31" s="60">
        <v>1</v>
      </c>
      <c r="C31" s="51">
        <v>0.25</v>
      </c>
      <c r="D31" s="28">
        <f t="shared" si="3"/>
        <v>0.25</v>
      </c>
      <c r="E31" s="60">
        <f t="shared" si="12"/>
        <v>1</v>
      </c>
      <c r="F31" s="51">
        <f t="shared" si="16"/>
        <v>0.25</v>
      </c>
      <c r="G31" s="28">
        <f t="shared" si="4"/>
        <v>0.25</v>
      </c>
      <c r="H31" s="51">
        <f>+G31-D31</f>
        <v>0</v>
      </c>
      <c r="I31" s="14">
        <f t="shared" si="14"/>
        <v>0</v>
      </c>
      <c r="L31" s="60">
        <f t="shared" si="6"/>
        <v>1</v>
      </c>
      <c r="M31" s="51">
        <f t="shared" si="1"/>
        <v>0.25</v>
      </c>
      <c r="N31" s="179">
        <f t="shared" si="7"/>
        <v>0.25</v>
      </c>
      <c r="O31" s="51">
        <f t="shared" si="8"/>
        <v>0</v>
      </c>
      <c r="P31" s="14">
        <f t="shared" si="15"/>
        <v>0</v>
      </c>
    </row>
    <row r="32" spans="1:16" x14ac:dyDescent="0.25">
      <c r="A32" s="10" t="s">
        <v>108</v>
      </c>
      <c r="B32" s="60">
        <f>+B37*B38</f>
        <v>4584150</v>
      </c>
      <c r="C32" s="52">
        <v>0</v>
      </c>
      <c r="D32" s="70">
        <f t="shared" si="3"/>
        <v>0</v>
      </c>
      <c r="E32" s="60">
        <f t="shared" si="12"/>
        <v>4584150</v>
      </c>
      <c r="F32" s="52">
        <v>0</v>
      </c>
      <c r="G32" s="70">
        <f t="shared" si="4"/>
        <v>0</v>
      </c>
      <c r="H32" s="71">
        <f>+G32-D32</f>
        <v>0</v>
      </c>
      <c r="I32" s="14" t="str">
        <f t="shared" si="14"/>
        <v>n/a</v>
      </c>
      <c r="L32" s="60">
        <f t="shared" si="6"/>
        <v>4584150</v>
      </c>
      <c r="M32" s="52">
        <f t="shared" si="1"/>
        <v>0</v>
      </c>
      <c r="N32" s="180">
        <f t="shared" si="7"/>
        <v>0</v>
      </c>
      <c r="O32" s="71">
        <f t="shared" si="8"/>
        <v>0</v>
      </c>
      <c r="P32" s="14" t="str">
        <f t="shared" si="15"/>
        <v>n/a</v>
      </c>
    </row>
    <row r="33" spans="1:16" x14ac:dyDescent="0.25">
      <c r="A33" s="10" t="s">
        <v>212</v>
      </c>
      <c r="B33" s="60">
        <v>750</v>
      </c>
      <c r="C33" s="245">
        <v>7.4999999999999997E-2</v>
      </c>
      <c r="D33" s="28">
        <f t="shared" si="3"/>
        <v>56.25</v>
      </c>
      <c r="E33" s="60">
        <f t="shared" si="12"/>
        <v>750</v>
      </c>
      <c r="F33" s="245">
        <f t="shared" si="16"/>
        <v>7.4999999999999997E-2</v>
      </c>
      <c r="G33" s="28">
        <f t="shared" si="4"/>
        <v>56.25</v>
      </c>
      <c r="H33" s="51">
        <f t="shared" si="13"/>
        <v>0</v>
      </c>
      <c r="I33" s="14">
        <f t="shared" si="14"/>
        <v>0</v>
      </c>
      <c r="L33" s="60">
        <f t="shared" si="6"/>
        <v>750</v>
      </c>
      <c r="M33" s="42">
        <f t="shared" si="1"/>
        <v>7.4999999999999997E-2</v>
      </c>
      <c r="N33" s="179">
        <f t="shared" si="7"/>
        <v>56.25</v>
      </c>
      <c r="O33" s="51">
        <f t="shared" si="8"/>
        <v>0</v>
      </c>
      <c r="P33" s="14">
        <f t="shared" si="15"/>
        <v>0</v>
      </c>
    </row>
    <row r="34" spans="1:16" x14ac:dyDescent="0.25">
      <c r="A34" s="10" t="s">
        <v>213</v>
      </c>
      <c r="B34" s="60">
        <f>(+$B$37*B38)-B33</f>
        <v>4583400</v>
      </c>
      <c r="C34" s="245">
        <v>8.7999999999999995E-2</v>
      </c>
      <c r="D34" s="28">
        <f t="shared" si="3"/>
        <v>403339.19999999995</v>
      </c>
      <c r="E34" s="60">
        <f t="shared" si="12"/>
        <v>4583400</v>
      </c>
      <c r="F34" s="245">
        <f t="shared" si="16"/>
        <v>8.7999999999999995E-2</v>
      </c>
      <c r="G34" s="28">
        <f t="shared" si="4"/>
        <v>403339.19999999995</v>
      </c>
      <c r="H34" s="51">
        <f t="shared" si="13"/>
        <v>0</v>
      </c>
      <c r="I34" s="14">
        <f t="shared" si="14"/>
        <v>0</v>
      </c>
      <c r="L34" s="60">
        <f t="shared" si="6"/>
        <v>4583400</v>
      </c>
      <c r="M34" s="42">
        <f t="shared" si="1"/>
        <v>8.7999999999999995E-2</v>
      </c>
      <c r="N34" s="179">
        <f t="shared" si="7"/>
        <v>403339.19999999995</v>
      </c>
      <c r="O34" s="51">
        <f t="shared" si="8"/>
        <v>0</v>
      </c>
      <c r="P34" s="14">
        <f t="shared" si="15"/>
        <v>0</v>
      </c>
    </row>
    <row r="35" spans="1:16" ht="15.75" thickBot="1" x14ac:dyDescent="0.3">
      <c r="A35" s="7" t="s">
        <v>8</v>
      </c>
      <c r="B35" s="47"/>
      <c r="C35" s="45"/>
      <c r="D35" s="55">
        <f>SUM(D27:D34)</f>
        <v>551200.27709999995</v>
      </c>
      <c r="E35" s="47"/>
      <c r="F35" s="56"/>
      <c r="G35" s="55">
        <f>SUM(G27:G34)</f>
        <v>562748.18799999997</v>
      </c>
      <c r="H35" s="47">
        <f>+G35-D35</f>
        <v>11547.910900000017</v>
      </c>
      <c r="I35" s="16">
        <f>+H35/D35</f>
        <v>2.0950480940895772E-2</v>
      </c>
      <c r="L35" s="47"/>
      <c r="M35" s="56"/>
      <c r="N35" s="55">
        <f>SUM(N27:N34)</f>
        <v>556516.54779999994</v>
      </c>
      <c r="O35" s="47">
        <f t="shared" si="8"/>
        <v>5316.2706999999937</v>
      </c>
      <c r="P35" s="16">
        <f>O35/D35</f>
        <v>9.6448984531905535E-3</v>
      </c>
    </row>
    <row r="36" spans="1:16" ht="15.75" thickBot="1" x14ac:dyDescent="0.3">
      <c r="A36" s="17"/>
      <c r="B36" s="38" t="s">
        <v>20</v>
      </c>
      <c r="C36" s="38" t="s">
        <v>21</v>
      </c>
      <c r="D36" s="39" t="s">
        <v>22</v>
      </c>
      <c r="E36" s="38" t="s">
        <v>100</v>
      </c>
      <c r="F36" s="38" t="s">
        <v>101</v>
      </c>
      <c r="G36" s="38" t="s">
        <v>102</v>
      </c>
    </row>
    <row r="37" spans="1:16" ht="16.5" thickTop="1" thickBot="1" x14ac:dyDescent="0.3">
      <c r="A37" s="31" t="s">
        <v>103</v>
      </c>
      <c r="B37" s="32">
        <v>4500000</v>
      </c>
      <c r="C37" s="32">
        <f>ROUND(+B37/E37,0)</f>
        <v>8491</v>
      </c>
      <c r="D37" s="32">
        <f>ROUND(+C37/F37,0)</f>
        <v>9434</v>
      </c>
      <c r="E37" s="33">
        <v>530</v>
      </c>
      <c r="F37" s="34">
        <v>0.9</v>
      </c>
      <c r="G37" s="35">
        <v>1</v>
      </c>
    </row>
    <row r="38" spans="1:16" ht="16.5" thickTop="1" thickBot="1" x14ac:dyDescent="0.3">
      <c r="A38" s="40" t="s">
        <v>104</v>
      </c>
      <c r="B38" s="41">
        <f>1.0187</f>
        <v>1.0186999999999999</v>
      </c>
    </row>
    <row r="39" spans="1:16" ht="15.75" thickTop="1" x14ac:dyDescent="0.25">
      <c r="D39" s="161"/>
      <c r="G39" s="161"/>
    </row>
    <row r="40" spans="1:16" x14ac:dyDescent="0.25">
      <c r="D40" s="161"/>
      <c r="G40" s="161"/>
    </row>
  </sheetData>
  <printOptions horizontalCentered="1"/>
  <pageMargins left="0.19685039370078741" right="0.19685039370078741" top="1.4960629921259843" bottom="0.31496062992125984" header="0.31496062992125984" footer="0.15748031496062992"/>
  <pageSetup scale="86" orientation="landscape" r:id="rId1"/>
  <headerFooter>
    <oddHeader>&amp;RToronto Hydro-Electric System Limited
EB-2012-0064
Tab 3
Schedule C2.2
Filed:  2012 May 10
Updated:  2012 Oct 31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98" zoomScaleNormal="98" workbookViewId="0">
      <selection activeCell="C18" sqref="C18"/>
    </sheetView>
  </sheetViews>
  <sheetFormatPr defaultRowHeight="15" x14ac:dyDescent="0.25"/>
  <cols>
    <col min="1" max="1" width="48.28515625" style="1" customWidth="1"/>
    <col min="2" max="2" width="15.5703125" style="66" customWidth="1"/>
    <col min="3" max="3" width="10.7109375" customWidth="1"/>
    <col min="4" max="4" width="14.7109375" customWidth="1"/>
    <col min="5" max="5" width="16" style="66" customWidth="1"/>
    <col min="6" max="6" width="10.7109375" customWidth="1"/>
    <col min="7" max="7" width="17.85546875" customWidth="1"/>
    <col min="8" max="8" width="15.42578125" customWidth="1"/>
    <col min="9" max="9" width="10.7109375" customWidth="1"/>
    <col min="10" max="10" width="13.28515625" hidden="1" customWidth="1"/>
    <col min="11" max="11" width="8.85546875" hidden="1" customWidth="1"/>
    <col min="12" max="13" width="14.140625" hidden="1" customWidth="1"/>
    <col min="14" max="14" width="14.5703125" hidden="1" customWidth="1"/>
    <col min="15" max="15" width="13.42578125" hidden="1" customWidth="1"/>
    <col min="16" max="16" width="10.85546875" hidden="1" customWidth="1"/>
    <col min="17" max="17" width="9.140625" customWidth="1"/>
  </cols>
  <sheetData>
    <row r="1" spans="1:16" ht="15.75" thickBot="1" x14ac:dyDescent="0.3">
      <c r="A1" s="8" t="s">
        <v>363</v>
      </c>
      <c r="B1" s="2" t="s">
        <v>412</v>
      </c>
      <c r="C1" s="3"/>
      <c r="D1" s="4"/>
      <c r="E1" s="5">
        <v>2013</v>
      </c>
      <c r="F1" s="3"/>
      <c r="G1" s="4"/>
      <c r="H1" s="5" t="s">
        <v>9</v>
      </c>
      <c r="I1" s="4"/>
      <c r="L1" s="5" t="s">
        <v>244</v>
      </c>
      <c r="M1" s="3"/>
      <c r="N1" s="4"/>
      <c r="O1" s="5" t="s">
        <v>9</v>
      </c>
      <c r="P1" s="4"/>
    </row>
    <row r="2" spans="1:16" ht="15.75" thickBot="1" x14ac:dyDescent="0.3">
      <c r="A2" s="9"/>
      <c r="B2" s="62" t="s">
        <v>10</v>
      </c>
      <c r="C2" s="12" t="s">
        <v>11</v>
      </c>
      <c r="D2" s="12" t="s">
        <v>12</v>
      </c>
      <c r="E2" s="62" t="s">
        <v>10</v>
      </c>
      <c r="F2" s="12" t="s">
        <v>11</v>
      </c>
      <c r="G2" s="12" t="s">
        <v>12</v>
      </c>
      <c r="H2" s="12" t="s">
        <v>13</v>
      </c>
      <c r="I2" s="12" t="s">
        <v>14</v>
      </c>
      <c r="L2" s="11" t="s">
        <v>10</v>
      </c>
      <c r="M2" s="12" t="s">
        <v>11</v>
      </c>
      <c r="N2" s="12" t="s">
        <v>12</v>
      </c>
      <c r="O2" s="12" t="s">
        <v>13</v>
      </c>
      <c r="P2" s="12" t="s">
        <v>14</v>
      </c>
    </row>
    <row r="3" spans="1:16" x14ac:dyDescent="0.25">
      <c r="A3" s="10" t="s">
        <v>86</v>
      </c>
      <c r="B3" s="60">
        <f>+C35</f>
        <v>162353.41599122723</v>
      </c>
      <c r="C3" s="50">
        <v>1.3</v>
      </c>
      <c r="D3" s="28">
        <f>+B3*C3</f>
        <v>211059.44078859541</v>
      </c>
      <c r="E3" s="60">
        <f>+B3</f>
        <v>162353.41599122723</v>
      </c>
      <c r="F3" s="50">
        <f>+'2012 - 2014 (With Dead Band)'!U10</f>
        <v>1.32</v>
      </c>
      <c r="G3" s="28">
        <f>+E3*F3</f>
        <v>214306.50910841997</v>
      </c>
      <c r="H3" s="51">
        <f t="shared" ref="H3:H11" si="0">+G3-D3</f>
        <v>3247.0683198245533</v>
      </c>
      <c r="I3" s="14">
        <f t="shared" ref="I3:I11" si="1">IF(D3=0,"n/a",H3/D3)</f>
        <v>1.5384615384615425E-2</v>
      </c>
      <c r="J3" s="161"/>
      <c r="L3" s="60">
        <f t="shared" ref="L3:L9" si="2">E3</f>
        <v>162353.41599122723</v>
      </c>
      <c r="M3" s="50">
        <f t="shared" ref="M3:M8" si="3">F3</f>
        <v>1.32</v>
      </c>
      <c r="N3" s="28">
        <f>L3*M3</f>
        <v>214306.50910841997</v>
      </c>
      <c r="O3" s="51">
        <f t="shared" ref="O3:O9" si="4">N3-D3</f>
        <v>3247.0683198245533</v>
      </c>
      <c r="P3" s="14">
        <f t="shared" ref="P3:P11" si="5">IF(D3=0,"n/a",O3/D3)</f>
        <v>1.5384615384615425E-2</v>
      </c>
    </row>
    <row r="4" spans="1:16" x14ac:dyDescent="0.25">
      <c r="A4" s="10" t="s">
        <v>0</v>
      </c>
      <c r="B4" s="60">
        <f>+E35</f>
        <v>25755</v>
      </c>
      <c r="C4" s="53">
        <v>28.724799999999998</v>
      </c>
      <c r="D4" s="28">
        <f t="shared" ref="D4:D32" si="6">+B4*C4</f>
        <v>739807.22399999993</v>
      </c>
      <c r="E4" s="60">
        <f>+B4</f>
        <v>25755</v>
      </c>
      <c r="F4" s="53">
        <f>+'2012 - 2014 (With Dead Band)'!V10</f>
        <v>29.116800000000001</v>
      </c>
      <c r="G4" s="28">
        <f t="shared" ref="G4:G32" si="7">+E4*F4</f>
        <v>749903.18400000001</v>
      </c>
      <c r="H4" s="51">
        <f t="shared" si="0"/>
        <v>10095.960000000079</v>
      </c>
      <c r="I4" s="14">
        <f t="shared" si="1"/>
        <v>1.3646744276722661E-2</v>
      </c>
      <c r="J4" s="178">
        <f>SUM(H3:H4)/SUM(D3:D4)</f>
        <v>1.40324914248531E-2</v>
      </c>
      <c r="L4" s="58">
        <f t="shared" si="2"/>
        <v>25755</v>
      </c>
      <c r="M4" s="53">
        <f t="shared" si="3"/>
        <v>29.116800000000001</v>
      </c>
      <c r="N4" s="28">
        <f t="shared" ref="N4:N11" si="8">L4*M4</f>
        <v>749903.18400000001</v>
      </c>
      <c r="O4" s="51">
        <f t="shared" si="4"/>
        <v>10095.960000000079</v>
      </c>
      <c r="P4" s="14">
        <f t="shared" si="5"/>
        <v>1.3646744276722661E-2</v>
      </c>
    </row>
    <row r="5" spans="1:16" x14ac:dyDescent="0.25">
      <c r="A5" s="10" t="s">
        <v>302</v>
      </c>
      <c r="B5" s="60">
        <v>0</v>
      </c>
      <c r="C5" s="30">
        <v>0</v>
      </c>
      <c r="D5" s="28">
        <f t="shared" si="6"/>
        <v>0</v>
      </c>
      <c r="E5" s="58">
        <v>0</v>
      </c>
      <c r="F5" s="30">
        <v>0</v>
      </c>
      <c r="G5" s="28">
        <f t="shared" si="7"/>
        <v>0</v>
      </c>
      <c r="H5" s="51">
        <f t="shared" si="0"/>
        <v>0</v>
      </c>
      <c r="I5" s="14" t="str">
        <f t="shared" si="1"/>
        <v>n/a</v>
      </c>
      <c r="L5" s="58">
        <f t="shared" si="2"/>
        <v>0</v>
      </c>
      <c r="M5" s="53">
        <f t="shared" si="3"/>
        <v>0</v>
      </c>
      <c r="N5" s="28">
        <f t="shared" si="8"/>
        <v>0</v>
      </c>
      <c r="O5" s="51">
        <f t="shared" si="4"/>
        <v>0</v>
      </c>
      <c r="P5" s="14" t="str">
        <f t="shared" si="5"/>
        <v>n/a</v>
      </c>
    </row>
    <row r="6" spans="1:16" ht="15" customHeight="1" x14ac:dyDescent="0.25">
      <c r="A6" s="10" t="s">
        <v>98</v>
      </c>
      <c r="B6" s="60">
        <v>0</v>
      </c>
      <c r="C6" s="30">
        <v>0</v>
      </c>
      <c r="D6" s="28">
        <f t="shared" si="6"/>
        <v>0</v>
      </c>
      <c r="E6" s="58">
        <v>0</v>
      </c>
      <c r="F6" s="30">
        <v>0</v>
      </c>
      <c r="G6" s="28">
        <f t="shared" si="7"/>
        <v>0</v>
      </c>
      <c r="H6" s="51">
        <f t="shared" si="0"/>
        <v>0</v>
      </c>
      <c r="I6" s="14" t="str">
        <f t="shared" si="1"/>
        <v>n/a</v>
      </c>
      <c r="L6" s="58">
        <f t="shared" si="2"/>
        <v>0</v>
      </c>
      <c r="M6" s="30">
        <f t="shared" si="3"/>
        <v>0</v>
      </c>
      <c r="N6" s="28">
        <f t="shared" si="8"/>
        <v>0</v>
      </c>
      <c r="O6" s="51">
        <f t="shared" si="4"/>
        <v>0</v>
      </c>
      <c r="P6" s="14" t="str">
        <f t="shared" si="5"/>
        <v>n/a</v>
      </c>
    </row>
    <row r="7" spans="1:16" ht="15" customHeight="1" x14ac:dyDescent="0.25">
      <c r="A7" s="10" t="s">
        <v>182</v>
      </c>
      <c r="B7" s="60">
        <v>0</v>
      </c>
      <c r="C7" s="30">
        <v>0</v>
      </c>
      <c r="D7" s="28">
        <f t="shared" si="6"/>
        <v>0</v>
      </c>
      <c r="E7" s="58">
        <v>0</v>
      </c>
      <c r="F7" s="30">
        <v>0</v>
      </c>
      <c r="G7" s="28">
        <f>+E7*F7</f>
        <v>0</v>
      </c>
      <c r="H7" s="51">
        <f t="shared" si="0"/>
        <v>0</v>
      </c>
      <c r="I7" s="14" t="str">
        <f t="shared" si="1"/>
        <v>n/a</v>
      </c>
      <c r="L7" s="58">
        <f t="shared" si="2"/>
        <v>0</v>
      </c>
      <c r="M7" s="53">
        <f t="shared" si="3"/>
        <v>0</v>
      </c>
      <c r="N7" s="28">
        <f t="shared" si="8"/>
        <v>0</v>
      </c>
      <c r="O7" s="51">
        <f t="shared" si="4"/>
        <v>0</v>
      </c>
      <c r="P7" s="14" t="str">
        <f t="shared" si="5"/>
        <v>n/a</v>
      </c>
    </row>
    <row r="8" spans="1:16" x14ac:dyDescent="0.25">
      <c r="A8" s="10" t="s">
        <v>15</v>
      </c>
      <c r="B8" s="60">
        <v>0</v>
      </c>
      <c r="C8" s="30">
        <v>0</v>
      </c>
      <c r="D8" s="28">
        <f t="shared" si="6"/>
        <v>0</v>
      </c>
      <c r="E8" s="58">
        <v>0</v>
      </c>
      <c r="F8" s="30">
        <v>0</v>
      </c>
      <c r="G8" s="28">
        <f>+E8*F8</f>
        <v>0</v>
      </c>
      <c r="H8" s="51">
        <f t="shared" si="0"/>
        <v>0</v>
      </c>
      <c r="I8" s="14" t="str">
        <f t="shared" si="1"/>
        <v>n/a</v>
      </c>
      <c r="L8" s="60">
        <f t="shared" si="2"/>
        <v>0</v>
      </c>
      <c r="M8" s="50">
        <f t="shared" si="3"/>
        <v>0</v>
      </c>
      <c r="N8" s="28">
        <f t="shared" si="8"/>
        <v>0</v>
      </c>
      <c r="O8" s="51">
        <f t="shared" si="4"/>
        <v>0</v>
      </c>
      <c r="P8" s="14" t="str">
        <f t="shared" si="5"/>
        <v>n/a</v>
      </c>
    </row>
    <row r="9" spans="1:16" x14ac:dyDescent="0.25">
      <c r="A9" s="10" t="s">
        <v>229</v>
      </c>
      <c r="B9" s="60">
        <v>162353.41599122723</v>
      </c>
      <c r="C9" s="474">
        <f>+'LPP Rate Riders'!J16</f>
        <v>0.04</v>
      </c>
      <c r="D9" s="28">
        <f t="shared" si="6"/>
        <v>6494.1366396490894</v>
      </c>
      <c r="E9" s="58">
        <v>0</v>
      </c>
      <c r="F9" s="30">
        <v>0</v>
      </c>
      <c r="G9" s="28">
        <f t="shared" si="7"/>
        <v>0</v>
      </c>
      <c r="H9" s="51">
        <f t="shared" si="0"/>
        <v>-6494.1366396490894</v>
      </c>
      <c r="I9" s="14">
        <f t="shared" si="1"/>
        <v>-1</v>
      </c>
      <c r="L9" s="60">
        <f t="shared" si="2"/>
        <v>0</v>
      </c>
      <c r="M9" s="50">
        <f>F9</f>
        <v>0</v>
      </c>
      <c r="N9" s="28">
        <f t="shared" si="8"/>
        <v>0</v>
      </c>
      <c r="O9" s="51">
        <f t="shared" si="4"/>
        <v>-6494.1366396490894</v>
      </c>
      <c r="P9" s="14">
        <f t="shared" si="5"/>
        <v>-1</v>
      </c>
    </row>
    <row r="10" spans="1:16" x14ac:dyDescent="0.25">
      <c r="A10" s="10" t="s">
        <v>217</v>
      </c>
      <c r="B10" s="60">
        <v>0</v>
      </c>
      <c r="C10" s="30">
        <v>0</v>
      </c>
      <c r="D10" s="28">
        <f t="shared" si="6"/>
        <v>0</v>
      </c>
      <c r="E10" s="60">
        <v>0</v>
      </c>
      <c r="F10" s="30">
        <v>0</v>
      </c>
      <c r="G10" s="28">
        <f t="shared" si="7"/>
        <v>0</v>
      </c>
      <c r="H10" s="51">
        <f t="shared" si="0"/>
        <v>0</v>
      </c>
      <c r="I10" s="14" t="str">
        <f t="shared" si="1"/>
        <v>n/a</v>
      </c>
      <c r="L10" s="60">
        <f>L3</f>
        <v>162353.41599122723</v>
      </c>
      <c r="M10" s="50">
        <f>'Foregone Rev Rate Rider'!J3</f>
        <v>-0.01</v>
      </c>
      <c r="N10" s="28">
        <f t="shared" si="8"/>
        <v>-1623.5341599122723</v>
      </c>
      <c r="O10" s="51">
        <f t="shared" ref="O10:O33" si="9">N10-D10</f>
        <v>-1623.5341599122723</v>
      </c>
      <c r="P10" s="14" t="str">
        <f t="shared" si="5"/>
        <v>n/a</v>
      </c>
    </row>
    <row r="11" spans="1:16" x14ac:dyDescent="0.25">
      <c r="A11" s="10" t="s">
        <v>218</v>
      </c>
      <c r="B11" s="60">
        <v>0</v>
      </c>
      <c r="C11" s="30">
        <v>0</v>
      </c>
      <c r="D11" s="28">
        <f t="shared" si="6"/>
        <v>0</v>
      </c>
      <c r="E11" s="58">
        <v>0</v>
      </c>
      <c r="F11" s="30">
        <v>0</v>
      </c>
      <c r="G11" s="28">
        <f t="shared" si="7"/>
        <v>0</v>
      </c>
      <c r="H11" s="51">
        <f t="shared" si="0"/>
        <v>0</v>
      </c>
      <c r="I11" s="14" t="str">
        <f t="shared" si="1"/>
        <v>n/a</v>
      </c>
      <c r="L11" s="58">
        <f>L7</f>
        <v>0</v>
      </c>
      <c r="M11" s="53">
        <f>'Foregone Rev Rate Rider'!J5</f>
        <v>-0.1658</v>
      </c>
      <c r="N11" s="28">
        <f t="shared" si="8"/>
        <v>0</v>
      </c>
      <c r="O11" s="51">
        <f>N11-D11</f>
        <v>0</v>
      </c>
      <c r="P11" s="14" t="str">
        <f t="shared" si="5"/>
        <v>n/a</v>
      </c>
    </row>
    <row r="12" spans="1:16" x14ac:dyDescent="0.25">
      <c r="A12" s="998" t="s">
        <v>375</v>
      </c>
      <c r="B12" s="60">
        <v>0</v>
      </c>
      <c r="C12" s="30">
        <v>0</v>
      </c>
      <c r="D12" s="28">
        <f t="shared" si="6"/>
        <v>0</v>
      </c>
      <c r="E12" s="60">
        <f>+E3</f>
        <v>162353.41599122723</v>
      </c>
      <c r="F12" s="50">
        <f>+'2012 - 2014 (With Dead Band)'!W10</f>
        <v>0.05</v>
      </c>
      <c r="G12" s="28">
        <f t="shared" si="7"/>
        <v>8117.6707995613615</v>
      </c>
      <c r="H12" s="51">
        <f t="shared" ref="H12:H21" si="10">+G12-D12</f>
        <v>8117.6707995613615</v>
      </c>
      <c r="I12" s="14" t="str">
        <f t="shared" ref="I12:I21" si="11">IF(D12=0,"n/a",H12/D12)</f>
        <v>n/a</v>
      </c>
      <c r="L12" s="58"/>
      <c r="M12" s="53"/>
      <c r="N12" s="28"/>
      <c r="O12" s="51"/>
      <c r="P12" s="14"/>
    </row>
    <row r="13" spans="1:16" x14ac:dyDescent="0.25">
      <c r="A13" s="998" t="s">
        <v>374</v>
      </c>
      <c r="B13" s="60">
        <v>0</v>
      </c>
      <c r="C13" s="30">
        <v>0</v>
      </c>
      <c r="D13" s="28">
        <f t="shared" si="6"/>
        <v>0</v>
      </c>
      <c r="E13" s="60">
        <f>+E4</f>
        <v>25755</v>
      </c>
      <c r="F13" s="53">
        <f>+'2012 - 2014 (With Dead Band)'!X10</f>
        <v>1.0206</v>
      </c>
      <c r="G13" s="28">
        <f t="shared" si="7"/>
        <v>26285.553</v>
      </c>
      <c r="H13" s="51">
        <f t="shared" si="10"/>
        <v>26285.553</v>
      </c>
      <c r="I13" s="14" t="str">
        <f t="shared" si="11"/>
        <v>n/a</v>
      </c>
      <c r="L13" s="58"/>
      <c r="M13" s="53"/>
      <c r="N13" s="28"/>
      <c r="O13" s="51"/>
      <c r="P13" s="14"/>
    </row>
    <row r="14" spans="1:16" x14ac:dyDescent="0.25">
      <c r="A14" s="998" t="s">
        <v>384</v>
      </c>
      <c r="B14" s="60">
        <v>0</v>
      </c>
      <c r="C14" s="30">
        <v>0</v>
      </c>
      <c r="D14" s="28">
        <f t="shared" ref="D14:D21" si="12">+B14*C14</f>
        <v>0</v>
      </c>
      <c r="E14" s="60">
        <f>+E13</f>
        <v>25755</v>
      </c>
      <c r="F14" s="53">
        <f>+'2012 - 2014 (With Dead Band)'!Y10</f>
        <v>-4.2500000000000003E-2</v>
      </c>
      <c r="G14" s="28">
        <f t="shared" si="7"/>
        <v>-1094.5875000000001</v>
      </c>
      <c r="H14" s="51">
        <f>+G14-D14</f>
        <v>-1094.5875000000001</v>
      </c>
      <c r="I14" s="14" t="str">
        <f>IF(D14=0,"n/a",H14/D14)</f>
        <v>n/a</v>
      </c>
      <c r="L14" s="58"/>
      <c r="M14" s="53"/>
      <c r="N14" s="28"/>
      <c r="O14" s="51"/>
      <c r="P14" s="14"/>
    </row>
    <row r="15" spans="1:16" x14ac:dyDescent="0.25">
      <c r="A15" s="998" t="str">
        <f>+LU!A17</f>
        <v>2012 Foregone IRM Rate Rider - MFC</v>
      </c>
      <c r="B15" s="48">
        <v>0</v>
      </c>
      <c r="C15" s="30">
        <v>0</v>
      </c>
      <c r="D15" s="28">
        <f t="shared" si="12"/>
        <v>0</v>
      </c>
      <c r="E15" s="60">
        <f>+E17</f>
        <v>162353.41599122723</v>
      </c>
      <c r="F15" s="53">
        <f>+'2012 - 2014 (With Dead Band)'!AG10</f>
        <v>0</v>
      </c>
      <c r="G15" s="28">
        <f>+E15*F15</f>
        <v>0</v>
      </c>
      <c r="H15" s="51">
        <f>+G15-D15</f>
        <v>0</v>
      </c>
      <c r="I15" s="14" t="str">
        <f>IF(D15=0,"n/a",H15/D15)</f>
        <v>n/a</v>
      </c>
      <c r="L15" s="58"/>
      <c r="M15" s="53"/>
      <c r="N15" s="28"/>
      <c r="O15" s="51"/>
      <c r="P15" s="14"/>
    </row>
    <row r="16" spans="1:16" x14ac:dyDescent="0.25">
      <c r="A16" s="998" t="str">
        <f>+LU!A18</f>
        <v>2012 Foregone IRM Rate Rider - DVR</v>
      </c>
      <c r="B16" s="48">
        <v>0</v>
      </c>
      <c r="C16" s="30">
        <v>0</v>
      </c>
      <c r="D16" s="28">
        <f t="shared" si="12"/>
        <v>0</v>
      </c>
      <c r="E16" s="60">
        <f>+E18</f>
        <v>25755</v>
      </c>
      <c r="F16" s="53">
        <f>+'2012 - 2014 (With Dead Band)'!AH10</f>
        <v>8.8300000000000003E-2</v>
      </c>
      <c r="G16" s="28">
        <f>+E16*F16</f>
        <v>2274.1665000000003</v>
      </c>
      <c r="H16" s="51">
        <f>+G16-D16</f>
        <v>2274.1665000000003</v>
      </c>
      <c r="I16" s="14" t="str">
        <f>IF(D16=0,"n/a",H16/D16)</f>
        <v>n/a</v>
      </c>
      <c r="L16" s="58"/>
      <c r="M16" s="53"/>
      <c r="N16" s="28"/>
      <c r="O16" s="51"/>
      <c r="P16" s="14"/>
    </row>
    <row r="17" spans="1:16" x14ac:dyDescent="0.25">
      <c r="A17" s="998" t="str">
        <f>+'2012 - 2014 (With Dead Band)'!$Z$3</f>
        <v>2012 ICM Rate Adder - MFC</v>
      </c>
      <c r="B17" s="60">
        <v>0</v>
      </c>
      <c r="C17" s="30">
        <v>0</v>
      </c>
      <c r="D17" s="28">
        <f t="shared" si="12"/>
        <v>0</v>
      </c>
      <c r="E17" s="60">
        <f>+E12</f>
        <v>162353.41599122723</v>
      </c>
      <c r="F17" s="50">
        <f>+'2012 - 2014 (With Dead Band)'!Z10</f>
        <v>0.04</v>
      </c>
      <c r="G17" s="28">
        <f t="shared" si="7"/>
        <v>6494.1366396490894</v>
      </c>
      <c r="H17" s="51">
        <f t="shared" si="10"/>
        <v>6494.1366396490894</v>
      </c>
      <c r="I17" s="14" t="str">
        <f t="shared" si="11"/>
        <v>n/a</v>
      </c>
      <c r="L17" s="58"/>
      <c r="M17" s="53"/>
      <c r="N17" s="28"/>
      <c r="O17" s="51"/>
      <c r="P17" s="14"/>
    </row>
    <row r="18" spans="1:16" x14ac:dyDescent="0.25">
      <c r="A18" s="998" t="str">
        <f>+'2012 - 2014 (With Dead Band)'!$AA$3</f>
        <v>2012 ICM Rate Adder - DVR</v>
      </c>
      <c r="B18" s="60">
        <v>0</v>
      </c>
      <c r="C18" s="30">
        <v>0</v>
      </c>
      <c r="D18" s="28">
        <f t="shared" si="12"/>
        <v>0</v>
      </c>
      <c r="E18" s="60">
        <f>+E13</f>
        <v>25755</v>
      </c>
      <c r="F18" s="53">
        <f>+'2012 - 2014 (With Dead Band)'!AA10</f>
        <v>0.81100000000000005</v>
      </c>
      <c r="G18" s="28">
        <f t="shared" si="7"/>
        <v>20887.305</v>
      </c>
      <c r="H18" s="51">
        <f t="shared" si="10"/>
        <v>20887.305</v>
      </c>
      <c r="I18" s="14" t="str">
        <f t="shared" si="11"/>
        <v>n/a</v>
      </c>
      <c r="L18" s="58"/>
      <c r="M18" s="53"/>
      <c r="N18" s="28"/>
      <c r="O18" s="51"/>
      <c r="P18" s="14"/>
    </row>
    <row r="19" spans="1:16" x14ac:dyDescent="0.25">
      <c r="A19" s="998" t="str">
        <f>+'2012 - 2014 (With Dead Band)'!AE3</f>
        <v>2013 ICM Rate Adder - MFC</v>
      </c>
      <c r="B19" s="60">
        <v>0</v>
      </c>
      <c r="C19" s="30">
        <v>0</v>
      </c>
      <c r="D19" s="28">
        <f>+B19*C19</f>
        <v>0</v>
      </c>
      <c r="E19" s="60">
        <f>+E17</f>
        <v>162353.41599122723</v>
      </c>
      <c r="F19" s="50">
        <f>+'2012 - 2014 (With Dead Band)'!AE10</f>
        <v>0.1</v>
      </c>
      <c r="G19" s="28">
        <f t="shared" si="7"/>
        <v>16235.341599122723</v>
      </c>
      <c r="H19" s="51">
        <f>+G19-D19</f>
        <v>16235.341599122723</v>
      </c>
      <c r="I19" s="14" t="str">
        <f>IF(D19=0,"n/a",H19/D19)</f>
        <v>n/a</v>
      </c>
      <c r="L19" s="58"/>
      <c r="M19" s="53"/>
      <c r="N19" s="28"/>
      <c r="O19" s="51"/>
      <c r="P19" s="14"/>
    </row>
    <row r="20" spans="1:16" x14ac:dyDescent="0.25">
      <c r="A20" s="998" t="str">
        <f>+'2012 - 2014 (With Dead Band)'!AF3</f>
        <v>2013 ICM Rate Adder - DVR</v>
      </c>
      <c r="B20" s="60">
        <v>0</v>
      </c>
      <c r="C20" s="30">
        <v>0</v>
      </c>
      <c r="D20" s="28">
        <f>+B20*C20</f>
        <v>0</v>
      </c>
      <c r="E20" s="60">
        <f>+E18</f>
        <v>25755</v>
      </c>
      <c r="F20" s="53">
        <f>+'2012 - 2014 (With Dead Band)'!AF10</f>
        <v>2.1395</v>
      </c>
      <c r="G20" s="28">
        <f t="shared" si="7"/>
        <v>55102.822500000002</v>
      </c>
      <c r="H20" s="51">
        <f>+G20-D20</f>
        <v>55102.822500000002</v>
      </c>
      <c r="I20" s="14" t="str">
        <f>IF(D20=0,"n/a",H20/D20)</f>
        <v>n/a</v>
      </c>
      <c r="L20" s="58"/>
      <c r="M20" s="53"/>
      <c r="N20" s="28"/>
      <c r="O20" s="51"/>
      <c r="P20" s="14"/>
    </row>
    <row r="21" spans="1:16" x14ac:dyDescent="0.25">
      <c r="A21" s="998" t="str">
        <f>+'2012 - 2014 (With Dead Band)'!$AD$3</f>
        <v>Deferral/Variance Account Rate Rider</v>
      </c>
      <c r="B21" s="60">
        <v>0</v>
      </c>
      <c r="C21" s="30">
        <v>0</v>
      </c>
      <c r="D21" s="28">
        <f t="shared" si="12"/>
        <v>0</v>
      </c>
      <c r="E21" s="60">
        <f>+E18</f>
        <v>25755</v>
      </c>
      <c r="F21" s="53">
        <f>+'2012 - 2014 (With Dead Band)'!AD10</f>
        <v>-0.38769999999999999</v>
      </c>
      <c r="G21" s="28">
        <f t="shared" si="7"/>
        <v>-9985.2134999999998</v>
      </c>
      <c r="H21" s="51">
        <f t="shared" si="10"/>
        <v>-9985.2134999999998</v>
      </c>
      <c r="I21" s="14" t="str">
        <f t="shared" si="11"/>
        <v>n/a</v>
      </c>
      <c r="L21" s="58"/>
      <c r="M21" s="53"/>
      <c r="N21" s="28"/>
      <c r="O21" s="51"/>
      <c r="P21" s="14"/>
    </row>
    <row r="22" spans="1:16" x14ac:dyDescent="0.25">
      <c r="A22" s="6" t="s">
        <v>1</v>
      </c>
      <c r="B22" s="59"/>
      <c r="C22" s="44"/>
      <c r="D22" s="54">
        <f>SUM(D3:D21)</f>
        <v>957360.80142824445</v>
      </c>
      <c r="E22" s="59"/>
      <c r="F22" s="44"/>
      <c r="G22" s="54">
        <f>SUM(G3:G21)</f>
        <v>1088526.888146753</v>
      </c>
      <c r="H22" s="57">
        <f>SUM(H3:H21)</f>
        <v>131166.08671850871</v>
      </c>
      <c r="I22" s="15">
        <f>+H22/D22</f>
        <v>0.13700799794897367</v>
      </c>
      <c r="L22" s="59"/>
      <c r="M22" s="44"/>
      <c r="N22" s="54">
        <f>SUM(N3:N11)</f>
        <v>962586.15894850774</v>
      </c>
      <c r="O22" s="57">
        <f t="shared" si="9"/>
        <v>5225.3575202632928</v>
      </c>
      <c r="P22" s="15">
        <f>O22/D22</f>
        <v>5.458085930056685E-3</v>
      </c>
    </row>
    <row r="23" spans="1:16" x14ac:dyDescent="0.25">
      <c r="A23" s="10" t="s">
        <v>2</v>
      </c>
      <c r="B23" s="60">
        <f>+D35</f>
        <v>25755</v>
      </c>
      <c r="C23" s="52">
        <v>2.1657999999999999</v>
      </c>
      <c r="D23" s="28">
        <f t="shared" si="6"/>
        <v>55780.178999999996</v>
      </c>
      <c r="E23" s="60">
        <f>+B23</f>
        <v>25755</v>
      </c>
      <c r="F23" s="52">
        <f>+'2012 - 2014 (With Dead Band)'!AB10</f>
        <v>2.4857</v>
      </c>
      <c r="G23" s="28">
        <f t="shared" si="7"/>
        <v>64019.203500000003</v>
      </c>
      <c r="H23" s="51">
        <f>+G23-D23</f>
        <v>8239.0245000000068</v>
      </c>
      <c r="I23" s="13">
        <f>+H23/D23</f>
        <v>0.1477052359405302</v>
      </c>
      <c r="L23" s="60">
        <f>E23</f>
        <v>25755</v>
      </c>
      <c r="M23" s="52">
        <f t="shared" ref="M23:M32" si="13">F23</f>
        <v>2.4857</v>
      </c>
      <c r="N23" s="28">
        <f>L23*M23</f>
        <v>64019.203500000003</v>
      </c>
      <c r="O23" s="51">
        <f t="shared" si="9"/>
        <v>8239.0245000000068</v>
      </c>
      <c r="P23" s="13">
        <f>O23/D23</f>
        <v>0.1477052359405302</v>
      </c>
    </row>
    <row r="24" spans="1:16" x14ac:dyDescent="0.25">
      <c r="A24" s="10" t="s">
        <v>3</v>
      </c>
      <c r="B24" s="60">
        <f>+D35</f>
        <v>25755</v>
      </c>
      <c r="C24" s="52">
        <v>2.1021999999999998</v>
      </c>
      <c r="D24" s="28">
        <f t="shared" si="6"/>
        <v>54142.160999999993</v>
      </c>
      <c r="E24" s="60">
        <f>+B24</f>
        <v>25755</v>
      </c>
      <c r="F24" s="52">
        <f>+'2012 - 2014 (With Dead Band)'!AC10</f>
        <v>2.2997000000000001</v>
      </c>
      <c r="G24" s="28">
        <f t="shared" si="7"/>
        <v>59228.773500000003</v>
      </c>
      <c r="H24" s="51">
        <f>+G24-D24</f>
        <v>5086.6125000000102</v>
      </c>
      <c r="I24" s="13">
        <f>+H24/D24</f>
        <v>9.3949196080297032E-2</v>
      </c>
      <c r="J24" s="161"/>
      <c r="L24" s="60">
        <f t="shared" ref="L24:L32" si="14">E24</f>
        <v>25755</v>
      </c>
      <c r="M24" s="52">
        <f t="shared" si="13"/>
        <v>2.2997000000000001</v>
      </c>
      <c r="N24" s="28">
        <f>L24*M24</f>
        <v>59228.773500000003</v>
      </c>
      <c r="O24" s="51">
        <f t="shared" si="9"/>
        <v>5086.6125000000102</v>
      </c>
      <c r="P24" s="13">
        <f>O24/D24</f>
        <v>9.3949196080297032E-2</v>
      </c>
    </row>
    <row r="25" spans="1:16" x14ac:dyDescent="0.25">
      <c r="A25" s="6" t="s">
        <v>4</v>
      </c>
      <c r="B25" s="59"/>
      <c r="C25" s="44">
        <v>0</v>
      </c>
      <c r="D25" s="54">
        <f>SUM(D22:D24)</f>
        <v>1067283.1414282445</v>
      </c>
      <c r="E25" s="59"/>
      <c r="F25" s="44">
        <v>0</v>
      </c>
      <c r="G25" s="54">
        <f>SUM(G22:G24)</f>
        <v>1211774.8651467529</v>
      </c>
      <c r="H25" s="57">
        <f>+G25-D25</f>
        <v>144491.72371850838</v>
      </c>
      <c r="I25" s="15">
        <f>+H25/D25</f>
        <v>0.13538274719222934</v>
      </c>
      <c r="L25" s="59">
        <f t="shared" si="14"/>
        <v>0</v>
      </c>
      <c r="M25" s="44">
        <f t="shared" si="13"/>
        <v>0</v>
      </c>
      <c r="N25" s="54">
        <f>SUM(N22:N24)</f>
        <v>1085834.1359485076</v>
      </c>
      <c r="O25" s="57">
        <f t="shared" si="9"/>
        <v>18550.994520263048</v>
      </c>
      <c r="P25" s="15">
        <f>O25/D25</f>
        <v>1.7381511803360821E-2</v>
      </c>
    </row>
    <row r="26" spans="1:16" x14ac:dyDescent="0.25">
      <c r="A26" s="10" t="s">
        <v>5</v>
      </c>
      <c r="B26" s="60">
        <f>+B35*B36</f>
        <v>9620365.2060000002</v>
      </c>
      <c r="C26" s="52">
        <v>5.1999999999999998E-3</v>
      </c>
      <c r="D26" s="28">
        <f t="shared" si="6"/>
        <v>50025.899071200001</v>
      </c>
      <c r="E26" s="60">
        <f>+B26</f>
        <v>9620365.2060000002</v>
      </c>
      <c r="F26" s="52">
        <f>+C26</f>
        <v>5.1999999999999998E-3</v>
      </c>
      <c r="G26" s="28">
        <f t="shared" si="7"/>
        <v>50025.899071200001</v>
      </c>
      <c r="H26" s="51">
        <f t="shared" ref="H26:H32" si="15">+G26-D26</f>
        <v>0</v>
      </c>
      <c r="I26" s="14">
        <f t="shared" ref="I26:I32" si="16">IF(D26=0,"n/a",H26/D26)</f>
        <v>0</v>
      </c>
      <c r="L26" s="60">
        <f t="shared" si="14"/>
        <v>9620365.2060000002</v>
      </c>
      <c r="M26" s="52">
        <f t="shared" si="13"/>
        <v>5.1999999999999998E-3</v>
      </c>
      <c r="N26" s="28">
        <f t="shared" ref="N26:N32" si="17">L26*M26</f>
        <v>50025.899071200001</v>
      </c>
      <c r="O26" s="51">
        <f t="shared" si="9"/>
        <v>0</v>
      </c>
      <c r="P26" s="14">
        <f t="shared" ref="P26:P32" si="18">IF(D26=0,"n/a",O26/D26)</f>
        <v>0</v>
      </c>
    </row>
    <row r="27" spans="1:16" x14ac:dyDescent="0.25">
      <c r="A27" s="10" t="s">
        <v>6</v>
      </c>
      <c r="B27" s="60">
        <f>+B35*B36</f>
        <v>9620365.2060000002</v>
      </c>
      <c r="C27" s="52">
        <v>1.1000000000000001E-3</v>
      </c>
      <c r="D27" s="28">
        <f t="shared" si="6"/>
        <v>10582.401726600001</v>
      </c>
      <c r="E27" s="60">
        <f t="shared" ref="E27:E32" si="19">+B27</f>
        <v>9620365.2060000002</v>
      </c>
      <c r="F27" s="52">
        <f t="shared" ref="F27:F32" si="20">+C27</f>
        <v>1.1000000000000001E-3</v>
      </c>
      <c r="G27" s="28">
        <f t="shared" si="7"/>
        <v>10582.401726600001</v>
      </c>
      <c r="H27" s="51">
        <f t="shared" si="15"/>
        <v>0</v>
      </c>
      <c r="I27" s="14">
        <f t="shared" si="16"/>
        <v>0</v>
      </c>
      <c r="L27" s="60">
        <f t="shared" si="14"/>
        <v>9620365.2060000002</v>
      </c>
      <c r="M27" s="52">
        <f t="shared" si="13"/>
        <v>1.1000000000000001E-3</v>
      </c>
      <c r="N27" s="28">
        <f t="shared" si="17"/>
        <v>10582.401726600001</v>
      </c>
      <c r="O27" s="51">
        <f t="shared" si="9"/>
        <v>0</v>
      </c>
      <c r="P27" s="14">
        <f t="shared" si="18"/>
        <v>0</v>
      </c>
    </row>
    <row r="28" spans="1:16" x14ac:dyDescent="0.25">
      <c r="A28" s="10" t="s">
        <v>7</v>
      </c>
      <c r="B28" s="60">
        <f>+B35</f>
        <v>9271747.5</v>
      </c>
      <c r="C28" s="52">
        <v>7.0000000000000001E-3</v>
      </c>
      <c r="D28" s="28">
        <f t="shared" si="6"/>
        <v>64902.232499999998</v>
      </c>
      <c r="E28" s="60">
        <f t="shared" si="19"/>
        <v>9271747.5</v>
      </c>
      <c r="F28" s="52">
        <f t="shared" si="20"/>
        <v>7.0000000000000001E-3</v>
      </c>
      <c r="G28" s="28">
        <f t="shared" si="7"/>
        <v>64902.232499999998</v>
      </c>
      <c r="H28" s="51">
        <f t="shared" si="15"/>
        <v>0</v>
      </c>
      <c r="I28" s="14">
        <f t="shared" si="16"/>
        <v>0</v>
      </c>
      <c r="L28" s="60">
        <f t="shared" si="14"/>
        <v>9271747.5</v>
      </c>
      <c r="M28" s="52">
        <f t="shared" si="13"/>
        <v>7.0000000000000001E-3</v>
      </c>
      <c r="N28" s="28">
        <f t="shared" si="17"/>
        <v>64902.232499999998</v>
      </c>
      <c r="O28" s="51">
        <f t="shared" si="9"/>
        <v>0</v>
      </c>
      <c r="P28" s="14">
        <f t="shared" si="18"/>
        <v>0</v>
      </c>
    </row>
    <row r="29" spans="1:16" x14ac:dyDescent="0.25">
      <c r="A29" s="10" t="s">
        <v>19</v>
      </c>
      <c r="B29" s="60">
        <v>1</v>
      </c>
      <c r="C29" s="51">
        <v>0.25</v>
      </c>
      <c r="D29" s="28">
        <f t="shared" si="6"/>
        <v>0.25</v>
      </c>
      <c r="E29" s="60">
        <f t="shared" si="19"/>
        <v>1</v>
      </c>
      <c r="F29" s="51">
        <f t="shared" si="20"/>
        <v>0.25</v>
      </c>
      <c r="G29" s="28">
        <f t="shared" si="7"/>
        <v>0.25</v>
      </c>
      <c r="H29" s="51">
        <f>+G29-D29</f>
        <v>0</v>
      </c>
      <c r="I29" s="14">
        <f t="shared" si="16"/>
        <v>0</v>
      </c>
      <c r="L29" s="60">
        <f t="shared" si="14"/>
        <v>1</v>
      </c>
      <c r="M29" s="51">
        <f t="shared" si="13"/>
        <v>0.25</v>
      </c>
      <c r="N29" s="28">
        <f t="shared" si="17"/>
        <v>0.25</v>
      </c>
      <c r="O29" s="51">
        <f t="shared" si="9"/>
        <v>0</v>
      </c>
      <c r="P29" s="14">
        <f t="shared" si="18"/>
        <v>0</v>
      </c>
    </row>
    <row r="30" spans="1:16" x14ac:dyDescent="0.25">
      <c r="A30" s="10" t="s">
        <v>108</v>
      </c>
      <c r="B30" s="60">
        <f>+B35*B36</f>
        <v>9620365.2060000002</v>
      </c>
      <c r="C30" s="52">
        <v>0</v>
      </c>
      <c r="D30" s="70">
        <f t="shared" si="6"/>
        <v>0</v>
      </c>
      <c r="E30" s="60">
        <f t="shared" si="19"/>
        <v>9620365.2060000002</v>
      </c>
      <c r="F30" s="52">
        <v>0</v>
      </c>
      <c r="G30" s="70">
        <f t="shared" si="7"/>
        <v>0</v>
      </c>
      <c r="H30" s="71">
        <f>+G30-D30</f>
        <v>0</v>
      </c>
      <c r="I30" s="14" t="str">
        <f t="shared" si="16"/>
        <v>n/a</v>
      </c>
      <c r="L30" s="60">
        <f t="shared" si="14"/>
        <v>9620365.2060000002</v>
      </c>
      <c r="M30" s="52">
        <f t="shared" si="13"/>
        <v>0</v>
      </c>
      <c r="N30" s="70">
        <f t="shared" si="17"/>
        <v>0</v>
      </c>
      <c r="O30" s="71">
        <f t="shared" si="9"/>
        <v>0</v>
      </c>
      <c r="P30" s="14" t="str">
        <f t="shared" si="18"/>
        <v>n/a</v>
      </c>
    </row>
    <row r="31" spans="1:16" x14ac:dyDescent="0.25">
      <c r="A31" s="10" t="s">
        <v>212</v>
      </c>
      <c r="B31" s="60">
        <v>750</v>
      </c>
      <c r="C31" s="245">
        <v>7.4999999999999997E-2</v>
      </c>
      <c r="D31" s="28">
        <f t="shared" si="6"/>
        <v>56.25</v>
      </c>
      <c r="E31" s="60">
        <f t="shared" si="19"/>
        <v>750</v>
      </c>
      <c r="F31" s="245">
        <f t="shared" si="20"/>
        <v>7.4999999999999997E-2</v>
      </c>
      <c r="G31" s="28">
        <f t="shared" si="7"/>
        <v>56.25</v>
      </c>
      <c r="H31" s="51">
        <f t="shared" si="15"/>
        <v>0</v>
      </c>
      <c r="I31" s="14">
        <f t="shared" si="16"/>
        <v>0</v>
      </c>
      <c r="L31" s="60">
        <f t="shared" si="14"/>
        <v>750</v>
      </c>
      <c r="M31" s="245">
        <f t="shared" si="13"/>
        <v>7.4999999999999997E-2</v>
      </c>
      <c r="N31" s="28">
        <f t="shared" si="17"/>
        <v>56.25</v>
      </c>
      <c r="O31" s="51">
        <f t="shared" si="9"/>
        <v>0</v>
      </c>
      <c r="P31" s="14">
        <f t="shared" si="18"/>
        <v>0</v>
      </c>
    </row>
    <row r="32" spans="1:16" x14ac:dyDescent="0.25">
      <c r="A32" s="10" t="s">
        <v>213</v>
      </c>
      <c r="B32" s="60">
        <f>(+$B$35*B36)-B31</f>
        <v>9619615.2060000002</v>
      </c>
      <c r="C32" s="245">
        <v>8.7999999999999995E-2</v>
      </c>
      <c r="D32" s="28">
        <f t="shared" si="6"/>
        <v>846526.13812799996</v>
      </c>
      <c r="E32" s="60">
        <f t="shared" si="19"/>
        <v>9619615.2060000002</v>
      </c>
      <c r="F32" s="245">
        <f t="shared" si="20"/>
        <v>8.7999999999999995E-2</v>
      </c>
      <c r="G32" s="28">
        <f t="shared" si="7"/>
        <v>846526.13812799996</v>
      </c>
      <c r="H32" s="51">
        <f t="shared" si="15"/>
        <v>0</v>
      </c>
      <c r="I32" s="14">
        <f t="shared" si="16"/>
        <v>0</v>
      </c>
      <c r="L32" s="60">
        <f t="shared" si="14"/>
        <v>9619615.2060000002</v>
      </c>
      <c r="M32" s="245">
        <f t="shared" si="13"/>
        <v>8.7999999999999995E-2</v>
      </c>
      <c r="N32" s="28">
        <f t="shared" si="17"/>
        <v>846526.13812799996</v>
      </c>
      <c r="O32" s="51">
        <f t="shared" si="9"/>
        <v>0</v>
      </c>
      <c r="P32" s="14">
        <f t="shared" si="18"/>
        <v>0</v>
      </c>
    </row>
    <row r="33" spans="1:16" ht="15.75" thickBot="1" x14ac:dyDescent="0.3">
      <c r="A33" s="7" t="s">
        <v>8</v>
      </c>
      <c r="B33" s="63"/>
      <c r="C33" s="45"/>
      <c r="D33" s="55">
        <f>SUM(D25:D32)</f>
        <v>2039376.3128540446</v>
      </c>
      <c r="E33" s="63"/>
      <c r="F33" s="56"/>
      <c r="G33" s="55">
        <f>SUM(G25:G32)</f>
        <v>2183868.0365725528</v>
      </c>
      <c r="H33" s="47">
        <f>+G33-D33</f>
        <v>144491.72371850815</v>
      </c>
      <c r="I33" s="16">
        <f>+H33/D33</f>
        <v>7.0850937518390805E-2</v>
      </c>
      <c r="L33" s="63"/>
      <c r="M33" s="56"/>
      <c r="N33" s="55">
        <f>SUM(N25:N32)</f>
        <v>2057927.3073743074</v>
      </c>
      <c r="O33" s="47">
        <f t="shared" si="9"/>
        <v>18550.994520262815</v>
      </c>
      <c r="P33" s="16">
        <f>O33/D33</f>
        <v>9.0964057998208607E-3</v>
      </c>
    </row>
    <row r="34" spans="1:16" ht="15.75" thickBot="1" x14ac:dyDescent="0.3">
      <c r="B34" s="64" t="s">
        <v>20</v>
      </c>
      <c r="C34" s="37" t="s">
        <v>97</v>
      </c>
      <c r="D34" s="37" t="s">
        <v>21</v>
      </c>
      <c r="E34" s="64" t="s">
        <v>96</v>
      </c>
      <c r="F34" s="38" t="s">
        <v>100</v>
      </c>
      <c r="G34" s="38" t="s">
        <v>101</v>
      </c>
      <c r="H34" s="38" t="s">
        <v>102</v>
      </c>
    </row>
    <row r="35" spans="1:16" ht="16.5" thickTop="1" thickBot="1" x14ac:dyDescent="0.3">
      <c r="A35" s="5" t="s">
        <v>103</v>
      </c>
      <c r="B35" s="251">
        <f>111260970/12</f>
        <v>9271747.5</v>
      </c>
      <c r="C35" s="248">
        <v>162353.41599122723</v>
      </c>
      <c r="D35" s="249">
        <f>ROUND(+B35/F35,)</f>
        <v>25755</v>
      </c>
      <c r="E35" s="65">
        <f>ROUND(+D35/G35,0)</f>
        <v>25755</v>
      </c>
      <c r="F35" s="33">
        <v>360</v>
      </c>
      <c r="G35" s="34">
        <v>1</v>
      </c>
      <c r="H35" s="35">
        <v>1</v>
      </c>
    </row>
    <row r="36" spans="1:16" ht="15.75" thickBot="1" x14ac:dyDescent="0.3">
      <c r="A36" s="246" t="s">
        <v>104</v>
      </c>
      <c r="B36" s="250">
        <f>1.0376</f>
        <v>1.0376000000000001</v>
      </c>
    </row>
    <row r="37" spans="1:16" ht="15.75" thickTop="1" x14ac:dyDescent="0.25">
      <c r="D37" s="161"/>
      <c r="E37"/>
      <c r="G37" s="161"/>
    </row>
    <row r="38" spans="1:16" x14ac:dyDescent="0.25">
      <c r="D38" s="161"/>
      <c r="E38"/>
      <c r="G38" s="161"/>
    </row>
  </sheetData>
  <printOptions horizontalCentered="1"/>
  <pageMargins left="0.19685039370078741" right="0.19685039370078741" top="1.4960629921259843" bottom="0.31496062992125984" header="0.31496062992125984" footer="0.15748031496062992"/>
  <pageSetup scale="84" orientation="landscape" r:id="rId1"/>
  <headerFooter>
    <oddHeader>&amp;RToronto Hydro-Electric System Limited
EB-2012-0064
Tab 3
Schedule C2.2
Filed:  2012 May 10
Updated:  2012 Oct 31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A1-T8-S1</vt:lpstr>
      <vt:lpstr>Summary</vt:lpstr>
      <vt:lpstr>Residential </vt:lpstr>
      <vt:lpstr>Multi Res</vt:lpstr>
      <vt:lpstr>GS &lt; 50 kWh</vt:lpstr>
      <vt:lpstr>GS &gt; 50 &lt; 1000</vt:lpstr>
      <vt:lpstr>GS &gt; 1000 &lt; 5000</vt:lpstr>
      <vt:lpstr>LU</vt:lpstr>
      <vt:lpstr>St Lights</vt:lpstr>
      <vt:lpstr>USL</vt:lpstr>
      <vt:lpstr>2012 - 2014 (With Dead Band)</vt:lpstr>
      <vt:lpstr>2012 Dist Rates</vt:lpstr>
      <vt:lpstr>2012 - 2014 SM</vt:lpstr>
      <vt:lpstr>2012 Transmission Rates</vt:lpstr>
      <vt:lpstr>2012 RARA</vt:lpstr>
      <vt:lpstr>2012 LRAM</vt:lpstr>
      <vt:lpstr>2012 GA Rate Rider</vt:lpstr>
      <vt:lpstr>Contact Voltage</vt:lpstr>
      <vt:lpstr>LPP Rate Riders</vt:lpstr>
      <vt:lpstr>Foregone Rev Rate Rider</vt:lpstr>
      <vt:lpstr>Green Energy Plan</vt:lpstr>
      <vt:lpstr>'2012 Dist Rates'!Print_Area</vt:lpstr>
      <vt:lpstr>'2012 Transmission Rates'!Print_Area</vt:lpstr>
      <vt:lpstr>'Contact Voltage'!Print_Area</vt:lpstr>
      <vt:lpstr>'GS &gt; 50 &lt; 1000'!Print_Area</vt:lpstr>
      <vt:lpstr>'LPP Rate Riders'!Print_Area</vt:lpstr>
    </vt:vector>
  </TitlesOfParts>
  <Company>Toronto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</dc:creator>
  <cp:lastModifiedBy>Susi Vogt</cp:lastModifiedBy>
  <cp:lastPrinted>2012-10-28T03:50:01Z</cp:lastPrinted>
  <dcterms:created xsi:type="dcterms:W3CDTF">2010-05-27T14:59:52Z</dcterms:created>
  <dcterms:modified xsi:type="dcterms:W3CDTF">2012-11-01T15:22:47Z</dcterms:modified>
</cp:coreProperties>
</file>