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75" yWindow="5610" windowWidth="15180" windowHeight="6600"/>
  </bookViews>
  <sheets>
    <sheet name="Bill Impacts" sheetId="2" r:id="rId1"/>
    <sheet name="Rates" sheetId="1" r:id="rId2"/>
  </sheets>
  <calcPr calcId="145621" calcMode="manual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8" i="1"/>
  <c r="I33" i="1"/>
  <c r="I48" i="1"/>
  <c r="J6" i="1"/>
  <c r="J17" i="1" s="1"/>
  <c r="I6" i="1"/>
  <c r="I12" i="1" s="1"/>
  <c r="I61" i="1" l="1"/>
  <c r="I38" i="1"/>
  <c r="I29" i="1"/>
  <c r="I8" i="1"/>
  <c r="I50" i="1"/>
  <c r="I45" i="1"/>
  <c r="I36" i="1"/>
  <c r="I31" i="1"/>
  <c r="I27" i="1"/>
  <c r="I21" i="1"/>
  <c r="I17" i="1"/>
  <c r="I23" i="1"/>
  <c r="I19" i="1"/>
  <c r="I10" i="1"/>
  <c r="K6" i="1"/>
  <c r="I58" i="1"/>
  <c r="I55" i="1"/>
  <c r="I53" i="1"/>
  <c r="I42" i="1"/>
  <c r="I40" i="1"/>
  <c r="J36" i="1"/>
  <c r="K36" i="1" s="1"/>
  <c r="J27" i="1"/>
  <c r="K27" i="1" s="1"/>
  <c r="I14" i="1"/>
  <c r="K17" i="1"/>
  <c r="F61" i="1"/>
  <c r="J61" i="1" s="1"/>
  <c r="K61" i="1" s="1"/>
  <c r="F58" i="1"/>
  <c r="J58" i="1" s="1"/>
  <c r="F55" i="1"/>
  <c r="J55" i="1" s="1"/>
  <c r="F53" i="1"/>
  <c r="J53" i="1" s="1"/>
  <c r="F50" i="1"/>
  <c r="J50" i="1" s="1"/>
  <c r="K50" i="1" s="1"/>
  <c r="F48" i="1"/>
  <c r="J48" i="1" s="1"/>
  <c r="K48" i="1" s="1"/>
  <c r="F45" i="1"/>
  <c r="J45" i="1" s="1"/>
  <c r="F42" i="1"/>
  <c r="J42" i="1" s="1"/>
  <c r="F40" i="1"/>
  <c r="J40" i="1" s="1"/>
  <c r="F38" i="1"/>
  <c r="J38" i="1" s="1"/>
  <c r="K38" i="1" s="1"/>
  <c r="F33" i="1"/>
  <c r="J33" i="1" s="1"/>
  <c r="K33" i="1" s="1"/>
  <c r="F31" i="1"/>
  <c r="J31" i="1" s="1"/>
  <c r="K31" i="1" s="1"/>
  <c r="F29" i="1"/>
  <c r="J29" i="1" s="1"/>
  <c r="K29" i="1" s="1"/>
  <c r="F23" i="1"/>
  <c r="J23" i="1" s="1"/>
  <c r="K23" i="1" s="1"/>
  <c r="F21" i="1"/>
  <c r="J21" i="1" s="1"/>
  <c r="F19" i="1"/>
  <c r="J19" i="1" s="1"/>
  <c r="K19" i="1" s="1"/>
  <c r="F14" i="1"/>
  <c r="J14" i="1" s="1"/>
  <c r="F12" i="1"/>
  <c r="J12" i="1" s="1"/>
  <c r="K12" i="1" s="1"/>
  <c r="F10" i="1"/>
  <c r="J10" i="1" s="1"/>
  <c r="F8" i="1"/>
  <c r="J8" i="1" s="1"/>
  <c r="K8" i="1" s="1"/>
  <c r="K10" i="1" l="1"/>
  <c r="K21" i="1"/>
  <c r="K45" i="1"/>
  <c r="K14" i="1"/>
  <c r="K42" i="1"/>
  <c r="K55" i="1"/>
  <c r="K40" i="1"/>
  <c r="K53" i="1"/>
  <c r="K58" i="1"/>
  <c r="H31" i="2"/>
  <c r="H34" i="2" s="1"/>
  <c r="C11" i="2"/>
  <c r="B11" i="2"/>
  <c r="B16" i="2" s="1"/>
  <c r="I31" i="2"/>
  <c r="C51" i="2"/>
  <c r="A51" i="2"/>
  <c r="C95" i="2"/>
  <c r="I51" i="2"/>
  <c r="C93" i="2"/>
  <c r="C89" i="2"/>
  <c r="B96" i="2"/>
  <c r="B95" i="2"/>
  <c r="B94" i="2"/>
  <c r="B93" i="2"/>
  <c r="B92" i="2"/>
  <c r="B91" i="2"/>
  <c r="B90" i="2"/>
  <c r="B89" i="2"/>
  <c r="I78" i="2"/>
  <c r="I77" i="2"/>
  <c r="I76" i="2"/>
  <c r="I75" i="2"/>
  <c r="I74" i="2"/>
  <c r="I73" i="2"/>
  <c r="I72" i="2"/>
  <c r="I71" i="2"/>
  <c r="H78" i="2"/>
  <c r="H77" i="2"/>
  <c r="H76" i="2"/>
  <c r="H75" i="2"/>
  <c r="H74" i="2"/>
  <c r="H73" i="2"/>
  <c r="H72" i="2"/>
  <c r="H71" i="2"/>
  <c r="C72" i="2"/>
  <c r="C80" i="2" s="1"/>
  <c r="B72" i="2"/>
  <c r="B78" i="2" s="1"/>
  <c r="C71" i="2"/>
  <c r="B71" i="2"/>
  <c r="H52" i="2"/>
  <c r="H58" i="2" s="1"/>
  <c r="H51" i="2"/>
  <c r="B31" i="2"/>
  <c r="B34" i="2" s="1"/>
  <c r="C31" i="2"/>
  <c r="C33" i="2" s="1"/>
  <c r="I11" i="2"/>
  <c r="I13" i="2" s="1"/>
  <c r="H11" i="2"/>
  <c r="H12" i="2" s="1"/>
  <c r="C12" i="2"/>
  <c r="J71" i="2" l="1"/>
  <c r="B76" i="2"/>
  <c r="C78" i="2"/>
  <c r="J75" i="2"/>
  <c r="D89" i="2"/>
  <c r="D72" i="2"/>
  <c r="D93" i="2"/>
  <c r="D51" i="2"/>
  <c r="B77" i="2"/>
  <c r="J73" i="2"/>
  <c r="B33" i="2"/>
  <c r="D33" i="2" s="1"/>
  <c r="B73" i="2"/>
  <c r="B79" i="2"/>
  <c r="C34" i="2"/>
  <c r="C35" i="2" s="1"/>
  <c r="B75" i="2"/>
  <c r="B80" i="2"/>
  <c r="D80" i="2" s="1"/>
  <c r="B12" i="2"/>
  <c r="D12" i="2" s="1"/>
  <c r="D71" i="2"/>
  <c r="J77" i="2"/>
  <c r="B14" i="2"/>
  <c r="C76" i="2"/>
  <c r="B35" i="2"/>
  <c r="B36" i="2"/>
  <c r="B37" i="2" s="1"/>
  <c r="H56" i="2"/>
  <c r="J76" i="2"/>
  <c r="H13" i="2"/>
  <c r="J13" i="2" s="1"/>
  <c r="H57" i="2"/>
  <c r="D31" i="2"/>
  <c r="H53" i="2"/>
  <c r="J74" i="2"/>
  <c r="J78" i="2"/>
  <c r="D95" i="2"/>
  <c r="J72" i="2"/>
  <c r="C32" i="2"/>
  <c r="D78" i="2"/>
  <c r="J51" i="2"/>
  <c r="H14" i="2"/>
  <c r="H59" i="2"/>
  <c r="H16" i="2"/>
  <c r="H19" i="2" s="1"/>
  <c r="H21" i="2" s="1"/>
  <c r="B32" i="2"/>
  <c r="H55" i="2"/>
  <c r="H60" i="2"/>
  <c r="B74" i="2"/>
  <c r="C74" i="2"/>
  <c r="D11" i="2"/>
  <c r="H33" i="2"/>
  <c r="I15" i="2"/>
  <c r="J11" i="2"/>
  <c r="C73" i="2"/>
  <c r="C77" i="2"/>
  <c r="C75" i="2"/>
  <c r="C79" i="2"/>
  <c r="C13" i="2"/>
  <c r="C14" i="2"/>
  <c r="D14" i="2" s="1"/>
  <c r="C16" i="2"/>
  <c r="C15" i="2"/>
  <c r="B19" i="2"/>
  <c r="B17" i="2"/>
  <c r="B18" i="2"/>
  <c r="I32" i="2"/>
  <c r="I34" i="2"/>
  <c r="I33" i="2"/>
  <c r="J31" i="2"/>
  <c r="H35" i="2"/>
  <c r="H36" i="2"/>
  <c r="H37" i="2" s="1"/>
  <c r="I12" i="2"/>
  <c r="J12" i="2" s="1"/>
  <c r="H15" i="2"/>
  <c r="I16" i="2"/>
  <c r="C92" i="2"/>
  <c r="D92" i="2" s="1"/>
  <c r="C96" i="2"/>
  <c r="D96" i="2" s="1"/>
  <c r="H32" i="2"/>
  <c r="I14" i="2"/>
  <c r="I52" i="2"/>
  <c r="C90" i="2"/>
  <c r="D90" i="2" s="1"/>
  <c r="C94" i="2"/>
  <c r="D94" i="2" s="1"/>
  <c r="B13" i="2"/>
  <c r="B15" i="2"/>
  <c r="H54" i="2"/>
  <c r="C91" i="2"/>
  <c r="D91" i="2" s="1"/>
  <c r="D73" i="2" l="1"/>
  <c r="D76" i="2"/>
  <c r="J14" i="2"/>
  <c r="D79" i="2"/>
  <c r="D77" i="2"/>
  <c r="D32" i="2"/>
  <c r="D35" i="2"/>
  <c r="D34" i="2"/>
  <c r="J15" i="2"/>
  <c r="D75" i="2"/>
  <c r="C36" i="2"/>
  <c r="C37" i="2" s="1"/>
  <c r="D37" i="2" s="1"/>
  <c r="H20" i="2"/>
  <c r="H17" i="2"/>
  <c r="H18" i="2"/>
  <c r="J33" i="2"/>
  <c r="D74" i="2"/>
  <c r="D15" i="2"/>
  <c r="D13" i="2"/>
  <c r="C19" i="2"/>
  <c r="D19" i="2" s="1"/>
  <c r="C18" i="2"/>
  <c r="D18" i="2" s="1"/>
  <c r="C17" i="2"/>
  <c r="D17" i="2" s="1"/>
  <c r="D16" i="2"/>
  <c r="I19" i="2"/>
  <c r="I17" i="2"/>
  <c r="J16" i="2"/>
  <c r="I18" i="2"/>
  <c r="J18" i="2" s="1"/>
  <c r="I58" i="2"/>
  <c r="J58" i="2" s="1"/>
  <c r="I54" i="2"/>
  <c r="J54" i="2" s="1"/>
  <c r="I56" i="2"/>
  <c r="J56" i="2" s="1"/>
  <c r="I57" i="2"/>
  <c r="J57" i="2" s="1"/>
  <c r="I53" i="2"/>
  <c r="J53" i="2" s="1"/>
  <c r="I59" i="2"/>
  <c r="J59" i="2" s="1"/>
  <c r="I55" i="2"/>
  <c r="J55" i="2" s="1"/>
  <c r="J52" i="2"/>
  <c r="I60" i="2"/>
  <c r="J60" i="2" s="1"/>
  <c r="J32" i="2"/>
  <c r="I36" i="2"/>
  <c r="I35" i="2"/>
  <c r="J35" i="2" s="1"/>
  <c r="J34" i="2"/>
  <c r="B20" i="2"/>
  <c r="B21" i="2"/>
  <c r="D36" i="2" l="1"/>
  <c r="J17" i="2"/>
  <c r="C21" i="2"/>
  <c r="D21" i="2" s="1"/>
  <c r="C20" i="2"/>
  <c r="D20" i="2" s="1"/>
  <c r="J36" i="2"/>
  <c r="I37" i="2"/>
  <c r="J37" i="2" s="1"/>
  <c r="I20" i="2"/>
  <c r="J20" i="2" s="1"/>
  <c r="J19" i="2"/>
  <c r="I21" i="2"/>
  <c r="J21" i="2" s="1"/>
</calcChain>
</file>

<file path=xl/sharedStrings.xml><?xml version="1.0" encoding="utf-8"?>
<sst xmlns="http://schemas.openxmlformats.org/spreadsheetml/2006/main" count="172" uniqueCount="50">
  <si>
    <t>Rate Class</t>
  </si>
  <si>
    <t>Year-Round Residential – R2</t>
  </si>
  <si>
    <t>Rate Description</t>
  </si>
  <si>
    <t>Block</t>
  </si>
  <si>
    <t>Metric</t>
  </si>
  <si>
    <t>Service Charge</t>
  </si>
  <si>
    <t>$</t>
  </si>
  <si>
    <t>Distribution Volumetric Rate</t>
  </si>
  <si>
    <t>$/kWh</t>
  </si>
  <si>
    <t>Energy Charge Next 1,500 kWh</t>
  </si>
  <si>
    <t>Energy Charge All Additional kWh</t>
  </si>
  <si>
    <t>Seasonal Residential – R4</t>
  </si>
  <si>
    <t>General Service Single Phase – G1</t>
  </si>
  <si>
    <t>Energy Charge Next 7,000 kWh</t>
  </si>
  <si>
    <t>General Service Three Phase – G3</t>
  </si>
  <si>
    <t>Energy Charge Next 15,000 kWh</t>
  </si>
  <si>
    <t>Street Lighting</t>
  </si>
  <si>
    <t>Standard A Residential Road/Rail</t>
  </si>
  <si>
    <t>Standard A Residential Air Access</t>
  </si>
  <si>
    <t>Standard A General Service Road/Rail</t>
  </si>
  <si>
    <t>Standard A General Service Air Access</t>
  </si>
  <si>
    <t>Current Rate</t>
  </si>
  <si>
    <t>Proposed Rate</t>
  </si>
  <si>
    <t xml:space="preserve"> </t>
  </si>
  <si>
    <t>Bill Impacts</t>
  </si>
  <si>
    <t>Residential - Year Round - Non Std. 'A'</t>
  </si>
  <si>
    <t>Residential - Seasonal</t>
  </si>
  <si>
    <t>Monthly kWh</t>
  </si>
  <si>
    <t>Total Bill (Existing Rates)</t>
  </si>
  <si>
    <t>Percentage Increase</t>
  </si>
  <si>
    <t>Hydro One Remote Communities Inc.</t>
  </si>
  <si>
    <t>General Service 1-Phase - Non Std. 'A'</t>
  </si>
  <si>
    <t>General Service 3-Phase - Non Std. 'A'</t>
  </si>
  <si>
    <t>Residential - Road Access - Std. 'A'</t>
  </si>
  <si>
    <t>Existing rates</t>
  </si>
  <si>
    <t>Monthly 
kWh</t>
  </si>
  <si>
    <t>All Monthly kWh</t>
  </si>
  <si>
    <t>Residential - Air Access - Std. 'A'</t>
  </si>
  <si>
    <t>General Service - Air Access - Std. 'A'</t>
  </si>
  <si>
    <t>Foregone Revenue Rider</t>
  </si>
  <si>
    <t>Total Bill (Current Rates)</t>
  </si>
  <si>
    <t xml:space="preserve">Total Bill </t>
  </si>
  <si>
    <t>Total Bill</t>
  </si>
  <si>
    <t>General Service - Road Rail - Std A</t>
  </si>
  <si>
    <t>Impact of 2013 Change</t>
  </si>
  <si>
    <t>Rate in Effect 4/12 of Year</t>
  </si>
  <si>
    <t>Rate in Effect 8/12 of Year</t>
  </si>
  <si>
    <t>Effective Rate for All of 2013</t>
  </si>
  <si>
    <t>Attachment 8A</t>
  </si>
  <si>
    <t xml:space="preserve">Calculations for the Proration of the Proposed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</si>
</sst>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3" formatCode="_(* #,##0.00_);_(* \(#,##0.00\);_(* &quot;-&quot;??_);_(@_)"/>
    <numFmt numFmtId="164" formatCode="#,##0.0000\ ;\(#,##0.0000\)"/>
    <numFmt numFmtId="165" formatCode="0.0000"/>
    <numFmt numFmtId="166" formatCode="_(* #,##0.0_);_(* \(#,##0.0\);_(* &quot;-&quot;??_);_(@_)"/>
    <numFmt numFmtId="167" formatCode="0.0%"/>
    <numFmt numFmtId="168" formatCode="_(* #,##0_);_(* \(#,##0\);_(* &quot;-&quot;??_);_(@_)"/>
    <numFmt numFmtId="169" formatCode="_(&quot;$&quot;* #,##0.00_);_(&quot;$&quot;* \(#,##0.00\);_(&quot;$&quot;* &quot;-&quot;_);_(@_)"/>
    <numFmt numFmtId="170" formatCode="0.00000%"/>
    <numFmt numFmtId="171" formatCode="#,##0.00000_);\(#,##0.00000\)"/>
    <numFmt numFmtId="172" formatCode="#,##0.000000_);\(#,##0.000000\)"/>
  </numFmts>
  <fonts count="1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2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4" fontId="0" fillId="2" borderId="0" xfId="0" applyNumberFormat="1" applyFill="1" applyAlignment="1" applyProtection="1">
      <alignment horizontal="right"/>
    </xf>
    <xf numFmtId="164" fontId="0" fillId="2" borderId="0" xfId="0" applyNumberFormat="1" applyFill="1" applyAlignment="1" applyProtection="1">
      <alignment horizontal="right"/>
    </xf>
    <xf numFmtId="0" fontId="0" fillId="2" borderId="0" xfId="0" applyFill="1" applyAlignment="1" applyProtection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166" fontId="6" fillId="0" borderId="0" xfId="1" applyNumberFormat="1" applyFont="1"/>
    <xf numFmtId="0" fontId="6" fillId="0" borderId="1" xfId="0" applyFont="1" applyBorder="1"/>
    <xf numFmtId="0" fontId="6" fillId="0" borderId="0" xfId="0" applyFont="1" applyBorder="1" applyAlignment="1">
      <alignment horizontal="center"/>
    </xf>
    <xf numFmtId="0" fontId="6" fillId="0" borderId="0" xfId="1" applyNumberFormat="1" applyFont="1" applyBorder="1"/>
    <xf numFmtId="41" fontId="6" fillId="0" borderId="2" xfId="1" applyNumberFormat="1" applyFont="1" applyBorder="1"/>
    <xf numFmtId="41" fontId="6" fillId="0" borderId="0" xfId="0" applyNumberFormat="1" applyFont="1"/>
    <xf numFmtId="0" fontId="6" fillId="0" borderId="0" xfId="0" applyFont="1" applyBorder="1"/>
    <xf numFmtId="41" fontId="6" fillId="0" borderId="2" xfId="0" applyNumberFormat="1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41" fontId="7" fillId="0" borderId="2" xfId="0" applyNumberFormat="1" applyFont="1" applyBorder="1" applyAlignment="1">
      <alignment wrapText="1"/>
    </xf>
    <xf numFmtId="167" fontId="6" fillId="0" borderId="0" xfId="0" applyNumberFormat="1" applyFont="1"/>
    <xf numFmtId="0" fontId="7" fillId="0" borderId="0" xfId="0" applyFont="1" applyBorder="1" applyAlignment="1">
      <alignment horizontal="center" wrapText="1"/>
    </xf>
    <xf numFmtId="41" fontId="7" fillId="0" borderId="2" xfId="0" applyNumberFormat="1" applyFont="1" applyBorder="1" applyAlignment="1">
      <alignment horizontal="center" wrapText="1"/>
    </xf>
    <xf numFmtId="168" fontId="6" fillId="0" borderId="1" xfId="1" applyNumberFormat="1" applyFont="1" applyBorder="1"/>
    <xf numFmtId="169" fontId="6" fillId="0" borderId="0" xfId="0" applyNumberFormat="1" applyFont="1" applyBorder="1"/>
    <xf numFmtId="167" fontId="6" fillId="0" borderId="2" xfId="0" applyNumberFormat="1" applyFont="1" applyBorder="1"/>
    <xf numFmtId="0" fontId="6" fillId="0" borderId="2" xfId="0" applyFont="1" applyBorder="1"/>
    <xf numFmtId="41" fontId="6" fillId="0" borderId="3" xfId="0" applyNumberFormat="1" applyFont="1" applyBorder="1"/>
    <xf numFmtId="169" fontId="6" fillId="0" borderId="4" xfId="0" applyNumberFormat="1" applyFont="1" applyBorder="1"/>
    <xf numFmtId="167" fontId="6" fillId="0" borderId="5" xfId="0" applyNumberFormat="1" applyFont="1" applyBorder="1"/>
    <xf numFmtId="41" fontId="6" fillId="0" borderId="3" xfId="0" applyNumberFormat="1" applyFont="1" applyBorder="1" applyAlignment="1"/>
    <xf numFmtId="169" fontId="6" fillId="0" borderId="4" xfId="0" applyNumberFormat="1" applyFont="1" applyBorder="1" applyAlignment="1"/>
    <xf numFmtId="167" fontId="6" fillId="0" borderId="5" xfId="0" applyNumberFormat="1" applyFont="1" applyBorder="1" applyAlignment="1"/>
    <xf numFmtId="0" fontId="8" fillId="0" borderId="0" xfId="0" applyFont="1"/>
    <xf numFmtId="167" fontId="8" fillId="0" borderId="0" xfId="0" applyNumberFormat="1" applyFont="1"/>
    <xf numFmtId="0" fontId="7" fillId="0" borderId="6" xfId="0" applyFont="1" applyBorder="1"/>
    <xf numFmtId="0" fontId="6" fillId="0" borderId="7" xfId="0" applyFont="1" applyBorder="1"/>
    <xf numFmtId="0" fontId="6" fillId="0" borderId="8" xfId="0" applyFont="1" applyBorder="1"/>
    <xf numFmtId="41" fontId="8" fillId="0" borderId="0" xfId="0" applyNumberFormat="1" applyFont="1"/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69" fontId="6" fillId="0" borderId="2" xfId="0" applyNumberFormat="1" applyFont="1" applyBorder="1"/>
    <xf numFmtId="0" fontId="6" fillId="0" borderId="1" xfId="0" applyFont="1" applyFill="1" applyBorder="1"/>
    <xf numFmtId="0" fontId="6" fillId="0" borderId="0" xfId="0" applyFont="1" applyFill="1" applyBorder="1"/>
    <xf numFmtId="41" fontId="6" fillId="0" borderId="4" xfId="0" applyNumberFormat="1" applyFont="1" applyBorder="1"/>
    <xf numFmtId="169" fontId="6" fillId="0" borderId="5" xfId="0" applyNumberFormat="1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0" fillId="3" borderId="0" xfId="0" applyFill="1"/>
    <xf numFmtId="168" fontId="6" fillId="4" borderId="1" xfId="1" applyNumberFormat="1" applyFont="1" applyFill="1" applyBorder="1"/>
    <xf numFmtId="169" fontId="6" fillId="4" borderId="0" xfId="0" applyNumberFormat="1" applyFont="1" applyFill="1" applyBorder="1"/>
    <xf numFmtId="168" fontId="6" fillId="0" borderId="3" xfId="1" applyNumberFormat="1" applyFont="1" applyBorder="1"/>
    <xf numFmtId="0" fontId="0" fillId="0" borderId="4" xfId="0" applyBorder="1"/>
    <xf numFmtId="0" fontId="8" fillId="0" borderId="2" xfId="0" applyFont="1" applyBorder="1"/>
    <xf numFmtId="0" fontId="8" fillId="0" borderId="1" xfId="0" applyFont="1" applyBorder="1"/>
    <xf numFmtId="168" fontId="6" fillId="0" borderId="1" xfId="1" applyNumberFormat="1" applyFont="1" applyFill="1" applyBorder="1"/>
    <xf numFmtId="43" fontId="0" fillId="0" borderId="0" xfId="0" applyNumberFormat="1"/>
    <xf numFmtId="0" fontId="6" fillId="4" borderId="1" xfId="0" applyFont="1" applyFill="1" applyBorder="1"/>
    <xf numFmtId="165" fontId="0" fillId="3" borderId="0" xfId="0" applyNumberFormat="1" applyFill="1"/>
    <xf numFmtId="2" fontId="0" fillId="3" borderId="0" xfId="0" applyNumberFormat="1" applyFill="1"/>
    <xf numFmtId="10" fontId="6" fillId="0" borderId="2" xfId="0" applyNumberFormat="1" applyFont="1" applyBorder="1"/>
    <xf numFmtId="10" fontId="6" fillId="4" borderId="2" xfId="0" applyNumberFormat="1" applyFont="1" applyFill="1" applyBorder="1"/>
    <xf numFmtId="10" fontId="6" fillId="0" borderId="5" xfId="0" applyNumberFormat="1" applyFont="1" applyBorder="1"/>
    <xf numFmtId="0" fontId="0" fillId="0" borderId="0" xfId="0" applyAlignment="1">
      <alignment horizontal="center" wrapText="1"/>
    </xf>
    <xf numFmtId="170" fontId="0" fillId="0" borderId="0" xfId="2" applyNumberFormat="1" applyFont="1" applyAlignment="1">
      <alignment horizontal="center"/>
    </xf>
    <xf numFmtId="39" fontId="0" fillId="0" borderId="0" xfId="0" applyNumberFormat="1"/>
    <xf numFmtId="0" fontId="7" fillId="0" borderId="0" xfId="0" applyFont="1"/>
    <xf numFmtId="170" fontId="7" fillId="0" borderId="0" xfId="2" applyNumberFormat="1" applyFont="1" applyAlignment="1">
      <alignment horizontal="center"/>
    </xf>
    <xf numFmtId="0" fontId="7" fillId="6" borderId="0" xfId="0" applyFont="1" applyFill="1" applyAlignment="1">
      <alignment horizontal="center" wrapText="1"/>
    </xf>
    <xf numFmtId="39" fontId="7" fillId="6" borderId="0" xfId="0" applyNumberFormat="1" applyFont="1" applyFill="1"/>
    <xf numFmtId="0" fontId="0" fillId="0" borderId="0" xfId="0" applyFill="1"/>
    <xf numFmtId="2" fontId="0" fillId="0" borderId="0" xfId="0" applyNumberFormat="1" applyFill="1"/>
    <xf numFmtId="165" fontId="0" fillId="0" borderId="0" xfId="0" applyNumberFormat="1" applyFill="1"/>
    <xf numFmtId="0" fontId="7" fillId="0" borderId="0" xfId="0" applyFont="1" applyAlignment="1" applyProtection="1">
      <alignment horizontal="right"/>
    </xf>
    <xf numFmtId="0" fontId="7" fillId="6" borderId="0" xfId="0" applyFont="1" applyFill="1" applyAlignment="1" applyProtection="1">
      <alignment horizontal="right"/>
    </xf>
    <xf numFmtId="2" fontId="7" fillId="2" borderId="0" xfId="0" applyNumberFormat="1" applyFont="1" applyFill="1" applyAlignment="1" applyProtection="1">
      <alignment horizontal="right"/>
    </xf>
    <xf numFmtId="0" fontId="7" fillId="2" borderId="0" xfId="0" applyFont="1" applyFill="1" applyAlignment="1" applyProtection="1">
      <alignment horizontal="right"/>
    </xf>
    <xf numFmtId="165" fontId="7" fillId="2" borderId="0" xfId="0" applyNumberFormat="1" applyFont="1" applyFill="1" applyAlignment="1" applyProtection="1">
      <alignment horizontal="right"/>
    </xf>
    <xf numFmtId="171" fontId="7" fillId="6" borderId="0" xfId="0" applyNumberFormat="1" applyFont="1" applyFill="1"/>
    <xf numFmtId="172" fontId="7" fillId="6" borderId="0" xfId="0" applyNumberFormat="1" applyFont="1" applyFill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9" fillId="5" borderId="0" xfId="0" applyFont="1" applyFill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99"/>
  <sheetViews>
    <sheetView tabSelected="1" view="pageBreakPreview" zoomScale="60" zoomScaleNormal="100" workbookViewId="0">
      <selection sqref="A1:K2"/>
    </sheetView>
  </sheetViews>
  <sheetFormatPr defaultRowHeight="12.75" x14ac:dyDescent="0.2"/>
  <cols>
    <col min="1" max="1" width="11" customWidth="1"/>
    <col min="2" max="3" width="14.85546875" customWidth="1"/>
    <col min="4" max="4" width="13" customWidth="1"/>
    <col min="7" max="7" width="9.85546875" customWidth="1"/>
    <col min="8" max="8" width="11.28515625" customWidth="1"/>
    <col min="9" max="9" width="11.85546875" customWidth="1"/>
    <col min="10" max="10" width="14.42578125" customWidth="1"/>
  </cols>
  <sheetData>
    <row r="1" spans="1:11" ht="15" x14ac:dyDescent="0.25">
      <c r="A1" s="95" t="s">
        <v>48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5" x14ac:dyDescent="0.25">
      <c r="A2" s="95" t="s">
        <v>49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4" spans="1:11" ht="15" x14ac:dyDescent="0.2">
      <c r="A4" s="90" t="s">
        <v>24</v>
      </c>
      <c r="B4" s="90"/>
      <c r="C4" s="90"/>
      <c r="D4" s="90"/>
      <c r="E4" s="90"/>
      <c r="F4" s="90"/>
      <c r="G4" s="90"/>
      <c r="H4" s="90"/>
      <c r="I4" s="90"/>
      <c r="J4" s="90"/>
      <c r="K4" s="12"/>
    </row>
    <row r="5" spans="1:11" x14ac:dyDescent="0.2">
      <c r="A5" s="93"/>
      <c r="B5" s="93"/>
      <c r="C5" s="93"/>
      <c r="D5" s="93"/>
      <c r="E5" s="13"/>
      <c r="F5" s="14"/>
      <c r="G5" s="14"/>
      <c r="H5" s="14"/>
      <c r="I5" s="14"/>
      <c r="J5" s="14"/>
      <c r="K5" s="14"/>
    </row>
    <row r="6" spans="1:11" x14ac:dyDescent="0.2">
      <c r="A6" s="93"/>
      <c r="B6" s="93"/>
      <c r="C6" s="93"/>
      <c r="D6" s="93"/>
      <c r="E6" s="13"/>
      <c r="F6" s="14"/>
      <c r="G6" s="14"/>
      <c r="H6" s="14"/>
      <c r="I6" s="14"/>
      <c r="J6" s="14"/>
      <c r="K6" s="14"/>
    </row>
    <row r="7" spans="1:11" x14ac:dyDescent="0.2">
      <c r="A7" s="14"/>
      <c r="B7" s="15"/>
      <c r="C7" s="16"/>
      <c r="D7" s="16"/>
      <c r="E7" s="14" t="s">
        <v>23</v>
      </c>
      <c r="F7" s="14"/>
      <c r="G7" s="14"/>
      <c r="H7" s="14"/>
      <c r="I7" s="14"/>
      <c r="J7" s="14"/>
      <c r="K7" s="14"/>
    </row>
    <row r="8" spans="1:11" x14ac:dyDescent="0.2">
      <c r="A8" s="88" t="s">
        <v>25</v>
      </c>
      <c r="B8" s="89"/>
      <c r="C8" s="89"/>
      <c r="D8" s="91"/>
      <c r="E8" s="14"/>
      <c r="F8" s="14"/>
      <c r="G8" s="88" t="s">
        <v>26</v>
      </c>
      <c r="H8" s="89"/>
      <c r="I8" s="89"/>
      <c r="J8" s="91"/>
      <c r="K8" s="14"/>
    </row>
    <row r="9" spans="1:11" x14ac:dyDescent="0.2">
      <c r="A9" s="17"/>
      <c r="B9" s="18"/>
      <c r="C9" s="19"/>
      <c r="D9" s="20"/>
      <c r="E9" s="21"/>
      <c r="F9" s="14" t="s">
        <v>23</v>
      </c>
      <c r="G9" s="17"/>
      <c r="H9" s="22"/>
      <c r="I9" s="22"/>
      <c r="J9" s="23"/>
      <c r="K9" s="14"/>
    </row>
    <row r="10" spans="1:11" ht="38.25" x14ac:dyDescent="0.2">
      <c r="A10" s="24" t="s">
        <v>27</v>
      </c>
      <c r="B10" s="25" t="s">
        <v>40</v>
      </c>
      <c r="C10" s="25" t="s">
        <v>41</v>
      </c>
      <c r="D10" s="26" t="s">
        <v>29</v>
      </c>
      <c r="E10" s="27" t="s">
        <v>23</v>
      </c>
      <c r="F10" s="14"/>
      <c r="G10" s="24" t="s">
        <v>27</v>
      </c>
      <c r="H10" s="28" t="s">
        <v>28</v>
      </c>
      <c r="I10" s="28" t="s">
        <v>41</v>
      </c>
      <c r="J10" s="29" t="s">
        <v>29</v>
      </c>
      <c r="K10" s="14"/>
    </row>
    <row r="11" spans="1:11" x14ac:dyDescent="0.2">
      <c r="A11" s="30">
        <v>0</v>
      </c>
      <c r="B11" s="31">
        <f>Rates!E8</f>
        <v>17.496947999999996</v>
      </c>
      <c r="C11" s="31">
        <f>Rates!F8</f>
        <v>18.100592705999997</v>
      </c>
      <c r="D11" s="68">
        <f>(C11-B11)/B11</f>
        <v>3.4500000000000051E-2</v>
      </c>
      <c r="E11" s="27"/>
      <c r="F11" s="14"/>
      <c r="G11" s="30">
        <v>0</v>
      </c>
      <c r="H11" s="31">
        <f>Rates!E17</f>
        <v>29.555791999999997</v>
      </c>
      <c r="I11" s="31">
        <f>Rates!F17</f>
        <v>30.58</v>
      </c>
      <c r="J11" s="68">
        <f>(I11-H11)/I11</f>
        <v>3.3492740353172061E-2</v>
      </c>
      <c r="K11" s="14"/>
    </row>
    <row r="12" spans="1:11" x14ac:dyDescent="0.2">
      <c r="A12" s="30">
        <v>100</v>
      </c>
      <c r="B12" s="31">
        <f>$B$11+(A12*Rates!$E$10)</f>
        <v>25.734967999999995</v>
      </c>
      <c r="C12" s="31">
        <f>$C$11+A12*Rates!F$10</f>
        <v>26.622824395999999</v>
      </c>
      <c r="D12" s="68">
        <f t="shared" ref="D12:D21" si="0">(C12-B12)/B12</f>
        <v>3.4500000000000149E-2</v>
      </c>
      <c r="E12" s="27"/>
      <c r="F12" s="14"/>
      <c r="G12" s="30">
        <v>100</v>
      </c>
      <c r="H12" s="31">
        <f>H$11+G12*Rates!E$19</f>
        <v>37.793811999999996</v>
      </c>
      <c r="I12" s="31">
        <f>I$11+G12*Rates!F$10</f>
        <v>39.102231689999996</v>
      </c>
      <c r="J12" s="68">
        <f t="shared" ref="J12:J21" si="1">(I12-H12)/I12</f>
        <v>3.3461509316733348E-2</v>
      </c>
      <c r="K12" s="14"/>
    </row>
    <row r="13" spans="1:11" x14ac:dyDescent="0.2">
      <c r="A13" s="30">
        <v>250</v>
      </c>
      <c r="B13" s="31">
        <f>$B$11+(A13*Rates!$E$10)</f>
        <v>38.091997999999997</v>
      </c>
      <c r="C13" s="31">
        <f>$C$11+A13*Rates!F$10</f>
        <v>39.406171930999996</v>
      </c>
      <c r="D13" s="68">
        <f t="shared" si="0"/>
        <v>3.4499999999999982E-2</v>
      </c>
      <c r="E13" s="27"/>
      <c r="F13" s="14"/>
      <c r="G13" s="30">
        <v>250</v>
      </c>
      <c r="H13" s="31">
        <f>H$11+G13*Rates!E$19</f>
        <v>50.150841999999997</v>
      </c>
      <c r="I13" s="31">
        <f>I$11+G13*Rates!F$10</f>
        <v>51.885579225000001</v>
      </c>
      <c r="J13" s="68">
        <f t="shared" si="1"/>
        <v>3.3433899185694275E-2</v>
      </c>
      <c r="K13" s="14"/>
    </row>
    <row r="14" spans="1:11" x14ac:dyDescent="0.2">
      <c r="A14" s="30">
        <v>500</v>
      </c>
      <c r="B14" s="31">
        <f>$B$11+(A14*Rates!$E$10)</f>
        <v>58.687047999999997</v>
      </c>
      <c r="C14" s="31">
        <f>$C$11+A14*Rates!F$10</f>
        <v>60.711751155999991</v>
      </c>
      <c r="D14" s="68">
        <f t="shared" si="0"/>
        <v>3.4499999999999899E-2</v>
      </c>
      <c r="E14" s="14"/>
      <c r="F14" s="14"/>
      <c r="G14" s="30">
        <v>500</v>
      </c>
      <c r="H14" s="31">
        <f>H$11+G14*Rates!E$19</f>
        <v>70.745891999999998</v>
      </c>
      <c r="I14" s="31">
        <f>I$11+G14*Rates!F$10</f>
        <v>73.191158449999989</v>
      </c>
      <c r="J14" s="68">
        <f t="shared" si="1"/>
        <v>3.3409314755831573E-2</v>
      </c>
      <c r="K14" s="14"/>
    </row>
    <row r="15" spans="1:11" x14ac:dyDescent="0.2">
      <c r="A15" s="30">
        <v>750</v>
      </c>
      <c r="B15" s="31">
        <f>$B$11+(A15*Rates!$E$10)</f>
        <v>79.282097999999991</v>
      </c>
      <c r="C15" s="31">
        <f>$C$11+A15*Rates!F$10</f>
        <v>82.017330380999994</v>
      </c>
      <c r="D15" s="68">
        <f t="shared" si="0"/>
        <v>3.4500000000000045E-2</v>
      </c>
      <c r="E15" s="14"/>
      <c r="F15" s="14" t="s">
        <v>23</v>
      </c>
      <c r="G15" s="30">
        <v>750</v>
      </c>
      <c r="H15" s="31">
        <f>H$11+G15*Rates!E$19</f>
        <v>91.340941999999998</v>
      </c>
      <c r="I15" s="31">
        <f>I$11+G15*Rates!F$10</f>
        <v>94.496737674999991</v>
      </c>
      <c r="J15" s="68">
        <f t="shared" si="1"/>
        <v>3.3395816116463549E-2</v>
      </c>
      <c r="K15" s="14"/>
    </row>
    <row r="16" spans="1:11" x14ac:dyDescent="0.2">
      <c r="A16" s="57">
        <v>1000</v>
      </c>
      <c r="B16" s="58">
        <f>$B$11+(A16*Rates!$E$10)</f>
        <v>99.877148000000005</v>
      </c>
      <c r="C16" s="58">
        <f>$C$11+(A16*Rates!F$10)</f>
        <v>103.322909606</v>
      </c>
      <c r="D16" s="69">
        <f t="shared" si="0"/>
        <v>3.4499999999999906E-2</v>
      </c>
      <c r="E16" s="14"/>
      <c r="F16" s="14"/>
      <c r="G16" s="57">
        <v>1000</v>
      </c>
      <c r="H16" s="58">
        <f>H$11+G16*Rates!E$19</f>
        <v>111.935992</v>
      </c>
      <c r="I16" s="58">
        <f>I$11+G16*Rates!F$10</f>
        <v>115.80231689999999</v>
      </c>
      <c r="J16" s="69">
        <f t="shared" si="1"/>
        <v>3.33872844991411E-2</v>
      </c>
      <c r="K16" s="14"/>
    </row>
    <row r="17" spans="1:11" x14ac:dyDescent="0.2">
      <c r="A17" s="30">
        <v>1500</v>
      </c>
      <c r="B17" s="31">
        <f>$B$16+(A17-A16)*Rates!$E$12</f>
        <v>154.763588</v>
      </c>
      <c r="C17" s="31">
        <f>C$16+500*Rates!F$12</f>
        <v>160.102931786</v>
      </c>
      <c r="D17" s="68">
        <f t="shared" si="0"/>
        <v>3.4500000000000003E-2</v>
      </c>
      <c r="E17" s="14"/>
      <c r="F17" s="14"/>
      <c r="G17" s="30">
        <v>1500</v>
      </c>
      <c r="H17" s="31">
        <f>H$16+500*Rates!E$21</f>
        <v>166.82243199999999</v>
      </c>
      <c r="I17" s="31">
        <f>I16+500*Rates!F21</f>
        <v>172.58233908</v>
      </c>
      <c r="J17" s="68">
        <f t="shared" si="1"/>
        <v>3.337483493794819E-2</v>
      </c>
      <c r="K17" s="14"/>
    </row>
    <row r="18" spans="1:11" x14ac:dyDescent="0.2">
      <c r="A18" s="30">
        <v>2000</v>
      </c>
      <c r="B18" s="31">
        <f>$B$16+(A18-$A$16)*Rates!$E$12</f>
        <v>209.65002799999999</v>
      </c>
      <c r="C18" s="31">
        <f>C$16+1000*Rates!F$12</f>
        <v>216.882953966</v>
      </c>
      <c r="D18" s="68">
        <f t="shared" si="0"/>
        <v>3.4500000000000051E-2</v>
      </c>
      <c r="E18" s="14"/>
      <c r="F18" s="14"/>
      <c r="G18" s="30">
        <v>2000</v>
      </c>
      <c r="H18" s="31">
        <f>H$16+1000*Rates!E$21</f>
        <v>221.70887199999999</v>
      </c>
      <c r="I18" s="31">
        <f>I16+1000*Rates!F21</f>
        <v>229.36236126</v>
      </c>
      <c r="J18" s="68">
        <f t="shared" si="1"/>
        <v>3.3368549303188381E-2</v>
      </c>
      <c r="K18" s="14"/>
    </row>
    <row r="19" spans="1:11" x14ac:dyDescent="0.2">
      <c r="A19" s="57">
        <v>2500</v>
      </c>
      <c r="B19" s="58">
        <f>$B$16+(A19-$A$16)*Rates!$E$12</f>
        <v>264.53646800000001</v>
      </c>
      <c r="C19" s="58">
        <f>C$16+1500*Rates!F$12</f>
        <v>273.66297614600001</v>
      </c>
      <c r="D19" s="69">
        <f t="shared" si="0"/>
        <v>3.4499999999999968E-2</v>
      </c>
      <c r="E19" s="14"/>
      <c r="F19" s="14"/>
      <c r="G19" s="57">
        <v>2500</v>
      </c>
      <c r="H19" s="58">
        <f>H$16+1500*Rates!E$21</f>
        <v>276.59531199999998</v>
      </c>
      <c r="I19" s="58">
        <f>I16+1500*Rates!F21</f>
        <v>286.14238344</v>
      </c>
      <c r="J19" s="69">
        <f t="shared" si="1"/>
        <v>3.3364758220104471E-2</v>
      </c>
      <c r="K19" s="14"/>
    </row>
    <row r="20" spans="1:11" x14ac:dyDescent="0.2">
      <c r="A20" s="30">
        <v>3000</v>
      </c>
      <c r="B20" s="31">
        <f>B$19+(A20-A$19)*Rates!$E$14</f>
        <v>347.27044799999999</v>
      </c>
      <c r="C20" s="31">
        <f>C19+500*Rates!F$14</f>
        <v>359.25127845600002</v>
      </c>
      <c r="D20" s="68">
        <f t="shared" si="0"/>
        <v>3.45000000000001E-2</v>
      </c>
      <c r="E20" s="14"/>
      <c r="F20" s="14"/>
      <c r="G20" s="30">
        <v>3000</v>
      </c>
      <c r="H20" s="31">
        <f>H$19+500*Rates!E$23</f>
        <v>359.32929200000001</v>
      </c>
      <c r="I20" s="31">
        <f>I$19+500*Rates!F$23</f>
        <v>371.73068575000002</v>
      </c>
      <c r="J20" s="68">
        <f t="shared" si="1"/>
        <v>3.3361232272173295E-2</v>
      </c>
      <c r="K20" s="14"/>
    </row>
    <row r="21" spans="1:11" x14ac:dyDescent="0.2">
      <c r="A21" s="30">
        <v>3500</v>
      </c>
      <c r="B21" s="31">
        <f>B$19+(A21-A$19)*Rates!$E$14</f>
        <v>430.00442800000002</v>
      </c>
      <c r="C21" s="31">
        <f>C19+1000*Rates!F$14</f>
        <v>444.83958076600004</v>
      </c>
      <c r="D21" s="68">
        <f t="shared" si="0"/>
        <v>3.4500000000000051E-2</v>
      </c>
      <c r="E21" s="14"/>
      <c r="F21" s="14"/>
      <c r="G21" s="30">
        <v>3500</v>
      </c>
      <c r="H21" s="31">
        <f>H$19+1000*Rates!E$23</f>
        <v>442.06327199999998</v>
      </c>
      <c r="I21" s="31">
        <f>I$19+1000*Rates!F$23</f>
        <v>457.31898806000004</v>
      </c>
      <c r="J21" s="68">
        <f t="shared" si="1"/>
        <v>3.3359026102800941E-2</v>
      </c>
      <c r="K21" s="14"/>
    </row>
    <row r="22" spans="1:11" x14ac:dyDescent="0.2">
      <c r="A22" s="34"/>
      <c r="B22" s="35"/>
      <c r="C22" s="35"/>
      <c r="D22" s="36"/>
      <c r="E22" s="27"/>
      <c r="F22" s="14"/>
      <c r="G22" s="37"/>
      <c r="H22" s="38"/>
      <c r="I22" s="38"/>
      <c r="J22" s="39"/>
      <c r="K22" s="14"/>
    </row>
    <row r="23" spans="1:11" ht="14.25" x14ac:dyDescent="0.2">
      <c r="A23" s="40"/>
      <c r="B23" s="40"/>
      <c r="C23" s="40"/>
      <c r="D23" s="40"/>
      <c r="E23" s="41"/>
      <c r="F23" s="40"/>
      <c r="G23" s="40"/>
      <c r="H23" s="40"/>
      <c r="I23" s="40"/>
      <c r="J23" s="40"/>
      <c r="K23" s="40"/>
    </row>
    <row r="24" spans="1:11" ht="15" x14ac:dyDescent="0.2">
      <c r="A24" s="90" t="s">
        <v>24</v>
      </c>
      <c r="B24" s="90"/>
      <c r="C24" s="90"/>
      <c r="D24" s="90"/>
      <c r="E24" s="90"/>
      <c r="F24" s="90"/>
      <c r="G24" s="90"/>
      <c r="H24" s="90"/>
      <c r="I24" s="90"/>
      <c r="J24" s="90"/>
      <c r="K24" s="40"/>
    </row>
    <row r="25" spans="1:11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40"/>
    </row>
    <row r="26" spans="1:11" ht="15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40"/>
    </row>
    <row r="27" spans="1:11" ht="14.25" x14ac:dyDescent="0.2">
      <c r="A27" s="40"/>
      <c r="B27" s="40"/>
      <c r="C27" s="40"/>
      <c r="D27" s="40"/>
      <c r="E27" s="41"/>
      <c r="F27" s="40"/>
      <c r="G27" s="40"/>
      <c r="H27" s="40"/>
      <c r="I27" s="40"/>
      <c r="J27" s="40"/>
      <c r="K27" s="40"/>
    </row>
    <row r="28" spans="1:11" ht="14.25" x14ac:dyDescent="0.2">
      <c r="A28" s="88" t="s">
        <v>31</v>
      </c>
      <c r="B28" s="89"/>
      <c r="C28" s="89"/>
      <c r="D28" s="91"/>
      <c r="E28" s="41"/>
      <c r="F28" s="40"/>
      <c r="G28" s="42" t="s">
        <v>32</v>
      </c>
      <c r="H28" s="43"/>
      <c r="I28" s="43"/>
      <c r="J28" s="44"/>
      <c r="K28" s="40"/>
    </row>
    <row r="29" spans="1:11" ht="14.25" x14ac:dyDescent="0.2">
      <c r="A29" s="17"/>
      <c r="B29" s="22"/>
      <c r="C29" s="22"/>
      <c r="D29" s="23"/>
      <c r="E29" s="41"/>
      <c r="F29" s="40"/>
      <c r="G29" s="17"/>
      <c r="H29" s="22"/>
      <c r="I29" s="22"/>
      <c r="J29" s="23"/>
      <c r="K29" s="40"/>
    </row>
    <row r="30" spans="1:11" ht="38.25" x14ac:dyDescent="0.2">
      <c r="A30" s="24" t="s">
        <v>27</v>
      </c>
      <c r="B30" s="28" t="s">
        <v>28</v>
      </c>
      <c r="C30" s="28" t="s">
        <v>42</v>
      </c>
      <c r="D30" s="29" t="s">
        <v>29</v>
      </c>
      <c r="E30" s="40"/>
      <c r="F30" s="40"/>
      <c r="G30" s="24" t="s">
        <v>27</v>
      </c>
      <c r="H30" s="28" t="s">
        <v>28</v>
      </c>
      <c r="I30" s="28" t="s">
        <v>42</v>
      </c>
      <c r="J30" s="29" t="s">
        <v>29</v>
      </c>
      <c r="K30" s="40"/>
    </row>
    <row r="31" spans="1:11" ht="14.25" x14ac:dyDescent="0.2">
      <c r="A31" s="17">
        <v>0</v>
      </c>
      <c r="B31" s="31">
        <f>Rates!E27</f>
        <v>29.717519999999997</v>
      </c>
      <c r="C31" s="31">
        <f>Rates!F27</f>
        <v>30.74</v>
      </c>
      <c r="D31" s="68">
        <f t="shared" ref="D31:D37" si="2">(C31-B31)/B31</f>
        <v>3.4406639584999073E-2</v>
      </c>
      <c r="E31" s="45"/>
      <c r="F31" s="40"/>
      <c r="G31" s="17">
        <v>0</v>
      </c>
      <c r="H31" s="31">
        <f>Rates!E36</f>
        <v>37.217655999999998</v>
      </c>
      <c r="I31" s="31">
        <f>Rates!F36</f>
        <v>38.5</v>
      </c>
      <c r="J31" s="68">
        <f t="shared" ref="J31:J37" si="3">(I31-H31)/H31</f>
        <v>3.4455259621938628E-2</v>
      </c>
      <c r="K31" s="40"/>
    </row>
    <row r="32" spans="1:11" ht="14.25" x14ac:dyDescent="0.2">
      <c r="A32" s="30">
        <v>1000</v>
      </c>
      <c r="B32" s="31">
        <f>$B$31+$A32*Rates!E$29</f>
        <v>121.90247999999998</v>
      </c>
      <c r="C32" s="31">
        <f>$C$31+$A32*Rates!F$29</f>
        <v>126.10534111999998</v>
      </c>
      <c r="D32" s="68">
        <f t="shared" si="2"/>
        <v>3.4477240495845489E-2</v>
      </c>
      <c r="E32" s="41"/>
      <c r="F32" s="40"/>
      <c r="G32" s="30">
        <v>2000</v>
      </c>
      <c r="H32" s="31">
        <f>H$31+$G32*Rates!E$38</f>
        <v>221.58757599999998</v>
      </c>
      <c r="I32" s="31">
        <f>I$31+$G32*Rates!F$38</f>
        <v>229.23068223999996</v>
      </c>
      <c r="J32" s="68">
        <f t="shared" si="3"/>
        <v>3.4492485445122525E-2</v>
      </c>
      <c r="K32" s="40"/>
    </row>
    <row r="33" spans="1:11" ht="14.25" x14ac:dyDescent="0.2">
      <c r="A33" s="30">
        <v>2000</v>
      </c>
      <c r="B33" s="31">
        <f>$B$31+$A33*Rates!E$29</f>
        <v>214.08743999999999</v>
      </c>
      <c r="C33" s="31">
        <f>$C$31+$A33*Rates!F$29</f>
        <v>221.47068223999997</v>
      </c>
      <c r="D33" s="68">
        <f t="shared" si="2"/>
        <v>3.4487040622280259E-2</v>
      </c>
      <c r="E33" s="40"/>
      <c r="F33" s="40"/>
      <c r="G33" s="30">
        <v>6000</v>
      </c>
      <c r="H33" s="31">
        <f>H$31+$G33*Rates!E$38</f>
        <v>590.32741599999997</v>
      </c>
      <c r="I33" s="31">
        <f>I$31+$G33*Rates!F$38</f>
        <v>610.69204671999989</v>
      </c>
      <c r="J33" s="68">
        <f t="shared" si="3"/>
        <v>3.4497179307694435E-2</v>
      </c>
      <c r="K33" s="40"/>
    </row>
    <row r="34" spans="1:11" ht="14.25" x14ac:dyDescent="0.2">
      <c r="A34" s="57">
        <v>6000</v>
      </c>
      <c r="B34" s="58">
        <f>$B$31+$A34*Rates!E$29</f>
        <v>582.82727999999997</v>
      </c>
      <c r="C34" s="58">
        <f>$C$31+$A34*Rates!F$29</f>
        <v>602.9320467199999</v>
      </c>
      <c r="D34" s="68">
        <f t="shared" si="2"/>
        <v>3.449523968747642E-2</v>
      </c>
      <c r="E34" s="40"/>
      <c r="F34" s="40"/>
      <c r="G34" s="57">
        <v>25000</v>
      </c>
      <c r="H34" s="58">
        <f>H$31+$G34*Rates!E$38</f>
        <v>2341.8416559999996</v>
      </c>
      <c r="I34" s="58">
        <f>I$31+$G34*Rates!F$38</f>
        <v>2422.6335279999998</v>
      </c>
      <c r="J34" s="69">
        <f t="shared" si="3"/>
        <v>3.4499288964736162E-2</v>
      </c>
      <c r="K34" s="40"/>
    </row>
    <row r="35" spans="1:11" ht="14.25" x14ac:dyDescent="0.2">
      <c r="A35" s="30">
        <v>10000</v>
      </c>
      <c r="B35" s="31">
        <f>B$34+(4000*Rates!E$31)</f>
        <v>1072.4587999999999</v>
      </c>
      <c r="C35" s="31">
        <f>C$34+(4000*Rates!F$31)</f>
        <v>1109.4558541599999</v>
      </c>
      <c r="D35" s="68">
        <f t="shared" si="2"/>
        <v>3.4497413010178168E-2</v>
      </c>
      <c r="E35" s="40"/>
      <c r="F35" s="40"/>
      <c r="G35" s="30">
        <v>30000</v>
      </c>
      <c r="H35" s="31">
        <f>H$34+5000*Rates!E$40</f>
        <v>2953.8810559999993</v>
      </c>
      <c r="I35" s="31">
        <f>I$34+5000*Rates!F$40</f>
        <v>3055.7882872999999</v>
      </c>
      <c r="J35" s="68">
        <f t="shared" si="3"/>
        <v>3.4499436290098412E-2</v>
      </c>
      <c r="K35" s="40"/>
    </row>
    <row r="36" spans="1:11" ht="14.25" x14ac:dyDescent="0.2">
      <c r="A36" s="57">
        <v>13000</v>
      </c>
      <c r="B36" s="58">
        <f>B$34+(7000*Rates!E$31)</f>
        <v>1439.6824399999998</v>
      </c>
      <c r="C36" s="58">
        <f>C$34+(7000*Rates!F$31)</f>
        <v>1489.3487097399998</v>
      </c>
      <c r="D36" s="68">
        <f t="shared" si="2"/>
        <v>3.4498072880572168E-2</v>
      </c>
      <c r="E36" s="40"/>
      <c r="F36" s="40"/>
      <c r="G36" s="57">
        <v>40000</v>
      </c>
      <c r="H36" s="58">
        <f>H$34+15000*Rates!E$40</f>
        <v>4177.9598559999995</v>
      </c>
      <c r="I36" s="58">
        <f>I$34+15000*Rates!F$40</f>
        <v>4322.097805899999</v>
      </c>
      <c r="J36" s="69">
        <f t="shared" si="3"/>
        <v>3.4499601448539988E-2</v>
      </c>
      <c r="K36" s="40"/>
    </row>
    <row r="37" spans="1:11" ht="14.25" x14ac:dyDescent="0.2">
      <c r="A37" s="30">
        <v>20000</v>
      </c>
      <c r="B37" s="31">
        <f>B36+7000*Rates!E33</f>
        <v>2597.9581600000001</v>
      </c>
      <c r="C37" s="31">
        <f>C36+(7000*Rates!F33)</f>
        <v>2687.5849420799996</v>
      </c>
      <c r="D37" s="68">
        <f t="shared" si="2"/>
        <v>3.4498932069021243E-2</v>
      </c>
      <c r="E37" s="40"/>
      <c r="F37" s="40"/>
      <c r="G37" s="63">
        <v>45000</v>
      </c>
      <c r="H37" s="64">
        <f>H$36+5000*Rates!E$42</f>
        <v>5005.2996559999992</v>
      </c>
      <c r="I37" s="64">
        <f>I$36+5000*Rates!F$42</f>
        <v>5177.9808289999992</v>
      </c>
      <c r="J37" s="68">
        <f t="shared" si="3"/>
        <v>3.449966732621132E-2</v>
      </c>
      <c r="K37" s="40"/>
    </row>
    <row r="38" spans="1:11" ht="14.25" x14ac:dyDescent="0.2">
      <c r="A38" s="59"/>
      <c r="B38" s="35"/>
      <c r="C38" s="35"/>
      <c r="D38" s="36"/>
      <c r="E38" s="40"/>
      <c r="F38" s="61"/>
      <c r="G38" s="60"/>
      <c r="H38" s="60"/>
      <c r="I38" s="60"/>
      <c r="J38" s="60"/>
      <c r="K38" s="62"/>
    </row>
    <row r="39" spans="1:11" ht="14.25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 t="s">
        <v>23</v>
      </c>
    </row>
    <row r="40" spans="1:11" ht="15.75" x14ac:dyDescent="0.25">
      <c r="A40" s="92" t="s">
        <v>30</v>
      </c>
      <c r="B40" s="92"/>
      <c r="C40" s="92"/>
      <c r="D40" s="92"/>
      <c r="E40" s="92"/>
      <c r="F40" s="92"/>
      <c r="G40" s="92"/>
      <c r="H40" s="92"/>
      <c r="I40" s="92"/>
      <c r="J40" s="92"/>
      <c r="K40" s="40"/>
    </row>
    <row r="41" spans="1:11" ht="15" x14ac:dyDescent="0.2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40"/>
    </row>
    <row r="42" spans="1:11" ht="15" x14ac:dyDescent="0.2">
      <c r="A42" s="90"/>
      <c r="B42" s="90"/>
      <c r="C42" s="90"/>
      <c r="D42" s="90"/>
      <c r="E42" s="12"/>
      <c r="F42" s="12"/>
      <c r="G42" s="12"/>
      <c r="H42" s="12"/>
      <c r="I42" s="12"/>
      <c r="J42" s="12"/>
      <c r="K42" s="40"/>
    </row>
    <row r="43" spans="1:11" ht="15" x14ac:dyDescent="0.2">
      <c r="A43" s="90" t="s">
        <v>24</v>
      </c>
      <c r="B43" s="90"/>
      <c r="C43" s="90"/>
      <c r="D43" s="90"/>
      <c r="E43" s="90"/>
      <c r="F43" s="90"/>
      <c r="G43" s="90"/>
      <c r="H43" s="90"/>
      <c r="I43" s="90"/>
      <c r="J43" s="90"/>
      <c r="K43" s="40"/>
    </row>
    <row r="44" spans="1:11" ht="1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40"/>
    </row>
    <row r="45" spans="1:11" ht="15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40"/>
    </row>
    <row r="46" spans="1:11" ht="1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40"/>
    </row>
    <row r="47" spans="1:11" ht="14.25" x14ac:dyDescent="0.2">
      <c r="A47" s="88" t="s">
        <v>16</v>
      </c>
      <c r="B47" s="89"/>
      <c r="C47" s="89"/>
      <c r="D47" s="91"/>
      <c r="E47" s="40"/>
      <c r="F47" s="40"/>
      <c r="G47" s="88" t="s">
        <v>33</v>
      </c>
      <c r="H47" s="89"/>
      <c r="I47" s="89"/>
      <c r="J47" s="91"/>
      <c r="K47" s="40"/>
    </row>
    <row r="48" spans="1:11" ht="14.25" x14ac:dyDescent="0.2">
      <c r="A48" s="17"/>
      <c r="B48" s="22"/>
      <c r="C48" s="22"/>
      <c r="D48" s="29"/>
      <c r="E48" s="40"/>
      <c r="F48" s="40"/>
      <c r="G48" s="17"/>
      <c r="H48" s="22"/>
      <c r="I48" s="22"/>
      <c r="J48" s="23"/>
      <c r="K48" s="40"/>
    </row>
    <row r="49" spans="1:11" ht="38.25" x14ac:dyDescent="0.2">
      <c r="A49" s="46" t="s">
        <v>34</v>
      </c>
      <c r="B49" s="22"/>
      <c r="C49" s="47">
        <v>2009</v>
      </c>
      <c r="D49" s="29" t="s">
        <v>29</v>
      </c>
      <c r="E49" s="40"/>
      <c r="F49" s="40"/>
      <c r="G49" s="24" t="s">
        <v>35</v>
      </c>
      <c r="H49" s="28" t="s">
        <v>28</v>
      </c>
      <c r="I49" s="28" t="s">
        <v>42</v>
      </c>
      <c r="J49" s="29" t="s">
        <v>29</v>
      </c>
      <c r="K49" s="40"/>
    </row>
    <row r="50" spans="1:11" ht="14.25" x14ac:dyDescent="0.2">
      <c r="A50" s="17" t="s">
        <v>36</v>
      </c>
      <c r="B50" s="22"/>
      <c r="C50" s="22" t="s">
        <v>36</v>
      </c>
      <c r="D50" s="33"/>
      <c r="E50" s="40"/>
      <c r="F50" s="40"/>
      <c r="G50" s="17">
        <v>0</v>
      </c>
      <c r="H50" s="31">
        <v>0</v>
      </c>
      <c r="I50" s="31">
        <v>0</v>
      </c>
      <c r="J50" s="48"/>
      <c r="K50" s="40"/>
    </row>
    <row r="51" spans="1:11" ht="14.25" x14ac:dyDescent="0.2">
      <c r="A51" s="17">
        <f>Rates!E45</f>
        <v>9.1376319999999983E-2</v>
      </c>
      <c r="B51" s="22"/>
      <c r="C51" s="22">
        <f>Rates!F45</f>
        <v>9.4528803039999984E-2</v>
      </c>
      <c r="D51" s="68">
        <f>(C51-A51)/A51</f>
        <v>3.4500000000000017E-2</v>
      </c>
      <c r="E51" s="40"/>
      <c r="F51" s="40"/>
      <c r="G51" s="17">
        <v>100</v>
      </c>
      <c r="H51" s="31">
        <f>$G51*Rates!E$48</f>
        <v>54.178879999999992</v>
      </c>
      <c r="I51" s="31">
        <f>$G51*Rates!F$48</f>
        <v>56.048051359999995</v>
      </c>
      <c r="J51" s="68">
        <f t="shared" ref="J51:J60" si="4">(I51-H51)/H51</f>
        <v>3.4500000000000058E-2</v>
      </c>
      <c r="K51" s="40"/>
    </row>
    <row r="52" spans="1:11" ht="14.25" x14ac:dyDescent="0.2">
      <c r="A52" s="17"/>
      <c r="B52" s="22"/>
      <c r="C52" s="22"/>
      <c r="D52" s="33"/>
      <c r="E52" s="40"/>
      <c r="F52" s="40"/>
      <c r="G52" s="65">
        <v>250</v>
      </c>
      <c r="H52" s="58">
        <f>$G52*Rates!E$48</f>
        <v>135.44719999999998</v>
      </c>
      <c r="I52" s="58">
        <f>$G52*Rates!F$48</f>
        <v>140.1201284</v>
      </c>
      <c r="J52" s="69">
        <f t="shared" si="4"/>
        <v>3.4500000000000135E-2</v>
      </c>
      <c r="K52" s="40"/>
    </row>
    <row r="53" spans="1:11" ht="14.25" x14ac:dyDescent="0.2">
      <c r="A53" s="49"/>
      <c r="B53" s="50"/>
      <c r="C53" s="22"/>
      <c r="D53" s="33"/>
      <c r="E53" s="40"/>
      <c r="F53" s="40"/>
      <c r="G53" s="17">
        <v>500</v>
      </c>
      <c r="H53" s="31">
        <f>($G53-250)*Rates!E$50+'Bill Impacts'!H$52</f>
        <v>290.20067999999998</v>
      </c>
      <c r="I53" s="31">
        <f>($G53-250)*Rates!F$50+'Bill Impacts'!I$52</f>
        <v>300.21260345999997</v>
      </c>
      <c r="J53" s="68">
        <f t="shared" si="4"/>
        <v>3.4499999999999975E-2</v>
      </c>
      <c r="K53" s="40"/>
    </row>
    <row r="54" spans="1:11" ht="14.25" x14ac:dyDescent="0.2">
      <c r="A54" s="34"/>
      <c r="B54" s="51"/>
      <c r="C54" s="35"/>
      <c r="D54" s="52"/>
      <c r="E54" s="40"/>
      <c r="F54" s="40"/>
      <c r="G54" s="17">
        <v>750</v>
      </c>
      <c r="H54" s="31">
        <f>($G54-250)*Rates!E$50+'Bill Impacts'!H$52</f>
        <v>444.95416</v>
      </c>
      <c r="I54" s="31">
        <f>($G54-250)*Rates!F$50+'Bill Impacts'!I$52</f>
        <v>460.30507852</v>
      </c>
      <c r="J54" s="68">
        <f t="shared" si="4"/>
        <v>3.4499999999999982E-2</v>
      </c>
      <c r="K54" s="40"/>
    </row>
    <row r="55" spans="1:11" ht="14.25" x14ac:dyDescent="0.2">
      <c r="A55" s="40"/>
      <c r="B55" s="40"/>
      <c r="C55" s="40"/>
      <c r="D55" s="40"/>
      <c r="E55" s="40"/>
      <c r="F55" s="40"/>
      <c r="G55" s="30">
        <v>1000</v>
      </c>
      <c r="H55" s="31">
        <f>($G55-250)*Rates!E$50+'Bill Impacts'!H$52</f>
        <v>599.70763999999997</v>
      </c>
      <c r="I55" s="31">
        <f>($G55-250)*Rates!F$50+'Bill Impacts'!I$52</f>
        <v>620.39755358000002</v>
      </c>
      <c r="J55" s="68">
        <f t="shared" si="4"/>
        <v>3.4500000000000086E-2</v>
      </c>
      <c r="K55" s="40"/>
    </row>
    <row r="56" spans="1:11" ht="14.25" x14ac:dyDescent="0.2">
      <c r="A56" s="40"/>
      <c r="B56" s="40"/>
      <c r="C56" s="40"/>
      <c r="D56" s="40"/>
      <c r="E56" s="40"/>
      <c r="F56" s="40"/>
      <c r="G56" s="30">
        <v>1500</v>
      </c>
      <c r="H56" s="31">
        <f>($G56-250)*Rates!E$50+'Bill Impacts'!H$52</f>
        <v>909.2145999999999</v>
      </c>
      <c r="I56" s="31">
        <f>($G56-250)*Rates!F$50+'Bill Impacts'!I$52</f>
        <v>940.58250369999996</v>
      </c>
      <c r="J56" s="68">
        <f t="shared" si="4"/>
        <v>3.4500000000000065E-2</v>
      </c>
      <c r="K56" s="40"/>
    </row>
    <row r="57" spans="1:11" ht="14.25" x14ac:dyDescent="0.2">
      <c r="A57" s="40"/>
      <c r="B57" s="40"/>
      <c r="C57" s="40"/>
      <c r="D57" s="40"/>
      <c r="E57" s="40"/>
      <c r="F57" s="40"/>
      <c r="G57" s="30">
        <v>2000</v>
      </c>
      <c r="H57" s="31">
        <f>($G57-250)*Rates!E$50+'Bill Impacts'!H$52</f>
        <v>1218.72156</v>
      </c>
      <c r="I57" s="31">
        <f>($G57-250)*Rates!F$50+'Bill Impacts'!I$52</f>
        <v>1260.7674538199999</v>
      </c>
      <c r="J57" s="68">
        <f t="shared" si="4"/>
        <v>3.4499999999999954E-2</v>
      </c>
      <c r="K57" s="40"/>
    </row>
    <row r="58" spans="1:11" ht="14.25" x14ac:dyDescent="0.2">
      <c r="A58" s="40"/>
      <c r="B58" s="40"/>
      <c r="C58" s="40"/>
      <c r="D58" s="40"/>
      <c r="E58" s="40"/>
      <c r="F58" s="40"/>
      <c r="G58" s="30">
        <v>2500</v>
      </c>
      <c r="H58" s="31">
        <f>($G58-250)*Rates!E$50+'Bill Impacts'!H$52</f>
        <v>1528.2285200000001</v>
      </c>
      <c r="I58" s="31">
        <f>($G58-250)*Rates!F$50+'Bill Impacts'!I$52</f>
        <v>1580.9524039399998</v>
      </c>
      <c r="J58" s="68">
        <f t="shared" si="4"/>
        <v>3.4499999999999816E-2</v>
      </c>
      <c r="K58" s="40"/>
    </row>
    <row r="59" spans="1:11" ht="14.25" x14ac:dyDescent="0.2">
      <c r="A59" s="40"/>
      <c r="B59" s="40"/>
      <c r="C59" s="40"/>
      <c r="D59" s="40"/>
      <c r="E59" s="40"/>
      <c r="F59" s="40"/>
      <c r="G59" s="30">
        <v>2750</v>
      </c>
      <c r="H59" s="31">
        <f>($G59-250)*Rates!E$50+'Bill Impacts'!H$52</f>
        <v>1682.982</v>
      </c>
      <c r="I59" s="31">
        <f>($G59-250)*Rates!F$50+'Bill Impacts'!I$52</f>
        <v>1741.044879</v>
      </c>
      <c r="J59" s="68">
        <f t="shared" si="4"/>
        <v>3.4500000000000038E-2</v>
      </c>
      <c r="K59" s="40"/>
    </row>
    <row r="60" spans="1:11" ht="14.25" x14ac:dyDescent="0.2">
      <c r="A60" s="40"/>
      <c r="B60" s="40"/>
      <c r="C60" s="40"/>
      <c r="D60" s="40"/>
      <c r="E60" s="40"/>
      <c r="F60" s="40"/>
      <c r="G60" s="30">
        <v>3000</v>
      </c>
      <c r="H60" s="31">
        <f>($G60-250)*Rates!E$50+'Bill Impacts'!H$52</f>
        <v>1837.7354800000001</v>
      </c>
      <c r="I60" s="31">
        <f>($G60-250)*Rates!F$50+'Bill Impacts'!I$52</f>
        <v>1901.1373540599998</v>
      </c>
      <c r="J60" s="68">
        <f t="shared" si="4"/>
        <v>3.449999999999985E-2</v>
      </c>
      <c r="K60" s="40"/>
    </row>
    <row r="61" spans="1:11" ht="14.25" x14ac:dyDescent="0.2">
      <c r="A61" s="40"/>
      <c r="B61" s="40"/>
      <c r="C61" s="40"/>
      <c r="D61" s="40"/>
      <c r="E61" s="40"/>
      <c r="F61" s="40"/>
      <c r="G61" s="30"/>
      <c r="H61" s="31"/>
      <c r="I61" s="31"/>
      <c r="J61" s="32"/>
      <c r="K61" s="40"/>
    </row>
    <row r="62" spans="1:11" ht="14.25" x14ac:dyDescent="0.2">
      <c r="B62" s="40"/>
      <c r="C62" s="40"/>
      <c r="D62" s="40" t="s">
        <v>23</v>
      </c>
      <c r="E62" s="40"/>
      <c r="F62" s="40"/>
      <c r="G62" s="53"/>
      <c r="H62" s="54"/>
      <c r="I62" s="54"/>
      <c r="J62" s="55"/>
      <c r="K62" s="40"/>
    </row>
    <row r="63" spans="1:11" ht="14.25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</row>
    <row r="64" spans="1:11" ht="14.25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</row>
    <row r="65" spans="1:11" ht="14.25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1:11" ht="14.25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</row>
    <row r="67" spans="1:11" ht="14.25" x14ac:dyDescent="0.2">
      <c r="A67" s="88" t="s">
        <v>37</v>
      </c>
      <c r="B67" s="89"/>
      <c r="C67" s="89"/>
      <c r="D67" s="91"/>
      <c r="E67" s="40"/>
      <c r="F67" s="40"/>
      <c r="G67" s="88"/>
      <c r="H67" s="89"/>
      <c r="I67" s="89"/>
      <c r="J67" s="89"/>
      <c r="K67" s="91"/>
    </row>
    <row r="68" spans="1:11" ht="14.25" x14ac:dyDescent="0.2">
      <c r="A68" s="17"/>
      <c r="B68" s="22"/>
      <c r="C68" s="22"/>
      <c r="D68" s="23"/>
      <c r="E68" s="40"/>
      <c r="F68" s="40"/>
      <c r="G68" s="88" t="s">
        <v>43</v>
      </c>
      <c r="H68" s="89"/>
      <c r="I68" s="89"/>
      <c r="J68" s="91"/>
      <c r="K68" s="33"/>
    </row>
    <row r="69" spans="1:11" ht="38.25" x14ac:dyDescent="0.2">
      <c r="A69" s="24" t="s">
        <v>27</v>
      </c>
      <c r="B69" s="28" t="s">
        <v>28</v>
      </c>
      <c r="C69" s="28" t="s">
        <v>41</v>
      </c>
      <c r="D69" s="29" t="s">
        <v>29</v>
      </c>
      <c r="E69" s="40"/>
      <c r="F69" s="40"/>
      <c r="G69" s="24" t="s">
        <v>27</v>
      </c>
      <c r="H69" s="28" t="s">
        <v>28</v>
      </c>
      <c r="I69" s="28" t="s">
        <v>41</v>
      </c>
      <c r="J69" s="29" t="s">
        <v>29</v>
      </c>
      <c r="K69" s="33"/>
    </row>
    <row r="70" spans="1:11" ht="14.25" x14ac:dyDescent="0.2">
      <c r="A70" s="17">
        <v>0</v>
      </c>
      <c r="B70" s="31">
        <v>0</v>
      </c>
      <c r="C70" s="31">
        <v>0</v>
      </c>
      <c r="D70" s="48"/>
      <c r="E70" s="40"/>
      <c r="F70" s="40"/>
      <c r="G70" s="17">
        <v>0</v>
      </c>
      <c r="H70" s="31">
        <v>0</v>
      </c>
      <c r="I70" s="31">
        <v>0</v>
      </c>
      <c r="J70" s="32"/>
      <c r="K70" s="33"/>
    </row>
    <row r="71" spans="1:11" ht="14.25" x14ac:dyDescent="0.2">
      <c r="A71" s="17">
        <v>100</v>
      </c>
      <c r="B71" s="31">
        <f>$A71*Rates!E$53</f>
        <v>81.783828</v>
      </c>
      <c r="C71" s="31">
        <f>$A71*Rates!F$53</f>
        <v>84.605370065999992</v>
      </c>
      <c r="D71" s="68">
        <f t="shared" ref="D71:D80" si="5">(C71-B71)/B71</f>
        <v>3.4499999999999906E-2</v>
      </c>
      <c r="E71" s="40"/>
      <c r="F71" s="40"/>
      <c r="G71" s="30">
        <v>1000</v>
      </c>
      <c r="H71" s="31">
        <f>$G71*Rates!E$58</f>
        <v>619.01391999999998</v>
      </c>
      <c r="I71" s="31">
        <f>$G71*Rates!F$58</f>
        <v>640.36990023999999</v>
      </c>
      <c r="J71" s="68">
        <f t="shared" ref="J71:J78" si="6">(I71-H71)/H71</f>
        <v>3.4500000000000017E-2</v>
      </c>
      <c r="K71" s="33"/>
    </row>
    <row r="72" spans="1:11" ht="14.25" x14ac:dyDescent="0.2">
      <c r="A72" s="65">
        <v>250</v>
      </c>
      <c r="B72" s="58">
        <f>$A72*Rates!E$53</f>
        <v>204.45957000000001</v>
      </c>
      <c r="C72" s="58">
        <f>$A72*Rates!F$53</f>
        <v>211.513425165</v>
      </c>
      <c r="D72" s="69">
        <f t="shared" si="5"/>
        <v>3.4499999999999933E-2</v>
      </c>
      <c r="E72" s="40"/>
      <c r="F72" s="40"/>
      <c r="G72" s="30">
        <v>3500</v>
      </c>
      <c r="H72" s="31">
        <f>$G72*Rates!E$58</f>
        <v>2166.5487199999998</v>
      </c>
      <c r="I72" s="31">
        <f>$G72*Rates!F$58</f>
        <v>2241.29465084</v>
      </c>
      <c r="J72" s="68">
        <f t="shared" si="6"/>
        <v>3.4500000000000121E-2</v>
      </c>
      <c r="K72" s="33"/>
    </row>
    <row r="73" spans="1:11" ht="14.25" x14ac:dyDescent="0.2">
      <c r="A73" s="17">
        <v>500</v>
      </c>
      <c r="B73" s="31">
        <f>($A73-$A$72)*Rates!E$55+'Bill Impacts'!B$72</f>
        <v>428.22541999999999</v>
      </c>
      <c r="C73" s="31">
        <f>($A73-$A$72)*Rates!F$55+'Bill Impacts'!C$72</f>
        <v>442.99919698999997</v>
      </c>
      <c r="D73" s="68">
        <f t="shared" si="5"/>
        <v>3.4499999999999975E-2</v>
      </c>
      <c r="E73" s="40"/>
      <c r="F73" s="40"/>
      <c r="G73" s="30">
        <v>6000</v>
      </c>
      <c r="H73" s="31">
        <f>$G73*Rates!E$58</f>
        <v>3714.0835200000001</v>
      </c>
      <c r="I73" s="31">
        <f>$G73*Rates!F$58</f>
        <v>3842.2194014399997</v>
      </c>
      <c r="J73" s="68">
        <f t="shared" si="6"/>
        <v>3.4499999999999892E-2</v>
      </c>
      <c r="K73" s="33"/>
    </row>
    <row r="74" spans="1:11" ht="14.25" x14ac:dyDescent="0.2">
      <c r="A74" s="17">
        <v>750</v>
      </c>
      <c r="B74" s="31">
        <f>($A74-$A$72)*Rates!E$55+'Bill Impacts'!B$72</f>
        <v>651.99126999999999</v>
      </c>
      <c r="C74" s="31">
        <f>($A74-$A$72)*Rates!F$55+'Bill Impacts'!C$72</f>
        <v>674.484968815</v>
      </c>
      <c r="D74" s="68">
        <f t="shared" si="5"/>
        <v>3.4500000000000024E-2</v>
      </c>
      <c r="E74" s="40"/>
      <c r="F74" s="40"/>
      <c r="G74" s="30">
        <v>10000</v>
      </c>
      <c r="H74" s="31">
        <f>$G74*Rates!E$58</f>
        <v>6190.1391999999996</v>
      </c>
      <c r="I74" s="31">
        <f>$G74*Rates!F$58</f>
        <v>6403.6990023999997</v>
      </c>
      <c r="J74" s="68">
        <f t="shared" si="6"/>
        <v>3.4500000000000017E-2</v>
      </c>
      <c r="K74" s="33"/>
    </row>
    <row r="75" spans="1:11" ht="14.25" x14ac:dyDescent="0.2">
      <c r="A75" s="30">
        <v>1000</v>
      </c>
      <c r="B75" s="31">
        <f>($A75-$A$72)*Rates!E$55+'Bill Impacts'!B$72</f>
        <v>875.75711999999987</v>
      </c>
      <c r="C75" s="31">
        <f>($A75-$A$72)*Rates!F$55+'Bill Impacts'!C$72</f>
        <v>905.9707406399998</v>
      </c>
      <c r="D75" s="68">
        <f t="shared" si="5"/>
        <v>3.4499999999999927E-2</v>
      </c>
      <c r="E75" s="40"/>
      <c r="F75" s="40"/>
      <c r="G75" s="30">
        <v>13000</v>
      </c>
      <c r="H75" s="31">
        <f>$G75*Rates!E$58</f>
        <v>8047.1809599999997</v>
      </c>
      <c r="I75" s="31">
        <f>$G75*Rates!F$58</f>
        <v>8324.8087031199993</v>
      </c>
      <c r="J75" s="68">
        <f t="shared" si="6"/>
        <v>3.4499999999999961E-2</v>
      </c>
      <c r="K75" s="33"/>
    </row>
    <row r="76" spans="1:11" ht="14.25" x14ac:dyDescent="0.2">
      <c r="A76" s="30">
        <v>1500</v>
      </c>
      <c r="B76" s="31">
        <f>($A76-$A$72)*Rates!E$55+'Bill Impacts'!B$72</f>
        <v>1323.2888199999998</v>
      </c>
      <c r="C76" s="31">
        <f>($A76-$A$72)*Rates!F$55+'Bill Impacts'!C$72</f>
        <v>1368.9422842899999</v>
      </c>
      <c r="D76" s="68">
        <f t="shared" si="5"/>
        <v>3.4500000000000086E-2</v>
      </c>
      <c r="E76" s="40"/>
      <c r="F76" s="40"/>
      <c r="G76" s="30">
        <v>17500</v>
      </c>
      <c r="H76" s="31">
        <f>$G76*Rates!E$58</f>
        <v>10832.7436</v>
      </c>
      <c r="I76" s="31">
        <f>$G76*Rates!F$58</f>
        <v>11206.473254199998</v>
      </c>
      <c r="J76" s="68">
        <f t="shared" si="6"/>
        <v>3.4499999999999864E-2</v>
      </c>
      <c r="K76" s="33"/>
    </row>
    <row r="77" spans="1:11" ht="14.25" x14ac:dyDescent="0.2">
      <c r="A77" s="30">
        <v>2000</v>
      </c>
      <c r="B77" s="31">
        <f>($A77-$A$72)*Rates!E$55+'Bill Impacts'!B$72</f>
        <v>1770.8205199999998</v>
      </c>
      <c r="C77" s="31">
        <f>($A77-$A$72)*Rates!F$55+'Bill Impacts'!C$72</f>
        <v>1831.9138279399997</v>
      </c>
      <c r="D77" s="68">
        <f t="shared" si="5"/>
        <v>3.4499999999999968E-2</v>
      </c>
      <c r="E77" s="40"/>
      <c r="F77" s="40"/>
      <c r="G77" s="30">
        <v>20000</v>
      </c>
      <c r="H77" s="31">
        <f>$G77*Rates!E$58</f>
        <v>12380.278399999999</v>
      </c>
      <c r="I77" s="31">
        <f>$G77*Rates!F$58</f>
        <v>12807.398004799999</v>
      </c>
      <c r="J77" s="68">
        <f t="shared" si="6"/>
        <v>3.4500000000000017E-2</v>
      </c>
      <c r="K77" s="33"/>
    </row>
    <row r="78" spans="1:11" ht="14.25" x14ac:dyDescent="0.2">
      <c r="A78" s="30">
        <v>2500</v>
      </c>
      <c r="B78" s="31">
        <f>($A78-$A$72)*Rates!E$55+'Bill Impacts'!B$72</f>
        <v>2218.3522199999998</v>
      </c>
      <c r="C78" s="31">
        <f>($A78-$A$72)*Rates!F$55+'Bill Impacts'!C$72</f>
        <v>2294.88537159</v>
      </c>
      <c r="D78" s="68">
        <f t="shared" si="5"/>
        <v>3.45000000000001E-2</v>
      </c>
      <c r="E78" s="40"/>
      <c r="F78" s="40"/>
      <c r="G78" s="59">
        <v>25000</v>
      </c>
      <c r="H78" s="35">
        <f>$G78*Rates!E$58</f>
        <v>15475.348</v>
      </c>
      <c r="I78" s="35">
        <f>$G78*Rates!F$58</f>
        <v>16009.247506</v>
      </c>
      <c r="J78" s="70">
        <f t="shared" si="6"/>
        <v>3.4499999999999982E-2</v>
      </c>
      <c r="K78" s="55"/>
    </row>
    <row r="79" spans="1:11" ht="14.25" x14ac:dyDescent="0.2">
      <c r="A79" s="30">
        <v>2750</v>
      </c>
      <c r="B79" s="31">
        <f>($A79-$A$72)*Rates!E$55+'Bill Impacts'!B$72</f>
        <v>2442.1180699999995</v>
      </c>
      <c r="C79" s="31">
        <f>($A79-$A$72)*Rates!F$55+'Bill Impacts'!C$72</f>
        <v>2526.371143415</v>
      </c>
      <c r="D79" s="68">
        <f t="shared" si="5"/>
        <v>3.4500000000000197E-2</v>
      </c>
      <c r="E79" s="40" t="s">
        <v>23</v>
      </c>
      <c r="F79" s="40"/>
      <c r="G79" s="17"/>
      <c r="H79" s="22"/>
      <c r="I79" s="22"/>
      <c r="J79" s="22"/>
      <c r="K79" s="33"/>
    </row>
    <row r="80" spans="1:11" ht="14.25" x14ac:dyDescent="0.2">
      <c r="A80" s="30">
        <v>3000</v>
      </c>
      <c r="B80" s="31">
        <f>($A80-$A$72)*Rates!E$55+'Bill Impacts'!B$72</f>
        <v>2665.8839199999998</v>
      </c>
      <c r="C80" s="31">
        <f>($A80-$A$72)*Rates!F$55+'Bill Impacts'!C$72</f>
        <v>2757.8569152399996</v>
      </c>
      <c r="D80" s="68">
        <f t="shared" si="5"/>
        <v>3.4499999999999933E-2</v>
      </c>
      <c r="E80" s="40"/>
      <c r="F80" s="40"/>
      <c r="G80" s="17"/>
      <c r="H80" s="22"/>
      <c r="I80" s="22"/>
      <c r="J80" s="22"/>
      <c r="K80" s="33"/>
    </row>
    <row r="81" spans="1:11" ht="14.25" x14ac:dyDescent="0.2">
      <c r="A81" s="53"/>
      <c r="B81" s="54"/>
      <c r="C81" s="54"/>
      <c r="D81" s="55"/>
      <c r="E81" s="40"/>
      <c r="F81" s="40"/>
      <c r="G81" s="53"/>
      <c r="H81" s="54"/>
      <c r="I81" s="54"/>
      <c r="J81" s="54"/>
      <c r="K81" s="55"/>
    </row>
    <row r="82" spans="1:11" ht="14.25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</row>
    <row r="83" spans="1:11" ht="15" x14ac:dyDescent="0.2">
      <c r="A83" s="90" t="s">
        <v>24</v>
      </c>
      <c r="B83" s="90"/>
      <c r="C83" s="90"/>
      <c r="D83" s="90"/>
      <c r="E83" s="90"/>
      <c r="F83" s="90"/>
      <c r="G83" s="90"/>
      <c r="H83" s="90"/>
      <c r="I83" s="90"/>
      <c r="J83" s="90"/>
      <c r="K83" s="40"/>
    </row>
    <row r="84" spans="1:11" ht="14.25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</row>
    <row r="85" spans="1:11" ht="14.25" x14ac:dyDescent="0.2">
      <c r="A85" s="88" t="s">
        <v>38</v>
      </c>
      <c r="B85" s="89"/>
      <c r="C85" s="89"/>
      <c r="D85" s="44"/>
      <c r="E85" s="40"/>
      <c r="F85" s="40"/>
      <c r="G85" s="40"/>
      <c r="H85" s="40"/>
      <c r="I85" s="40"/>
      <c r="J85" s="40"/>
      <c r="K85" s="40"/>
    </row>
    <row r="86" spans="1:11" ht="14.25" x14ac:dyDescent="0.2">
      <c r="A86" s="17"/>
      <c r="B86" s="22"/>
      <c r="C86" s="22"/>
      <c r="D86" s="23"/>
      <c r="E86" s="40"/>
      <c r="F86" s="40"/>
      <c r="G86" s="40"/>
      <c r="H86" s="40"/>
      <c r="I86" s="40"/>
      <c r="J86" s="40"/>
      <c r="K86" s="40"/>
    </row>
    <row r="87" spans="1:11" ht="38.25" x14ac:dyDescent="0.2">
      <c r="A87" s="24" t="s">
        <v>27</v>
      </c>
      <c r="B87" s="28" t="s">
        <v>28</v>
      </c>
      <c r="C87" s="28" t="s">
        <v>42</v>
      </c>
      <c r="D87" s="29" t="s">
        <v>29</v>
      </c>
      <c r="E87" s="40"/>
      <c r="F87" s="40"/>
      <c r="G87" s="40"/>
      <c r="H87" s="40"/>
      <c r="I87" s="40"/>
      <c r="J87" s="40"/>
      <c r="K87" s="40"/>
    </row>
    <row r="88" spans="1:11" ht="14.25" x14ac:dyDescent="0.2">
      <c r="A88" s="17">
        <v>0</v>
      </c>
      <c r="B88" s="31">
        <v>0</v>
      </c>
      <c r="C88" s="31">
        <v>0</v>
      </c>
      <c r="D88" s="32"/>
      <c r="E88" s="40"/>
      <c r="F88" s="40"/>
      <c r="G88" s="40"/>
      <c r="H88" s="40"/>
      <c r="I88" s="40"/>
      <c r="J88" s="40"/>
      <c r="K88" s="40"/>
    </row>
    <row r="89" spans="1:11" ht="14.25" x14ac:dyDescent="0.2">
      <c r="A89" s="30">
        <v>1000</v>
      </c>
      <c r="B89" s="31">
        <f>$A89*Rates!E$61</f>
        <v>895.06339999999989</v>
      </c>
      <c r="C89" s="31">
        <f>$A89*Rates!F$61</f>
        <v>925.94308729999989</v>
      </c>
      <c r="D89" s="68">
        <f t="shared" ref="D89:D96" si="7">(C89-B89)/B89</f>
        <v>3.4500000000000003E-2</v>
      </c>
      <c r="E89" s="40"/>
      <c r="F89" s="40"/>
      <c r="G89" s="40"/>
      <c r="H89" s="40"/>
      <c r="I89" s="40"/>
      <c r="J89" s="40"/>
      <c r="K89" s="40"/>
    </row>
    <row r="90" spans="1:11" ht="14.25" x14ac:dyDescent="0.2">
      <c r="A90" s="30">
        <v>2000</v>
      </c>
      <c r="B90" s="31">
        <f>$A90*Rates!E$61</f>
        <v>1790.1267999999998</v>
      </c>
      <c r="C90" s="31">
        <f>$A90*Rates!F$61</f>
        <v>1851.8861745999998</v>
      </c>
      <c r="D90" s="68">
        <f t="shared" si="7"/>
        <v>3.4500000000000003E-2</v>
      </c>
      <c r="E90" s="40"/>
      <c r="F90" s="40"/>
      <c r="G90" s="40"/>
      <c r="H90" s="40"/>
      <c r="I90" s="40"/>
      <c r="J90" s="40"/>
      <c r="K90" s="40"/>
    </row>
    <row r="91" spans="1:11" ht="14.25" x14ac:dyDescent="0.2">
      <c r="A91" s="30">
        <v>6000</v>
      </c>
      <c r="B91" s="31">
        <f>$A91*Rates!E$61</f>
        <v>5370.3803999999991</v>
      </c>
      <c r="C91" s="31">
        <f>$A91*Rates!F$61</f>
        <v>5555.6585237999989</v>
      </c>
      <c r="D91" s="68">
        <f t="shared" si="7"/>
        <v>3.4499999999999961E-2</v>
      </c>
      <c r="E91" s="40"/>
      <c r="F91" s="40"/>
      <c r="G91" s="40"/>
      <c r="H91" s="40"/>
      <c r="I91" s="40"/>
      <c r="J91" s="40"/>
      <c r="K91" s="40"/>
    </row>
    <row r="92" spans="1:11" ht="14.25" x14ac:dyDescent="0.2">
      <c r="A92" s="30">
        <v>10000</v>
      </c>
      <c r="B92" s="31">
        <f>$A92*Rates!E$61</f>
        <v>8950.6339999999982</v>
      </c>
      <c r="C92" s="31">
        <f>$A92*Rates!F$61</f>
        <v>9259.4308729999993</v>
      </c>
      <c r="D92" s="68">
        <f t="shared" si="7"/>
        <v>3.4500000000000135E-2</v>
      </c>
      <c r="E92" s="40"/>
      <c r="F92" s="40"/>
      <c r="G92" s="40"/>
      <c r="H92" s="40"/>
      <c r="I92" s="40"/>
      <c r="J92" s="40"/>
      <c r="K92" s="40"/>
    </row>
    <row r="93" spans="1:11" ht="14.25" x14ac:dyDescent="0.2">
      <c r="A93" s="30">
        <v>13000</v>
      </c>
      <c r="B93" s="31">
        <f>$A93*Rates!E$61</f>
        <v>11635.824199999997</v>
      </c>
      <c r="C93" s="31">
        <f>$A93*Rates!F$61</f>
        <v>12037.260134899998</v>
      </c>
      <c r="D93" s="68">
        <f t="shared" si="7"/>
        <v>3.4500000000000058E-2</v>
      </c>
      <c r="E93" s="40"/>
      <c r="F93" s="40"/>
      <c r="G93" s="40"/>
      <c r="H93" s="40"/>
      <c r="I93" s="40"/>
      <c r="J93" s="40"/>
      <c r="K93" s="40"/>
    </row>
    <row r="94" spans="1:11" ht="14.25" x14ac:dyDescent="0.2">
      <c r="A94" s="30">
        <v>17500</v>
      </c>
      <c r="B94" s="31">
        <f>$A94*Rates!E$61</f>
        <v>15663.609499999997</v>
      </c>
      <c r="C94" s="31">
        <f>$A94*Rates!F$61</f>
        <v>16204.004027749997</v>
      </c>
      <c r="D94" s="68">
        <f t="shared" si="7"/>
        <v>3.4500000000000045E-2</v>
      </c>
      <c r="E94" s="40"/>
      <c r="F94" s="40"/>
      <c r="G94" s="40"/>
      <c r="H94" s="40"/>
      <c r="I94" s="40"/>
      <c r="J94" s="40"/>
      <c r="K94" s="40"/>
    </row>
    <row r="95" spans="1:11" ht="14.25" x14ac:dyDescent="0.2">
      <c r="A95" s="30">
        <v>20000</v>
      </c>
      <c r="B95" s="31">
        <f>$A95*Rates!E$61</f>
        <v>17901.267999999996</v>
      </c>
      <c r="C95" s="31">
        <f>$A95*Rates!F$61</f>
        <v>18518.861745999999</v>
      </c>
      <c r="D95" s="68">
        <f t="shared" si="7"/>
        <v>3.4500000000000135E-2</v>
      </c>
      <c r="E95" s="40"/>
      <c r="F95" s="40"/>
      <c r="G95" s="40"/>
      <c r="H95" s="40"/>
      <c r="I95" s="40"/>
      <c r="J95" s="40"/>
      <c r="K95" s="40"/>
    </row>
    <row r="96" spans="1:11" ht="14.25" x14ac:dyDescent="0.2">
      <c r="A96" s="59">
        <v>25000</v>
      </c>
      <c r="B96" s="35">
        <f>$A96*Rates!E$61</f>
        <v>22376.584999999995</v>
      </c>
      <c r="C96" s="35">
        <f>$A96*Rates!F$61</f>
        <v>23148.577182499997</v>
      </c>
      <c r="D96" s="70">
        <f t="shared" si="7"/>
        <v>3.4500000000000093E-2</v>
      </c>
      <c r="E96" s="40"/>
      <c r="F96" s="40"/>
      <c r="G96" s="40"/>
      <c r="H96" s="40"/>
      <c r="I96" s="40"/>
      <c r="J96" s="40"/>
      <c r="K96" s="40"/>
    </row>
    <row r="97" spans="1:11" ht="14.25" x14ac:dyDescent="0.2">
      <c r="A97" s="17"/>
      <c r="B97" s="22"/>
      <c r="C97" s="22"/>
      <c r="D97" s="33"/>
      <c r="E97" s="40"/>
      <c r="F97" s="40"/>
      <c r="G97" s="40"/>
      <c r="H97" s="40"/>
      <c r="I97" s="40"/>
      <c r="J97" s="40"/>
      <c r="K97" s="40"/>
    </row>
    <row r="98" spans="1:11" ht="14.25" x14ac:dyDescent="0.2">
      <c r="A98" s="53"/>
      <c r="B98" s="54"/>
      <c r="C98" s="54"/>
      <c r="D98" s="55"/>
      <c r="E98" s="40"/>
      <c r="F98" s="40"/>
      <c r="G98" s="40"/>
      <c r="H98" s="40"/>
      <c r="I98" s="40"/>
      <c r="J98" s="40"/>
      <c r="K98" s="40"/>
    </row>
    <row r="99" spans="1:11" ht="14.25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</row>
  </sheetData>
  <mergeCells count="20">
    <mergeCell ref="A1:K1"/>
    <mergeCell ref="A2:K2"/>
    <mergeCell ref="A24:J24"/>
    <mergeCell ref="A4:J4"/>
    <mergeCell ref="A5:D5"/>
    <mergeCell ref="A6:D6"/>
    <mergeCell ref="A8:D8"/>
    <mergeCell ref="G8:J8"/>
    <mergeCell ref="A43:J43"/>
    <mergeCell ref="A47:D47"/>
    <mergeCell ref="G47:J47"/>
    <mergeCell ref="A28:D28"/>
    <mergeCell ref="A40:J40"/>
    <mergeCell ref="A41:J41"/>
    <mergeCell ref="A42:D42"/>
    <mergeCell ref="A85:C85"/>
    <mergeCell ref="A83:J83"/>
    <mergeCell ref="A67:D67"/>
    <mergeCell ref="G67:K67"/>
    <mergeCell ref="G68:J68"/>
  </mergeCells>
  <phoneticPr fontId="3" type="noConversion"/>
  <pageMargins left="0.75" right="0.75" top="1" bottom="1" header="0.5" footer="0.5"/>
  <pageSetup scale="44" orientation="portrait" r:id="rId1"/>
  <headerFooter alignWithMargins="0">
    <oddHeader>&amp;REB-2012-0137
Page &amp;P of &amp;N</oddHead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62"/>
  <sheetViews>
    <sheetView tabSelected="1" view="pageBreakPreview" topLeftCell="B1" zoomScale="60" zoomScaleNormal="100" workbookViewId="0">
      <pane ySplit="7" topLeftCell="A8" activePane="bottomLeft" state="frozen"/>
      <selection sqref="A1:K2"/>
      <selection pane="bottomLeft" sqref="A1:K2"/>
    </sheetView>
  </sheetViews>
  <sheetFormatPr defaultRowHeight="12.75" x14ac:dyDescent="0.2"/>
  <cols>
    <col min="1" max="1" width="40.85546875" customWidth="1"/>
    <col min="4" max="4" width="11.140625" hidden="1" customWidth="1"/>
    <col min="5" max="5" width="12.85546875" style="74" customWidth="1"/>
    <col min="6" max="6" width="12.5703125" customWidth="1"/>
    <col min="7" max="7" width="1.7109375" style="78" customWidth="1"/>
    <col min="8" max="8" width="44.42578125" bestFit="1" customWidth="1"/>
    <col min="9" max="9" width="18" customWidth="1"/>
    <col min="10" max="10" width="19.42578125" customWidth="1"/>
    <col min="11" max="11" width="14.85546875" style="74" customWidth="1"/>
  </cols>
  <sheetData>
    <row r="1" spans="1:12" ht="15" x14ac:dyDescent="0.25">
      <c r="B1" s="95" t="s">
        <v>48</v>
      </c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15" x14ac:dyDescent="0.25">
      <c r="B2" s="95" t="s">
        <v>49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4" spans="1:12" x14ac:dyDescent="0.2">
      <c r="A4" s="1" t="s">
        <v>0</v>
      </c>
      <c r="B4" s="2"/>
      <c r="C4" s="3"/>
      <c r="D4" s="4"/>
      <c r="E4" s="81"/>
    </row>
    <row r="5" spans="1:12" ht="15.75" x14ac:dyDescent="0.25">
      <c r="A5" s="5" t="s">
        <v>1</v>
      </c>
      <c r="B5" s="2"/>
      <c r="C5" s="3"/>
      <c r="D5" s="4"/>
      <c r="E5" s="81"/>
      <c r="I5" s="94" t="s">
        <v>44</v>
      </c>
      <c r="J5" s="94"/>
      <c r="K5" s="94"/>
    </row>
    <row r="6" spans="1:12" x14ac:dyDescent="0.2">
      <c r="A6" s="1"/>
      <c r="B6" s="2"/>
      <c r="C6" s="3"/>
      <c r="D6" s="4"/>
      <c r="E6" s="81">
        <v>2012</v>
      </c>
      <c r="F6">
        <v>2013</v>
      </c>
      <c r="I6" s="72">
        <f>4/12</f>
        <v>0.33333333333333331</v>
      </c>
      <c r="J6" s="72">
        <f>8/12</f>
        <v>0.66666666666666663</v>
      </c>
      <c r="K6" s="75">
        <f>+I6+J6</f>
        <v>1</v>
      </c>
    </row>
    <row r="7" spans="1:12" ht="55.5" customHeight="1" x14ac:dyDescent="0.2">
      <c r="A7" s="1" t="s">
        <v>2</v>
      </c>
      <c r="B7" s="2" t="s">
        <v>3</v>
      </c>
      <c r="C7" s="3" t="s">
        <v>4</v>
      </c>
      <c r="D7" s="4" t="s">
        <v>21</v>
      </c>
      <c r="E7" s="82" t="s">
        <v>21</v>
      </c>
      <c r="F7" t="s">
        <v>22</v>
      </c>
      <c r="H7" s="1"/>
      <c r="I7" s="71" t="s">
        <v>45</v>
      </c>
      <c r="J7" s="71" t="s">
        <v>46</v>
      </c>
      <c r="K7" s="76" t="s">
        <v>47</v>
      </c>
    </row>
    <row r="8" spans="1:12" ht="12.75" customHeight="1" x14ac:dyDescent="0.2">
      <c r="A8" s="6" t="s">
        <v>5</v>
      </c>
      <c r="B8" s="2"/>
      <c r="C8" s="7" t="s">
        <v>6</v>
      </c>
      <c r="D8" s="8">
        <v>17.170000000000002</v>
      </c>
      <c r="E8" s="83">
        <v>17.496947999999996</v>
      </c>
      <c r="F8" s="67">
        <f>E8*1.0345</f>
        <v>18.100592705999997</v>
      </c>
      <c r="G8" s="79"/>
      <c r="H8" s="6" t="str">
        <f>+A8</f>
        <v>Service Charge</v>
      </c>
      <c r="I8" s="73">
        <f>+E8*$I$6</f>
        <v>5.8323159999999987</v>
      </c>
      <c r="J8" s="73">
        <f>+F8*$J$6</f>
        <v>12.067061803999998</v>
      </c>
      <c r="K8" s="86">
        <f>+I8+J8</f>
        <v>17.899377803999997</v>
      </c>
    </row>
    <row r="9" spans="1:12" ht="12.75" customHeight="1" x14ac:dyDescent="0.2">
      <c r="A9" s="6" t="s">
        <v>39</v>
      </c>
      <c r="B9" s="2"/>
      <c r="C9" s="7" t="s">
        <v>6</v>
      </c>
      <c r="D9" s="8">
        <v>7.0000000000000007E-2</v>
      </c>
      <c r="E9" s="84"/>
      <c r="F9" s="56"/>
      <c r="H9" s="6" t="str">
        <f t="shared" ref="H9:H62" si="0">+A9</f>
        <v>Foregone Revenue Rider</v>
      </c>
      <c r="I9" s="73"/>
      <c r="J9" s="73"/>
      <c r="K9" s="86"/>
    </row>
    <row r="10" spans="1:12" x14ac:dyDescent="0.2">
      <c r="A10" s="6" t="s">
        <v>7</v>
      </c>
      <c r="B10" s="2">
        <v>1</v>
      </c>
      <c r="C10" s="7" t="s">
        <v>8</v>
      </c>
      <c r="D10" s="9">
        <v>8.09E-2</v>
      </c>
      <c r="E10" s="85">
        <v>8.2380200000000001E-2</v>
      </c>
      <c r="F10" s="66">
        <f>E10*1.0345</f>
        <v>8.5222316899999997E-2</v>
      </c>
      <c r="G10" s="80"/>
      <c r="H10" s="6" t="str">
        <f t="shared" si="0"/>
        <v>Distribution Volumetric Rate</v>
      </c>
      <c r="I10" s="73">
        <f>+E10*$I$6</f>
        <v>2.7460066666666665E-2</v>
      </c>
      <c r="J10" s="73">
        <f>+F10*$J$6</f>
        <v>5.6814877933333327E-2</v>
      </c>
      <c r="K10" s="86">
        <f t="shared" ref="K10:K61" si="1">+I10+J10</f>
        <v>8.4274944599999985E-2</v>
      </c>
    </row>
    <row r="11" spans="1:12" x14ac:dyDescent="0.2">
      <c r="A11" s="6" t="s">
        <v>39</v>
      </c>
      <c r="B11" s="2"/>
      <c r="C11" s="7" t="s">
        <v>8</v>
      </c>
      <c r="D11" s="9">
        <v>2.9999999999999997E-4</v>
      </c>
      <c r="E11" s="84"/>
      <c r="F11" s="56"/>
      <c r="H11" s="6" t="str">
        <f t="shared" si="0"/>
        <v>Foregone Revenue Rider</v>
      </c>
      <c r="I11" s="73"/>
      <c r="J11" s="73"/>
      <c r="K11" s="87"/>
    </row>
    <row r="12" spans="1:12" ht="12.75" customHeight="1" x14ac:dyDescent="0.2">
      <c r="A12" s="10" t="s">
        <v>9</v>
      </c>
      <c r="B12" s="2">
        <v>2</v>
      </c>
      <c r="C12" s="7" t="s">
        <v>8</v>
      </c>
      <c r="D12" s="9">
        <v>0.10780000000000001</v>
      </c>
      <c r="E12" s="85">
        <v>0.10977287999999999</v>
      </c>
      <c r="F12" s="66">
        <f>E12*1.0345</f>
        <v>0.11356004435999999</v>
      </c>
      <c r="G12" s="80"/>
      <c r="H12" s="10" t="str">
        <f t="shared" si="0"/>
        <v>Energy Charge Next 1,500 kWh</v>
      </c>
      <c r="I12" s="73">
        <f>+E12*$I$6</f>
        <v>3.6590959999999992E-2</v>
      </c>
      <c r="J12" s="73">
        <f>+F12*$J$6</f>
        <v>7.5706696239999982E-2</v>
      </c>
      <c r="K12" s="86">
        <f t="shared" si="1"/>
        <v>0.11229765623999997</v>
      </c>
    </row>
    <row r="13" spans="1:12" ht="12.75" customHeight="1" x14ac:dyDescent="0.2">
      <c r="A13" s="10" t="s">
        <v>39</v>
      </c>
      <c r="B13" s="2"/>
      <c r="C13" s="7" t="s">
        <v>8</v>
      </c>
      <c r="D13" s="9">
        <v>4.0000000000000002E-4</v>
      </c>
      <c r="E13" s="84"/>
      <c r="F13" s="56"/>
      <c r="H13" s="10" t="str">
        <f t="shared" si="0"/>
        <v>Foregone Revenue Rider</v>
      </c>
      <c r="I13" s="73"/>
      <c r="J13" s="73"/>
      <c r="K13" s="86"/>
    </row>
    <row r="14" spans="1:12" ht="12.75" customHeight="1" x14ac:dyDescent="0.2">
      <c r="A14" s="10" t="s">
        <v>10</v>
      </c>
      <c r="B14" s="2">
        <v>3</v>
      </c>
      <c r="C14" s="7" t="s">
        <v>8</v>
      </c>
      <c r="D14" s="9">
        <v>0.16250000000000001</v>
      </c>
      <c r="E14" s="85">
        <v>0.16546796</v>
      </c>
      <c r="F14" s="66">
        <f>E14*1.0345</f>
        <v>0.17117660462000001</v>
      </c>
      <c r="G14" s="80"/>
      <c r="H14" s="10" t="str">
        <f t="shared" si="0"/>
        <v>Energy Charge All Additional kWh</v>
      </c>
      <c r="I14" s="73">
        <f>+E14*$I$6</f>
        <v>5.5155986666666663E-2</v>
      </c>
      <c r="J14" s="73">
        <f>+F14*$J$6</f>
        <v>0.11411773641333334</v>
      </c>
      <c r="K14" s="86">
        <f t="shared" si="1"/>
        <v>0.16927372307999999</v>
      </c>
    </row>
    <row r="15" spans="1:12" ht="12.75" customHeight="1" x14ac:dyDescent="0.2">
      <c r="A15" s="10" t="s">
        <v>39</v>
      </c>
      <c r="B15" s="2"/>
      <c r="C15" s="7" t="s">
        <v>8</v>
      </c>
      <c r="D15" s="9">
        <v>6.9999999999999999E-4</v>
      </c>
      <c r="E15" s="84"/>
      <c r="F15" s="56"/>
      <c r="H15" s="10" t="str">
        <f t="shared" si="0"/>
        <v>Foregone Revenue Rider</v>
      </c>
      <c r="I15" s="73"/>
      <c r="J15" s="73"/>
      <c r="K15" s="86"/>
    </row>
    <row r="16" spans="1:12" ht="15.75" x14ac:dyDescent="0.25">
      <c r="A16" s="5" t="s">
        <v>11</v>
      </c>
      <c r="B16" s="2"/>
      <c r="C16" s="3"/>
      <c r="D16" s="4"/>
      <c r="E16" s="81"/>
      <c r="F16" s="56"/>
      <c r="H16" s="5" t="str">
        <f t="shared" si="0"/>
        <v>Seasonal Residential – R4</v>
      </c>
      <c r="I16" s="73"/>
      <c r="J16" s="73"/>
      <c r="K16" s="86"/>
    </row>
    <row r="17" spans="1:11" x14ac:dyDescent="0.2">
      <c r="A17" s="6" t="s">
        <v>5</v>
      </c>
      <c r="B17" s="2"/>
      <c r="C17" s="7" t="s">
        <v>6</v>
      </c>
      <c r="D17" s="8">
        <v>29.02</v>
      </c>
      <c r="E17" s="83">
        <v>29.555791999999997</v>
      </c>
      <c r="F17" s="67">
        <v>30.58</v>
      </c>
      <c r="G17" s="79"/>
      <c r="H17" s="6" t="str">
        <f t="shared" si="0"/>
        <v>Service Charge</v>
      </c>
      <c r="I17" s="73">
        <f>+E17*$I$6</f>
        <v>9.8519306666666644</v>
      </c>
      <c r="J17" s="73">
        <f>+F17*$J$6</f>
        <v>20.386666666666663</v>
      </c>
      <c r="K17" s="86">
        <f t="shared" si="1"/>
        <v>30.238597333333328</v>
      </c>
    </row>
    <row r="18" spans="1:11" x14ac:dyDescent="0.2">
      <c r="A18" s="6" t="s">
        <v>39</v>
      </c>
      <c r="B18" s="2"/>
      <c r="C18" s="7" t="s">
        <v>6</v>
      </c>
      <c r="D18" s="8">
        <v>0.12</v>
      </c>
      <c r="E18" s="84"/>
      <c r="F18" s="56"/>
      <c r="H18" s="6" t="str">
        <f t="shared" si="0"/>
        <v>Foregone Revenue Rider</v>
      </c>
      <c r="I18" s="73"/>
      <c r="J18" s="73"/>
      <c r="K18" s="86"/>
    </row>
    <row r="19" spans="1:11" x14ac:dyDescent="0.2">
      <c r="A19" s="6" t="s">
        <v>7</v>
      </c>
      <c r="B19" s="2">
        <v>1</v>
      </c>
      <c r="C19" s="7" t="s">
        <v>8</v>
      </c>
      <c r="D19" s="9">
        <v>8.09E-2</v>
      </c>
      <c r="E19" s="85">
        <v>8.2380200000000001E-2</v>
      </c>
      <c r="F19" s="66">
        <f>E19*1.0345</f>
        <v>8.5222316899999997E-2</v>
      </c>
      <c r="G19" s="80"/>
      <c r="H19" s="6" t="str">
        <f t="shared" si="0"/>
        <v>Distribution Volumetric Rate</v>
      </c>
      <c r="I19" s="73">
        <f>+E19*$I$6</f>
        <v>2.7460066666666665E-2</v>
      </c>
      <c r="J19" s="73">
        <f>+F19*$J$6</f>
        <v>5.6814877933333327E-2</v>
      </c>
      <c r="K19" s="86">
        <f t="shared" si="1"/>
        <v>8.4274944599999985E-2</v>
      </c>
    </row>
    <row r="20" spans="1:11" x14ac:dyDescent="0.2">
      <c r="A20" s="6" t="s">
        <v>39</v>
      </c>
      <c r="B20" s="2"/>
      <c r="C20" s="7" t="s">
        <v>8</v>
      </c>
      <c r="D20" s="9">
        <v>2.9999999999999997E-4</v>
      </c>
      <c r="E20" s="84"/>
      <c r="F20" s="56"/>
      <c r="H20" s="6" t="str">
        <f t="shared" si="0"/>
        <v>Foregone Revenue Rider</v>
      </c>
      <c r="I20" s="73"/>
      <c r="J20" s="73"/>
      <c r="K20" s="86"/>
    </row>
    <row r="21" spans="1:11" ht="12.75" customHeight="1" x14ac:dyDescent="0.2">
      <c r="A21" s="10" t="s">
        <v>9</v>
      </c>
      <c r="B21" s="2">
        <v>2</v>
      </c>
      <c r="C21" s="7" t="s">
        <v>8</v>
      </c>
      <c r="D21" s="9">
        <v>0.10780000000000001</v>
      </c>
      <c r="E21" s="85">
        <v>0.10977287999999999</v>
      </c>
      <c r="F21" s="66">
        <f>E21*1.0345</f>
        <v>0.11356004435999999</v>
      </c>
      <c r="G21" s="80"/>
      <c r="H21" s="10" t="str">
        <f t="shared" si="0"/>
        <v>Energy Charge Next 1,500 kWh</v>
      </c>
      <c r="I21" s="73">
        <f>+E21*$I$6</f>
        <v>3.6590959999999992E-2</v>
      </c>
      <c r="J21" s="73">
        <f>+F21*$J$6</f>
        <v>7.5706696239999982E-2</v>
      </c>
      <c r="K21" s="86">
        <f t="shared" si="1"/>
        <v>0.11229765623999997</v>
      </c>
    </row>
    <row r="22" spans="1:11" ht="12.75" customHeight="1" x14ac:dyDescent="0.2">
      <c r="A22" s="10" t="s">
        <v>39</v>
      </c>
      <c r="B22" s="2"/>
      <c r="C22" s="7" t="s">
        <v>8</v>
      </c>
      <c r="D22" s="9">
        <v>4.0000000000000002E-4</v>
      </c>
      <c r="E22" s="84"/>
      <c r="F22" s="56"/>
      <c r="H22" s="10" t="str">
        <f t="shared" si="0"/>
        <v>Foregone Revenue Rider</v>
      </c>
      <c r="I22" s="73"/>
      <c r="J22" s="73"/>
      <c r="K22" s="86"/>
    </row>
    <row r="23" spans="1:11" ht="12.75" customHeight="1" x14ac:dyDescent="0.2">
      <c r="A23" s="10" t="s">
        <v>10</v>
      </c>
      <c r="B23" s="2">
        <v>3</v>
      </c>
      <c r="C23" s="7" t="s">
        <v>8</v>
      </c>
      <c r="D23" s="9">
        <v>0.16250000000000001</v>
      </c>
      <c r="E23" s="85">
        <v>0.16546796</v>
      </c>
      <c r="F23" s="66">
        <f>E23*1.0345</f>
        <v>0.17117660462000001</v>
      </c>
      <c r="G23" s="80"/>
      <c r="H23" s="10" t="str">
        <f t="shared" si="0"/>
        <v>Energy Charge All Additional kWh</v>
      </c>
      <c r="I23" s="73">
        <f>+E23*$I$6</f>
        <v>5.5155986666666663E-2</v>
      </c>
      <c r="J23" s="73">
        <f>+F23*$J$6</f>
        <v>0.11411773641333334</v>
      </c>
      <c r="K23" s="86">
        <f t="shared" si="1"/>
        <v>0.16927372307999999</v>
      </c>
    </row>
    <row r="24" spans="1:11" ht="12.75" customHeight="1" x14ac:dyDescent="0.2">
      <c r="A24" s="10" t="s">
        <v>39</v>
      </c>
      <c r="B24" s="2"/>
      <c r="C24" s="7" t="s">
        <v>8</v>
      </c>
      <c r="D24" s="9">
        <v>6.9999999999999999E-4</v>
      </c>
      <c r="E24" s="84"/>
      <c r="F24" s="56"/>
      <c r="H24" s="10" t="str">
        <f t="shared" si="0"/>
        <v>Foregone Revenue Rider</v>
      </c>
      <c r="I24" s="73"/>
      <c r="J24" s="73"/>
      <c r="K24" s="86"/>
    </row>
    <row r="25" spans="1:11" ht="15.75" x14ac:dyDescent="0.25">
      <c r="A25" s="5" t="s">
        <v>12</v>
      </c>
      <c r="B25" s="2"/>
      <c r="C25" s="3"/>
      <c r="D25" s="4"/>
      <c r="E25" s="81"/>
      <c r="F25" s="56"/>
      <c r="H25" s="5" t="str">
        <f t="shared" si="0"/>
        <v>General Service Single Phase – G1</v>
      </c>
      <c r="I25" s="73"/>
      <c r="J25" s="73"/>
      <c r="K25" s="86"/>
    </row>
    <row r="26" spans="1:11" x14ac:dyDescent="0.2">
      <c r="A26" s="10"/>
      <c r="B26" s="2"/>
      <c r="C26" s="3"/>
      <c r="D26" s="4"/>
      <c r="E26" s="81"/>
      <c r="F26" s="56"/>
      <c r="H26" s="10"/>
      <c r="I26" s="73"/>
      <c r="J26" s="73"/>
      <c r="K26" s="86"/>
    </row>
    <row r="27" spans="1:11" x14ac:dyDescent="0.2">
      <c r="A27" s="6" t="s">
        <v>5</v>
      </c>
      <c r="B27" s="2"/>
      <c r="C27" s="7" t="s">
        <v>6</v>
      </c>
      <c r="D27" s="8">
        <v>29.18</v>
      </c>
      <c r="E27" s="83">
        <v>29.717519999999997</v>
      </c>
      <c r="F27" s="67">
        <v>30.74</v>
      </c>
      <c r="G27" s="79"/>
      <c r="H27" s="6" t="str">
        <f t="shared" si="0"/>
        <v>Service Charge</v>
      </c>
      <c r="I27" s="73">
        <f>+E27*$I$6</f>
        <v>9.9058399999999978</v>
      </c>
      <c r="J27" s="73">
        <f>+F27*$J$6</f>
        <v>20.493333333333332</v>
      </c>
      <c r="K27" s="86">
        <f t="shared" si="1"/>
        <v>30.39917333333333</v>
      </c>
    </row>
    <row r="28" spans="1:11" x14ac:dyDescent="0.2">
      <c r="A28" s="6" t="s">
        <v>39</v>
      </c>
      <c r="B28" s="2"/>
      <c r="C28" s="7" t="s">
        <v>6</v>
      </c>
      <c r="D28" s="8">
        <v>0.12</v>
      </c>
      <c r="E28" s="84"/>
      <c r="F28" s="56"/>
      <c r="H28" s="6" t="str">
        <f t="shared" si="0"/>
        <v>Foregone Revenue Rider</v>
      </c>
      <c r="I28" s="73"/>
      <c r="J28" s="73"/>
      <c r="K28" s="86"/>
    </row>
    <row r="29" spans="1:11" x14ac:dyDescent="0.2">
      <c r="A29" s="6" t="s">
        <v>7</v>
      </c>
      <c r="B29" s="2">
        <v>1</v>
      </c>
      <c r="C29" s="7" t="s">
        <v>8</v>
      </c>
      <c r="D29" s="9">
        <v>9.06E-2</v>
      </c>
      <c r="E29" s="85">
        <v>9.2184959999999996E-2</v>
      </c>
      <c r="F29" s="66">
        <f>E29*1.0345</f>
        <v>9.5365341119999988E-2</v>
      </c>
      <c r="G29" s="80"/>
      <c r="H29" s="6" t="str">
        <f t="shared" si="0"/>
        <v>Distribution Volumetric Rate</v>
      </c>
      <c r="I29" s="73">
        <f>+E29*$I$6</f>
        <v>3.0728319999999996E-2</v>
      </c>
      <c r="J29" s="73">
        <f>+F29*$J$6</f>
        <v>6.3576894079999988E-2</v>
      </c>
      <c r="K29" s="86">
        <f t="shared" si="1"/>
        <v>9.4305214079999977E-2</v>
      </c>
    </row>
    <row r="30" spans="1:11" x14ac:dyDescent="0.2">
      <c r="A30" s="6" t="s">
        <v>39</v>
      </c>
      <c r="B30" s="2"/>
      <c r="C30" s="7" t="s">
        <v>8</v>
      </c>
      <c r="D30" s="9">
        <v>4.0000000000000002E-4</v>
      </c>
      <c r="E30" s="84"/>
      <c r="F30" s="56"/>
      <c r="H30" s="6" t="str">
        <f t="shared" si="0"/>
        <v>Foregone Revenue Rider</v>
      </c>
      <c r="I30" s="73"/>
      <c r="J30" s="73"/>
      <c r="K30" s="86"/>
    </row>
    <row r="31" spans="1:11" ht="12.75" customHeight="1" x14ac:dyDescent="0.2">
      <c r="A31" s="10" t="s">
        <v>13</v>
      </c>
      <c r="B31" s="2">
        <v>2</v>
      </c>
      <c r="C31" s="7" t="s">
        <v>8</v>
      </c>
      <c r="D31" s="9">
        <v>0.1201</v>
      </c>
      <c r="E31" s="85">
        <v>0.12240787999999998</v>
      </c>
      <c r="F31" s="66">
        <f>E31*1.0345</f>
        <v>0.12663095185999998</v>
      </c>
      <c r="G31" s="80"/>
      <c r="H31" s="10" t="str">
        <f t="shared" si="0"/>
        <v>Energy Charge Next 7,000 kWh</v>
      </c>
      <c r="I31" s="73">
        <f>+E31*$I$6</f>
        <v>4.0802626666666661E-2</v>
      </c>
      <c r="J31" s="73">
        <f>+F31*$J$6</f>
        <v>8.442063457333332E-2</v>
      </c>
      <c r="K31" s="86">
        <f t="shared" si="1"/>
        <v>0.12522326123999999</v>
      </c>
    </row>
    <row r="32" spans="1:11" ht="12.75" customHeight="1" x14ac:dyDescent="0.2">
      <c r="A32" s="10" t="s">
        <v>39</v>
      </c>
      <c r="B32" s="2"/>
      <c r="C32" s="7" t="s">
        <v>8</v>
      </c>
      <c r="D32" s="9">
        <v>5.0000000000000001E-4</v>
      </c>
      <c r="E32" s="84"/>
      <c r="F32" s="56"/>
      <c r="H32" s="10" t="str">
        <f t="shared" si="0"/>
        <v>Foregone Revenue Rider</v>
      </c>
      <c r="I32" s="73"/>
      <c r="J32" s="73"/>
      <c r="K32" s="86"/>
    </row>
    <row r="33" spans="1:11" ht="12.75" customHeight="1" x14ac:dyDescent="0.2">
      <c r="A33" s="10" t="s">
        <v>10</v>
      </c>
      <c r="B33" s="2">
        <v>3</v>
      </c>
      <c r="C33" s="7" t="s">
        <v>8</v>
      </c>
      <c r="D33" s="9">
        <v>0.16250000000000001</v>
      </c>
      <c r="E33" s="85">
        <v>0.16546796</v>
      </c>
      <c r="F33" s="66">
        <f>E33*1.0345</f>
        <v>0.17117660462000001</v>
      </c>
      <c r="G33" s="80"/>
      <c r="H33" s="10" t="str">
        <f t="shared" si="0"/>
        <v>Energy Charge All Additional kWh</v>
      </c>
      <c r="I33" s="73">
        <f>+E33*$I$6</f>
        <v>5.5155986666666663E-2</v>
      </c>
      <c r="J33" s="73">
        <f>+F33*$J$6</f>
        <v>0.11411773641333334</v>
      </c>
      <c r="K33" s="86">
        <f t="shared" si="1"/>
        <v>0.16927372307999999</v>
      </c>
    </row>
    <row r="34" spans="1:11" ht="12.75" customHeight="1" x14ac:dyDescent="0.2">
      <c r="A34" s="10" t="s">
        <v>39</v>
      </c>
      <c r="B34" s="2"/>
      <c r="C34" s="7" t="s">
        <v>8</v>
      </c>
      <c r="D34" s="9">
        <v>6.9999999999999999E-4</v>
      </c>
      <c r="E34" s="84"/>
      <c r="F34" s="56"/>
      <c r="H34" s="10" t="str">
        <f t="shared" si="0"/>
        <v>Foregone Revenue Rider</v>
      </c>
      <c r="I34" s="73"/>
      <c r="J34" s="73"/>
      <c r="K34" s="86"/>
    </row>
    <row r="35" spans="1:11" ht="15.75" x14ac:dyDescent="0.25">
      <c r="A35" s="5" t="s">
        <v>14</v>
      </c>
      <c r="B35" s="2"/>
      <c r="C35" s="3"/>
      <c r="D35" s="4"/>
      <c r="E35" s="81"/>
      <c r="F35" s="56"/>
      <c r="H35" s="5" t="str">
        <f t="shared" si="0"/>
        <v>General Service Three Phase – G3</v>
      </c>
      <c r="I35" s="73"/>
      <c r="J35" s="73"/>
      <c r="K35" s="86"/>
    </row>
    <row r="36" spans="1:11" x14ac:dyDescent="0.2">
      <c r="A36" s="6" t="s">
        <v>5</v>
      </c>
      <c r="B36" s="2"/>
      <c r="C36" s="7" t="s">
        <v>6</v>
      </c>
      <c r="D36" s="8">
        <v>36.54</v>
      </c>
      <c r="E36" s="83">
        <v>37.217655999999998</v>
      </c>
      <c r="F36" s="67">
        <v>38.5</v>
      </c>
      <c r="G36" s="79"/>
      <c r="H36" s="6" t="str">
        <f t="shared" si="0"/>
        <v>Service Charge</v>
      </c>
      <c r="I36" s="73">
        <f>+E36*$I$6</f>
        <v>12.405885333333332</v>
      </c>
      <c r="J36" s="73">
        <f>+F36*$J$6</f>
        <v>25.666666666666664</v>
      </c>
      <c r="K36" s="86">
        <f t="shared" si="1"/>
        <v>38.072551999999995</v>
      </c>
    </row>
    <row r="37" spans="1:11" x14ac:dyDescent="0.2">
      <c r="A37" s="6" t="s">
        <v>39</v>
      </c>
      <c r="B37" s="2"/>
      <c r="C37" s="7" t="s">
        <v>6</v>
      </c>
      <c r="D37" s="8">
        <v>0.15</v>
      </c>
      <c r="E37" s="84"/>
      <c r="F37" s="56"/>
      <c r="H37" s="6" t="str">
        <f t="shared" si="0"/>
        <v>Foregone Revenue Rider</v>
      </c>
      <c r="I37" s="73"/>
      <c r="J37" s="73"/>
      <c r="K37" s="86"/>
    </row>
    <row r="38" spans="1:11" x14ac:dyDescent="0.2">
      <c r="A38" s="6" t="s">
        <v>7</v>
      </c>
      <c r="B38" s="2">
        <v>1</v>
      </c>
      <c r="C38" s="7" t="s">
        <v>8</v>
      </c>
      <c r="D38" s="9">
        <v>9.06E-2</v>
      </c>
      <c r="E38" s="85">
        <v>9.2184959999999996E-2</v>
      </c>
      <c r="F38" s="66">
        <f>E38*1.0345</f>
        <v>9.5365341119999988E-2</v>
      </c>
      <c r="G38" s="80"/>
      <c r="H38" s="6" t="str">
        <f t="shared" si="0"/>
        <v>Distribution Volumetric Rate</v>
      </c>
      <c r="I38" s="73">
        <f>+E38*$I$6</f>
        <v>3.0728319999999996E-2</v>
      </c>
      <c r="J38" s="73">
        <f>+F38*$J$6</f>
        <v>6.3576894079999988E-2</v>
      </c>
      <c r="K38" s="86">
        <f t="shared" si="1"/>
        <v>9.4305214079999977E-2</v>
      </c>
    </row>
    <row r="39" spans="1:11" x14ac:dyDescent="0.2">
      <c r="A39" s="6" t="s">
        <v>39</v>
      </c>
      <c r="B39" s="2"/>
      <c r="C39" s="7" t="s">
        <v>8</v>
      </c>
      <c r="D39" s="9">
        <v>4.0000000000000002E-4</v>
      </c>
      <c r="E39" s="84"/>
      <c r="F39" s="56"/>
      <c r="H39" s="6" t="str">
        <f t="shared" si="0"/>
        <v>Foregone Revenue Rider</v>
      </c>
      <c r="I39" s="73"/>
      <c r="J39" s="73"/>
      <c r="K39" s="86"/>
    </row>
    <row r="40" spans="1:11" ht="12.75" customHeight="1" x14ac:dyDescent="0.2">
      <c r="A40" s="10" t="s">
        <v>15</v>
      </c>
      <c r="B40" s="2">
        <v>2</v>
      </c>
      <c r="C40" s="7" t="s">
        <v>8</v>
      </c>
      <c r="D40" s="9">
        <v>0.1201</v>
      </c>
      <c r="E40" s="85">
        <v>0.12240787999999998</v>
      </c>
      <c r="F40" s="66">
        <f>E40*1.0345</f>
        <v>0.12663095185999998</v>
      </c>
      <c r="G40" s="80"/>
      <c r="H40" s="10" t="str">
        <f t="shared" si="0"/>
        <v>Energy Charge Next 15,000 kWh</v>
      </c>
      <c r="I40" s="73">
        <f>+E40*$I$6</f>
        <v>4.0802626666666661E-2</v>
      </c>
      <c r="J40" s="73">
        <f>+F40*$J$6</f>
        <v>8.442063457333332E-2</v>
      </c>
      <c r="K40" s="86">
        <f t="shared" si="1"/>
        <v>0.12522326123999999</v>
      </c>
    </row>
    <row r="41" spans="1:11" ht="12.75" customHeight="1" x14ac:dyDescent="0.2">
      <c r="A41" s="10" t="s">
        <v>39</v>
      </c>
      <c r="B41" s="2"/>
      <c r="C41" s="7" t="s">
        <v>8</v>
      </c>
      <c r="D41" s="9">
        <v>5.0000000000000001E-4</v>
      </c>
      <c r="E41" s="84"/>
      <c r="F41" s="56"/>
      <c r="H41" s="10" t="str">
        <f t="shared" si="0"/>
        <v>Foregone Revenue Rider</v>
      </c>
      <c r="I41" s="73"/>
      <c r="J41" s="73"/>
      <c r="K41" s="86"/>
    </row>
    <row r="42" spans="1:11" ht="12.75" customHeight="1" x14ac:dyDescent="0.2">
      <c r="A42" s="10" t="s">
        <v>10</v>
      </c>
      <c r="B42" s="2">
        <v>3</v>
      </c>
      <c r="C42" s="7" t="s">
        <v>8</v>
      </c>
      <c r="D42" s="9">
        <v>0.16250000000000001</v>
      </c>
      <c r="E42" s="85">
        <v>0.16546796</v>
      </c>
      <c r="F42" s="66">
        <f>E42*1.0345</f>
        <v>0.17117660462000001</v>
      </c>
      <c r="G42" s="80"/>
      <c r="H42" s="10" t="str">
        <f t="shared" si="0"/>
        <v>Energy Charge All Additional kWh</v>
      </c>
      <c r="I42" s="73">
        <f>+E42*$I$6</f>
        <v>5.5155986666666663E-2</v>
      </c>
      <c r="J42" s="73">
        <f>+F42*$J$6</f>
        <v>0.11411773641333334</v>
      </c>
      <c r="K42" s="86">
        <f t="shared" si="1"/>
        <v>0.16927372307999999</v>
      </c>
    </row>
    <row r="43" spans="1:11" ht="12.75" customHeight="1" x14ac:dyDescent="0.2">
      <c r="A43" s="10" t="s">
        <v>39</v>
      </c>
      <c r="B43" s="2"/>
      <c r="C43" s="7"/>
      <c r="D43" s="9">
        <v>6.9999999999999999E-4</v>
      </c>
      <c r="E43" s="84"/>
      <c r="F43" s="56"/>
      <c r="H43" s="10" t="str">
        <f t="shared" si="0"/>
        <v>Foregone Revenue Rider</v>
      </c>
      <c r="I43" s="73"/>
      <c r="J43" s="73"/>
      <c r="K43" s="86"/>
    </row>
    <row r="44" spans="1:11" ht="15.75" x14ac:dyDescent="0.25">
      <c r="A44" s="5" t="s">
        <v>16</v>
      </c>
      <c r="B44" s="2"/>
      <c r="C44" s="3"/>
      <c r="D44" s="4"/>
      <c r="E44" s="81"/>
      <c r="F44" s="56"/>
      <c r="H44" s="5" t="str">
        <f t="shared" si="0"/>
        <v>Street Lighting</v>
      </c>
      <c r="I44" s="73"/>
      <c r="J44" s="73"/>
      <c r="K44" s="86"/>
    </row>
    <row r="45" spans="1:11" x14ac:dyDescent="0.2">
      <c r="A45" s="6" t="s">
        <v>7</v>
      </c>
      <c r="B45" s="2"/>
      <c r="C45" s="7" t="s">
        <v>8</v>
      </c>
      <c r="D45" s="9">
        <v>8.9800000000000005E-2</v>
      </c>
      <c r="E45" s="85">
        <v>9.1376319999999983E-2</v>
      </c>
      <c r="F45" s="66">
        <f>E45*1.0345</f>
        <v>9.4528803039999984E-2</v>
      </c>
      <c r="G45" s="80"/>
      <c r="H45" s="6" t="str">
        <f t="shared" si="0"/>
        <v>Distribution Volumetric Rate</v>
      </c>
      <c r="I45" s="73">
        <f>+E45*$I$6</f>
        <v>3.0458773333333328E-2</v>
      </c>
      <c r="J45" s="73">
        <f>+F45*$J$6</f>
        <v>6.3019202026666651E-2</v>
      </c>
      <c r="K45" s="86">
        <f t="shared" si="1"/>
        <v>9.3477975359999979E-2</v>
      </c>
    </row>
    <row r="46" spans="1:11" x14ac:dyDescent="0.2">
      <c r="A46" s="6" t="s">
        <v>39</v>
      </c>
      <c r="B46" s="2"/>
      <c r="C46" s="7" t="s">
        <v>8</v>
      </c>
      <c r="D46" s="9">
        <v>4.0000000000000002E-4</v>
      </c>
      <c r="E46" s="84"/>
      <c r="F46" s="56"/>
      <c r="H46" s="6" t="str">
        <f t="shared" si="0"/>
        <v>Foregone Revenue Rider</v>
      </c>
      <c r="I46" s="73"/>
      <c r="J46" s="73"/>
      <c r="K46" s="86"/>
    </row>
    <row r="47" spans="1:11" ht="15.75" x14ac:dyDescent="0.25">
      <c r="A47" s="5" t="s">
        <v>17</v>
      </c>
      <c r="B47" s="2"/>
      <c r="C47" s="3"/>
      <c r="D47" s="4"/>
      <c r="E47" s="81"/>
      <c r="F47" s="56"/>
      <c r="H47" s="5" t="str">
        <f t="shared" si="0"/>
        <v>Standard A Residential Road/Rail</v>
      </c>
      <c r="I47" s="73"/>
      <c r="J47" s="73"/>
      <c r="K47" s="86"/>
    </row>
    <row r="48" spans="1:11" x14ac:dyDescent="0.2">
      <c r="A48" s="6" t="s">
        <v>7</v>
      </c>
      <c r="B48" s="2"/>
      <c r="C48" s="7" t="s">
        <v>8</v>
      </c>
      <c r="D48" s="9">
        <v>0.53200000000000003</v>
      </c>
      <c r="E48" s="85">
        <v>0.54178879999999996</v>
      </c>
      <c r="F48" s="66">
        <f>E48*1.0345</f>
        <v>0.56048051359999995</v>
      </c>
      <c r="G48" s="80"/>
      <c r="H48" s="6" t="str">
        <f t="shared" si="0"/>
        <v>Distribution Volumetric Rate</v>
      </c>
      <c r="I48" s="73">
        <f>+E48*$I$6</f>
        <v>0.18059626666666664</v>
      </c>
      <c r="J48" s="73">
        <f>+F48*$J$6</f>
        <v>0.3736536757333333</v>
      </c>
      <c r="K48" s="86">
        <f t="shared" si="1"/>
        <v>0.55424994239999992</v>
      </c>
    </row>
    <row r="49" spans="1:11" x14ac:dyDescent="0.2">
      <c r="A49" s="6" t="s">
        <v>39</v>
      </c>
      <c r="B49" s="2"/>
      <c r="C49" s="7" t="s">
        <v>8</v>
      </c>
      <c r="D49" s="9">
        <v>2E-3</v>
      </c>
      <c r="E49" s="84"/>
      <c r="F49" s="56"/>
      <c r="H49" s="6" t="str">
        <f t="shared" si="0"/>
        <v>Foregone Revenue Rider</v>
      </c>
      <c r="I49" s="73"/>
      <c r="J49" s="73"/>
      <c r="K49" s="86"/>
    </row>
    <row r="50" spans="1:11" ht="12.75" customHeight="1" x14ac:dyDescent="0.2">
      <c r="A50" s="10" t="s">
        <v>10</v>
      </c>
      <c r="B50" s="2"/>
      <c r="C50" s="7" t="s">
        <v>8</v>
      </c>
      <c r="D50" s="9">
        <v>0.60780000000000001</v>
      </c>
      <c r="E50" s="85">
        <v>0.61901392</v>
      </c>
      <c r="F50" s="66">
        <f>E50*1.0345</f>
        <v>0.64036990023999996</v>
      </c>
      <c r="G50" s="80"/>
      <c r="H50" s="10" t="str">
        <f t="shared" si="0"/>
        <v>Energy Charge All Additional kWh</v>
      </c>
      <c r="I50" s="73">
        <f>+E50*$I$6</f>
        <v>0.20633797333333331</v>
      </c>
      <c r="J50" s="73">
        <f>+F50*$J$6</f>
        <v>0.42691326682666664</v>
      </c>
      <c r="K50" s="86">
        <f t="shared" si="1"/>
        <v>0.6332512401599999</v>
      </c>
    </row>
    <row r="51" spans="1:11" ht="12.75" customHeight="1" x14ac:dyDescent="0.2">
      <c r="A51" s="10" t="s">
        <v>39</v>
      </c>
      <c r="B51" s="2"/>
      <c r="C51" s="7" t="s">
        <v>8</v>
      </c>
      <c r="D51" s="9">
        <v>2.3999999999999998E-3</v>
      </c>
      <c r="E51" s="84"/>
      <c r="F51" s="56"/>
      <c r="H51" s="10" t="str">
        <f t="shared" si="0"/>
        <v>Foregone Revenue Rider</v>
      </c>
      <c r="I51" s="73"/>
      <c r="J51" s="73"/>
      <c r="K51" s="86"/>
    </row>
    <row r="52" spans="1:11" ht="15.75" x14ac:dyDescent="0.25">
      <c r="A52" s="5" t="s">
        <v>18</v>
      </c>
      <c r="B52" s="2"/>
      <c r="C52" s="3"/>
      <c r="D52" s="4"/>
      <c r="E52" s="81"/>
      <c r="F52" s="56"/>
      <c r="H52" s="5" t="str">
        <f t="shared" si="0"/>
        <v>Standard A Residential Air Access</v>
      </c>
      <c r="I52" s="73"/>
      <c r="J52" s="73"/>
      <c r="K52" s="86"/>
    </row>
    <row r="53" spans="1:11" x14ac:dyDescent="0.2">
      <c r="A53" s="6" t="s">
        <v>7</v>
      </c>
      <c r="B53" s="2"/>
      <c r="C53" s="7" t="s">
        <v>8</v>
      </c>
      <c r="D53" s="9">
        <v>0.80289999999999995</v>
      </c>
      <c r="E53" s="85">
        <v>0.81783828000000003</v>
      </c>
      <c r="F53" s="66">
        <f>E53*1.0345</f>
        <v>0.84605370065999996</v>
      </c>
      <c r="G53" s="80"/>
      <c r="H53" s="6" t="str">
        <f t="shared" si="0"/>
        <v>Distribution Volumetric Rate</v>
      </c>
      <c r="I53" s="73">
        <f>+E53*$I$6</f>
        <v>0.27261276000000001</v>
      </c>
      <c r="J53" s="73">
        <f>+F53*$J$6</f>
        <v>0.5640358004399999</v>
      </c>
      <c r="K53" s="86">
        <f t="shared" si="1"/>
        <v>0.83664856043999991</v>
      </c>
    </row>
    <row r="54" spans="1:11" x14ac:dyDescent="0.2">
      <c r="A54" s="6" t="s">
        <v>39</v>
      </c>
      <c r="B54" s="2"/>
      <c r="C54" s="7" t="s">
        <v>8</v>
      </c>
      <c r="D54" s="9">
        <v>3.2000000000000002E-3</v>
      </c>
      <c r="E54" s="84"/>
      <c r="F54" s="56"/>
      <c r="H54" s="6" t="str">
        <f t="shared" si="0"/>
        <v>Foregone Revenue Rider</v>
      </c>
      <c r="I54" s="73"/>
      <c r="J54" s="73"/>
      <c r="K54" s="86"/>
    </row>
    <row r="55" spans="1:11" ht="12.75" customHeight="1" x14ac:dyDescent="0.2">
      <c r="A55" s="10" t="s">
        <v>10</v>
      </c>
      <c r="B55" s="2"/>
      <c r="C55" s="7" t="s">
        <v>8</v>
      </c>
      <c r="D55" s="9">
        <v>0.87880000000000003</v>
      </c>
      <c r="E55" s="85">
        <v>0.89506339999999984</v>
      </c>
      <c r="F55" s="66">
        <f>E55*1.0345</f>
        <v>0.92594308729999986</v>
      </c>
      <c r="G55" s="80"/>
      <c r="H55" s="10" t="str">
        <f t="shared" si="0"/>
        <v>Energy Charge All Additional kWh</v>
      </c>
      <c r="I55" s="73">
        <f>+E55*$I$6</f>
        <v>0.2983544666666666</v>
      </c>
      <c r="J55" s="73">
        <f>+F55*$J$6</f>
        <v>0.61729539153333324</v>
      </c>
      <c r="K55" s="86">
        <f t="shared" si="1"/>
        <v>0.91564985819999989</v>
      </c>
    </row>
    <row r="56" spans="1:11" ht="12.75" customHeight="1" x14ac:dyDescent="0.2">
      <c r="A56" s="10" t="s">
        <v>39</v>
      </c>
      <c r="B56" s="2"/>
      <c r="C56" s="7" t="s">
        <v>8</v>
      </c>
      <c r="D56" s="9">
        <v>3.5000000000000001E-3</v>
      </c>
      <c r="E56" s="84"/>
      <c r="F56" s="56"/>
      <c r="H56" s="10" t="str">
        <f t="shared" si="0"/>
        <v>Foregone Revenue Rider</v>
      </c>
      <c r="I56" s="73"/>
      <c r="J56" s="73"/>
      <c r="K56" s="86"/>
    </row>
    <row r="57" spans="1:11" ht="15.75" x14ac:dyDescent="0.25">
      <c r="A57" s="5" t="s">
        <v>19</v>
      </c>
      <c r="B57" s="2"/>
      <c r="C57" s="3"/>
      <c r="D57" s="4"/>
      <c r="E57" s="81"/>
      <c r="F57" s="56"/>
      <c r="H57" s="5" t="str">
        <f t="shared" si="0"/>
        <v>Standard A General Service Road/Rail</v>
      </c>
      <c r="I57" s="73"/>
      <c r="J57" s="73"/>
      <c r="K57" s="86"/>
    </row>
    <row r="58" spans="1:11" x14ac:dyDescent="0.2">
      <c r="A58" s="6" t="s">
        <v>7</v>
      </c>
      <c r="B58" s="2"/>
      <c r="C58" s="7" t="s">
        <v>8</v>
      </c>
      <c r="D58" s="9">
        <v>0.60780000000000001</v>
      </c>
      <c r="E58" s="85">
        <v>0.61901392</v>
      </c>
      <c r="F58" s="66">
        <f>E58*1.0345</f>
        <v>0.64036990023999996</v>
      </c>
      <c r="G58" s="80"/>
      <c r="H58" s="6" t="str">
        <f t="shared" si="0"/>
        <v>Distribution Volumetric Rate</v>
      </c>
      <c r="I58" s="73">
        <f>+E58*$I$6</f>
        <v>0.20633797333333331</v>
      </c>
      <c r="J58" s="73">
        <f>+F58*$J$6</f>
        <v>0.42691326682666664</v>
      </c>
      <c r="K58" s="86">
        <f t="shared" si="1"/>
        <v>0.6332512401599999</v>
      </c>
    </row>
    <row r="59" spans="1:11" x14ac:dyDescent="0.2">
      <c r="A59" s="6" t="s">
        <v>39</v>
      </c>
      <c r="B59" s="2"/>
      <c r="C59" s="7" t="s">
        <v>8</v>
      </c>
      <c r="D59" s="9">
        <v>2.3999999999999998E-3</v>
      </c>
      <c r="E59" s="84"/>
      <c r="F59" s="56"/>
      <c r="H59" s="6" t="str">
        <f t="shared" si="0"/>
        <v>Foregone Revenue Rider</v>
      </c>
      <c r="I59" s="73"/>
      <c r="J59" s="73"/>
      <c r="K59" s="86"/>
    </row>
    <row r="60" spans="1:11" ht="15.75" x14ac:dyDescent="0.25">
      <c r="A60" s="5" t="s">
        <v>20</v>
      </c>
      <c r="B60" s="2"/>
      <c r="C60" s="3"/>
      <c r="D60" s="4"/>
      <c r="E60" s="81"/>
      <c r="F60" s="56"/>
      <c r="H60" s="5" t="str">
        <f t="shared" si="0"/>
        <v>Standard A General Service Air Access</v>
      </c>
      <c r="I60" s="73"/>
      <c r="J60" s="73"/>
      <c r="K60" s="86"/>
    </row>
    <row r="61" spans="1:11" x14ac:dyDescent="0.2">
      <c r="A61" s="6" t="s">
        <v>7</v>
      </c>
      <c r="B61" s="2"/>
      <c r="C61" s="7" t="s">
        <v>8</v>
      </c>
      <c r="D61" s="9">
        <v>0.87880000000000003</v>
      </c>
      <c r="E61" s="85">
        <v>0.89506339999999984</v>
      </c>
      <c r="F61" s="66">
        <f>E61*1.0345</f>
        <v>0.92594308729999986</v>
      </c>
      <c r="G61" s="80"/>
      <c r="H61" s="6" t="str">
        <f t="shared" si="0"/>
        <v>Distribution Volumetric Rate</v>
      </c>
      <c r="I61" s="73">
        <f>+E61*$I$6</f>
        <v>0.2983544666666666</v>
      </c>
      <c r="J61" s="73">
        <f>+F61*$J$6</f>
        <v>0.61729539153333324</v>
      </c>
      <c r="K61" s="86">
        <f t="shared" si="1"/>
        <v>0.91564985819999989</v>
      </c>
    </row>
    <row r="62" spans="1:11" x14ac:dyDescent="0.2">
      <c r="A62" s="6" t="s">
        <v>39</v>
      </c>
      <c r="B62" s="2"/>
      <c r="C62" s="7" t="s">
        <v>8</v>
      </c>
      <c r="D62" s="9">
        <v>3.5000000000000001E-3</v>
      </c>
      <c r="E62" s="84"/>
      <c r="F62" s="56"/>
      <c r="H62" s="6" t="str">
        <f t="shared" si="0"/>
        <v>Foregone Revenue Rider</v>
      </c>
      <c r="I62" s="73"/>
      <c r="J62" s="73"/>
      <c r="K62" s="77"/>
    </row>
  </sheetData>
  <mergeCells count="3">
    <mergeCell ref="I5:K5"/>
    <mergeCell ref="B1:L1"/>
    <mergeCell ref="B2:L2"/>
  </mergeCells>
  <phoneticPr fontId="3" type="noConversion"/>
  <pageMargins left="0.75" right="0.75" top="1" bottom="1" header="0.5" footer="0.5"/>
  <pageSetup scale="46" orientation="portrait" r:id="rId1"/>
  <headerFooter alignWithMargins="0">
    <oddHeader>&amp;REB-2012-0137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BFC930B11482CF49BC0407DAC87B7AE2" ma:contentTypeVersion="16" ma:contentTypeDescription="Meta data that will be applied to all documents added to the proceeding document folder" ma:contentTypeScope="" ma:versionID="b1c274dda36b2aa0c54a639e53de1e07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c74f78b-b7fa-4290-8a00-9e63a244ebb0" targetNamespace="http://schemas.microsoft.com/office/2006/metadata/properties" ma:root="true" ma:fieldsID="6d903788ed08a6e7640c5c3e9529a855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c74f78b-b7fa-4290-8a00-9e63a244ebb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/>
                <xsd:element ref="ns5:RA_x0020_Contact" minOccurs="0"/>
                <xsd:element ref="ns6:DocumentStorageId" minOccurs="0"/>
                <xsd:element ref="ns6:OTOriginalLink" minOccurs="0"/>
                <xsd:element ref="ns6:OTSyncedPermis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 - RES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  <xsd:enumeration value="Public (Information that is authorized for consumption by the public.)"/>
          <xsd:enumeration value="Trusted (synonymous with previous Confidential Categorization)"/>
          <xsd:enumeration value="Critical (synonymous with previous Secret Categorization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4f78b-b7fa-4290-8a00-9e63a244ebb0" elementFormDefault="qualified">
    <xsd:import namespace="http://schemas.microsoft.com/office/2006/documentManagement/types"/>
    <xsd:import namespace="http://schemas.microsoft.com/office/infopath/2007/PartnerControls"/>
    <xsd:element name="DocumentStorageId" ma:index="18" nillable="true" ma:displayName="DocumentStorageId" ma:hidden="true" ma:internalName="DocumentStorageId" ma:readOnly="true">
      <xsd:simpleType>
        <xsd:restriction base="dms:Text"/>
      </xsd:simpleType>
    </xsd:element>
    <xsd:element name="OTOriginalLink" ma:index="19" nillable="true" ma:displayName="OTOriginalLink" ma:hidden="true" ma:internalName="OTOriginalLink" ma:readOnly="true">
      <xsd:simpleType>
        <xsd:restriction base="dms:Note"/>
      </xsd:simpleType>
    </xsd:element>
    <xsd:element name="OTSyncedPermission" ma:index="20" nillable="true" ma:displayName="OTSyncedPermission" ma:hidden="true" ma:internalName="OTSyncedPermission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EB-2012-0137</Case_x0020_Number_x002f_Docket_x0020_Number>
    <Issue_x0020_Date xmlns="f9175001-c430-4d57-adde-c1c10539e919">2012-10-25T04:00:00+00:00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6BAC1484-3507-4FEE-98F2-21BC28DF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c74f78b-b7fa-4290-8a00-9e63a244eb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6F2170-DCCC-4B9B-9D34-1BE15A05E5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09994-AFC6-489A-9343-0401B2461D5E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f9175001-c430-4d57-adde-c1c10539e919"/>
    <ds:schemaRef ds:uri="http://schemas.openxmlformats.org/package/2006/metadata/core-properties"/>
    <ds:schemaRef ds:uri="http://schemas.microsoft.com/office/2006/documentManagement/types"/>
    <ds:schemaRef ds:uri="f0af1d65-dfd0-4b99-b523-def3a954563f"/>
    <ds:schemaRef ds:uri="9c74f78b-b7fa-4290-8a00-9e63a244ebb0"/>
    <ds:schemaRef ds:uri="31a38067-a042-4e0e-9037-517587b10700"/>
    <ds:schemaRef ds:uri="ea909525-6dd5-47d7-9eed-71e77e5ced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 Impacts</vt:lpstr>
      <vt:lpstr>Rates</vt:lpstr>
    </vt:vector>
  </TitlesOfParts>
  <Company>Hydro One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HORC to OEB re Incomplete application - Attachment 8A</dc:title>
  <dc:creator>Una O'Reilly</dc:creator>
  <cp:lastModifiedBy>AMR</cp:lastModifiedBy>
  <cp:lastPrinted>2012-10-30T14:41:16Z</cp:lastPrinted>
  <dcterms:created xsi:type="dcterms:W3CDTF">2009-10-23T16:56:11Z</dcterms:created>
  <dcterms:modified xsi:type="dcterms:W3CDTF">2012-10-30T14:42:54Z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0x01010061EC7F66509FFD4DA0B1B261A86BE77300BFC930B11482CF49BC0407DAC87B7AE2</vt:lpwstr>
  </property>
  <property fmtid="{D5CDD505-2E9C-101B-9397-08002B2CF9AE}" pid="3" name="Order">
    <vt:r8>525800</vt:r8>
  </property>
</Properties>
</file>